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526"/>
  <workbookPr hidePivotFieldList="1" autoCompressPictures="0"/>
  <bookViews>
    <workbookView xWindow="0" yWindow="0" windowWidth="25600" windowHeight="14500" tabRatio="500" firstSheet="9" activeTab="13"/>
  </bookViews>
  <sheets>
    <sheet name="Field Notes" sheetId="4" r:id="rId1"/>
    <sheet name="Zooplankton" sheetId="1" r:id="rId2"/>
    <sheet name="Composition" sheetId="5" r:id="rId3"/>
    <sheet name="Comp Diversity" sheetId="20" r:id="rId4"/>
    <sheet name="Shannon" sheetId="21" r:id="rId5"/>
    <sheet name="Zooplankton Raw" sheetId="2" r:id="rId6"/>
    <sheet name="Horizontal" sheetId="3" r:id="rId7"/>
    <sheet name="Fish Data" sheetId="8" r:id="rId8"/>
    <sheet name="FishSp" sheetId="10" r:id="rId9"/>
    <sheet name="Old " sheetId="6" r:id="rId10"/>
    <sheet name="Neomysis demography" sheetId="19" r:id="rId11"/>
    <sheet name="Pooled Composition" sheetId="28" r:id="rId12"/>
    <sheet name="NMDS Happy" sheetId="29" r:id="rId13"/>
    <sheet name="NMDS Cyclopoid" sheetId="30" r:id="rId14"/>
  </sheets>
  <definedNames>
    <definedName name="_xlnm._FilterDatabase" localSheetId="2" hidden="1">Composition!$A$1:$AE$945</definedName>
  </definedNames>
  <calcPr calcId="140001" concurrentCalc="0"/>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R746" i="30" l="1"/>
  <c r="S742" i="30"/>
  <c r="R741" i="30"/>
  <c r="S496" i="30"/>
  <c r="S461" i="30"/>
  <c r="V241" i="30"/>
  <c r="W241" i="30"/>
  <c r="X241" i="30"/>
  <c r="AA218" i="28"/>
  <c r="AC218" i="28"/>
  <c r="AE218" i="28"/>
  <c r="AA219" i="28"/>
  <c r="AC219" i="28"/>
  <c r="AE219" i="28"/>
  <c r="AA220" i="28"/>
  <c r="AC220" i="28"/>
  <c r="AE220" i="28"/>
  <c r="AA221" i="28"/>
  <c r="AC221" i="28"/>
  <c r="AE221" i="28"/>
  <c r="AA222" i="28"/>
  <c r="AC222" i="28"/>
  <c r="AE222" i="28"/>
  <c r="Y223" i="28"/>
  <c r="AA223" i="28"/>
  <c r="AC223" i="28"/>
  <c r="AE223" i="28"/>
  <c r="AA224" i="28"/>
  <c r="AC224" i="28"/>
  <c r="AE224" i="28"/>
  <c r="AA225" i="28"/>
  <c r="AC225" i="28"/>
  <c r="AE225" i="28"/>
  <c r="AA226" i="28"/>
  <c r="AC226" i="28"/>
  <c r="AE226" i="28"/>
  <c r="AA227" i="28"/>
  <c r="AC227" i="28"/>
  <c r="AE227" i="28"/>
  <c r="Y228" i="28"/>
  <c r="AA228" i="28"/>
  <c r="AC228" i="28"/>
  <c r="AE228" i="28"/>
  <c r="Y229" i="28"/>
  <c r="AA229" i="28"/>
  <c r="AC229" i="28"/>
  <c r="AE229" i="28"/>
  <c r="Y230" i="28"/>
  <c r="AA230" i="28"/>
  <c r="AC230" i="28"/>
  <c r="AE230" i="28"/>
  <c r="AA231" i="28"/>
  <c r="AC231" i="28"/>
  <c r="AE231" i="28"/>
  <c r="AA232" i="28"/>
  <c r="AC232" i="28"/>
  <c r="AE232" i="28"/>
  <c r="AA199" i="28"/>
  <c r="AC199" i="28"/>
  <c r="AE199" i="28"/>
  <c r="AA200" i="28"/>
  <c r="AC200" i="28"/>
  <c r="AE200" i="28"/>
  <c r="Y201" i="28"/>
  <c r="AA201" i="28"/>
  <c r="AC201" i="28"/>
  <c r="AE201" i="28"/>
  <c r="AA202" i="28"/>
  <c r="AC202" i="28"/>
  <c r="AE202" i="28"/>
  <c r="AA203" i="28"/>
  <c r="AC203" i="28"/>
  <c r="AE203" i="28"/>
  <c r="AA204" i="28"/>
  <c r="AC204" i="28"/>
  <c r="AE204" i="28"/>
  <c r="Y205" i="28"/>
  <c r="AA205" i="28"/>
  <c r="AC205" i="28"/>
  <c r="AE205" i="28"/>
  <c r="AA206" i="28"/>
  <c r="AC206" i="28"/>
  <c r="AE206" i="28"/>
  <c r="AA207" i="28"/>
  <c r="AC207" i="28"/>
  <c r="AE207" i="28"/>
  <c r="AA208" i="28"/>
  <c r="AC208" i="28"/>
  <c r="AE208" i="28"/>
  <c r="AA209" i="28"/>
  <c r="AC209" i="28"/>
  <c r="AE209" i="28"/>
  <c r="AA210" i="28"/>
  <c r="AC210" i="28"/>
  <c r="AE210" i="28"/>
  <c r="AA211" i="28"/>
  <c r="AC211" i="28"/>
  <c r="AE211" i="28"/>
  <c r="AA212" i="28"/>
  <c r="AC212" i="28"/>
  <c r="AE212" i="28"/>
  <c r="AA213" i="28"/>
  <c r="AC213" i="28"/>
  <c r="AE213" i="28"/>
  <c r="AA214" i="28"/>
  <c r="AC214" i="28"/>
  <c r="AE214" i="28"/>
  <c r="AA215" i="28"/>
  <c r="AC215" i="28"/>
  <c r="AE215" i="28"/>
  <c r="AA216" i="28"/>
  <c r="AC216" i="28"/>
  <c r="AE216" i="28"/>
  <c r="AA177" i="28"/>
  <c r="AC177" i="28"/>
  <c r="AE177" i="28"/>
  <c r="AA178" i="28"/>
  <c r="AC178" i="28"/>
  <c r="AE178" i="28"/>
  <c r="AA179" i="28"/>
  <c r="AC179" i="28"/>
  <c r="AE179" i="28"/>
  <c r="AA180" i="28"/>
  <c r="AC180" i="28"/>
  <c r="AE180" i="28"/>
  <c r="AA181" i="28"/>
  <c r="AC181" i="28"/>
  <c r="AE181" i="28"/>
  <c r="AA182" i="28"/>
  <c r="AC182" i="28"/>
  <c r="AE182" i="28"/>
  <c r="Y183" i="28"/>
  <c r="AA183" i="28"/>
  <c r="AC183" i="28"/>
  <c r="AE183" i="28"/>
  <c r="AA184" i="28"/>
  <c r="AC184" i="28"/>
  <c r="AE184" i="28"/>
  <c r="AA185" i="28"/>
  <c r="AC185" i="28"/>
  <c r="AE185" i="28"/>
  <c r="AA186" i="28"/>
  <c r="AC186" i="28"/>
  <c r="AE186" i="28"/>
  <c r="Y187" i="28"/>
  <c r="AA187" i="28"/>
  <c r="AC187" i="28"/>
  <c r="AE187" i="28"/>
  <c r="AA188" i="28"/>
  <c r="AC188" i="28"/>
  <c r="AE188" i="28"/>
  <c r="AA189" i="28"/>
  <c r="AC189" i="28"/>
  <c r="AE189" i="28"/>
  <c r="Y190" i="28"/>
  <c r="AA190" i="28"/>
  <c r="AC190" i="28"/>
  <c r="AE190" i="28"/>
  <c r="Y191" i="28"/>
  <c r="AA191" i="28"/>
  <c r="AC191" i="28"/>
  <c r="AE191" i="28"/>
  <c r="AA192" i="28"/>
  <c r="AC192" i="28"/>
  <c r="AE192" i="28"/>
  <c r="AA193" i="28"/>
  <c r="AC193" i="28"/>
  <c r="AE193" i="28"/>
  <c r="AA194" i="28"/>
  <c r="AC194" i="28"/>
  <c r="AE194" i="28"/>
  <c r="AA195" i="28"/>
  <c r="AC195" i="28"/>
  <c r="AE195" i="28"/>
  <c r="AA196" i="28"/>
  <c r="AC196" i="28"/>
  <c r="AE196" i="28"/>
  <c r="AA197" i="28"/>
  <c r="AC197" i="28"/>
  <c r="AE197" i="28"/>
  <c r="AA161" i="28"/>
  <c r="AC161" i="28"/>
  <c r="AE161" i="28"/>
  <c r="AA162" i="28"/>
  <c r="AC162" i="28"/>
  <c r="AE162" i="28"/>
  <c r="AA163" i="28"/>
  <c r="AC163" i="28"/>
  <c r="AE163" i="28"/>
  <c r="Y164" i="28"/>
  <c r="AA164" i="28"/>
  <c r="AC164" i="28"/>
  <c r="AE164" i="28"/>
  <c r="Y165" i="28"/>
  <c r="AA165" i="28"/>
  <c r="AB165" i="28"/>
  <c r="AC165" i="28"/>
  <c r="AE165" i="28"/>
  <c r="AA166" i="28"/>
  <c r="AC166" i="28"/>
  <c r="AE166" i="28"/>
  <c r="AA167" i="28"/>
  <c r="AC167" i="28"/>
  <c r="AE167" i="28"/>
  <c r="AA168" i="28"/>
  <c r="AC168" i="28"/>
  <c r="AE168" i="28"/>
  <c r="AA169" i="28"/>
  <c r="AC169" i="28"/>
  <c r="AE169" i="28"/>
  <c r="AA170" i="28"/>
  <c r="AC170" i="28"/>
  <c r="AE170" i="28"/>
  <c r="AA171" i="28"/>
  <c r="AC171" i="28"/>
  <c r="AE171" i="28"/>
  <c r="AA172" i="28"/>
  <c r="AC172" i="28"/>
  <c r="AE172" i="28"/>
  <c r="AA173" i="28"/>
  <c r="AC173" i="28"/>
  <c r="AE173" i="28"/>
  <c r="AA174" i="28"/>
  <c r="AC174" i="28"/>
  <c r="AE174" i="28"/>
  <c r="AA175" i="28"/>
  <c r="AC175" i="28"/>
  <c r="AE175" i="28"/>
  <c r="AA138" i="28"/>
  <c r="AC138" i="28"/>
  <c r="AE138" i="28"/>
  <c r="AA139" i="28"/>
  <c r="AC139" i="28"/>
  <c r="AE139" i="28"/>
  <c r="AA140" i="28"/>
  <c r="AC140" i="28"/>
  <c r="AE140" i="28"/>
  <c r="AA141" i="28"/>
  <c r="AC141" i="28"/>
  <c r="AE141" i="28"/>
  <c r="Y143" i="28"/>
  <c r="AA143" i="28"/>
  <c r="AC143" i="28"/>
  <c r="AE143" i="28"/>
  <c r="Y144" i="28"/>
  <c r="AA144" i="28"/>
  <c r="AC144" i="28"/>
  <c r="AE144" i="28"/>
  <c r="AA145" i="28"/>
  <c r="AC145" i="28"/>
  <c r="AE145" i="28"/>
  <c r="AA146" i="28"/>
  <c r="AC146" i="28"/>
  <c r="AE146" i="28"/>
  <c r="AA147" i="28"/>
  <c r="AC147" i="28"/>
  <c r="AE147" i="28"/>
  <c r="Y148" i="28"/>
  <c r="AA148" i="28"/>
  <c r="AC148" i="28"/>
  <c r="AE148" i="28"/>
  <c r="AA149" i="28"/>
  <c r="AC149" i="28"/>
  <c r="AE149" i="28"/>
  <c r="Y150" i="28"/>
  <c r="AA150" i="28"/>
  <c r="AC150" i="28"/>
  <c r="AE150" i="28"/>
  <c r="AA151" i="28"/>
  <c r="AC151" i="28"/>
  <c r="AE151" i="28"/>
  <c r="AA152" i="28"/>
  <c r="AC152" i="28"/>
  <c r="AE152" i="28"/>
  <c r="AA153" i="28"/>
  <c r="AC153" i="28"/>
  <c r="AE153" i="28"/>
  <c r="AA154" i="28"/>
  <c r="AC154" i="28"/>
  <c r="AE154" i="28"/>
  <c r="AA155" i="28"/>
  <c r="AB155" i="28"/>
  <c r="AC155" i="28"/>
  <c r="AE155" i="28"/>
  <c r="AA156" i="28"/>
  <c r="AB156" i="28"/>
  <c r="AC156" i="28"/>
  <c r="AE156" i="28"/>
  <c r="AA157" i="28"/>
  <c r="AB157" i="28"/>
  <c r="AC157" i="28"/>
  <c r="AE157" i="28"/>
  <c r="AA158" i="28"/>
  <c r="AC158" i="28"/>
  <c r="AE158" i="28"/>
  <c r="AA159" i="28"/>
  <c r="AC159" i="28"/>
  <c r="AE159" i="28"/>
  <c r="AC121" i="28"/>
  <c r="AE121" i="28"/>
  <c r="AC122" i="28"/>
  <c r="AE122" i="28"/>
  <c r="Y123" i="28"/>
  <c r="AA123" i="28"/>
  <c r="AB123" i="28"/>
  <c r="AC123" i="28"/>
  <c r="AE123" i="28"/>
  <c r="AA124" i="28"/>
  <c r="AC124" i="28"/>
  <c r="AE124" i="28"/>
  <c r="Y125" i="28"/>
  <c r="AA125" i="28"/>
  <c r="AB125" i="28"/>
  <c r="AC125" i="28"/>
  <c r="AE125" i="28"/>
  <c r="AA126" i="28"/>
  <c r="AC126" i="28"/>
  <c r="AE126" i="28"/>
  <c r="AA127" i="28"/>
  <c r="AC127" i="28"/>
  <c r="AE127" i="28"/>
  <c r="AA128" i="28"/>
  <c r="AC128" i="28"/>
  <c r="AE128" i="28"/>
  <c r="AA129" i="28"/>
  <c r="AC129" i="28"/>
  <c r="AE129" i="28"/>
  <c r="AA130" i="28"/>
  <c r="AC130" i="28"/>
  <c r="AE130" i="28"/>
  <c r="AA131" i="28"/>
  <c r="AC131" i="28"/>
  <c r="AE131" i="28"/>
  <c r="AA132" i="28"/>
  <c r="AC132" i="28"/>
  <c r="AE132" i="28"/>
  <c r="AA133" i="28"/>
  <c r="AC133" i="28"/>
  <c r="AE133" i="28"/>
  <c r="AA134" i="28"/>
  <c r="AC134" i="28"/>
  <c r="AE134" i="28"/>
  <c r="AA135" i="28"/>
  <c r="AC135" i="28"/>
  <c r="AE135" i="28"/>
  <c r="AA136" i="28"/>
  <c r="AC136" i="28"/>
  <c r="AE136" i="28"/>
  <c r="AA137" i="28"/>
  <c r="AC137" i="28"/>
  <c r="AE137" i="28"/>
  <c r="AA120" i="28"/>
  <c r="AC120" i="28"/>
  <c r="AD100" i="28"/>
  <c r="AD99" i="28"/>
  <c r="P137" i="28"/>
  <c r="R137" i="28"/>
  <c r="T137" i="28"/>
  <c r="AA99" i="28"/>
  <c r="AC99" i="28"/>
  <c r="AE99" i="28"/>
  <c r="AA100" i="28"/>
  <c r="AC100" i="28"/>
  <c r="AE100" i="28"/>
  <c r="AA101" i="28"/>
  <c r="AC101" i="28"/>
  <c r="AE101" i="28"/>
  <c r="AA102" i="28"/>
  <c r="AC102" i="28"/>
  <c r="AE102" i="28"/>
  <c r="AA103" i="28"/>
  <c r="AC103" i="28"/>
  <c r="AE103" i="28"/>
  <c r="AA104" i="28"/>
  <c r="AC104" i="28"/>
  <c r="AE104" i="28"/>
  <c r="Y105" i="28"/>
  <c r="AA105" i="28"/>
  <c r="AC105" i="28"/>
  <c r="AE105" i="28"/>
  <c r="AA106" i="28"/>
  <c r="AC106" i="28"/>
  <c r="AE106" i="28"/>
  <c r="Y107" i="28"/>
  <c r="AA107" i="28"/>
  <c r="AC107" i="28"/>
  <c r="AE107" i="28"/>
  <c r="AA108" i="28"/>
  <c r="AC108" i="28"/>
  <c r="AE108" i="28"/>
  <c r="AA109" i="28"/>
  <c r="AC109" i="28"/>
  <c r="AE109" i="28"/>
  <c r="AA110" i="28"/>
  <c r="AC110" i="28"/>
  <c r="AE110" i="28"/>
  <c r="AA111" i="28"/>
  <c r="AC111" i="28"/>
  <c r="AE111" i="28"/>
  <c r="AA112" i="28"/>
  <c r="AC112" i="28"/>
  <c r="AE112" i="28"/>
  <c r="AA113" i="28"/>
  <c r="AC113" i="28"/>
  <c r="AE113" i="28"/>
  <c r="AA114" i="28"/>
  <c r="AC114" i="28"/>
  <c r="AE114" i="28"/>
  <c r="AA115" i="28"/>
  <c r="AC115" i="28"/>
  <c r="AE115" i="28"/>
  <c r="AA116" i="28"/>
  <c r="AC116" i="28"/>
  <c r="AE116" i="28"/>
  <c r="AA117" i="28"/>
  <c r="AC117" i="28"/>
  <c r="AE117" i="28"/>
  <c r="AA118" i="28"/>
  <c r="AC118" i="28"/>
  <c r="AE118" i="28"/>
  <c r="AA119" i="28"/>
  <c r="AC119" i="28"/>
  <c r="AE119" i="28"/>
  <c r="AE120" i="28"/>
  <c r="AF99" i="28"/>
  <c r="P232" i="28"/>
  <c r="R232" i="28"/>
  <c r="T232" i="28"/>
  <c r="P231" i="28"/>
  <c r="R231" i="28"/>
  <c r="T231" i="28"/>
  <c r="P230" i="28"/>
  <c r="R230" i="28"/>
  <c r="T230" i="28"/>
  <c r="P229" i="28"/>
  <c r="R229" i="28"/>
  <c r="T229" i="28"/>
  <c r="P228" i="28"/>
  <c r="R228" i="28"/>
  <c r="T228" i="28"/>
  <c r="P227" i="28"/>
  <c r="R227" i="28"/>
  <c r="T227" i="28"/>
  <c r="P226" i="28"/>
  <c r="R226" i="28"/>
  <c r="T226" i="28"/>
  <c r="P225" i="28"/>
  <c r="R225" i="28"/>
  <c r="T225" i="28"/>
  <c r="P224" i="28"/>
  <c r="R224" i="28"/>
  <c r="T224" i="28"/>
  <c r="P223" i="28"/>
  <c r="R223" i="28"/>
  <c r="T223" i="28"/>
  <c r="P222" i="28"/>
  <c r="R222" i="28"/>
  <c r="T222" i="28"/>
  <c r="P221" i="28"/>
  <c r="R221" i="28"/>
  <c r="T221" i="28"/>
  <c r="P220" i="28"/>
  <c r="R220" i="28"/>
  <c r="T220" i="28"/>
  <c r="P219" i="28"/>
  <c r="R219" i="28"/>
  <c r="T219" i="28"/>
  <c r="U218" i="28"/>
  <c r="P218" i="28"/>
  <c r="R218" i="28"/>
  <c r="T218" i="28"/>
  <c r="P216" i="28"/>
  <c r="R216" i="28"/>
  <c r="T216" i="28"/>
  <c r="P215" i="28"/>
  <c r="R215" i="28"/>
  <c r="T215" i="28"/>
  <c r="P214" i="28"/>
  <c r="R214" i="28"/>
  <c r="T214" i="28"/>
  <c r="P213" i="28"/>
  <c r="R213" i="28"/>
  <c r="T213" i="28"/>
  <c r="P212" i="28"/>
  <c r="R212" i="28"/>
  <c r="T212" i="28"/>
  <c r="P211" i="28"/>
  <c r="R211" i="28"/>
  <c r="T211" i="28"/>
  <c r="P210" i="28"/>
  <c r="R210" i="28"/>
  <c r="T210" i="28"/>
  <c r="P209" i="28"/>
  <c r="R209" i="28"/>
  <c r="T209" i="28"/>
  <c r="P208" i="28"/>
  <c r="R208" i="28"/>
  <c r="T208" i="28"/>
  <c r="P207" i="28"/>
  <c r="R207" i="28"/>
  <c r="T207" i="28"/>
  <c r="P206" i="28"/>
  <c r="R206" i="28"/>
  <c r="T206" i="28"/>
  <c r="P205" i="28"/>
  <c r="R205" i="28"/>
  <c r="T205" i="28"/>
  <c r="P204" i="28"/>
  <c r="R204" i="28"/>
  <c r="T204" i="28"/>
  <c r="P203" i="28"/>
  <c r="R203" i="28"/>
  <c r="T203" i="28"/>
  <c r="P202" i="28"/>
  <c r="R202" i="28"/>
  <c r="T202" i="28"/>
  <c r="P201" i="28"/>
  <c r="R201" i="28"/>
  <c r="T201" i="28"/>
  <c r="P200" i="28"/>
  <c r="R200" i="28"/>
  <c r="T200" i="28"/>
  <c r="P199" i="28"/>
  <c r="R199" i="28"/>
  <c r="T199" i="28"/>
  <c r="P197" i="28"/>
  <c r="R197" i="28"/>
  <c r="T197" i="28"/>
  <c r="P196" i="28"/>
  <c r="R196" i="28"/>
  <c r="T196" i="28"/>
  <c r="P195" i="28"/>
  <c r="R195" i="28"/>
  <c r="T195" i="28"/>
  <c r="P194" i="28"/>
  <c r="R194" i="28"/>
  <c r="T194" i="28"/>
  <c r="P193" i="28"/>
  <c r="R193" i="28"/>
  <c r="T193" i="28"/>
  <c r="P192" i="28"/>
  <c r="R192" i="28"/>
  <c r="T192" i="28"/>
  <c r="P191" i="28"/>
  <c r="R191" i="28"/>
  <c r="T191" i="28"/>
  <c r="P190" i="28"/>
  <c r="R190" i="28"/>
  <c r="T190" i="28"/>
  <c r="P189" i="28"/>
  <c r="R189" i="28"/>
  <c r="T189" i="28"/>
  <c r="P188" i="28"/>
  <c r="R188" i="28"/>
  <c r="T188" i="28"/>
  <c r="P187" i="28"/>
  <c r="R187" i="28"/>
  <c r="T187" i="28"/>
  <c r="P186" i="28"/>
  <c r="R186" i="28"/>
  <c r="T186" i="28"/>
  <c r="P185" i="28"/>
  <c r="R185" i="28"/>
  <c r="T185" i="28"/>
  <c r="P184" i="28"/>
  <c r="R184" i="28"/>
  <c r="T184" i="28"/>
  <c r="P183" i="28"/>
  <c r="R183" i="28"/>
  <c r="T183" i="28"/>
  <c r="P182" i="28"/>
  <c r="R182" i="28"/>
  <c r="T182" i="28"/>
  <c r="P181" i="28"/>
  <c r="R181" i="28"/>
  <c r="T181" i="28"/>
  <c r="P180" i="28"/>
  <c r="R180" i="28"/>
  <c r="T180" i="28"/>
  <c r="P179" i="28"/>
  <c r="R179" i="28"/>
  <c r="T179" i="28"/>
  <c r="P178" i="28"/>
  <c r="R178" i="28"/>
  <c r="T178" i="28"/>
  <c r="P177" i="28"/>
  <c r="R177" i="28"/>
  <c r="T177" i="28"/>
  <c r="P175" i="28"/>
  <c r="R175" i="28"/>
  <c r="T175" i="28"/>
  <c r="P174" i="28"/>
  <c r="R174" i="28"/>
  <c r="T174" i="28"/>
  <c r="P173" i="28"/>
  <c r="R173" i="28"/>
  <c r="T173" i="28"/>
  <c r="P172" i="28"/>
  <c r="R172" i="28"/>
  <c r="T172" i="28"/>
  <c r="P171" i="28"/>
  <c r="R171" i="28"/>
  <c r="T171" i="28"/>
  <c r="P170" i="28"/>
  <c r="R170" i="28"/>
  <c r="T170" i="28"/>
  <c r="P169" i="28"/>
  <c r="R169" i="28"/>
  <c r="T169" i="28"/>
  <c r="P168" i="28"/>
  <c r="R168" i="28"/>
  <c r="T168" i="28"/>
  <c r="P167" i="28"/>
  <c r="R167" i="28"/>
  <c r="T167" i="28"/>
  <c r="P166" i="28"/>
  <c r="R166" i="28"/>
  <c r="T166" i="28"/>
  <c r="P165" i="28"/>
  <c r="R165" i="28"/>
  <c r="T165" i="28"/>
  <c r="P164" i="28"/>
  <c r="R164" i="28"/>
  <c r="T164" i="28"/>
  <c r="P163" i="28"/>
  <c r="R163" i="28"/>
  <c r="T163" i="28"/>
  <c r="P162" i="28"/>
  <c r="R162" i="28"/>
  <c r="T162" i="28"/>
  <c r="P161" i="28"/>
  <c r="R161" i="28"/>
  <c r="T161" i="28"/>
  <c r="X161" i="28"/>
  <c r="U161" i="28"/>
  <c r="P159" i="28"/>
  <c r="R159" i="28"/>
  <c r="T159" i="28"/>
  <c r="P158" i="28"/>
  <c r="R158" i="28"/>
  <c r="T158" i="28"/>
  <c r="P157" i="28"/>
  <c r="R157" i="28"/>
  <c r="T157" i="28"/>
  <c r="P156" i="28"/>
  <c r="R156" i="28"/>
  <c r="T156" i="28"/>
  <c r="P155" i="28"/>
  <c r="R155" i="28"/>
  <c r="T155" i="28"/>
  <c r="P154" i="28"/>
  <c r="R154" i="28"/>
  <c r="T154" i="28"/>
  <c r="P153" i="28"/>
  <c r="R153" i="28"/>
  <c r="T153" i="28"/>
  <c r="P152" i="28"/>
  <c r="R152" i="28"/>
  <c r="T152" i="28"/>
  <c r="P151" i="28"/>
  <c r="R151" i="28"/>
  <c r="T151" i="28"/>
  <c r="P150" i="28"/>
  <c r="R150" i="28"/>
  <c r="T150" i="28"/>
  <c r="P149" i="28"/>
  <c r="R149" i="28"/>
  <c r="T149" i="28"/>
  <c r="P148" i="28"/>
  <c r="R148" i="28"/>
  <c r="T148" i="28"/>
  <c r="P147" i="28"/>
  <c r="R147" i="28"/>
  <c r="T147" i="28"/>
  <c r="P146" i="28"/>
  <c r="R146" i="28"/>
  <c r="T146" i="28"/>
  <c r="P145" i="28"/>
  <c r="R145" i="28"/>
  <c r="T145" i="28"/>
  <c r="P144" i="28"/>
  <c r="R144" i="28"/>
  <c r="T144" i="28"/>
  <c r="U143" i="28"/>
  <c r="P143" i="28"/>
  <c r="R143" i="28"/>
  <c r="T143" i="28"/>
  <c r="P141" i="28"/>
  <c r="R141" i="28"/>
  <c r="T141" i="28"/>
  <c r="P140" i="28"/>
  <c r="R140" i="28"/>
  <c r="T140" i="28"/>
  <c r="P139" i="28"/>
  <c r="R139" i="28"/>
  <c r="T139" i="28"/>
  <c r="P138" i="28"/>
  <c r="R138" i="28"/>
  <c r="T138" i="28"/>
  <c r="P136" i="28"/>
  <c r="R136" i="28"/>
  <c r="T136" i="28"/>
  <c r="P135" i="28"/>
  <c r="R135" i="28"/>
  <c r="T135" i="28"/>
  <c r="P134" i="28"/>
  <c r="R134" i="28"/>
  <c r="T134" i="28"/>
  <c r="P133" i="28"/>
  <c r="R133" i="28"/>
  <c r="T133" i="28"/>
  <c r="P132" i="28"/>
  <c r="R132" i="28"/>
  <c r="T132" i="28"/>
  <c r="P131" i="28"/>
  <c r="R131" i="28"/>
  <c r="T131" i="28"/>
  <c r="P130" i="28"/>
  <c r="R130" i="28"/>
  <c r="T130" i="28"/>
  <c r="P129" i="28"/>
  <c r="R129" i="28"/>
  <c r="T129" i="28"/>
  <c r="P128" i="28"/>
  <c r="R128" i="28"/>
  <c r="T128" i="28"/>
  <c r="P127" i="28"/>
  <c r="R127" i="28"/>
  <c r="T127" i="28"/>
  <c r="P126" i="28"/>
  <c r="R126" i="28"/>
  <c r="T126" i="28"/>
  <c r="P125" i="28"/>
  <c r="R125" i="28"/>
  <c r="T125" i="28"/>
  <c r="P124" i="28"/>
  <c r="R124" i="28"/>
  <c r="T124" i="28"/>
  <c r="P123" i="28"/>
  <c r="R123" i="28"/>
  <c r="T123" i="28"/>
  <c r="U123" i="28"/>
  <c r="AB761" i="20"/>
  <c r="N764" i="20"/>
  <c r="P764" i="20"/>
  <c r="R764" i="20"/>
  <c r="N763" i="20"/>
  <c r="P763" i="20"/>
  <c r="R763" i="20"/>
  <c r="N762" i="20"/>
  <c r="P762" i="20"/>
  <c r="R762" i="20"/>
  <c r="N761" i="20"/>
  <c r="P761" i="20"/>
  <c r="R761" i="20"/>
  <c r="Y761" i="20"/>
  <c r="Y762" i="20"/>
  <c r="Y763" i="20"/>
  <c r="Y764" i="20"/>
  <c r="Y765" i="20"/>
  <c r="Y766" i="20"/>
  <c r="Y767" i="20"/>
  <c r="P511" i="5"/>
  <c r="R511" i="5"/>
  <c r="T511" i="5"/>
  <c r="P513" i="5"/>
  <c r="R513" i="5"/>
  <c r="T513" i="5"/>
  <c r="P514" i="5"/>
  <c r="R514" i="5"/>
  <c r="T514" i="5"/>
  <c r="P505" i="5"/>
  <c r="R505" i="5"/>
  <c r="T505" i="5"/>
  <c r="P506" i="5"/>
  <c r="R506" i="5"/>
  <c r="T506" i="5"/>
  <c r="P507" i="5"/>
  <c r="R507" i="5"/>
  <c r="T507" i="5"/>
  <c r="P508" i="5"/>
  <c r="R508" i="5"/>
  <c r="T508" i="5"/>
  <c r="P509" i="5"/>
  <c r="R509" i="5"/>
  <c r="T509" i="5"/>
  <c r="P510" i="5"/>
  <c r="R510" i="5"/>
  <c r="T510" i="5"/>
  <c r="P512" i="5"/>
  <c r="R512" i="5"/>
  <c r="T512" i="5"/>
  <c r="P515" i="5"/>
  <c r="R515" i="5"/>
  <c r="T515" i="5"/>
  <c r="P516" i="5"/>
  <c r="R516" i="5"/>
  <c r="T516" i="5"/>
  <c r="P517" i="5"/>
  <c r="R517" i="5"/>
  <c r="T517" i="5"/>
  <c r="P518" i="5"/>
  <c r="R518" i="5"/>
  <c r="T518" i="5"/>
  <c r="P519" i="5"/>
  <c r="R519" i="5"/>
  <c r="T519" i="5"/>
  <c r="P594" i="5"/>
  <c r="R594" i="5"/>
  <c r="T594" i="5"/>
  <c r="P817" i="5"/>
  <c r="R817" i="5"/>
  <c r="T817" i="5"/>
  <c r="P814" i="5"/>
  <c r="R814" i="5"/>
  <c r="T814" i="5"/>
  <c r="P816" i="5"/>
  <c r="R816" i="5"/>
  <c r="T816" i="5"/>
  <c r="P818" i="5"/>
  <c r="R818" i="5"/>
  <c r="T818" i="5"/>
  <c r="P812" i="5"/>
  <c r="R812" i="5"/>
  <c r="T812" i="5"/>
  <c r="P815" i="5"/>
  <c r="R815" i="5"/>
  <c r="T815" i="5"/>
  <c r="P813" i="5"/>
  <c r="R813" i="5"/>
  <c r="T813" i="5"/>
  <c r="P801" i="5"/>
  <c r="R801" i="5"/>
  <c r="P702" i="5"/>
  <c r="S742" i="29"/>
  <c r="R741" i="29"/>
  <c r="R746" i="29"/>
  <c r="S496" i="29"/>
  <c r="V241" i="29"/>
  <c r="W241" i="29"/>
  <c r="X241" i="29"/>
  <c r="S461" i="29"/>
  <c r="Z761" i="20"/>
  <c r="AA761" i="20"/>
  <c r="Z762" i="20"/>
  <c r="AA762" i="20"/>
  <c r="Z763" i="20"/>
  <c r="AA763" i="20"/>
  <c r="Z764" i="20"/>
  <c r="AA764" i="20"/>
  <c r="AE761" i="20"/>
  <c r="AD761" i="20"/>
  <c r="Z765" i="20"/>
  <c r="AA765" i="20"/>
  <c r="Z766" i="20"/>
  <c r="AA766" i="20"/>
  <c r="Z767" i="20"/>
  <c r="N765" i="20"/>
  <c r="P765" i="20"/>
  <c r="R765" i="20"/>
  <c r="N766" i="20"/>
  <c r="P766" i="20"/>
  <c r="R766" i="20"/>
  <c r="N767" i="20"/>
  <c r="P767" i="20"/>
  <c r="R767" i="20"/>
  <c r="AA767" i="20"/>
  <c r="Y258" i="1"/>
  <c r="AA82" i="28"/>
  <c r="AC82" i="28"/>
  <c r="AE82" i="28"/>
  <c r="AA83" i="28"/>
  <c r="AC83" i="28"/>
  <c r="AE83" i="28"/>
  <c r="AA84" i="28"/>
  <c r="AC84" i="28"/>
  <c r="AE84" i="28"/>
  <c r="Y85" i="28"/>
  <c r="AA85" i="28"/>
  <c r="AC85" i="28"/>
  <c r="AE85" i="28"/>
  <c r="Y86" i="28"/>
  <c r="AA86" i="28"/>
  <c r="AC86" i="28"/>
  <c r="AE86" i="28"/>
  <c r="AA87" i="28"/>
  <c r="AC87" i="28"/>
  <c r="AE87" i="28"/>
  <c r="AA88" i="28"/>
  <c r="AC88" i="28"/>
  <c r="AE88" i="28"/>
  <c r="AA89" i="28"/>
  <c r="AC89" i="28"/>
  <c r="AE89" i="28"/>
  <c r="AA90" i="28"/>
  <c r="AC90" i="28"/>
  <c r="AE90" i="28"/>
  <c r="AA91" i="28"/>
  <c r="AC91" i="28"/>
  <c r="AE91" i="28"/>
  <c r="AA92" i="28"/>
  <c r="AC92" i="28"/>
  <c r="AE92" i="28"/>
  <c r="AA93" i="28"/>
  <c r="AC93" i="28"/>
  <c r="AE93" i="28"/>
  <c r="AA94" i="28"/>
  <c r="AC94" i="28"/>
  <c r="AE94" i="28"/>
  <c r="AA95" i="28"/>
  <c r="AC95" i="28"/>
  <c r="AE95" i="28"/>
  <c r="AA96" i="28"/>
  <c r="AC96" i="28"/>
  <c r="AE96" i="28"/>
  <c r="AA97" i="28"/>
  <c r="AC97" i="28"/>
  <c r="AE97" i="28"/>
  <c r="AA64" i="28"/>
  <c r="AC64" i="28"/>
  <c r="AE64" i="28"/>
  <c r="AA65" i="28"/>
  <c r="AC65" i="28"/>
  <c r="AE65" i="28"/>
  <c r="AA66" i="28"/>
  <c r="AC66" i="28"/>
  <c r="AE66" i="28"/>
  <c r="AA67" i="28"/>
  <c r="AC67" i="28"/>
  <c r="AE67" i="28"/>
  <c r="AA68" i="28"/>
  <c r="AC68" i="28"/>
  <c r="AE68" i="28"/>
  <c r="AA69" i="28"/>
  <c r="AC69" i="28"/>
  <c r="AE69" i="28"/>
  <c r="AA70" i="28"/>
  <c r="AC70" i="28"/>
  <c r="AE70" i="28"/>
  <c r="AA71" i="28"/>
  <c r="AC71" i="28"/>
  <c r="AE71" i="28"/>
  <c r="AA72" i="28"/>
  <c r="AC72" i="28"/>
  <c r="AE72" i="28"/>
  <c r="AA73" i="28"/>
  <c r="AC73" i="28"/>
  <c r="AE73" i="28"/>
  <c r="AA74" i="28"/>
  <c r="AC74" i="28"/>
  <c r="AE74" i="28"/>
  <c r="AA75" i="28"/>
  <c r="AC75" i="28"/>
  <c r="AE75" i="28"/>
  <c r="AA76" i="28"/>
  <c r="AC76" i="28"/>
  <c r="AE76" i="28"/>
  <c r="AA77" i="28"/>
  <c r="AC77" i="28"/>
  <c r="AE77" i="28"/>
  <c r="AA78" i="28"/>
  <c r="AC78" i="28"/>
  <c r="AE78" i="28"/>
  <c r="AA79" i="28"/>
  <c r="AC79" i="28"/>
  <c r="AE79" i="28"/>
  <c r="AA80" i="28"/>
  <c r="AC80" i="28"/>
  <c r="AE80" i="28"/>
  <c r="AA49" i="28"/>
  <c r="AC49" i="28"/>
  <c r="AE49" i="28"/>
  <c r="AA50" i="28"/>
  <c r="AC50" i="28"/>
  <c r="AE50" i="28"/>
  <c r="Y51" i="28"/>
  <c r="AA51" i="28"/>
  <c r="AC51" i="28"/>
  <c r="AE51" i="28"/>
  <c r="AA52" i="28"/>
  <c r="AC52" i="28"/>
  <c r="AE52" i="28"/>
  <c r="Y53" i="28"/>
  <c r="AA53" i="28"/>
  <c r="AC53" i="28"/>
  <c r="AE53" i="28"/>
  <c r="AA54" i="28"/>
  <c r="AC54" i="28"/>
  <c r="AE54" i="28"/>
  <c r="AA55" i="28"/>
  <c r="AC55" i="28"/>
  <c r="AE55" i="28"/>
  <c r="AA56" i="28"/>
  <c r="AC56" i="28"/>
  <c r="AE56" i="28"/>
  <c r="AA57" i="28"/>
  <c r="AC57" i="28"/>
  <c r="AE57" i="28"/>
  <c r="AA58" i="28"/>
  <c r="AC58" i="28"/>
  <c r="AE58" i="28"/>
  <c r="AA59" i="28"/>
  <c r="AC59" i="28"/>
  <c r="AE59" i="28"/>
  <c r="AA60" i="28"/>
  <c r="AC60" i="28"/>
  <c r="AE60" i="28"/>
  <c r="AA61" i="28"/>
  <c r="AC61" i="28"/>
  <c r="AE61" i="28"/>
  <c r="AA62" i="28"/>
  <c r="AC62" i="28"/>
  <c r="AE62" i="28"/>
  <c r="AA48" i="28"/>
  <c r="AC48" i="28"/>
  <c r="AE48" i="28"/>
  <c r="AA3" i="28"/>
  <c r="AC3" i="28"/>
  <c r="AE3" i="28"/>
  <c r="AA4" i="28"/>
  <c r="AC4" i="28"/>
  <c r="AE4" i="28"/>
  <c r="AA5" i="28"/>
  <c r="AC5" i="28"/>
  <c r="AE5" i="28"/>
  <c r="Y6" i="28"/>
  <c r="AA6" i="28"/>
  <c r="AC6" i="28"/>
  <c r="AE6" i="28"/>
  <c r="AA7" i="28"/>
  <c r="AC7" i="28"/>
  <c r="AE7" i="28"/>
  <c r="Y8" i="28"/>
  <c r="AA8" i="28"/>
  <c r="AC8" i="28"/>
  <c r="AE8" i="28"/>
  <c r="AA9" i="28"/>
  <c r="AC9" i="28"/>
  <c r="AE9" i="28"/>
  <c r="AA10" i="28"/>
  <c r="AC10" i="28"/>
  <c r="AE10" i="28"/>
  <c r="AA11" i="28"/>
  <c r="AC11" i="28"/>
  <c r="AE11" i="28"/>
  <c r="AA12" i="28"/>
  <c r="AC12" i="28"/>
  <c r="AE12" i="28"/>
  <c r="AA13" i="28"/>
  <c r="AC13" i="28"/>
  <c r="AE13" i="28"/>
  <c r="AA14" i="28"/>
  <c r="AC14" i="28"/>
  <c r="AE14" i="28"/>
  <c r="AA15" i="28"/>
  <c r="AC15" i="28"/>
  <c r="AE15" i="28"/>
  <c r="AA16" i="28"/>
  <c r="AC16" i="28"/>
  <c r="AE16" i="28"/>
  <c r="AA17" i="28"/>
  <c r="AC17" i="28"/>
  <c r="AE17" i="28"/>
  <c r="AA18" i="28"/>
  <c r="AC18" i="28"/>
  <c r="AE18" i="28"/>
  <c r="AA2" i="28"/>
  <c r="AC2" i="28"/>
  <c r="AE2" i="28"/>
  <c r="P120" i="28"/>
  <c r="R120" i="28"/>
  <c r="T120" i="28"/>
  <c r="P119" i="28"/>
  <c r="R119" i="28"/>
  <c r="T119" i="28"/>
  <c r="P118" i="28"/>
  <c r="R118" i="28"/>
  <c r="T118" i="28"/>
  <c r="P117" i="28"/>
  <c r="R117" i="28"/>
  <c r="T117" i="28"/>
  <c r="P116" i="28"/>
  <c r="R116" i="28"/>
  <c r="T116" i="28"/>
  <c r="P115" i="28"/>
  <c r="R115" i="28"/>
  <c r="T115" i="28"/>
  <c r="P114" i="28"/>
  <c r="R114" i="28"/>
  <c r="T114" i="28"/>
  <c r="P113" i="28"/>
  <c r="R113" i="28"/>
  <c r="T113" i="28"/>
  <c r="P112" i="28"/>
  <c r="R112" i="28"/>
  <c r="T112" i="28"/>
  <c r="P111" i="28"/>
  <c r="R111" i="28"/>
  <c r="T111" i="28"/>
  <c r="P110" i="28"/>
  <c r="R110" i="28"/>
  <c r="T110" i="28"/>
  <c r="P109" i="28"/>
  <c r="R109" i="28"/>
  <c r="T109" i="28"/>
  <c r="P108" i="28"/>
  <c r="R108" i="28"/>
  <c r="T108" i="28"/>
  <c r="P107" i="28"/>
  <c r="R107" i="28"/>
  <c r="T107" i="28"/>
  <c r="P106" i="28"/>
  <c r="R106" i="28"/>
  <c r="T106" i="28"/>
  <c r="P105" i="28"/>
  <c r="R105" i="28"/>
  <c r="T105" i="28"/>
  <c r="P104" i="28"/>
  <c r="R104" i="28"/>
  <c r="T104" i="28"/>
  <c r="P103" i="28"/>
  <c r="R103" i="28"/>
  <c r="T103" i="28"/>
  <c r="P102" i="28"/>
  <c r="R102" i="28"/>
  <c r="T102" i="28"/>
  <c r="P101" i="28"/>
  <c r="R101" i="28"/>
  <c r="T101" i="28"/>
  <c r="P100" i="28"/>
  <c r="R100" i="28"/>
  <c r="T100" i="28"/>
  <c r="P99" i="28"/>
  <c r="R99" i="28"/>
  <c r="T99" i="28"/>
  <c r="P97" i="28"/>
  <c r="R97" i="28"/>
  <c r="T97" i="28"/>
  <c r="P96" i="28"/>
  <c r="R96" i="28"/>
  <c r="T96" i="28"/>
  <c r="P95" i="28"/>
  <c r="R95" i="28"/>
  <c r="T95" i="28"/>
  <c r="P94" i="28"/>
  <c r="R94" i="28"/>
  <c r="T94" i="28"/>
  <c r="P93" i="28"/>
  <c r="R93" i="28"/>
  <c r="T93" i="28"/>
  <c r="P92" i="28"/>
  <c r="R92" i="28"/>
  <c r="T92" i="28"/>
  <c r="P91" i="28"/>
  <c r="R91" i="28"/>
  <c r="T91" i="28"/>
  <c r="P90" i="28"/>
  <c r="R90" i="28"/>
  <c r="T90" i="28"/>
  <c r="P89" i="28"/>
  <c r="R89" i="28"/>
  <c r="T89" i="28"/>
  <c r="P88" i="28"/>
  <c r="R88" i="28"/>
  <c r="T88" i="28"/>
  <c r="U88" i="28"/>
  <c r="P87" i="28"/>
  <c r="R87" i="28"/>
  <c r="T87" i="28"/>
  <c r="P86" i="28"/>
  <c r="R86" i="28"/>
  <c r="T86" i="28"/>
  <c r="P85" i="28"/>
  <c r="R85" i="28"/>
  <c r="T85" i="28"/>
  <c r="P84" i="28"/>
  <c r="R84" i="28"/>
  <c r="T84" i="28"/>
  <c r="P83" i="28"/>
  <c r="R83" i="28"/>
  <c r="T83" i="28"/>
  <c r="P82" i="28"/>
  <c r="R82" i="28"/>
  <c r="T82" i="28"/>
  <c r="U82" i="28"/>
  <c r="P80" i="28"/>
  <c r="R80" i="28"/>
  <c r="T80" i="28"/>
  <c r="P79" i="28"/>
  <c r="R79" i="28"/>
  <c r="T79" i="28"/>
  <c r="P78" i="28"/>
  <c r="R78" i="28"/>
  <c r="T78" i="28"/>
  <c r="P77" i="28"/>
  <c r="R77" i="28"/>
  <c r="T77" i="28"/>
  <c r="P76" i="28"/>
  <c r="R76" i="28"/>
  <c r="T76" i="28"/>
  <c r="P75" i="28"/>
  <c r="R75" i="28"/>
  <c r="T75" i="28"/>
  <c r="P74" i="28"/>
  <c r="R74" i="28"/>
  <c r="T74" i="28"/>
  <c r="U73" i="28"/>
  <c r="P73" i="28"/>
  <c r="R73" i="28"/>
  <c r="T73" i="28"/>
  <c r="P72" i="28"/>
  <c r="R72" i="28"/>
  <c r="T72" i="28"/>
  <c r="P71" i="28"/>
  <c r="R71" i="28"/>
  <c r="T71" i="28"/>
  <c r="P70" i="28"/>
  <c r="R70" i="28"/>
  <c r="T70" i="28"/>
  <c r="P69" i="28"/>
  <c r="R69" i="28"/>
  <c r="T69" i="28"/>
  <c r="P68" i="28"/>
  <c r="R68" i="28"/>
  <c r="T68" i="28"/>
  <c r="P67" i="28"/>
  <c r="R67" i="28"/>
  <c r="T67" i="28"/>
  <c r="P66" i="28"/>
  <c r="R66" i="28"/>
  <c r="T66" i="28"/>
  <c r="P65" i="28"/>
  <c r="R65" i="28"/>
  <c r="T65" i="28"/>
  <c r="U64" i="28"/>
  <c r="P64" i="28"/>
  <c r="R64" i="28"/>
  <c r="T64" i="28"/>
  <c r="P62" i="28"/>
  <c r="R62" i="28"/>
  <c r="T62" i="28"/>
  <c r="P61" i="28"/>
  <c r="R61" i="28"/>
  <c r="T61" i="28"/>
  <c r="P60" i="28"/>
  <c r="R60" i="28"/>
  <c r="T60" i="28"/>
  <c r="P59" i="28"/>
  <c r="R59" i="28"/>
  <c r="T59" i="28"/>
  <c r="P58" i="28"/>
  <c r="R58" i="28"/>
  <c r="T58" i="28"/>
  <c r="P57" i="28"/>
  <c r="R57" i="28"/>
  <c r="T57" i="28"/>
  <c r="U56" i="28"/>
  <c r="P56" i="28"/>
  <c r="R56" i="28"/>
  <c r="T56" i="28"/>
  <c r="P55" i="28"/>
  <c r="R55" i="28"/>
  <c r="T55" i="28"/>
  <c r="P54" i="28"/>
  <c r="R54" i="28"/>
  <c r="T54" i="28"/>
  <c r="P53" i="28"/>
  <c r="R53" i="28"/>
  <c r="T53" i="28"/>
  <c r="P52" i="28"/>
  <c r="R52" i="28"/>
  <c r="T52" i="28"/>
  <c r="P51" i="28"/>
  <c r="R51" i="28"/>
  <c r="T51" i="28"/>
  <c r="P50" i="28"/>
  <c r="R50" i="28"/>
  <c r="T50" i="28"/>
  <c r="P49" i="28"/>
  <c r="R49" i="28"/>
  <c r="T49" i="28"/>
  <c r="P48" i="28"/>
  <c r="R48" i="28"/>
  <c r="T48" i="28"/>
  <c r="U48" i="28"/>
  <c r="P46" i="28"/>
  <c r="R46" i="28"/>
  <c r="T46" i="28"/>
  <c r="P45" i="28"/>
  <c r="R45" i="28"/>
  <c r="T45" i="28"/>
  <c r="P44" i="28"/>
  <c r="R44" i="28"/>
  <c r="T44" i="28"/>
  <c r="P43" i="28"/>
  <c r="R43" i="28"/>
  <c r="T43" i="28"/>
  <c r="P42" i="28"/>
  <c r="R42" i="28"/>
  <c r="T42" i="28"/>
  <c r="P41" i="28"/>
  <c r="R41" i="28"/>
  <c r="T41" i="28"/>
  <c r="P40" i="28"/>
  <c r="R40" i="28"/>
  <c r="T40" i="28"/>
  <c r="P39" i="28"/>
  <c r="R39" i="28"/>
  <c r="T39" i="28"/>
  <c r="P38" i="28"/>
  <c r="R38" i="28"/>
  <c r="T38" i="28"/>
  <c r="P37" i="28"/>
  <c r="R37" i="28"/>
  <c r="T37" i="28"/>
  <c r="P36" i="28"/>
  <c r="R36" i="28"/>
  <c r="T36" i="28"/>
  <c r="P35" i="28"/>
  <c r="R35" i="28"/>
  <c r="T35" i="28"/>
  <c r="P34" i="28"/>
  <c r="R34" i="28"/>
  <c r="T34" i="28"/>
  <c r="P33" i="28"/>
  <c r="R33" i="28"/>
  <c r="T33" i="28"/>
  <c r="P32" i="28"/>
  <c r="R32" i="28"/>
  <c r="T32" i="28"/>
  <c r="W32" i="28"/>
  <c r="U32" i="28"/>
  <c r="P31" i="28"/>
  <c r="R31" i="28"/>
  <c r="T31" i="28"/>
  <c r="P30" i="28"/>
  <c r="R30" i="28"/>
  <c r="T30" i="28"/>
  <c r="P29" i="28"/>
  <c r="R29" i="28"/>
  <c r="T29" i="28"/>
  <c r="P28" i="28"/>
  <c r="R28" i="28"/>
  <c r="T28" i="28"/>
  <c r="P27" i="28"/>
  <c r="R27" i="28"/>
  <c r="T27" i="28"/>
  <c r="P26" i="28"/>
  <c r="R26" i="28"/>
  <c r="T26" i="28"/>
  <c r="P25" i="28"/>
  <c r="R25" i="28"/>
  <c r="T25" i="28"/>
  <c r="P24" i="28"/>
  <c r="R24" i="28"/>
  <c r="T24" i="28"/>
  <c r="P23" i="28"/>
  <c r="R23" i="28"/>
  <c r="T23" i="28"/>
  <c r="P22" i="28"/>
  <c r="R22" i="28"/>
  <c r="T22" i="28"/>
  <c r="P21" i="28"/>
  <c r="R21" i="28"/>
  <c r="T21" i="28"/>
  <c r="U20" i="28"/>
  <c r="P20" i="28"/>
  <c r="R20" i="28"/>
  <c r="T20" i="28"/>
  <c r="P18" i="28"/>
  <c r="R18" i="28"/>
  <c r="T18" i="28"/>
  <c r="P17" i="28"/>
  <c r="R17" i="28"/>
  <c r="T17" i="28"/>
  <c r="P16" i="28"/>
  <c r="R16" i="28"/>
  <c r="T16" i="28"/>
  <c r="P15" i="28"/>
  <c r="R15" i="28"/>
  <c r="T15" i="28"/>
  <c r="P14" i="28"/>
  <c r="R14" i="28"/>
  <c r="T14" i="28"/>
  <c r="P13" i="28"/>
  <c r="R13" i="28"/>
  <c r="T13" i="28"/>
  <c r="P12" i="28"/>
  <c r="R12" i="28"/>
  <c r="T12" i="28"/>
  <c r="P11" i="28"/>
  <c r="R11" i="28"/>
  <c r="T11" i="28"/>
  <c r="P10" i="28"/>
  <c r="R10" i="28"/>
  <c r="T10" i="28"/>
  <c r="U10" i="28"/>
  <c r="P9" i="28"/>
  <c r="R9" i="28"/>
  <c r="T9" i="28"/>
  <c r="P8" i="28"/>
  <c r="R8" i="28"/>
  <c r="T8" i="28"/>
  <c r="P7" i="28"/>
  <c r="R7" i="28"/>
  <c r="T7" i="28"/>
  <c r="P6" i="28"/>
  <c r="R6" i="28"/>
  <c r="T6" i="28"/>
  <c r="P5" i="28"/>
  <c r="R5" i="28"/>
  <c r="T5" i="28"/>
  <c r="P4" i="28"/>
  <c r="R4" i="28"/>
  <c r="T4" i="28"/>
  <c r="P3" i="28"/>
  <c r="R3" i="28"/>
  <c r="T3" i="28"/>
  <c r="P2" i="28"/>
  <c r="R2" i="28"/>
  <c r="T2" i="28"/>
  <c r="U2" i="28"/>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N804" i="20"/>
  <c r="P804" i="20"/>
  <c r="R804" i="20"/>
  <c r="Y804" i="20"/>
  <c r="Z804" i="20"/>
  <c r="AA804" i="20"/>
  <c r="N805" i="20"/>
  <c r="P805" i="20"/>
  <c r="R805" i="20"/>
  <c r="Y805" i="20"/>
  <c r="Z805" i="20"/>
  <c r="AA805" i="20"/>
  <c r="N806" i="20"/>
  <c r="P806" i="20"/>
  <c r="R806" i="20"/>
  <c r="Y806" i="20"/>
  <c r="Z806" i="20"/>
  <c r="AA806" i="20"/>
  <c r="N807" i="20"/>
  <c r="P807" i="20"/>
  <c r="R807" i="20"/>
  <c r="Y807" i="20"/>
  <c r="Z807" i="20"/>
  <c r="AA807" i="20"/>
  <c r="N808" i="20"/>
  <c r="P808" i="20"/>
  <c r="R808" i="20"/>
  <c r="Y808" i="20"/>
  <c r="Z808" i="20"/>
  <c r="AA808" i="20"/>
  <c r="N809" i="20"/>
  <c r="P809" i="20"/>
  <c r="R809" i="20"/>
  <c r="Y809" i="20"/>
  <c r="Z809" i="20"/>
  <c r="AA809" i="20"/>
  <c r="N810" i="20"/>
  <c r="P810" i="20"/>
  <c r="R810" i="20"/>
  <c r="Y810" i="20"/>
  <c r="Z810" i="20"/>
  <c r="AA810" i="20"/>
  <c r="N811" i="20"/>
  <c r="P811" i="20"/>
  <c r="R811" i="20"/>
  <c r="Y811" i="20"/>
  <c r="Z811" i="20"/>
  <c r="AA811" i="20"/>
  <c r="N812" i="20"/>
  <c r="P812" i="20"/>
  <c r="R812" i="20"/>
  <c r="Y812" i="20"/>
  <c r="Z812" i="20"/>
  <c r="AA812" i="20"/>
  <c r="N813" i="20"/>
  <c r="P813" i="20"/>
  <c r="R813" i="20"/>
  <c r="Y813" i="20"/>
  <c r="Z813" i="20"/>
  <c r="AA813" i="20"/>
  <c r="N814" i="20"/>
  <c r="P814" i="20"/>
  <c r="R814" i="20"/>
  <c r="Y814" i="20"/>
  <c r="Z814" i="20"/>
  <c r="AA814" i="20"/>
  <c r="N815" i="20"/>
  <c r="P815" i="20"/>
  <c r="R815" i="20"/>
  <c r="Y815" i="20"/>
  <c r="Z815" i="20"/>
  <c r="AA815" i="20"/>
  <c r="N816" i="20"/>
  <c r="P816" i="20"/>
  <c r="R816" i="20"/>
  <c r="Y816" i="20"/>
  <c r="Z816" i="20"/>
  <c r="AA816" i="20"/>
  <c r="N817" i="20"/>
  <c r="P817" i="20"/>
  <c r="R817" i="20"/>
  <c r="Y817" i="20"/>
  <c r="Z817" i="20"/>
  <c r="AA817" i="20"/>
  <c r="N818" i="20"/>
  <c r="P818" i="20"/>
  <c r="R818" i="20"/>
  <c r="Y818" i="20"/>
  <c r="Z818" i="20"/>
  <c r="AA818" i="20"/>
  <c r="AB804" i="20"/>
  <c r="AD804" i="20"/>
  <c r="AE804" i="20"/>
  <c r="N784" i="20"/>
  <c r="P784" i="20"/>
  <c r="R784" i="20"/>
  <c r="Y784" i="20"/>
  <c r="Z784" i="20"/>
  <c r="AA784" i="20"/>
  <c r="N785" i="20"/>
  <c r="P785" i="20"/>
  <c r="R785" i="20"/>
  <c r="Y785" i="20"/>
  <c r="Z785" i="20"/>
  <c r="AA785" i="20"/>
  <c r="N786" i="20"/>
  <c r="P786" i="20"/>
  <c r="R786" i="20"/>
  <c r="Y786" i="20"/>
  <c r="Z786" i="20"/>
  <c r="AA786" i="20"/>
  <c r="N787" i="20"/>
  <c r="P787" i="20"/>
  <c r="R787" i="20"/>
  <c r="Y787" i="20"/>
  <c r="Z787" i="20"/>
  <c r="AA787" i="20"/>
  <c r="N788" i="20"/>
  <c r="P788" i="20"/>
  <c r="R788" i="20"/>
  <c r="Y788" i="20"/>
  <c r="Z788" i="20"/>
  <c r="AA788" i="20"/>
  <c r="N789" i="20"/>
  <c r="P789" i="20"/>
  <c r="R789" i="20"/>
  <c r="Y789" i="20"/>
  <c r="Z789" i="20"/>
  <c r="AA789" i="20"/>
  <c r="N790" i="20"/>
  <c r="P790" i="20"/>
  <c r="R790" i="20"/>
  <c r="Y790" i="20"/>
  <c r="Z790" i="20"/>
  <c r="AA790" i="20"/>
  <c r="N791" i="20"/>
  <c r="P791" i="20"/>
  <c r="R791" i="20"/>
  <c r="Y791" i="20"/>
  <c r="Z791" i="20"/>
  <c r="AA791" i="20"/>
  <c r="N792" i="20"/>
  <c r="P792" i="20"/>
  <c r="R792" i="20"/>
  <c r="Y792" i="20"/>
  <c r="Z792" i="20"/>
  <c r="AA792" i="20"/>
  <c r="N793" i="20"/>
  <c r="P793" i="20"/>
  <c r="R793" i="20"/>
  <c r="Y793" i="20"/>
  <c r="Z793" i="20"/>
  <c r="AA793" i="20"/>
  <c r="N794" i="20"/>
  <c r="P794" i="20"/>
  <c r="R794" i="20"/>
  <c r="Y794" i="20"/>
  <c r="Z794" i="20"/>
  <c r="AA794" i="20"/>
  <c r="N795" i="20"/>
  <c r="P795" i="20"/>
  <c r="R795" i="20"/>
  <c r="Y795" i="20"/>
  <c r="Z795" i="20"/>
  <c r="AA795" i="20"/>
  <c r="N796" i="20"/>
  <c r="P796" i="20"/>
  <c r="R796" i="20"/>
  <c r="Y796" i="20"/>
  <c r="Z796" i="20"/>
  <c r="AA796" i="20"/>
  <c r="N797" i="20"/>
  <c r="P797" i="20"/>
  <c r="R797" i="20"/>
  <c r="Y797" i="20"/>
  <c r="Z797" i="20"/>
  <c r="AA797" i="20"/>
  <c r="N798" i="20"/>
  <c r="P798" i="20"/>
  <c r="R798" i="20"/>
  <c r="Y798" i="20"/>
  <c r="Z798" i="20"/>
  <c r="AA798" i="20"/>
  <c r="N799" i="20"/>
  <c r="P799" i="20"/>
  <c r="R799" i="20"/>
  <c r="Y799" i="20"/>
  <c r="Z799" i="20"/>
  <c r="AA799" i="20"/>
  <c r="N800" i="20"/>
  <c r="P800" i="20"/>
  <c r="R800" i="20"/>
  <c r="Y800" i="20"/>
  <c r="Z800" i="20"/>
  <c r="AA800" i="20"/>
  <c r="N801" i="20"/>
  <c r="P801" i="20"/>
  <c r="R801" i="20"/>
  <c r="Y801" i="20"/>
  <c r="Z801" i="20"/>
  <c r="AA801" i="20"/>
  <c r="N802" i="20"/>
  <c r="P802" i="20"/>
  <c r="R802" i="20"/>
  <c r="Y802" i="20"/>
  <c r="Z802" i="20"/>
  <c r="AA802" i="20"/>
  <c r="N803" i="20"/>
  <c r="P803" i="20"/>
  <c r="R803" i="20"/>
  <c r="Y803" i="20"/>
  <c r="Z803" i="20"/>
  <c r="AA803" i="20"/>
  <c r="AB784" i="20"/>
  <c r="AD784" i="20"/>
  <c r="AE784" i="20"/>
  <c r="N768" i="20"/>
  <c r="P768" i="20"/>
  <c r="R768" i="20"/>
  <c r="Y768" i="20"/>
  <c r="Z768" i="20"/>
  <c r="AA768" i="20"/>
  <c r="N769" i="20"/>
  <c r="P769" i="20"/>
  <c r="R769" i="20"/>
  <c r="Y769" i="20"/>
  <c r="Z769" i="20"/>
  <c r="AA769" i="20"/>
  <c r="N770" i="20"/>
  <c r="P770" i="20"/>
  <c r="R770" i="20"/>
  <c r="Y770" i="20"/>
  <c r="Z770" i="20"/>
  <c r="AA770" i="20"/>
  <c r="N771" i="20"/>
  <c r="P771" i="20"/>
  <c r="R771" i="20"/>
  <c r="Y771" i="20"/>
  <c r="Z771" i="20"/>
  <c r="AA771" i="20"/>
  <c r="N772" i="20"/>
  <c r="P772" i="20"/>
  <c r="R772" i="20"/>
  <c r="Y772" i="20"/>
  <c r="Z772" i="20"/>
  <c r="AA772" i="20"/>
  <c r="N773" i="20"/>
  <c r="P773" i="20"/>
  <c r="R773" i="20"/>
  <c r="Y773" i="20"/>
  <c r="Z773" i="20"/>
  <c r="AA773" i="20"/>
  <c r="N774" i="20"/>
  <c r="P774" i="20"/>
  <c r="R774" i="20"/>
  <c r="Y774" i="20"/>
  <c r="Z774" i="20"/>
  <c r="AA774" i="20"/>
  <c r="N775" i="20"/>
  <c r="P775" i="20"/>
  <c r="R775" i="20"/>
  <c r="Y775" i="20"/>
  <c r="Z775" i="20"/>
  <c r="AA775" i="20"/>
  <c r="N776" i="20"/>
  <c r="P776" i="20"/>
  <c r="R776" i="20"/>
  <c r="Y776" i="20"/>
  <c r="Z776" i="20"/>
  <c r="AA776" i="20"/>
  <c r="N777" i="20"/>
  <c r="P777" i="20"/>
  <c r="R777" i="20"/>
  <c r="Y777" i="20"/>
  <c r="Z777" i="20"/>
  <c r="AA777" i="20"/>
  <c r="N778" i="20"/>
  <c r="P778" i="20"/>
  <c r="R778" i="20"/>
  <c r="Y778" i="20"/>
  <c r="Z778" i="20"/>
  <c r="AA778" i="20"/>
  <c r="N779" i="20"/>
  <c r="P779" i="20"/>
  <c r="R779" i="20"/>
  <c r="Y779" i="20"/>
  <c r="Z779" i="20"/>
  <c r="AA779" i="20"/>
  <c r="N780" i="20"/>
  <c r="P780" i="20"/>
  <c r="R780" i="20"/>
  <c r="Y780" i="20"/>
  <c r="Z780" i="20"/>
  <c r="AA780" i="20"/>
  <c r="N781" i="20"/>
  <c r="P781" i="20"/>
  <c r="R781" i="20"/>
  <c r="Y781" i="20"/>
  <c r="Z781" i="20"/>
  <c r="AA781" i="20"/>
  <c r="N782" i="20"/>
  <c r="P782" i="20"/>
  <c r="R782" i="20"/>
  <c r="Y782" i="20"/>
  <c r="Z782" i="20"/>
  <c r="AA782" i="20"/>
  <c r="N783" i="20"/>
  <c r="P783" i="20"/>
  <c r="R783" i="20"/>
  <c r="Y783" i="20"/>
  <c r="Z783" i="20"/>
  <c r="AA783" i="20"/>
  <c r="AB768" i="20"/>
  <c r="AD768" i="20"/>
  <c r="AE768" i="20"/>
  <c r="N744" i="20"/>
  <c r="P744" i="20"/>
  <c r="R744" i="20"/>
  <c r="Y744" i="20"/>
  <c r="Z744" i="20"/>
  <c r="AA744" i="20"/>
  <c r="N745" i="20"/>
  <c r="P745" i="20"/>
  <c r="R745" i="20"/>
  <c r="Y745" i="20"/>
  <c r="Z745" i="20"/>
  <c r="AA745" i="20"/>
  <c r="N746" i="20"/>
  <c r="P746" i="20"/>
  <c r="R746" i="20"/>
  <c r="Y746" i="20"/>
  <c r="Z746" i="20"/>
  <c r="AA746" i="20"/>
  <c r="N747" i="20"/>
  <c r="P747" i="20"/>
  <c r="R747" i="20"/>
  <c r="Y747" i="20"/>
  <c r="Z747" i="20"/>
  <c r="AA747" i="20"/>
  <c r="N748" i="20"/>
  <c r="P748" i="20"/>
  <c r="R748" i="20"/>
  <c r="Y748" i="20"/>
  <c r="Z748" i="20"/>
  <c r="AA748" i="20"/>
  <c r="N749" i="20"/>
  <c r="P749" i="20"/>
  <c r="R749" i="20"/>
  <c r="Y749" i="20"/>
  <c r="Z749" i="20"/>
  <c r="AA749" i="20"/>
  <c r="N750" i="20"/>
  <c r="P750" i="20"/>
  <c r="R750" i="20"/>
  <c r="Y750" i="20"/>
  <c r="Z750" i="20"/>
  <c r="AA750" i="20"/>
  <c r="N751" i="20"/>
  <c r="P751" i="20"/>
  <c r="R751" i="20"/>
  <c r="Y751" i="20"/>
  <c r="Z751" i="20"/>
  <c r="AA751" i="20"/>
  <c r="N752" i="20"/>
  <c r="P752" i="20"/>
  <c r="R752" i="20"/>
  <c r="Y752" i="20"/>
  <c r="Z752" i="20"/>
  <c r="AA752" i="20"/>
  <c r="N753" i="20"/>
  <c r="P753" i="20"/>
  <c r="R753" i="20"/>
  <c r="Y753" i="20"/>
  <c r="Z753" i="20"/>
  <c r="AA753" i="20"/>
  <c r="N754" i="20"/>
  <c r="P754" i="20"/>
  <c r="R754" i="20"/>
  <c r="Y754" i="20"/>
  <c r="Z754" i="20"/>
  <c r="AA754" i="20"/>
  <c r="N755" i="20"/>
  <c r="P755" i="20"/>
  <c r="R755" i="20"/>
  <c r="Y755" i="20"/>
  <c r="Z755" i="20"/>
  <c r="AA755" i="20"/>
  <c r="N756" i="20"/>
  <c r="P756" i="20"/>
  <c r="R756" i="20"/>
  <c r="Y756" i="20"/>
  <c r="Z756" i="20"/>
  <c r="AA756" i="20"/>
  <c r="N757" i="20"/>
  <c r="P757" i="20"/>
  <c r="R757" i="20"/>
  <c r="Y757" i="20"/>
  <c r="Z757" i="20"/>
  <c r="AA757" i="20"/>
  <c r="N758" i="20"/>
  <c r="P758" i="20"/>
  <c r="R758" i="20"/>
  <c r="Y758" i="20"/>
  <c r="Z758" i="20"/>
  <c r="AA758" i="20"/>
  <c r="N759" i="20"/>
  <c r="P759" i="20"/>
  <c r="R759" i="20"/>
  <c r="Y759" i="20"/>
  <c r="Z759" i="20"/>
  <c r="AA759" i="20"/>
  <c r="N760" i="20"/>
  <c r="P760" i="20"/>
  <c r="R760" i="20"/>
  <c r="Y760" i="20"/>
  <c r="Z760" i="20"/>
  <c r="AA760" i="20"/>
  <c r="AB744" i="20"/>
  <c r="AD744" i="20"/>
  <c r="AE744" i="20"/>
  <c r="N729" i="20"/>
  <c r="P729" i="20"/>
  <c r="R729" i="20"/>
  <c r="Y729" i="20"/>
  <c r="Z729" i="20"/>
  <c r="AA729" i="20"/>
  <c r="N731" i="20"/>
  <c r="P731" i="20"/>
  <c r="R731" i="20"/>
  <c r="Y731" i="20"/>
  <c r="Z731" i="20"/>
  <c r="AA731" i="20"/>
  <c r="N732" i="20"/>
  <c r="P732" i="20"/>
  <c r="R732" i="20"/>
  <c r="Y732" i="20"/>
  <c r="Z732" i="20"/>
  <c r="AA732" i="20"/>
  <c r="N743" i="20"/>
  <c r="P743" i="20"/>
  <c r="R743" i="20"/>
  <c r="Y743" i="20"/>
  <c r="Z743" i="20"/>
  <c r="AA743" i="20"/>
  <c r="N726" i="20"/>
  <c r="P726" i="20"/>
  <c r="R726" i="20"/>
  <c r="Y726" i="20"/>
  <c r="Z726" i="20"/>
  <c r="AA726" i="20"/>
  <c r="N727" i="20"/>
  <c r="P727" i="20"/>
  <c r="R727" i="20"/>
  <c r="Y727" i="20"/>
  <c r="Z727" i="20"/>
  <c r="AA727" i="20"/>
  <c r="N728" i="20"/>
  <c r="P728" i="20"/>
  <c r="R728" i="20"/>
  <c r="Y728" i="20"/>
  <c r="Z728" i="20"/>
  <c r="AA728" i="20"/>
  <c r="N730" i="20"/>
  <c r="P730" i="20"/>
  <c r="R730" i="20"/>
  <c r="Y730" i="20"/>
  <c r="Z730" i="20"/>
  <c r="AA730" i="20"/>
  <c r="N733" i="20"/>
  <c r="P733" i="20"/>
  <c r="R733" i="20"/>
  <c r="Y733" i="20"/>
  <c r="Z733" i="20"/>
  <c r="AA733" i="20"/>
  <c r="N734" i="20"/>
  <c r="P734" i="20"/>
  <c r="R734" i="20"/>
  <c r="Y734" i="20"/>
  <c r="Z734" i="20"/>
  <c r="AA734" i="20"/>
  <c r="N735" i="20"/>
  <c r="P735" i="20"/>
  <c r="R735" i="20"/>
  <c r="Y735" i="20"/>
  <c r="Z735" i="20"/>
  <c r="AA735" i="20"/>
  <c r="N736" i="20"/>
  <c r="P736" i="20"/>
  <c r="R736" i="20"/>
  <c r="Y736" i="20"/>
  <c r="Z736" i="20"/>
  <c r="AA736" i="20"/>
  <c r="N737" i="20"/>
  <c r="P737" i="20"/>
  <c r="R737" i="20"/>
  <c r="Y737" i="20"/>
  <c r="Z737" i="20"/>
  <c r="AA737" i="20"/>
  <c r="N738" i="20"/>
  <c r="P738" i="20"/>
  <c r="R738" i="20"/>
  <c r="Y738" i="20"/>
  <c r="Z738" i="20"/>
  <c r="AA738" i="20"/>
  <c r="N739" i="20"/>
  <c r="P739" i="20"/>
  <c r="R739" i="20"/>
  <c r="Y739" i="20"/>
  <c r="Z739" i="20"/>
  <c r="AA739" i="20"/>
  <c r="N740" i="20"/>
  <c r="P740" i="20"/>
  <c r="R740" i="20"/>
  <c r="Y740" i="20"/>
  <c r="Z740" i="20"/>
  <c r="AA740" i="20"/>
  <c r="N741" i="20"/>
  <c r="P741" i="20"/>
  <c r="R741" i="20"/>
  <c r="Y741" i="20"/>
  <c r="Z741" i="20"/>
  <c r="AA741" i="20"/>
  <c r="N742" i="20"/>
  <c r="P742" i="20"/>
  <c r="R742" i="20"/>
  <c r="Y742" i="20"/>
  <c r="Z742" i="20"/>
  <c r="AA742" i="20"/>
  <c r="AB726" i="20"/>
  <c r="AD726" i="20"/>
  <c r="AE726" i="20"/>
  <c r="N709" i="20"/>
  <c r="P709" i="20"/>
  <c r="R709" i="20"/>
  <c r="Y709" i="20"/>
  <c r="Z709" i="20"/>
  <c r="AA709" i="20"/>
  <c r="N710" i="20"/>
  <c r="P710" i="20"/>
  <c r="R710" i="20"/>
  <c r="Y710" i="20"/>
  <c r="Z710" i="20"/>
  <c r="AA710" i="20"/>
  <c r="N711" i="20"/>
  <c r="P711" i="20"/>
  <c r="R711" i="20"/>
  <c r="Y711" i="20"/>
  <c r="Z711" i="20"/>
  <c r="AA711" i="20"/>
  <c r="N712" i="20"/>
  <c r="P712" i="20"/>
  <c r="R712" i="20"/>
  <c r="Y712" i="20"/>
  <c r="Z712" i="20"/>
  <c r="AA712" i="20"/>
  <c r="N713" i="20"/>
  <c r="P713" i="20"/>
  <c r="R713" i="20"/>
  <c r="Y713" i="20"/>
  <c r="Z713" i="20"/>
  <c r="AA713" i="20"/>
  <c r="N714" i="20"/>
  <c r="P714" i="20"/>
  <c r="R714" i="20"/>
  <c r="Y714" i="20"/>
  <c r="Z714" i="20"/>
  <c r="AA714" i="20"/>
  <c r="N715" i="20"/>
  <c r="P715" i="20"/>
  <c r="R715" i="20"/>
  <c r="Y715" i="20"/>
  <c r="Z715" i="20"/>
  <c r="AA715" i="20"/>
  <c r="N716" i="20"/>
  <c r="P716" i="20"/>
  <c r="R716" i="20"/>
  <c r="Y716" i="20"/>
  <c r="Z716" i="20"/>
  <c r="AA716" i="20"/>
  <c r="N717" i="20"/>
  <c r="P717" i="20"/>
  <c r="R717" i="20"/>
  <c r="Y717" i="20"/>
  <c r="Z717" i="20"/>
  <c r="AA717" i="20"/>
  <c r="N718" i="20"/>
  <c r="P718" i="20"/>
  <c r="R718" i="20"/>
  <c r="Y718" i="20"/>
  <c r="Z718" i="20"/>
  <c r="AA718" i="20"/>
  <c r="N719" i="20"/>
  <c r="P719" i="20"/>
  <c r="R719" i="20"/>
  <c r="Y719" i="20"/>
  <c r="Z719" i="20"/>
  <c r="AA719" i="20"/>
  <c r="N720" i="20"/>
  <c r="P720" i="20"/>
  <c r="R720" i="20"/>
  <c r="Y720" i="20"/>
  <c r="Z720" i="20"/>
  <c r="AA720" i="20"/>
  <c r="N721" i="20"/>
  <c r="P721" i="20"/>
  <c r="R721" i="20"/>
  <c r="Y721" i="20"/>
  <c r="Z721" i="20"/>
  <c r="AA721" i="20"/>
  <c r="N722" i="20"/>
  <c r="P722" i="20"/>
  <c r="R722" i="20"/>
  <c r="Y722" i="20"/>
  <c r="Z722" i="20"/>
  <c r="AA722" i="20"/>
  <c r="N723" i="20"/>
  <c r="P723" i="20"/>
  <c r="R723" i="20"/>
  <c r="Y723" i="20"/>
  <c r="Z723" i="20"/>
  <c r="AA723" i="20"/>
  <c r="N724" i="20"/>
  <c r="P724" i="20"/>
  <c r="R724" i="20"/>
  <c r="Y724" i="20"/>
  <c r="Z724" i="20"/>
  <c r="AA724" i="20"/>
  <c r="N725" i="20"/>
  <c r="P725" i="20"/>
  <c r="R725" i="20"/>
  <c r="Y725" i="20"/>
  <c r="Z725" i="20"/>
  <c r="AA725" i="20"/>
  <c r="AB709" i="20"/>
  <c r="AD709" i="20"/>
  <c r="AE709" i="20"/>
  <c r="N698" i="20"/>
  <c r="P698" i="20"/>
  <c r="R698" i="20"/>
  <c r="Y698" i="20"/>
  <c r="Z698" i="20"/>
  <c r="AA698" i="20"/>
  <c r="N699" i="20"/>
  <c r="P699" i="20"/>
  <c r="R699" i="20"/>
  <c r="Y699" i="20"/>
  <c r="Z699" i="20"/>
  <c r="AA699" i="20"/>
  <c r="N700" i="20"/>
  <c r="P700" i="20"/>
  <c r="R700" i="20"/>
  <c r="Y700" i="20"/>
  <c r="Z700" i="20"/>
  <c r="AA700" i="20"/>
  <c r="N701" i="20"/>
  <c r="P701" i="20"/>
  <c r="R701" i="20"/>
  <c r="Y701" i="20"/>
  <c r="Z701" i="20"/>
  <c r="AA701" i="20"/>
  <c r="N702" i="20"/>
  <c r="P702" i="20"/>
  <c r="R702" i="20"/>
  <c r="Y702" i="20"/>
  <c r="Z702" i="20"/>
  <c r="AA702" i="20"/>
  <c r="N703" i="20"/>
  <c r="P703" i="20"/>
  <c r="R703" i="20"/>
  <c r="Y703" i="20"/>
  <c r="Z703" i="20"/>
  <c r="AA703" i="20"/>
  <c r="N704" i="20"/>
  <c r="P704" i="20"/>
  <c r="R704" i="20"/>
  <c r="Y704" i="20"/>
  <c r="Z704" i="20"/>
  <c r="AA704" i="20"/>
  <c r="N705" i="20"/>
  <c r="P705" i="20"/>
  <c r="R705" i="20"/>
  <c r="Y705" i="20"/>
  <c r="Z705" i="20"/>
  <c r="AA705" i="20"/>
  <c r="N706" i="20"/>
  <c r="P706" i="20"/>
  <c r="R706" i="20"/>
  <c r="Y706" i="20"/>
  <c r="Z706" i="20"/>
  <c r="AA706" i="20"/>
  <c r="N707" i="20"/>
  <c r="P707" i="20"/>
  <c r="R707" i="20"/>
  <c r="Y707" i="20"/>
  <c r="Z707" i="20"/>
  <c r="AA707" i="20"/>
  <c r="N708" i="20"/>
  <c r="P708" i="20"/>
  <c r="R708" i="20"/>
  <c r="Y708" i="20"/>
  <c r="Z708" i="20"/>
  <c r="AA708" i="20"/>
  <c r="AB698" i="20"/>
  <c r="AD698" i="20"/>
  <c r="AE698" i="20"/>
  <c r="N686" i="20"/>
  <c r="P686" i="20"/>
  <c r="R686" i="20"/>
  <c r="Y686" i="20"/>
  <c r="Z686" i="20"/>
  <c r="AA686" i="20"/>
  <c r="N687" i="20"/>
  <c r="P687" i="20"/>
  <c r="R687" i="20"/>
  <c r="Y687" i="20"/>
  <c r="Z687" i="20"/>
  <c r="AA687" i="20"/>
  <c r="N688" i="20"/>
  <c r="P688" i="20"/>
  <c r="R688" i="20"/>
  <c r="Y688" i="20"/>
  <c r="Z688" i="20"/>
  <c r="AA688" i="20"/>
  <c r="N689" i="20"/>
  <c r="P689" i="20"/>
  <c r="R689" i="20"/>
  <c r="Y689" i="20"/>
  <c r="Z689" i="20"/>
  <c r="AA689" i="20"/>
  <c r="N690" i="20"/>
  <c r="P690" i="20"/>
  <c r="R690" i="20"/>
  <c r="Y690" i="20"/>
  <c r="Z690" i="20"/>
  <c r="AA690" i="20"/>
  <c r="N691" i="20"/>
  <c r="P691" i="20"/>
  <c r="R691" i="20"/>
  <c r="Y691" i="20"/>
  <c r="Z691" i="20"/>
  <c r="AA691" i="20"/>
  <c r="N692" i="20"/>
  <c r="P692" i="20"/>
  <c r="R692" i="20"/>
  <c r="Y692" i="20"/>
  <c r="Z692" i="20"/>
  <c r="AA692" i="20"/>
  <c r="N693" i="20"/>
  <c r="P693" i="20"/>
  <c r="R693" i="20"/>
  <c r="Y693" i="20"/>
  <c r="Z693" i="20"/>
  <c r="AA693" i="20"/>
  <c r="N694" i="20"/>
  <c r="P694" i="20"/>
  <c r="R694" i="20"/>
  <c r="Y694" i="20"/>
  <c r="Z694" i="20"/>
  <c r="AA694" i="20"/>
  <c r="N695" i="20"/>
  <c r="P695" i="20"/>
  <c r="R695" i="20"/>
  <c r="Y695" i="20"/>
  <c r="Z695" i="20"/>
  <c r="AA695" i="20"/>
  <c r="N696" i="20"/>
  <c r="P696" i="20"/>
  <c r="R696" i="20"/>
  <c r="Y696" i="20"/>
  <c r="Z696" i="20"/>
  <c r="AA696" i="20"/>
  <c r="N697" i="20"/>
  <c r="P697" i="20"/>
  <c r="R697" i="20"/>
  <c r="Y697" i="20"/>
  <c r="Z697" i="20"/>
  <c r="AA697" i="20"/>
  <c r="AB686" i="20"/>
  <c r="AD686" i="20"/>
  <c r="AE686" i="20"/>
  <c r="N675" i="20"/>
  <c r="P675" i="20"/>
  <c r="R675" i="20"/>
  <c r="Y675" i="20"/>
  <c r="Z675" i="20"/>
  <c r="AA675" i="20"/>
  <c r="N676" i="20"/>
  <c r="P676" i="20"/>
  <c r="R676" i="20"/>
  <c r="Y676" i="20"/>
  <c r="Z676" i="20"/>
  <c r="AA676" i="20"/>
  <c r="N677" i="20"/>
  <c r="P677" i="20"/>
  <c r="R677" i="20"/>
  <c r="Y677" i="20"/>
  <c r="Z677" i="20"/>
  <c r="AA677" i="20"/>
  <c r="N678" i="20"/>
  <c r="P678" i="20"/>
  <c r="R678" i="20"/>
  <c r="Y678" i="20"/>
  <c r="Z678" i="20"/>
  <c r="AA678" i="20"/>
  <c r="N679" i="20"/>
  <c r="P679" i="20"/>
  <c r="R679" i="20"/>
  <c r="Y679" i="20"/>
  <c r="Z679" i="20"/>
  <c r="AA679" i="20"/>
  <c r="N680" i="20"/>
  <c r="P680" i="20"/>
  <c r="R680" i="20"/>
  <c r="Y680" i="20"/>
  <c r="Z680" i="20"/>
  <c r="AA680" i="20"/>
  <c r="N681" i="20"/>
  <c r="P681" i="20"/>
  <c r="R681" i="20"/>
  <c r="Y681" i="20"/>
  <c r="Z681" i="20"/>
  <c r="AA681" i="20"/>
  <c r="N682" i="20"/>
  <c r="P682" i="20"/>
  <c r="R682" i="20"/>
  <c r="Y682" i="20"/>
  <c r="Z682" i="20"/>
  <c r="AA682" i="20"/>
  <c r="N683" i="20"/>
  <c r="P683" i="20"/>
  <c r="R683" i="20"/>
  <c r="Y683" i="20"/>
  <c r="Z683" i="20"/>
  <c r="AA683" i="20"/>
  <c r="N684" i="20"/>
  <c r="P684" i="20"/>
  <c r="R684" i="20"/>
  <c r="Y684" i="20"/>
  <c r="Z684" i="20"/>
  <c r="AA684" i="20"/>
  <c r="N685" i="20"/>
  <c r="P685" i="20"/>
  <c r="R685" i="20"/>
  <c r="Y685" i="20"/>
  <c r="Z685" i="20"/>
  <c r="AA685" i="20"/>
  <c r="AB675" i="20"/>
  <c r="AD675" i="20"/>
  <c r="AE675" i="20"/>
  <c r="N661" i="20"/>
  <c r="P661" i="20"/>
  <c r="R661" i="20"/>
  <c r="Y661" i="20"/>
  <c r="Z661" i="20"/>
  <c r="AA661" i="20"/>
  <c r="N662" i="20"/>
  <c r="P662" i="20"/>
  <c r="R662" i="20"/>
  <c r="Y662" i="20"/>
  <c r="Z662" i="20"/>
  <c r="AA662" i="20"/>
  <c r="N663" i="20"/>
  <c r="P663" i="20"/>
  <c r="R663" i="20"/>
  <c r="Y663" i="20"/>
  <c r="Z663" i="20"/>
  <c r="AA663" i="20"/>
  <c r="N664" i="20"/>
  <c r="P664" i="20"/>
  <c r="R664" i="20"/>
  <c r="Y664" i="20"/>
  <c r="Z664" i="20"/>
  <c r="AA664" i="20"/>
  <c r="N665" i="20"/>
  <c r="P665" i="20"/>
  <c r="R665" i="20"/>
  <c r="Y665" i="20"/>
  <c r="Z665" i="20"/>
  <c r="AA665" i="20"/>
  <c r="N666" i="20"/>
  <c r="P666" i="20"/>
  <c r="R666" i="20"/>
  <c r="Y666" i="20"/>
  <c r="Z666" i="20"/>
  <c r="AA666" i="20"/>
  <c r="N667" i="20"/>
  <c r="P667" i="20"/>
  <c r="R667" i="20"/>
  <c r="Y667" i="20"/>
  <c r="Z667" i="20"/>
  <c r="AA667" i="20"/>
  <c r="N668" i="20"/>
  <c r="P668" i="20"/>
  <c r="R668" i="20"/>
  <c r="Y668" i="20"/>
  <c r="Z668" i="20"/>
  <c r="AA668" i="20"/>
  <c r="N669" i="20"/>
  <c r="P669" i="20"/>
  <c r="R669" i="20"/>
  <c r="Y669" i="20"/>
  <c r="Z669" i="20"/>
  <c r="AA669" i="20"/>
  <c r="N670" i="20"/>
  <c r="P670" i="20"/>
  <c r="R670" i="20"/>
  <c r="Y670" i="20"/>
  <c r="Z670" i="20"/>
  <c r="AA670" i="20"/>
  <c r="N671" i="20"/>
  <c r="P671" i="20"/>
  <c r="R671" i="20"/>
  <c r="Y671" i="20"/>
  <c r="Z671" i="20"/>
  <c r="AA671" i="20"/>
  <c r="N672" i="20"/>
  <c r="P672" i="20"/>
  <c r="R672" i="20"/>
  <c r="Y672" i="20"/>
  <c r="Z672" i="20"/>
  <c r="AA672" i="20"/>
  <c r="N673" i="20"/>
  <c r="P673" i="20"/>
  <c r="R673" i="20"/>
  <c r="Y673" i="20"/>
  <c r="Z673" i="20"/>
  <c r="AA673" i="20"/>
  <c r="N674" i="20"/>
  <c r="P674" i="20"/>
  <c r="R674" i="20"/>
  <c r="Y674" i="20"/>
  <c r="Z674" i="20"/>
  <c r="AA674" i="20"/>
  <c r="AB661" i="20"/>
  <c r="AD661" i="20"/>
  <c r="AE661" i="20"/>
  <c r="N657" i="20"/>
  <c r="P657" i="20"/>
  <c r="R657" i="20"/>
  <c r="Y657" i="20"/>
  <c r="Z657" i="20"/>
  <c r="AA657" i="20"/>
  <c r="N658" i="20"/>
  <c r="P658" i="20"/>
  <c r="R658" i="20"/>
  <c r="Y658" i="20"/>
  <c r="Z658" i="20"/>
  <c r="AA658" i="20"/>
  <c r="N659" i="20"/>
  <c r="P659" i="20"/>
  <c r="R659" i="20"/>
  <c r="Y659" i="20"/>
  <c r="Z659" i="20"/>
  <c r="AA659" i="20"/>
  <c r="N660" i="20"/>
  <c r="P660" i="20"/>
  <c r="R660" i="20"/>
  <c r="Y660" i="20"/>
  <c r="Z660" i="20"/>
  <c r="AA660" i="20"/>
  <c r="AB656" i="20"/>
  <c r="AD656" i="20"/>
  <c r="AE656" i="20"/>
  <c r="P656" i="20"/>
  <c r="R656" i="20"/>
  <c r="Y656" i="20"/>
  <c r="P673" i="5"/>
  <c r="R673" i="5"/>
  <c r="T673" i="5"/>
  <c r="P670" i="5"/>
  <c r="R670" i="5"/>
  <c r="T670" i="5"/>
  <c r="P669" i="5"/>
  <c r="R669" i="5"/>
  <c r="T669" i="5"/>
  <c r="P672" i="5"/>
  <c r="R672" i="5"/>
  <c r="T672" i="5"/>
  <c r="P668" i="5"/>
  <c r="R668" i="5"/>
  <c r="T668" i="5"/>
  <c r="P671" i="5"/>
  <c r="R671" i="5"/>
  <c r="T671" i="5"/>
  <c r="P675" i="5"/>
  <c r="R675" i="5"/>
  <c r="T675" i="5"/>
  <c r="P674" i="5"/>
  <c r="R674" i="5"/>
  <c r="T674" i="5"/>
  <c r="P678" i="5"/>
  <c r="R678" i="5"/>
  <c r="T678" i="5"/>
  <c r="P677" i="5"/>
  <c r="R677" i="5"/>
  <c r="T677" i="5"/>
  <c r="P676" i="5"/>
  <c r="R676" i="5"/>
  <c r="T676" i="5"/>
  <c r="P660" i="5"/>
  <c r="R660" i="5"/>
  <c r="T660" i="5"/>
  <c r="P662" i="5"/>
  <c r="R662" i="5"/>
  <c r="T662" i="5"/>
  <c r="P657" i="5"/>
  <c r="R657" i="5"/>
  <c r="T657" i="5"/>
  <c r="P656" i="5"/>
  <c r="R656" i="5"/>
  <c r="T656" i="5"/>
  <c r="P661" i="5"/>
  <c r="R661" i="5"/>
  <c r="T661" i="5"/>
  <c r="P664" i="5"/>
  <c r="R664" i="5"/>
  <c r="T664" i="5"/>
  <c r="P663" i="5"/>
  <c r="R663" i="5"/>
  <c r="T663" i="5"/>
  <c r="P667" i="5"/>
  <c r="R667" i="5"/>
  <c r="T667" i="5"/>
  <c r="P665" i="5"/>
  <c r="R665" i="5"/>
  <c r="T665" i="5"/>
  <c r="P666" i="5"/>
  <c r="R666" i="5"/>
  <c r="T666" i="5"/>
  <c r="P658" i="5"/>
  <c r="R658" i="5"/>
  <c r="T658" i="5"/>
  <c r="P659" i="5"/>
  <c r="R659" i="5"/>
  <c r="T659" i="5"/>
  <c r="P757" i="5"/>
  <c r="R757" i="5"/>
  <c r="T757" i="5"/>
  <c r="P755" i="5"/>
  <c r="R755" i="5"/>
  <c r="T755" i="5"/>
  <c r="P750" i="5"/>
  <c r="R750" i="5"/>
  <c r="T750" i="5"/>
  <c r="P753" i="5"/>
  <c r="R753" i="5"/>
  <c r="T753" i="5"/>
  <c r="P754" i="5"/>
  <c r="R754" i="5"/>
  <c r="T754" i="5"/>
  <c r="P759" i="5"/>
  <c r="R759" i="5"/>
  <c r="T759" i="5"/>
  <c r="P756" i="5"/>
  <c r="R756" i="5"/>
  <c r="T756" i="5"/>
  <c r="P758" i="5"/>
  <c r="R758" i="5"/>
  <c r="T758" i="5"/>
  <c r="P751" i="5"/>
  <c r="R751" i="5"/>
  <c r="T751" i="5"/>
  <c r="P760" i="5"/>
  <c r="R760" i="5"/>
  <c r="T760" i="5"/>
  <c r="P752" i="5"/>
  <c r="R752" i="5"/>
  <c r="T752" i="5"/>
  <c r="P742" i="5"/>
  <c r="R742" i="5"/>
  <c r="T742" i="5"/>
  <c r="P739" i="5"/>
  <c r="R739" i="5"/>
  <c r="T739" i="5"/>
  <c r="P733" i="5"/>
  <c r="R733" i="5"/>
  <c r="T733" i="5"/>
  <c r="P740" i="5"/>
  <c r="R740" i="5"/>
  <c r="T740" i="5"/>
  <c r="P737" i="5"/>
  <c r="R737" i="5"/>
  <c r="T737" i="5"/>
  <c r="P746" i="5"/>
  <c r="R746" i="5"/>
  <c r="T746" i="5"/>
  <c r="P734" i="5"/>
  <c r="R734" i="5"/>
  <c r="T734" i="5"/>
  <c r="P735" i="5"/>
  <c r="R735" i="5"/>
  <c r="T735" i="5"/>
  <c r="P749" i="5"/>
  <c r="R749" i="5"/>
  <c r="T749" i="5"/>
  <c r="P743" i="5"/>
  <c r="R743" i="5"/>
  <c r="T743" i="5"/>
  <c r="P748" i="5"/>
  <c r="R748" i="5"/>
  <c r="T748" i="5"/>
  <c r="P744" i="5"/>
  <c r="R744" i="5"/>
  <c r="T744" i="5"/>
  <c r="P747" i="5"/>
  <c r="R747" i="5"/>
  <c r="T747" i="5"/>
  <c r="P736" i="5"/>
  <c r="R736" i="5"/>
  <c r="T736" i="5"/>
  <c r="P745" i="5"/>
  <c r="R745" i="5"/>
  <c r="T745" i="5"/>
  <c r="P738" i="5"/>
  <c r="R738" i="5"/>
  <c r="T738" i="5"/>
  <c r="P741" i="5"/>
  <c r="R741" i="5"/>
  <c r="T741" i="5"/>
  <c r="P716" i="5"/>
  <c r="R716" i="5"/>
  <c r="T716" i="5"/>
  <c r="P723" i="5"/>
  <c r="R723" i="5"/>
  <c r="T723" i="5"/>
  <c r="P725" i="5"/>
  <c r="R725" i="5"/>
  <c r="T725" i="5"/>
  <c r="P715" i="5"/>
  <c r="R715" i="5"/>
  <c r="T715" i="5"/>
  <c r="P719" i="5"/>
  <c r="R719" i="5"/>
  <c r="T719" i="5"/>
  <c r="P722" i="5"/>
  <c r="R722" i="5"/>
  <c r="T722" i="5"/>
  <c r="P728" i="5"/>
  <c r="R728" i="5"/>
  <c r="T728" i="5"/>
  <c r="P727" i="5"/>
  <c r="R727" i="5"/>
  <c r="T727" i="5"/>
  <c r="P717" i="5"/>
  <c r="R717" i="5"/>
  <c r="T717" i="5"/>
  <c r="P731" i="5"/>
  <c r="R731" i="5"/>
  <c r="T731" i="5"/>
  <c r="P718" i="5"/>
  <c r="R718" i="5"/>
  <c r="T718" i="5"/>
  <c r="P720" i="5"/>
  <c r="R720" i="5"/>
  <c r="T720" i="5"/>
  <c r="P721" i="5"/>
  <c r="R721" i="5"/>
  <c r="T721" i="5"/>
  <c r="P729" i="5"/>
  <c r="R729" i="5"/>
  <c r="T729" i="5"/>
  <c r="P724" i="5"/>
  <c r="R724" i="5"/>
  <c r="T724" i="5"/>
  <c r="P726" i="5"/>
  <c r="R726" i="5"/>
  <c r="T726" i="5"/>
  <c r="P730" i="5"/>
  <c r="R730" i="5"/>
  <c r="T730" i="5"/>
  <c r="P732" i="5"/>
  <c r="R732" i="5"/>
  <c r="T732" i="5"/>
  <c r="P709" i="5"/>
  <c r="R709" i="5"/>
  <c r="T709" i="5"/>
  <c r="P706" i="5"/>
  <c r="R706" i="5"/>
  <c r="T706" i="5"/>
  <c r="P707" i="5"/>
  <c r="R707" i="5"/>
  <c r="T707" i="5"/>
  <c r="P699" i="5"/>
  <c r="R699" i="5"/>
  <c r="T699" i="5"/>
  <c r="P698" i="5"/>
  <c r="R698" i="5"/>
  <c r="T698" i="5"/>
  <c r="P708" i="5"/>
  <c r="R708" i="5"/>
  <c r="T708" i="5"/>
  <c r="P700" i="5"/>
  <c r="R700" i="5"/>
  <c r="T700" i="5"/>
  <c r="P701" i="5"/>
  <c r="R701" i="5"/>
  <c r="T701" i="5"/>
  <c r="P714" i="5"/>
  <c r="R714" i="5"/>
  <c r="T714" i="5"/>
  <c r="P713" i="5"/>
  <c r="R713" i="5"/>
  <c r="T713" i="5"/>
  <c r="P710" i="5"/>
  <c r="R710" i="5"/>
  <c r="T710" i="5"/>
  <c r="P703" i="5"/>
  <c r="R703" i="5"/>
  <c r="T703" i="5"/>
  <c r="P712" i="5"/>
  <c r="R712" i="5"/>
  <c r="T712" i="5"/>
  <c r="P704" i="5"/>
  <c r="R704" i="5"/>
  <c r="T704" i="5"/>
  <c r="P711" i="5"/>
  <c r="R711" i="5"/>
  <c r="T711" i="5"/>
  <c r="P705" i="5"/>
  <c r="R705" i="5"/>
  <c r="T705" i="5"/>
  <c r="R702" i="5"/>
  <c r="T702" i="5"/>
  <c r="T801" i="5"/>
  <c r="P798" i="5"/>
  <c r="R798" i="5"/>
  <c r="T798" i="5"/>
  <c r="P803" i="5"/>
  <c r="R803" i="5"/>
  <c r="T803" i="5"/>
  <c r="P804" i="5"/>
  <c r="R804" i="5"/>
  <c r="T804" i="5"/>
  <c r="P805" i="5"/>
  <c r="R805" i="5"/>
  <c r="T805" i="5"/>
  <c r="P800" i="5"/>
  <c r="R800" i="5"/>
  <c r="T800" i="5"/>
  <c r="P796" i="5"/>
  <c r="R796" i="5"/>
  <c r="T796" i="5"/>
  <c r="P802" i="5"/>
  <c r="R802" i="5"/>
  <c r="T802" i="5"/>
  <c r="P797" i="5"/>
  <c r="R797" i="5"/>
  <c r="T797" i="5"/>
  <c r="P811" i="5"/>
  <c r="R811" i="5"/>
  <c r="T811" i="5"/>
  <c r="P807" i="5"/>
  <c r="R807" i="5"/>
  <c r="T807" i="5"/>
  <c r="P809" i="5"/>
  <c r="R809" i="5"/>
  <c r="T809" i="5"/>
  <c r="P810" i="5"/>
  <c r="R810" i="5"/>
  <c r="T810" i="5"/>
  <c r="P799" i="5"/>
  <c r="R799" i="5"/>
  <c r="T799" i="5"/>
  <c r="P808" i="5"/>
  <c r="R808" i="5"/>
  <c r="T808" i="5"/>
  <c r="P806" i="5"/>
  <c r="R806" i="5"/>
  <c r="T806" i="5"/>
  <c r="P788" i="5"/>
  <c r="R788" i="5"/>
  <c r="T788" i="5"/>
  <c r="P777" i="5"/>
  <c r="R777" i="5"/>
  <c r="T777" i="5"/>
  <c r="P785" i="5"/>
  <c r="R785" i="5"/>
  <c r="T785" i="5"/>
  <c r="P776" i="5"/>
  <c r="R776" i="5"/>
  <c r="T776" i="5"/>
  <c r="P786" i="5"/>
  <c r="R786" i="5"/>
  <c r="T786" i="5"/>
  <c r="P795" i="5"/>
  <c r="R795" i="5"/>
  <c r="T795" i="5"/>
  <c r="P790" i="5"/>
  <c r="R790" i="5"/>
  <c r="T790" i="5"/>
  <c r="P792" i="5"/>
  <c r="R792" i="5"/>
  <c r="T792" i="5"/>
  <c r="P794" i="5"/>
  <c r="R794" i="5"/>
  <c r="T794" i="5"/>
  <c r="P778" i="5"/>
  <c r="R778" i="5"/>
  <c r="T778" i="5"/>
  <c r="P779" i="5"/>
  <c r="R779" i="5"/>
  <c r="T779" i="5"/>
  <c r="P782" i="5"/>
  <c r="R782" i="5"/>
  <c r="T782" i="5"/>
  <c r="P791" i="5"/>
  <c r="R791" i="5"/>
  <c r="T791" i="5"/>
  <c r="P793" i="5"/>
  <c r="R793" i="5"/>
  <c r="T793" i="5"/>
  <c r="P783" i="5"/>
  <c r="R783" i="5"/>
  <c r="T783" i="5"/>
  <c r="P784" i="5"/>
  <c r="R784" i="5"/>
  <c r="T784" i="5"/>
  <c r="P781" i="5"/>
  <c r="R781" i="5"/>
  <c r="T781" i="5"/>
  <c r="P787" i="5"/>
  <c r="R787" i="5"/>
  <c r="T787" i="5"/>
  <c r="P789" i="5"/>
  <c r="R789" i="5"/>
  <c r="T789" i="5"/>
  <c r="P780" i="5"/>
  <c r="R780" i="5"/>
  <c r="T780" i="5"/>
  <c r="P769" i="5"/>
  <c r="R769" i="5"/>
  <c r="T769" i="5"/>
  <c r="P761" i="5"/>
  <c r="R761" i="5"/>
  <c r="T761" i="5"/>
  <c r="P767" i="5"/>
  <c r="R767" i="5"/>
  <c r="T767" i="5"/>
  <c r="P775" i="5"/>
  <c r="R775" i="5"/>
  <c r="T775" i="5"/>
  <c r="P771" i="5"/>
  <c r="R771" i="5"/>
  <c r="T771" i="5"/>
  <c r="P773" i="5"/>
  <c r="R773" i="5"/>
  <c r="T773" i="5"/>
  <c r="P774" i="5"/>
  <c r="R774" i="5"/>
  <c r="T774" i="5"/>
  <c r="P762" i="5"/>
  <c r="R762" i="5"/>
  <c r="T762" i="5"/>
  <c r="P764" i="5"/>
  <c r="R764" i="5"/>
  <c r="T764" i="5"/>
  <c r="P772" i="5"/>
  <c r="R772" i="5"/>
  <c r="T772" i="5"/>
  <c r="P765" i="5"/>
  <c r="R765" i="5"/>
  <c r="T765" i="5"/>
  <c r="P766" i="5"/>
  <c r="R766" i="5"/>
  <c r="T766" i="5"/>
  <c r="P763" i="5"/>
  <c r="R763" i="5"/>
  <c r="T763" i="5"/>
  <c r="P768" i="5"/>
  <c r="R768" i="5"/>
  <c r="T768" i="5"/>
  <c r="P770" i="5"/>
  <c r="R770" i="5"/>
  <c r="T770" i="5"/>
  <c r="P687" i="5"/>
  <c r="R687" i="5"/>
  <c r="T687" i="5"/>
  <c r="P682" i="5"/>
  <c r="R682" i="5"/>
  <c r="T682" i="5"/>
  <c r="P684" i="5"/>
  <c r="R684" i="5"/>
  <c r="T684" i="5"/>
  <c r="P679" i="5"/>
  <c r="R679" i="5"/>
  <c r="T679" i="5"/>
  <c r="P683" i="5"/>
  <c r="R683" i="5"/>
  <c r="T683" i="5"/>
  <c r="P690" i="5"/>
  <c r="R690" i="5"/>
  <c r="T690" i="5"/>
  <c r="P689" i="5"/>
  <c r="R689" i="5"/>
  <c r="T689" i="5"/>
  <c r="P692" i="5"/>
  <c r="R692" i="5"/>
  <c r="T692" i="5"/>
  <c r="P691" i="5"/>
  <c r="R691" i="5"/>
  <c r="T691" i="5"/>
  <c r="P686" i="5"/>
  <c r="R686" i="5"/>
  <c r="T686" i="5"/>
  <c r="P681" i="5"/>
  <c r="R681" i="5"/>
  <c r="T681" i="5"/>
  <c r="P685" i="5"/>
  <c r="R685" i="5"/>
  <c r="T685" i="5"/>
  <c r="P688" i="5"/>
  <c r="R688" i="5"/>
  <c r="T688" i="5"/>
  <c r="P680" i="5"/>
  <c r="R680" i="5"/>
  <c r="T680" i="5"/>
  <c r="R697" i="5"/>
  <c r="T697" i="5"/>
  <c r="P694" i="5"/>
  <c r="R694" i="5"/>
  <c r="T694" i="5"/>
  <c r="P695" i="5"/>
  <c r="R695" i="5"/>
  <c r="T695" i="5"/>
  <c r="P693" i="5"/>
  <c r="R693" i="5"/>
  <c r="T693" i="5"/>
  <c r="P696" i="5"/>
  <c r="R696" i="5"/>
  <c r="T696" i="5"/>
  <c r="AD650" i="20"/>
  <c r="N650" i="20"/>
  <c r="P650" i="20"/>
  <c r="R650" i="20"/>
  <c r="Y650" i="20"/>
  <c r="Z650" i="20"/>
  <c r="AA650" i="20"/>
  <c r="N651" i="20"/>
  <c r="P651" i="20"/>
  <c r="R651" i="20"/>
  <c r="Y651" i="20"/>
  <c r="Z651" i="20"/>
  <c r="AA651" i="20"/>
  <c r="N652" i="20"/>
  <c r="P652" i="20"/>
  <c r="R652" i="20"/>
  <c r="Y652" i="20"/>
  <c r="Z652" i="20"/>
  <c r="AA652" i="20"/>
  <c r="N653" i="20"/>
  <c r="P653" i="20"/>
  <c r="R653" i="20"/>
  <c r="Y653" i="20"/>
  <c r="Z653" i="20"/>
  <c r="AA653" i="20"/>
  <c r="N654" i="20"/>
  <c r="P654" i="20"/>
  <c r="R654" i="20"/>
  <c r="Y654" i="20"/>
  <c r="Z654" i="20"/>
  <c r="AA654" i="20"/>
  <c r="N655" i="20"/>
  <c r="P655" i="20"/>
  <c r="R655" i="20"/>
  <c r="Y655" i="20"/>
  <c r="Z655" i="20"/>
  <c r="AA655" i="20"/>
  <c r="AB650" i="20"/>
  <c r="AE650" i="20"/>
  <c r="AD634" i="20"/>
  <c r="N634" i="20"/>
  <c r="P634" i="20"/>
  <c r="R634" i="20"/>
  <c r="Y634" i="20"/>
  <c r="Z634" i="20"/>
  <c r="AA634" i="20"/>
  <c r="N635" i="20"/>
  <c r="P635" i="20"/>
  <c r="R635" i="20"/>
  <c r="Y635" i="20"/>
  <c r="Z635" i="20"/>
  <c r="AA635" i="20"/>
  <c r="N636" i="20"/>
  <c r="P636" i="20"/>
  <c r="R636" i="20"/>
  <c r="Y636" i="20"/>
  <c r="Z636" i="20"/>
  <c r="AA636" i="20"/>
  <c r="N637" i="20"/>
  <c r="P637" i="20"/>
  <c r="R637" i="20"/>
  <c r="Y637" i="20"/>
  <c r="Z637" i="20"/>
  <c r="AA637" i="20"/>
  <c r="N638" i="20"/>
  <c r="P638" i="20"/>
  <c r="R638" i="20"/>
  <c r="Y638" i="20"/>
  <c r="Z638" i="20"/>
  <c r="AA638" i="20"/>
  <c r="N639" i="20"/>
  <c r="P639" i="20"/>
  <c r="R639" i="20"/>
  <c r="Y639" i="20"/>
  <c r="Z639" i="20"/>
  <c r="AA639" i="20"/>
  <c r="N640" i="20"/>
  <c r="P640" i="20"/>
  <c r="R640" i="20"/>
  <c r="Y640" i="20"/>
  <c r="Z640" i="20"/>
  <c r="AA640" i="20"/>
  <c r="N641" i="20"/>
  <c r="P641" i="20"/>
  <c r="R641" i="20"/>
  <c r="Y641" i="20"/>
  <c r="Z641" i="20"/>
  <c r="AA641" i="20"/>
  <c r="N642" i="20"/>
  <c r="P642" i="20"/>
  <c r="R642" i="20"/>
  <c r="Y642" i="20"/>
  <c r="Z642" i="20"/>
  <c r="AA642" i="20"/>
  <c r="N643" i="20"/>
  <c r="P643" i="20"/>
  <c r="R643" i="20"/>
  <c r="Y643" i="20"/>
  <c r="Z643" i="20"/>
  <c r="AA643" i="20"/>
  <c r="N644" i="20"/>
  <c r="P644" i="20"/>
  <c r="R644" i="20"/>
  <c r="Y644" i="20"/>
  <c r="Z644" i="20"/>
  <c r="AA644" i="20"/>
  <c r="N645" i="20"/>
  <c r="P645" i="20"/>
  <c r="R645" i="20"/>
  <c r="Y645" i="20"/>
  <c r="Z645" i="20"/>
  <c r="AA645" i="20"/>
  <c r="N646" i="20"/>
  <c r="P646" i="20"/>
  <c r="R646" i="20"/>
  <c r="Y646" i="20"/>
  <c r="Z646" i="20"/>
  <c r="AA646" i="20"/>
  <c r="N647" i="20"/>
  <c r="P647" i="20"/>
  <c r="R647" i="20"/>
  <c r="Y647" i="20"/>
  <c r="Z647" i="20"/>
  <c r="AA647" i="20"/>
  <c r="N648" i="20"/>
  <c r="P648" i="20"/>
  <c r="R648" i="20"/>
  <c r="Y648" i="20"/>
  <c r="Z648" i="20"/>
  <c r="AA648" i="20"/>
  <c r="N649" i="20"/>
  <c r="P649" i="20"/>
  <c r="R649" i="20"/>
  <c r="Y649" i="20"/>
  <c r="Z649" i="20"/>
  <c r="AA649" i="20"/>
  <c r="AB634" i="20"/>
  <c r="AE634" i="20"/>
  <c r="AD617" i="20"/>
  <c r="N617" i="20"/>
  <c r="P617" i="20"/>
  <c r="R617" i="20"/>
  <c r="Y617" i="20"/>
  <c r="Z617" i="20"/>
  <c r="AA617" i="20"/>
  <c r="N618" i="20"/>
  <c r="P618" i="20"/>
  <c r="R618" i="20"/>
  <c r="Y618" i="20"/>
  <c r="Z618" i="20"/>
  <c r="AA618" i="20"/>
  <c r="N619" i="20"/>
  <c r="P619" i="20"/>
  <c r="R619" i="20"/>
  <c r="Y619" i="20"/>
  <c r="Z619" i="20"/>
  <c r="AA619" i="20"/>
  <c r="N620" i="20"/>
  <c r="P620" i="20"/>
  <c r="R620" i="20"/>
  <c r="Y620" i="20"/>
  <c r="Z620" i="20"/>
  <c r="AA620" i="20"/>
  <c r="N621" i="20"/>
  <c r="P621" i="20"/>
  <c r="R621" i="20"/>
  <c r="Y621" i="20"/>
  <c r="Z621" i="20"/>
  <c r="AA621" i="20"/>
  <c r="N622" i="20"/>
  <c r="P622" i="20"/>
  <c r="R622" i="20"/>
  <c r="Y622" i="20"/>
  <c r="Z622" i="20"/>
  <c r="AA622" i="20"/>
  <c r="N623" i="20"/>
  <c r="P623" i="20"/>
  <c r="R623" i="20"/>
  <c r="Y623" i="20"/>
  <c r="Z623" i="20"/>
  <c r="AA623" i="20"/>
  <c r="N624" i="20"/>
  <c r="P624" i="20"/>
  <c r="R624" i="20"/>
  <c r="Y624" i="20"/>
  <c r="Z624" i="20"/>
  <c r="AA624" i="20"/>
  <c r="N625" i="20"/>
  <c r="P625" i="20"/>
  <c r="R625" i="20"/>
  <c r="Y625" i="20"/>
  <c r="Z625" i="20"/>
  <c r="AA625" i="20"/>
  <c r="N626" i="20"/>
  <c r="P626" i="20"/>
  <c r="R626" i="20"/>
  <c r="Y626" i="20"/>
  <c r="Z626" i="20"/>
  <c r="AA626" i="20"/>
  <c r="N627" i="20"/>
  <c r="P627" i="20"/>
  <c r="R627" i="20"/>
  <c r="Y627" i="20"/>
  <c r="Z627" i="20"/>
  <c r="AA627" i="20"/>
  <c r="N628" i="20"/>
  <c r="P628" i="20"/>
  <c r="R628" i="20"/>
  <c r="Y628" i="20"/>
  <c r="Z628" i="20"/>
  <c r="AA628" i="20"/>
  <c r="N629" i="20"/>
  <c r="P629" i="20"/>
  <c r="R629" i="20"/>
  <c r="Y629" i="20"/>
  <c r="Z629" i="20"/>
  <c r="AA629" i="20"/>
  <c r="N630" i="20"/>
  <c r="P630" i="20"/>
  <c r="R630" i="20"/>
  <c r="Y630" i="20"/>
  <c r="Z630" i="20"/>
  <c r="AA630" i="20"/>
  <c r="N631" i="20"/>
  <c r="P631" i="20"/>
  <c r="R631" i="20"/>
  <c r="Y631" i="20"/>
  <c r="Z631" i="20"/>
  <c r="AA631" i="20"/>
  <c r="N632" i="20"/>
  <c r="P632" i="20"/>
  <c r="R632" i="20"/>
  <c r="Y632" i="20"/>
  <c r="Z632" i="20"/>
  <c r="AA632" i="20"/>
  <c r="N633" i="20"/>
  <c r="P633" i="20"/>
  <c r="R633" i="20"/>
  <c r="Y633" i="20"/>
  <c r="Z633" i="20"/>
  <c r="AA633" i="20"/>
  <c r="AB617" i="20"/>
  <c r="AE617" i="20"/>
  <c r="AD600" i="20"/>
  <c r="N600" i="20"/>
  <c r="P600" i="20"/>
  <c r="R600" i="20"/>
  <c r="Y600" i="20"/>
  <c r="Z600" i="20"/>
  <c r="AA600" i="20"/>
  <c r="N601" i="20"/>
  <c r="P601" i="20"/>
  <c r="R601" i="20"/>
  <c r="Y601" i="20"/>
  <c r="Z601" i="20"/>
  <c r="AA601" i="20"/>
  <c r="N602" i="20"/>
  <c r="P602" i="20"/>
  <c r="R602" i="20"/>
  <c r="Y602" i="20"/>
  <c r="Z602" i="20"/>
  <c r="AA602" i="20"/>
  <c r="N603" i="20"/>
  <c r="P603" i="20"/>
  <c r="R603" i="20"/>
  <c r="Y603" i="20"/>
  <c r="Z603" i="20"/>
  <c r="AA603" i="20"/>
  <c r="N604" i="20"/>
  <c r="P604" i="20"/>
  <c r="R604" i="20"/>
  <c r="Y604" i="20"/>
  <c r="Z604" i="20"/>
  <c r="AA604" i="20"/>
  <c r="N605" i="20"/>
  <c r="P605" i="20"/>
  <c r="R605" i="20"/>
  <c r="Y605" i="20"/>
  <c r="Z605" i="20"/>
  <c r="AA605" i="20"/>
  <c r="N606" i="20"/>
  <c r="P606" i="20"/>
  <c r="R606" i="20"/>
  <c r="Y606" i="20"/>
  <c r="Z606" i="20"/>
  <c r="AA606" i="20"/>
  <c r="N607" i="20"/>
  <c r="P607" i="20"/>
  <c r="R607" i="20"/>
  <c r="Y607" i="20"/>
  <c r="Z607" i="20"/>
  <c r="AA607" i="20"/>
  <c r="N608" i="20"/>
  <c r="P608" i="20"/>
  <c r="R608" i="20"/>
  <c r="Y608" i="20"/>
  <c r="Z608" i="20"/>
  <c r="AA608" i="20"/>
  <c r="N609" i="20"/>
  <c r="P609" i="20"/>
  <c r="R609" i="20"/>
  <c r="Y609" i="20"/>
  <c r="Z609" i="20"/>
  <c r="AA609" i="20"/>
  <c r="N610" i="20"/>
  <c r="P610" i="20"/>
  <c r="R610" i="20"/>
  <c r="Y610" i="20"/>
  <c r="Z610" i="20"/>
  <c r="AA610" i="20"/>
  <c r="N611" i="20"/>
  <c r="P611" i="20"/>
  <c r="R611" i="20"/>
  <c r="Y611" i="20"/>
  <c r="Z611" i="20"/>
  <c r="AA611" i="20"/>
  <c r="N612" i="20"/>
  <c r="P612" i="20"/>
  <c r="R612" i="20"/>
  <c r="Y612" i="20"/>
  <c r="Z612" i="20"/>
  <c r="AA612" i="20"/>
  <c r="N613" i="20"/>
  <c r="P613" i="20"/>
  <c r="R613" i="20"/>
  <c r="Y613" i="20"/>
  <c r="Z613" i="20"/>
  <c r="AA613" i="20"/>
  <c r="N614" i="20"/>
  <c r="P614" i="20"/>
  <c r="R614" i="20"/>
  <c r="Y614" i="20"/>
  <c r="Z614" i="20"/>
  <c r="AA614" i="20"/>
  <c r="N615" i="20"/>
  <c r="P615" i="20"/>
  <c r="R615" i="20"/>
  <c r="Y615" i="20"/>
  <c r="Z615" i="20"/>
  <c r="AA615" i="20"/>
  <c r="N616" i="20"/>
  <c r="P616" i="20"/>
  <c r="R616" i="20"/>
  <c r="Y616" i="20"/>
  <c r="Z616" i="20"/>
  <c r="AA616" i="20"/>
  <c r="AB600" i="20"/>
  <c r="AE600" i="20"/>
  <c r="AD592" i="20"/>
  <c r="N592" i="20"/>
  <c r="P592" i="20"/>
  <c r="R592" i="20"/>
  <c r="Y592" i="20"/>
  <c r="Z592" i="20"/>
  <c r="AA592" i="20"/>
  <c r="N593" i="20"/>
  <c r="P593" i="20"/>
  <c r="R593" i="20"/>
  <c r="Y593" i="20"/>
  <c r="Z593" i="20"/>
  <c r="AA593" i="20"/>
  <c r="N594" i="20"/>
  <c r="P594" i="20"/>
  <c r="R594" i="20"/>
  <c r="Y594" i="20"/>
  <c r="Z594" i="20"/>
  <c r="AA594" i="20"/>
  <c r="N595" i="20"/>
  <c r="P595" i="20"/>
  <c r="R595" i="20"/>
  <c r="Y595" i="20"/>
  <c r="Z595" i="20"/>
  <c r="AA595" i="20"/>
  <c r="N596" i="20"/>
  <c r="P596" i="20"/>
  <c r="R596" i="20"/>
  <c r="Y596" i="20"/>
  <c r="Z596" i="20"/>
  <c r="AA596" i="20"/>
  <c r="N597" i="20"/>
  <c r="P597" i="20"/>
  <c r="R597" i="20"/>
  <c r="Y597" i="20"/>
  <c r="Z597" i="20"/>
  <c r="AA597" i="20"/>
  <c r="N598" i="20"/>
  <c r="P598" i="20"/>
  <c r="R598" i="20"/>
  <c r="Y598" i="20"/>
  <c r="Z598" i="20"/>
  <c r="AA598" i="20"/>
  <c r="N599" i="20"/>
  <c r="P599" i="20"/>
  <c r="R599" i="20"/>
  <c r="Y599" i="20"/>
  <c r="Z599" i="20"/>
  <c r="AA599" i="20"/>
  <c r="AB592" i="20"/>
  <c r="AE592" i="20"/>
  <c r="AD581" i="20"/>
  <c r="N581" i="20"/>
  <c r="P581" i="20"/>
  <c r="R581" i="20"/>
  <c r="Y581" i="20"/>
  <c r="Z581" i="20"/>
  <c r="AA581" i="20"/>
  <c r="N582" i="20"/>
  <c r="P582" i="20"/>
  <c r="R582" i="20"/>
  <c r="Y582" i="20"/>
  <c r="Z582" i="20"/>
  <c r="AA582" i="20"/>
  <c r="N583" i="20"/>
  <c r="P583" i="20"/>
  <c r="R583" i="20"/>
  <c r="Y583" i="20"/>
  <c r="Z583" i="20"/>
  <c r="AA583" i="20"/>
  <c r="N584" i="20"/>
  <c r="P584" i="20"/>
  <c r="R584" i="20"/>
  <c r="Y584" i="20"/>
  <c r="Z584" i="20"/>
  <c r="AA584" i="20"/>
  <c r="N585" i="20"/>
  <c r="P585" i="20"/>
  <c r="R585" i="20"/>
  <c r="Y585" i="20"/>
  <c r="Z585" i="20"/>
  <c r="AA585" i="20"/>
  <c r="N586" i="20"/>
  <c r="P586" i="20"/>
  <c r="R586" i="20"/>
  <c r="Y586" i="20"/>
  <c r="Z586" i="20"/>
  <c r="AA586" i="20"/>
  <c r="N587" i="20"/>
  <c r="P587" i="20"/>
  <c r="R587" i="20"/>
  <c r="Y587" i="20"/>
  <c r="Z587" i="20"/>
  <c r="AA587" i="20"/>
  <c r="N588" i="20"/>
  <c r="P588" i="20"/>
  <c r="R588" i="20"/>
  <c r="Y588" i="20"/>
  <c r="Z588" i="20"/>
  <c r="AA588" i="20"/>
  <c r="N589" i="20"/>
  <c r="P589" i="20"/>
  <c r="R589" i="20"/>
  <c r="Y589" i="20"/>
  <c r="Z589" i="20"/>
  <c r="AA589" i="20"/>
  <c r="N590" i="20"/>
  <c r="P590" i="20"/>
  <c r="R590" i="20"/>
  <c r="Y590" i="20"/>
  <c r="Z590" i="20"/>
  <c r="AA590" i="20"/>
  <c r="N591" i="20"/>
  <c r="P591" i="20"/>
  <c r="R591" i="20"/>
  <c r="Y591" i="20"/>
  <c r="Z591" i="20"/>
  <c r="AA591" i="20"/>
  <c r="AB581" i="20"/>
  <c r="AE581" i="20"/>
  <c r="AD572" i="20"/>
  <c r="N572" i="20"/>
  <c r="P572" i="20"/>
  <c r="R572" i="20"/>
  <c r="Y572" i="20"/>
  <c r="Z572" i="20"/>
  <c r="AA572" i="20"/>
  <c r="N573" i="20"/>
  <c r="P573" i="20"/>
  <c r="R573" i="20"/>
  <c r="Y573" i="20"/>
  <c r="Z573" i="20"/>
  <c r="AA573" i="20"/>
  <c r="N574" i="20"/>
  <c r="P574" i="20"/>
  <c r="R574" i="20"/>
  <c r="Y574" i="20"/>
  <c r="Z574" i="20"/>
  <c r="AA574" i="20"/>
  <c r="N575" i="20"/>
  <c r="P575" i="20"/>
  <c r="R575" i="20"/>
  <c r="Y575" i="20"/>
  <c r="Z575" i="20"/>
  <c r="AA575" i="20"/>
  <c r="N576" i="20"/>
  <c r="P576" i="20"/>
  <c r="R576" i="20"/>
  <c r="Y576" i="20"/>
  <c r="Z576" i="20"/>
  <c r="AA576" i="20"/>
  <c r="N577" i="20"/>
  <c r="P577" i="20"/>
  <c r="R577" i="20"/>
  <c r="Y577" i="20"/>
  <c r="Z577" i="20"/>
  <c r="AA577" i="20"/>
  <c r="N578" i="20"/>
  <c r="P578" i="20"/>
  <c r="R578" i="20"/>
  <c r="Y578" i="20"/>
  <c r="Z578" i="20"/>
  <c r="AA578" i="20"/>
  <c r="N579" i="20"/>
  <c r="P579" i="20"/>
  <c r="R579" i="20"/>
  <c r="Y579" i="20"/>
  <c r="Z579" i="20"/>
  <c r="AA579" i="20"/>
  <c r="N580" i="20"/>
  <c r="P580" i="20"/>
  <c r="R580" i="20"/>
  <c r="Y580" i="20"/>
  <c r="Z580" i="20"/>
  <c r="AA580" i="20"/>
  <c r="AB572" i="20"/>
  <c r="AE572" i="20"/>
  <c r="AD558" i="20"/>
  <c r="N558" i="20"/>
  <c r="P558" i="20"/>
  <c r="R558" i="20"/>
  <c r="Y558" i="20"/>
  <c r="Z558" i="20"/>
  <c r="AA558" i="20"/>
  <c r="N559" i="20"/>
  <c r="P559" i="20"/>
  <c r="R559" i="20"/>
  <c r="Y559" i="20"/>
  <c r="Z559" i="20"/>
  <c r="AA559" i="20"/>
  <c r="N560" i="20"/>
  <c r="P560" i="20"/>
  <c r="R560" i="20"/>
  <c r="Y560" i="20"/>
  <c r="Z560" i="20"/>
  <c r="AA560" i="20"/>
  <c r="N561" i="20"/>
  <c r="P561" i="20"/>
  <c r="R561" i="20"/>
  <c r="Y561" i="20"/>
  <c r="Z561" i="20"/>
  <c r="AA561" i="20"/>
  <c r="N562" i="20"/>
  <c r="P562" i="20"/>
  <c r="R562" i="20"/>
  <c r="Y562" i="20"/>
  <c r="Z562" i="20"/>
  <c r="AA562" i="20"/>
  <c r="N563" i="20"/>
  <c r="P563" i="20"/>
  <c r="R563" i="20"/>
  <c r="Y563" i="20"/>
  <c r="Z563" i="20"/>
  <c r="AA563" i="20"/>
  <c r="N564" i="20"/>
  <c r="P564" i="20"/>
  <c r="R564" i="20"/>
  <c r="Y564" i="20"/>
  <c r="Z564" i="20"/>
  <c r="AA564" i="20"/>
  <c r="N565" i="20"/>
  <c r="P565" i="20"/>
  <c r="R565" i="20"/>
  <c r="Y565" i="20"/>
  <c r="Z565" i="20"/>
  <c r="AA565" i="20"/>
  <c r="N566" i="20"/>
  <c r="P566" i="20"/>
  <c r="R566" i="20"/>
  <c r="Y566" i="20"/>
  <c r="Z566" i="20"/>
  <c r="AA566" i="20"/>
  <c r="N567" i="20"/>
  <c r="P567" i="20"/>
  <c r="R567" i="20"/>
  <c r="Y567" i="20"/>
  <c r="Z567" i="20"/>
  <c r="AA567" i="20"/>
  <c r="N568" i="20"/>
  <c r="P568" i="20"/>
  <c r="R568" i="20"/>
  <c r="Y568" i="20"/>
  <c r="Z568" i="20"/>
  <c r="AA568" i="20"/>
  <c r="N569" i="20"/>
  <c r="P569" i="20"/>
  <c r="R569" i="20"/>
  <c r="Y569" i="20"/>
  <c r="Z569" i="20"/>
  <c r="AA569" i="20"/>
  <c r="N570" i="20"/>
  <c r="P570" i="20"/>
  <c r="R570" i="20"/>
  <c r="Y570" i="20"/>
  <c r="Z570" i="20"/>
  <c r="AA570" i="20"/>
  <c r="N571" i="20"/>
  <c r="P571" i="20"/>
  <c r="R571" i="20"/>
  <c r="Y571" i="20"/>
  <c r="Z571" i="20"/>
  <c r="AA571" i="20"/>
  <c r="AB558" i="20"/>
  <c r="AE558" i="20"/>
  <c r="AD550" i="20"/>
  <c r="N550" i="20"/>
  <c r="P550" i="20"/>
  <c r="R550" i="20"/>
  <c r="Y550" i="20"/>
  <c r="Z550" i="20"/>
  <c r="AA550" i="20"/>
  <c r="N551" i="20"/>
  <c r="P551" i="20"/>
  <c r="R551" i="20"/>
  <c r="Y551" i="20"/>
  <c r="Z551" i="20"/>
  <c r="AA551" i="20"/>
  <c r="N552" i="20"/>
  <c r="P552" i="20"/>
  <c r="R552" i="20"/>
  <c r="Y552" i="20"/>
  <c r="Z552" i="20"/>
  <c r="AA552" i="20"/>
  <c r="N553" i="20"/>
  <c r="P553" i="20"/>
  <c r="R553" i="20"/>
  <c r="Y553" i="20"/>
  <c r="Z553" i="20"/>
  <c r="AA553" i="20"/>
  <c r="N554" i="20"/>
  <c r="P554" i="20"/>
  <c r="R554" i="20"/>
  <c r="Y554" i="20"/>
  <c r="Z554" i="20"/>
  <c r="AA554" i="20"/>
  <c r="N555" i="20"/>
  <c r="P555" i="20"/>
  <c r="R555" i="20"/>
  <c r="Y555" i="20"/>
  <c r="Z555" i="20"/>
  <c r="AA555" i="20"/>
  <c r="N556" i="20"/>
  <c r="P556" i="20"/>
  <c r="R556" i="20"/>
  <c r="Y556" i="20"/>
  <c r="Z556" i="20"/>
  <c r="AA556" i="20"/>
  <c r="N557" i="20"/>
  <c r="P557" i="20"/>
  <c r="R557" i="20"/>
  <c r="Y557" i="20"/>
  <c r="Z557" i="20"/>
  <c r="AA557" i="20"/>
  <c r="AB550" i="20"/>
  <c r="AE550" i="20"/>
  <c r="AD532" i="20"/>
  <c r="N532" i="20"/>
  <c r="P532" i="20"/>
  <c r="R532" i="20"/>
  <c r="Y532" i="20"/>
  <c r="Z532" i="20"/>
  <c r="AA532" i="20"/>
  <c r="N533" i="20"/>
  <c r="P533" i="20"/>
  <c r="R533" i="20"/>
  <c r="Y533" i="20"/>
  <c r="Z533" i="20"/>
  <c r="AA533" i="20"/>
  <c r="N534" i="20"/>
  <c r="P534" i="20"/>
  <c r="R534" i="20"/>
  <c r="Y534" i="20"/>
  <c r="Z534" i="20"/>
  <c r="AA534" i="20"/>
  <c r="N535" i="20"/>
  <c r="P535" i="20"/>
  <c r="R535" i="20"/>
  <c r="Y535" i="20"/>
  <c r="Z535" i="20"/>
  <c r="AA535" i="20"/>
  <c r="N536" i="20"/>
  <c r="P536" i="20"/>
  <c r="R536" i="20"/>
  <c r="Y536" i="20"/>
  <c r="Z536" i="20"/>
  <c r="AA536" i="20"/>
  <c r="N537" i="20"/>
  <c r="P537" i="20"/>
  <c r="R537" i="20"/>
  <c r="Y537" i="20"/>
  <c r="Z537" i="20"/>
  <c r="AA537" i="20"/>
  <c r="N538" i="20"/>
  <c r="P538" i="20"/>
  <c r="R538" i="20"/>
  <c r="Y538" i="20"/>
  <c r="Z538" i="20"/>
  <c r="AA538" i="20"/>
  <c r="N539" i="20"/>
  <c r="P539" i="20"/>
  <c r="R539" i="20"/>
  <c r="Y539" i="20"/>
  <c r="Z539" i="20"/>
  <c r="AA539" i="20"/>
  <c r="N540" i="20"/>
  <c r="P540" i="20"/>
  <c r="R540" i="20"/>
  <c r="Y540" i="20"/>
  <c r="Z540" i="20"/>
  <c r="AA540" i="20"/>
  <c r="N541" i="20"/>
  <c r="P541" i="20"/>
  <c r="R541" i="20"/>
  <c r="Y541" i="20"/>
  <c r="Z541" i="20"/>
  <c r="AA541" i="20"/>
  <c r="N542" i="20"/>
  <c r="P542" i="20"/>
  <c r="R542" i="20"/>
  <c r="Y542" i="20"/>
  <c r="Z542" i="20"/>
  <c r="AA542" i="20"/>
  <c r="N543" i="20"/>
  <c r="P543" i="20"/>
  <c r="R543" i="20"/>
  <c r="Y543" i="20"/>
  <c r="Z543" i="20"/>
  <c r="AA543" i="20"/>
  <c r="N544" i="20"/>
  <c r="P544" i="20"/>
  <c r="R544" i="20"/>
  <c r="Y544" i="20"/>
  <c r="Z544" i="20"/>
  <c r="AA544" i="20"/>
  <c r="N545" i="20"/>
  <c r="P545" i="20"/>
  <c r="R545" i="20"/>
  <c r="Y545" i="20"/>
  <c r="Z545" i="20"/>
  <c r="AA545" i="20"/>
  <c r="N546" i="20"/>
  <c r="P546" i="20"/>
  <c r="R546" i="20"/>
  <c r="Y546" i="20"/>
  <c r="Z546" i="20"/>
  <c r="AA546" i="20"/>
  <c r="N547" i="20"/>
  <c r="P547" i="20"/>
  <c r="R547" i="20"/>
  <c r="Y547" i="20"/>
  <c r="Z547" i="20"/>
  <c r="AA547" i="20"/>
  <c r="N548" i="20"/>
  <c r="P548" i="20"/>
  <c r="R548" i="20"/>
  <c r="Y548" i="20"/>
  <c r="Z548" i="20"/>
  <c r="AA548" i="20"/>
  <c r="N549" i="20"/>
  <c r="P549" i="20"/>
  <c r="R549" i="20"/>
  <c r="Y549" i="20"/>
  <c r="Z549" i="20"/>
  <c r="AA549" i="20"/>
  <c r="AB532" i="20"/>
  <c r="AE532" i="20"/>
  <c r="AD520" i="20"/>
  <c r="N520" i="20"/>
  <c r="P520" i="20"/>
  <c r="R520" i="20"/>
  <c r="Y520" i="20"/>
  <c r="Z520" i="20"/>
  <c r="AA520" i="20"/>
  <c r="N521" i="20"/>
  <c r="P521" i="20"/>
  <c r="R521" i="20"/>
  <c r="Y521" i="20"/>
  <c r="Z521" i="20"/>
  <c r="AA521" i="20"/>
  <c r="N522" i="20"/>
  <c r="P522" i="20"/>
  <c r="R522" i="20"/>
  <c r="Y522" i="20"/>
  <c r="Z522" i="20"/>
  <c r="AA522" i="20"/>
  <c r="N523" i="20"/>
  <c r="P523" i="20"/>
  <c r="R523" i="20"/>
  <c r="Y523" i="20"/>
  <c r="Z523" i="20"/>
  <c r="AA523" i="20"/>
  <c r="N524" i="20"/>
  <c r="P524" i="20"/>
  <c r="R524" i="20"/>
  <c r="Y524" i="20"/>
  <c r="Z524" i="20"/>
  <c r="AA524" i="20"/>
  <c r="N525" i="20"/>
  <c r="P525" i="20"/>
  <c r="R525" i="20"/>
  <c r="Y525" i="20"/>
  <c r="Z525" i="20"/>
  <c r="AA525" i="20"/>
  <c r="N526" i="20"/>
  <c r="P526" i="20"/>
  <c r="R526" i="20"/>
  <c r="Y526" i="20"/>
  <c r="Z526" i="20"/>
  <c r="AA526" i="20"/>
  <c r="N527" i="20"/>
  <c r="P527" i="20"/>
  <c r="R527" i="20"/>
  <c r="Y527" i="20"/>
  <c r="Z527" i="20"/>
  <c r="AA527" i="20"/>
  <c r="N528" i="20"/>
  <c r="P528" i="20"/>
  <c r="R528" i="20"/>
  <c r="Y528" i="20"/>
  <c r="Z528" i="20"/>
  <c r="AA528" i="20"/>
  <c r="N529" i="20"/>
  <c r="P529" i="20"/>
  <c r="R529" i="20"/>
  <c r="Y529" i="20"/>
  <c r="Z529" i="20"/>
  <c r="AA529" i="20"/>
  <c r="N530" i="20"/>
  <c r="P530" i="20"/>
  <c r="R530" i="20"/>
  <c r="Y530" i="20"/>
  <c r="Z530" i="20"/>
  <c r="AA530" i="20"/>
  <c r="N531" i="20"/>
  <c r="P531" i="20"/>
  <c r="R531" i="20"/>
  <c r="Y531" i="20"/>
  <c r="Z531" i="20"/>
  <c r="AA531" i="20"/>
  <c r="AB520" i="20"/>
  <c r="AE520" i="20"/>
  <c r="AD505" i="20"/>
  <c r="N505" i="20"/>
  <c r="P505" i="20"/>
  <c r="R505" i="20"/>
  <c r="Y505" i="20"/>
  <c r="Z505" i="20"/>
  <c r="AA505" i="20"/>
  <c r="N506" i="20"/>
  <c r="P506" i="20"/>
  <c r="R506" i="20"/>
  <c r="Y506" i="20"/>
  <c r="Z506" i="20"/>
  <c r="AA506" i="20"/>
  <c r="N507" i="20"/>
  <c r="P507" i="20"/>
  <c r="R507" i="20"/>
  <c r="Y507" i="20"/>
  <c r="Z507" i="20"/>
  <c r="AA507" i="20"/>
  <c r="N508" i="20"/>
  <c r="P508" i="20"/>
  <c r="R508" i="20"/>
  <c r="Y508" i="20"/>
  <c r="Z508" i="20"/>
  <c r="AA508" i="20"/>
  <c r="N509" i="20"/>
  <c r="P509" i="20"/>
  <c r="R509" i="20"/>
  <c r="Y509" i="20"/>
  <c r="Z509" i="20"/>
  <c r="AA509" i="20"/>
  <c r="N510" i="20"/>
  <c r="P510" i="20"/>
  <c r="R510" i="20"/>
  <c r="Y510" i="20"/>
  <c r="Z510" i="20"/>
  <c r="AA510" i="20"/>
  <c r="N511" i="20"/>
  <c r="P511" i="20"/>
  <c r="R511" i="20"/>
  <c r="Y511" i="20"/>
  <c r="Z511" i="20"/>
  <c r="AA511" i="20"/>
  <c r="N512" i="20"/>
  <c r="P512" i="20"/>
  <c r="R512" i="20"/>
  <c r="Y512" i="20"/>
  <c r="Z512" i="20"/>
  <c r="AA512" i="20"/>
  <c r="N513" i="20"/>
  <c r="P513" i="20"/>
  <c r="R513" i="20"/>
  <c r="Y513" i="20"/>
  <c r="Z513" i="20"/>
  <c r="AA513" i="20"/>
  <c r="N514" i="20"/>
  <c r="P514" i="20"/>
  <c r="R514" i="20"/>
  <c r="Y514" i="20"/>
  <c r="Z514" i="20"/>
  <c r="AA514" i="20"/>
  <c r="N515" i="20"/>
  <c r="P515" i="20"/>
  <c r="R515" i="20"/>
  <c r="Y515" i="20"/>
  <c r="Z515" i="20"/>
  <c r="AA515" i="20"/>
  <c r="N516" i="20"/>
  <c r="P516" i="20"/>
  <c r="R516" i="20"/>
  <c r="Y516" i="20"/>
  <c r="Z516" i="20"/>
  <c r="AA516" i="20"/>
  <c r="N517" i="20"/>
  <c r="P517" i="20"/>
  <c r="R517" i="20"/>
  <c r="Y517" i="20"/>
  <c r="Z517" i="20"/>
  <c r="AA517" i="20"/>
  <c r="N518" i="20"/>
  <c r="P518" i="20"/>
  <c r="R518" i="20"/>
  <c r="Y518" i="20"/>
  <c r="Z518" i="20"/>
  <c r="AA518" i="20"/>
  <c r="N519" i="20"/>
  <c r="P519" i="20"/>
  <c r="R519" i="20"/>
  <c r="Y519" i="20"/>
  <c r="Z519" i="20"/>
  <c r="AA519" i="20"/>
  <c r="AB505" i="20"/>
  <c r="AE505" i="20"/>
  <c r="AD500" i="20"/>
  <c r="N500" i="20"/>
  <c r="P500" i="20"/>
  <c r="R500" i="20"/>
  <c r="Y500" i="20"/>
  <c r="Z500" i="20"/>
  <c r="AA500" i="20"/>
  <c r="N501" i="20"/>
  <c r="P501" i="20"/>
  <c r="R501" i="20"/>
  <c r="Y501" i="20"/>
  <c r="Z501" i="20"/>
  <c r="AA501" i="20"/>
  <c r="N502" i="20"/>
  <c r="P502" i="20"/>
  <c r="R502" i="20"/>
  <c r="Y502" i="20"/>
  <c r="Z502" i="20"/>
  <c r="AA502" i="20"/>
  <c r="N503" i="20"/>
  <c r="P503" i="20"/>
  <c r="R503" i="20"/>
  <c r="Y503" i="20"/>
  <c r="Z503" i="20"/>
  <c r="AA503" i="20"/>
  <c r="N504" i="20"/>
  <c r="P504" i="20"/>
  <c r="R504" i="20"/>
  <c r="Y504" i="20"/>
  <c r="Z504" i="20"/>
  <c r="AA504" i="20"/>
  <c r="AB500" i="20"/>
  <c r="AE500" i="20"/>
  <c r="AD487" i="20"/>
  <c r="N487" i="20"/>
  <c r="P487" i="20"/>
  <c r="R487" i="20"/>
  <c r="Y487" i="20"/>
  <c r="Z487" i="20"/>
  <c r="AA487" i="20"/>
  <c r="N488" i="20"/>
  <c r="P488" i="20"/>
  <c r="R488" i="20"/>
  <c r="Y488" i="20"/>
  <c r="Z488" i="20"/>
  <c r="AA488" i="20"/>
  <c r="N489" i="20"/>
  <c r="P489" i="20"/>
  <c r="R489" i="20"/>
  <c r="Y489" i="20"/>
  <c r="Z489" i="20"/>
  <c r="AA489" i="20"/>
  <c r="N490" i="20"/>
  <c r="P490" i="20"/>
  <c r="R490" i="20"/>
  <c r="Y490" i="20"/>
  <c r="Z490" i="20"/>
  <c r="AA490" i="20"/>
  <c r="N491" i="20"/>
  <c r="P491" i="20"/>
  <c r="R491" i="20"/>
  <c r="Y491" i="20"/>
  <c r="Z491" i="20"/>
  <c r="AA491" i="20"/>
  <c r="N492" i="20"/>
  <c r="P492" i="20"/>
  <c r="R492" i="20"/>
  <c r="Y492" i="20"/>
  <c r="Z492" i="20"/>
  <c r="AA492" i="20"/>
  <c r="N493" i="20"/>
  <c r="P493" i="20"/>
  <c r="R493" i="20"/>
  <c r="Y493" i="20"/>
  <c r="Z493" i="20"/>
  <c r="AA493" i="20"/>
  <c r="N494" i="20"/>
  <c r="P494" i="20"/>
  <c r="R494" i="20"/>
  <c r="Y494" i="20"/>
  <c r="Z494" i="20"/>
  <c r="AA494" i="20"/>
  <c r="N495" i="20"/>
  <c r="P495" i="20"/>
  <c r="R495" i="20"/>
  <c r="Y495" i="20"/>
  <c r="Z495" i="20"/>
  <c r="AA495" i="20"/>
  <c r="N496" i="20"/>
  <c r="P496" i="20"/>
  <c r="R496" i="20"/>
  <c r="Y496" i="20"/>
  <c r="Z496" i="20"/>
  <c r="AA496" i="20"/>
  <c r="N497" i="20"/>
  <c r="P497" i="20"/>
  <c r="R497" i="20"/>
  <c r="Y497" i="20"/>
  <c r="Z497" i="20"/>
  <c r="AA497" i="20"/>
  <c r="N498" i="20"/>
  <c r="P498" i="20"/>
  <c r="R498" i="20"/>
  <c r="Y498" i="20"/>
  <c r="Z498" i="20"/>
  <c r="AA498" i="20"/>
  <c r="N499" i="20"/>
  <c r="P499" i="20"/>
  <c r="R499" i="20"/>
  <c r="Y499" i="20"/>
  <c r="Z499" i="20"/>
  <c r="AA499" i="20"/>
  <c r="AB487" i="20"/>
  <c r="AE487" i="20"/>
  <c r="AD469" i="20"/>
  <c r="N469" i="20"/>
  <c r="P469" i="20"/>
  <c r="R469" i="20"/>
  <c r="Y469" i="20"/>
  <c r="Z469" i="20"/>
  <c r="AA469" i="20"/>
  <c r="N470" i="20"/>
  <c r="P470" i="20"/>
  <c r="R470" i="20"/>
  <c r="Y470" i="20"/>
  <c r="Z470" i="20"/>
  <c r="AA470" i="20"/>
  <c r="N471" i="20"/>
  <c r="P471" i="20"/>
  <c r="R471" i="20"/>
  <c r="Y471" i="20"/>
  <c r="Z471" i="20"/>
  <c r="AA471" i="20"/>
  <c r="N472" i="20"/>
  <c r="P472" i="20"/>
  <c r="R472" i="20"/>
  <c r="Y472" i="20"/>
  <c r="Z472" i="20"/>
  <c r="AA472" i="20"/>
  <c r="N473" i="20"/>
  <c r="P473" i="20"/>
  <c r="R473" i="20"/>
  <c r="Y473" i="20"/>
  <c r="Z473" i="20"/>
  <c r="AA473" i="20"/>
  <c r="N474" i="20"/>
  <c r="P474" i="20"/>
  <c r="R474" i="20"/>
  <c r="Y474" i="20"/>
  <c r="Z474" i="20"/>
  <c r="AA474" i="20"/>
  <c r="N475" i="20"/>
  <c r="P475" i="20"/>
  <c r="R475" i="20"/>
  <c r="Y475" i="20"/>
  <c r="Z475" i="20"/>
  <c r="AA475" i="20"/>
  <c r="N476" i="20"/>
  <c r="P476" i="20"/>
  <c r="R476" i="20"/>
  <c r="Y476" i="20"/>
  <c r="Z476" i="20"/>
  <c r="AA476" i="20"/>
  <c r="N477" i="20"/>
  <c r="P477" i="20"/>
  <c r="R477" i="20"/>
  <c r="Y477" i="20"/>
  <c r="Z477" i="20"/>
  <c r="AA477" i="20"/>
  <c r="N478" i="20"/>
  <c r="P478" i="20"/>
  <c r="R478" i="20"/>
  <c r="Y478" i="20"/>
  <c r="Z478" i="20"/>
  <c r="AA478" i="20"/>
  <c r="N479" i="20"/>
  <c r="P479" i="20"/>
  <c r="R479" i="20"/>
  <c r="Y479" i="20"/>
  <c r="Z479" i="20"/>
  <c r="AA479" i="20"/>
  <c r="N480" i="20"/>
  <c r="P480" i="20"/>
  <c r="R480" i="20"/>
  <c r="Y480" i="20"/>
  <c r="Z480" i="20"/>
  <c r="AA480" i="20"/>
  <c r="N481" i="20"/>
  <c r="P481" i="20"/>
  <c r="R481" i="20"/>
  <c r="Y481" i="20"/>
  <c r="Z481" i="20"/>
  <c r="AA481" i="20"/>
  <c r="N482" i="20"/>
  <c r="P482" i="20"/>
  <c r="R482" i="20"/>
  <c r="Y482" i="20"/>
  <c r="Z482" i="20"/>
  <c r="AA482" i="20"/>
  <c r="N483" i="20"/>
  <c r="P483" i="20"/>
  <c r="R483" i="20"/>
  <c r="Y483" i="20"/>
  <c r="Z483" i="20"/>
  <c r="AA483" i="20"/>
  <c r="N484" i="20"/>
  <c r="P484" i="20"/>
  <c r="R484" i="20"/>
  <c r="Y484" i="20"/>
  <c r="Z484" i="20"/>
  <c r="AA484" i="20"/>
  <c r="N485" i="20"/>
  <c r="P485" i="20"/>
  <c r="R485" i="20"/>
  <c r="Y485" i="20"/>
  <c r="Z485" i="20"/>
  <c r="AA485" i="20"/>
  <c r="N486" i="20"/>
  <c r="P486" i="20"/>
  <c r="R486" i="20"/>
  <c r="Y486" i="20"/>
  <c r="Z486" i="20"/>
  <c r="AA486" i="20"/>
  <c r="AB469" i="20"/>
  <c r="AE469" i="20"/>
  <c r="AD456" i="20"/>
  <c r="N456" i="20"/>
  <c r="P456" i="20"/>
  <c r="R456" i="20"/>
  <c r="Y456" i="20"/>
  <c r="Z456" i="20"/>
  <c r="AA456" i="20"/>
  <c r="N457" i="20"/>
  <c r="P457" i="20"/>
  <c r="R457" i="20"/>
  <c r="Y457" i="20"/>
  <c r="Z457" i="20"/>
  <c r="AA457" i="20"/>
  <c r="N458" i="20"/>
  <c r="P458" i="20"/>
  <c r="R458" i="20"/>
  <c r="Y458" i="20"/>
  <c r="Z458" i="20"/>
  <c r="AA458" i="20"/>
  <c r="N459" i="20"/>
  <c r="P459" i="20"/>
  <c r="R459" i="20"/>
  <c r="Y459" i="20"/>
  <c r="Z459" i="20"/>
  <c r="AA459" i="20"/>
  <c r="N460" i="20"/>
  <c r="P460" i="20"/>
  <c r="R460" i="20"/>
  <c r="Y460" i="20"/>
  <c r="Z460" i="20"/>
  <c r="AA460" i="20"/>
  <c r="N461" i="20"/>
  <c r="P461" i="20"/>
  <c r="R461" i="20"/>
  <c r="Y461" i="20"/>
  <c r="Z461" i="20"/>
  <c r="AA461" i="20"/>
  <c r="N462" i="20"/>
  <c r="P462" i="20"/>
  <c r="R462" i="20"/>
  <c r="Y462" i="20"/>
  <c r="Z462" i="20"/>
  <c r="AA462" i="20"/>
  <c r="N463" i="20"/>
  <c r="P463" i="20"/>
  <c r="R463" i="20"/>
  <c r="Y463" i="20"/>
  <c r="Z463" i="20"/>
  <c r="AA463" i="20"/>
  <c r="N464" i="20"/>
  <c r="P464" i="20"/>
  <c r="R464" i="20"/>
  <c r="Y464" i="20"/>
  <c r="Z464" i="20"/>
  <c r="AA464" i="20"/>
  <c r="N465" i="20"/>
  <c r="P465" i="20"/>
  <c r="R465" i="20"/>
  <c r="Y465" i="20"/>
  <c r="Z465" i="20"/>
  <c r="AA465" i="20"/>
  <c r="N466" i="20"/>
  <c r="P466" i="20"/>
  <c r="R466" i="20"/>
  <c r="Y466" i="20"/>
  <c r="Z466" i="20"/>
  <c r="AA466" i="20"/>
  <c r="N467" i="20"/>
  <c r="P467" i="20"/>
  <c r="R467" i="20"/>
  <c r="Y467" i="20"/>
  <c r="Z467" i="20"/>
  <c r="AA467" i="20"/>
  <c r="N468" i="20"/>
  <c r="P468" i="20"/>
  <c r="R468" i="20"/>
  <c r="Y468" i="20"/>
  <c r="Z468" i="20"/>
  <c r="AA468" i="20"/>
  <c r="AB456" i="20"/>
  <c r="AE456" i="20"/>
  <c r="AD446" i="20"/>
  <c r="N446" i="20"/>
  <c r="P446" i="20"/>
  <c r="R446" i="20"/>
  <c r="Y446" i="20"/>
  <c r="Z446" i="20"/>
  <c r="AA446" i="20"/>
  <c r="N447" i="20"/>
  <c r="P447" i="20"/>
  <c r="R447" i="20"/>
  <c r="Y447" i="20"/>
  <c r="Z447" i="20"/>
  <c r="AA447" i="20"/>
  <c r="N448" i="20"/>
  <c r="P448" i="20"/>
  <c r="R448" i="20"/>
  <c r="Y448" i="20"/>
  <c r="Z448" i="20"/>
  <c r="AA448" i="20"/>
  <c r="N449" i="20"/>
  <c r="P449" i="20"/>
  <c r="R449" i="20"/>
  <c r="Y449" i="20"/>
  <c r="Z449" i="20"/>
  <c r="AA449" i="20"/>
  <c r="N450" i="20"/>
  <c r="P450" i="20"/>
  <c r="R450" i="20"/>
  <c r="Y450" i="20"/>
  <c r="Z450" i="20"/>
  <c r="AA450" i="20"/>
  <c r="N451" i="20"/>
  <c r="P451" i="20"/>
  <c r="R451" i="20"/>
  <c r="Y451" i="20"/>
  <c r="Z451" i="20"/>
  <c r="AA451" i="20"/>
  <c r="N452" i="20"/>
  <c r="P452" i="20"/>
  <c r="R452" i="20"/>
  <c r="Y452" i="20"/>
  <c r="Z452" i="20"/>
  <c r="AA452" i="20"/>
  <c r="N453" i="20"/>
  <c r="P453" i="20"/>
  <c r="R453" i="20"/>
  <c r="Y453" i="20"/>
  <c r="Z453" i="20"/>
  <c r="AA453" i="20"/>
  <c r="N454" i="20"/>
  <c r="P454" i="20"/>
  <c r="R454" i="20"/>
  <c r="Y454" i="20"/>
  <c r="Z454" i="20"/>
  <c r="AA454" i="20"/>
  <c r="N455" i="20"/>
  <c r="P455" i="20"/>
  <c r="R455" i="20"/>
  <c r="Y455" i="20"/>
  <c r="Z455" i="20"/>
  <c r="AA455" i="20"/>
  <c r="AB446" i="20"/>
  <c r="AE446" i="20"/>
  <c r="AD429" i="20"/>
  <c r="N429" i="20"/>
  <c r="P429" i="20"/>
  <c r="R429" i="20"/>
  <c r="Y429" i="20"/>
  <c r="Z429" i="20"/>
  <c r="AA429" i="20"/>
  <c r="N430" i="20"/>
  <c r="P430" i="20"/>
  <c r="R430" i="20"/>
  <c r="Y430" i="20"/>
  <c r="Z430" i="20"/>
  <c r="AA430" i="20"/>
  <c r="N431" i="20"/>
  <c r="P431" i="20"/>
  <c r="R431" i="20"/>
  <c r="Y431" i="20"/>
  <c r="Z431" i="20"/>
  <c r="AA431" i="20"/>
  <c r="N432" i="20"/>
  <c r="P432" i="20"/>
  <c r="R432" i="20"/>
  <c r="Y432" i="20"/>
  <c r="Z432" i="20"/>
  <c r="AA432" i="20"/>
  <c r="N433" i="20"/>
  <c r="P433" i="20"/>
  <c r="R433" i="20"/>
  <c r="Y433" i="20"/>
  <c r="Z433" i="20"/>
  <c r="AA433" i="20"/>
  <c r="N434" i="20"/>
  <c r="P434" i="20"/>
  <c r="R434" i="20"/>
  <c r="Y434" i="20"/>
  <c r="Z434" i="20"/>
  <c r="AA434" i="20"/>
  <c r="N435" i="20"/>
  <c r="P435" i="20"/>
  <c r="R435" i="20"/>
  <c r="Y435" i="20"/>
  <c r="Z435" i="20"/>
  <c r="AA435" i="20"/>
  <c r="N436" i="20"/>
  <c r="P436" i="20"/>
  <c r="R436" i="20"/>
  <c r="Y436" i="20"/>
  <c r="Z436" i="20"/>
  <c r="AA436" i="20"/>
  <c r="N437" i="20"/>
  <c r="P437" i="20"/>
  <c r="R437" i="20"/>
  <c r="Y437" i="20"/>
  <c r="Z437" i="20"/>
  <c r="AA437" i="20"/>
  <c r="N438" i="20"/>
  <c r="P438" i="20"/>
  <c r="R438" i="20"/>
  <c r="Y438" i="20"/>
  <c r="Z438" i="20"/>
  <c r="AA438" i="20"/>
  <c r="N439" i="20"/>
  <c r="P439" i="20"/>
  <c r="R439" i="20"/>
  <c r="Y439" i="20"/>
  <c r="Z439" i="20"/>
  <c r="AA439" i="20"/>
  <c r="N440" i="20"/>
  <c r="P440" i="20"/>
  <c r="R440" i="20"/>
  <c r="Y440" i="20"/>
  <c r="Z440" i="20"/>
  <c r="AA440" i="20"/>
  <c r="N441" i="20"/>
  <c r="P441" i="20"/>
  <c r="R441" i="20"/>
  <c r="Y441" i="20"/>
  <c r="Z441" i="20"/>
  <c r="AA441" i="20"/>
  <c r="N442" i="20"/>
  <c r="P442" i="20"/>
  <c r="R442" i="20"/>
  <c r="Y442" i="20"/>
  <c r="Z442" i="20"/>
  <c r="AA442" i="20"/>
  <c r="N443" i="20"/>
  <c r="P443" i="20"/>
  <c r="R443" i="20"/>
  <c r="Y443" i="20"/>
  <c r="Z443" i="20"/>
  <c r="AA443" i="20"/>
  <c r="N444" i="20"/>
  <c r="P444" i="20"/>
  <c r="R444" i="20"/>
  <c r="Y444" i="20"/>
  <c r="Z444" i="20"/>
  <c r="AA444" i="20"/>
  <c r="N445" i="20"/>
  <c r="P445" i="20"/>
  <c r="R445" i="20"/>
  <c r="Y445" i="20"/>
  <c r="Z445" i="20"/>
  <c r="AA445" i="20"/>
  <c r="AB429" i="20"/>
  <c r="AE429" i="20"/>
  <c r="AD410" i="20"/>
  <c r="N410" i="20"/>
  <c r="P410" i="20"/>
  <c r="R410" i="20"/>
  <c r="Y410" i="20"/>
  <c r="Z410" i="20"/>
  <c r="AA410" i="20"/>
  <c r="N411" i="20"/>
  <c r="P411" i="20"/>
  <c r="R411" i="20"/>
  <c r="Y411" i="20"/>
  <c r="Z411" i="20"/>
  <c r="AA411" i="20"/>
  <c r="N412" i="20"/>
  <c r="P412" i="20"/>
  <c r="R412" i="20"/>
  <c r="Y412" i="20"/>
  <c r="Z412" i="20"/>
  <c r="AA412" i="20"/>
  <c r="N413" i="20"/>
  <c r="P413" i="20"/>
  <c r="R413" i="20"/>
  <c r="Y413" i="20"/>
  <c r="Z413" i="20"/>
  <c r="AA413" i="20"/>
  <c r="N414" i="20"/>
  <c r="P414" i="20"/>
  <c r="R414" i="20"/>
  <c r="Y414" i="20"/>
  <c r="Z414" i="20"/>
  <c r="AA414" i="20"/>
  <c r="N415" i="20"/>
  <c r="P415" i="20"/>
  <c r="R415" i="20"/>
  <c r="Y415" i="20"/>
  <c r="Z415" i="20"/>
  <c r="AA415" i="20"/>
  <c r="N416" i="20"/>
  <c r="P416" i="20"/>
  <c r="R416" i="20"/>
  <c r="Y416" i="20"/>
  <c r="Z416" i="20"/>
  <c r="AA416" i="20"/>
  <c r="N417" i="20"/>
  <c r="P417" i="20"/>
  <c r="R417" i="20"/>
  <c r="Y417" i="20"/>
  <c r="Z417" i="20"/>
  <c r="AA417" i="20"/>
  <c r="N418" i="20"/>
  <c r="P418" i="20"/>
  <c r="R418" i="20"/>
  <c r="Y418" i="20"/>
  <c r="Z418" i="20"/>
  <c r="AA418" i="20"/>
  <c r="N419" i="20"/>
  <c r="P419" i="20"/>
  <c r="R419" i="20"/>
  <c r="Y419" i="20"/>
  <c r="Z419" i="20"/>
  <c r="AA419" i="20"/>
  <c r="N420" i="20"/>
  <c r="P420" i="20"/>
  <c r="R420" i="20"/>
  <c r="Y420" i="20"/>
  <c r="Z420" i="20"/>
  <c r="AA420" i="20"/>
  <c r="N421" i="20"/>
  <c r="P421" i="20"/>
  <c r="R421" i="20"/>
  <c r="Y421" i="20"/>
  <c r="Z421" i="20"/>
  <c r="AA421" i="20"/>
  <c r="N422" i="20"/>
  <c r="P422" i="20"/>
  <c r="R422" i="20"/>
  <c r="Y422" i="20"/>
  <c r="Z422" i="20"/>
  <c r="AA422" i="20"/>
  <c r="N423" i="20"/>
  <c r="P423" i="20"/>
  <c r="R423" i="20"/>
  <c r="Y423" i="20"/>
  <c r="Z423" i="20"/>
  <c r="AA423" i="20"/>
  <c r="N424" i="20"/>
  <c r="P424" i="20"/>
  <c r="R424" i="20"/>
  <c r="Y424" i="20"/>
  <c r="Z424" i="20"/>
  <c r="AA424" i="20"/>
  <c r="N425" i="20"/>
  <c r="P425" i="20"/>
  <c r="R425" i="20"/>
  <c r="Y425" i="20"/>
  <c r="Z425" i="20"/>
  <c r="AA425" i="20"/>
  <c r="N426" i="20"/>
  <c r="P426" i="20"/>
  <c r="R426" i="20"/>
  <c r="Y426" i="20"/>
  <c r="Z426" i="20"/>
  <c r="AA426" i="20"/>
  <c r="N427" i="20"/>
  <c r="P427" i="20"/>
  <c r="R427" i="20"/>
  <c r="Y427" i="20"/>
  <c r="Z427" i="20"/>
  <c r="AA427" i="20"/>
  <c r="N428" i="20"/>
  <c r="P428" i="20"/>
  <c r="R428" i="20"/>
  <c r="Y428" i="20"/>
  <c r="Z428" i="20"/>
  <c r="AA428" i="20"/>
  <c r="AB410" i="20"/>
  <c r="AE410" i="20"/>
  <c r="AD393" i="20"/>
  <c r="N393" i="20"/>
  <c r="P393" i="20"/>
  <c r="R393" i="20"/>
  <c r="Y393" i="20"/>
  <c r="Z393" i="20"/>
  <c r="AA393" i="20"/>
  <c r="N394" i="20"/>
  <c r="P394" i="20"/>
  <c r="R394" i="20"/>
  <c r="Y394" i="20"/>
  <c r="Z394" i="20"/>
  <c r="AA394" i="20"/>
  <c r="N395" i="20"/>
  <c r="P395" i="20"/>
  <c r="R395" i="20"/>
  <c r="Y395" i="20"/>
  <c r="Z395" i="20"/>
  <c r="AA395" i="20"/>
  <c r="N396" i="20"/>
  <c r="P396" i="20"/>
  <c r="R396" i="20"/>
  <c r="Y396" i="20"/>
  <c r="Z396" i="20"/>
  <c r="AA396" i="20"/>
  <c r="N397" i="20"/>
  <c r="P397" i="20"/>
  <c r="R397" i="20"/>
  <c r="Y397" i="20"/>
  <c r="Z397" i="20"/>
  <c r="AA397" i="20"/>
  <c r="N398" i="20"/>
  <c r="P398" i="20"/>
  <c r="R398" i="20"/>
  <c r="Y398" i="20"/>
  <c r="Z398" i="20"/>
  <c r="AA398" i="20"/>
  <c r="N399" i="20"/>
  <c r="P399" i="20"/>
  <c r="R399" i="20"/>
  <c r="Y399" i="20"/>
  <c r="Z399" i="20"/>
  <c r="AA399" i="20"/>
  <c r="N400" i="20"/>
  <c r="P400" i="20"/>
  <c r="R400" i="20"/>
  <c r="Y400" i="20"/>
  <c r="Z400" i="20"/>
  <c r="AA400" i="20"/>
  <c r="N401" i="20"/>
  <c r="P401" i="20"/>
  <c r="R401" i="20"/>
  <c r="Y401" i="20"/>
  <c r="Z401" i="20"/>
  <c r="AA401" i="20"/>
  <c r="N402" i="20"/>
  <c r="P402" i="20"/>
  <c r="R402" i="20"/>
  <c r="Y402" i="20"/>
  <c r="Z402" i="20"/>
  <c r="AA402" i="20"/>
  <c r="N403" i="20"/>
  <c r="P403" i="20"/>
  <c r="R403" i="20"/>
  <c r="Y403" i="20"/>
  <c r="Z403" i="20"/>
  <c r="AA403" i="20"/>
  <c r="N404" i="20"/>
  <c r="P404" i="20"/>
  <c r="R404" i="20"/>
  <c r="Y404" i="20"/>
  <c r="Z404" i="20"/>
  <c r="AA404" i="20"/>
  <c r="N405" i="20"/>
  <c r="P405" i="20"/>
  <c r="R405" i="20"/>
  <c r="Y405" i="20"/>
  <c r="Z405" i="20"/>
  <c r="AA405" i="20"/>
  <c r="N406" i="20"/>
  <c r="P406" i="20"/>
  <c r="R406" i="20"/>
  <c r="Y406" i="20"/>
  <c r="Z406" i="20"/>
  <c r="AA406" i="20"/>
  <c r="N407" i="20"/>
  <c r="P407" i="20"/>
  <c r="R407" i="20"/>
  <c r="Y407" i="20"/>
  <c r="Z407" i="20"/>
  <c r="AA407" i="20"/>
  <c r="N408" i="20"/>
  <c r="P408" i="20"/>
  <c r="R408" i="20"/>
  <c r="Y408" i="20"/>
  <c r="Z408" i="20"/>
  <c r="AA408" i="20"/>
  <c r="N409" i="20"/>
  <c r="P409" i="20"/>
  <c r="R409" i="20"/>
  <c r="Y409" i="20"/>
  <c r="Z409" i="20"/>
  <c r="AA409" i="20"/>
  <c r="AB393" i="20"/>
  <c r="AE393" i="20"/>
  <c r="AD383" i="20"/>
  <c r="N383" i="20"/>
  <c r="P383" i="20"/>
  <c r="R383" i="20"/>
  <c r="Y383" i="20"/>
  <c r="Z383" i="20"/>
  <c r="AA383" i="20"/>
  <c r="N384" i="20"/>
  <c r="P384" i="20"/>
  <c r="R384" i="20"/>
  <c r="Y384" i="20"/>
  <c r="Z384" i="20"/>
  <c r="AA384" i="20"/>
  <c r="N385" i="20"/>
  <c r="P385" i="20"/>
  <c r="R385" i="20"/>
  <c r="Y385" i="20"/>
  <c r="Z385" i="20"/>
  <c r="AA385" i="20"/>
  <c r="N386" i="20"/>
  <c r="P386" i="20"/>
  <c r="R386" i="20"/>
  <c r="Y386" i="20"/>
  <c r="Z386" i="20"/>
  <c r="AA386" i="20"/>
  <c r="N387" i="20"/>
  <c r="P387" i="20"/>
  <c r="R387" i="20"/>
  <c r="Y387" i="20"/>
  <c r="Z387" i="20"/>
  <c r="AA387" i="20"/>
  <c r="N388" i="20"/>
  <c r="P388" i="20"/>
  <c r="R388" i="20"/>
  <c r="Y388" i="20"/>
  <c r="Z388" i="20"/>
  <c r="AA388" i="20"/>
  <c r="N389" i="20"/>
  <c r="P389" i="20"/>
  <c r="R389" i="20"/>
  <c r="Y389" i="20"/>
  <c r="Z389" i="20"/>
  <c r="AA389" i="20"/>
  <c r="N390" i="20"/>
  <c r="P390" i="20"/>
  <c r="R390" i="20"/>
  <c r="Y390" i="20"/>
  <c r="Z390" i="20"/>
  <c r="AA390" i="20"/>
  <c r="N391" i="20"/>
  <c r="P391" i="20"/>
  <c r="R391" i="20"/>
  <c r="Y391" i="20"/>
  <c r="Z391" i="20"/>
  <c r="AA391" i="20"/>
  <c r="N392" i="20"/>
  <c r="P392" i="20"/>
  <c r="R392" i="20"/>
  <c r="Y392" i="20"/>
  <c r="Z392" i="20"/>
  <c r="AA392" i="20"/>
  <c r="AB383" i="20"/>
  <c r="AE383" i="20"/>
  <c r="AD366" i="20"/>
  <c r="N366" i="20"/>
  <c r="P366" i="20"/>
  <c r="R366" i="20"/>
  <c r="Y366" i="20"/>
  <c r="Z366" i="20"/>
  <c r="AA366" i="20"/>
  <c r="N367" i="20"/>
  <c r="P367" i="20"/>
  <c r="R367" i="20"/>
  <c r="Y367" i="20"/>
  <c r="Z367" i="20"/>
  <c r="AA367" i="20"/>
  <c r="N368" i="20"/>
  <c r="P368" i="20"/>
  <c r="R368" i="20"/>
  <c r="Y368" i="20"/>
  <c r="Z368" i="20"/>
  <c r="AA368" i="20"/>
  <c r="N369" i="20"/>
  <c r="P369" i="20"/>
  <c r="R369" i="20"/>
  <c r="Y369" i="20"/>
  <c r="Z369" i="20"/>
  <c r="AA369" i="20"/>
  <c r="N370" i="20"/>
  <c r="P370" i="20"/>
  <c r="R370" i="20"/>
  <c r="Y370" i="20"/>
  <c r="Z370" i="20"/>
  <c r="AA370" i="20"/>
  <c r="N371" i="20"/>
  <c r="P371" i="20"/>
  <c r="R371" i="20"/>
  <c r="Y371" i="20"/>
  <c r="Z371" i="20"/>
  <c r="AA371" i="20"/>
  <c r="N372" i="20"/>
  <c r="P372" i="20"/>
  <c r="R372" i="20"/>
  <c r="Y372" i="20"/>
  <c r="Z372" i="20"/>
  <c r="AA372" i="20"/>
  <c r="N373" i="20"/>
  <c r="P373" i="20"/>
  <c r="R373" i="20"/>
  <c r="Y373" i="20"/>
  <c r="Z373" i="20"/>
  <c r="AA373" i="20"/>
  <c r="N374" i="20"/>
  <c r="P374" i="20"/>
  <c r="R374" i="20"/>
  <c r="Y374" i="20"/>
  <c r="Z374" i="20"/>
  <c r="AA374" i="20"/>
  <c r="N375" i="20"/>
  <c r="P375" i="20"/>
  <c r="R375" i="20"/>
  <c r="Y375" i="20"/>
  <c r="Z375" i="20"/>
  <c r="AA375" i="20"/>
  <c r="N376" i="20"/>
  <c r="P376" i="20"/>
  <c r="R376" i="20"/>
  <c r="Y376" i="20"/>
  <c r="Z376" i="20"/>
  <c r="AA376" i="20"/>
  <c r="N377" i="20"/>
  <c r="P377" i="20"/>
  <c r="R377" i="20"/>
  <c r="Y377" i="20"/>
  <c r="Z377" i="20"/>
  <c r="AA377" i="20"/>
  <c r="N378" i="20"/>
  <c r="P378" i="20"/>
  <c r="R378" i="20"/>
  <c r="Y378" i="20"/>
  <c r="Z378" i="20"/>
  <c r="AA378" i="20"/>
  <c r="N379" i="20"/>
  <c r="P379" i="20"/>
  <c r="R379" i="20"/>
  <c r="Y379" i="20"/>
  <c r="Z379" i="20"/>
  <c r="AA379" i="20"/>
  <c r="N380" i="20"/>
  <c r="P380" i="20"/>
  <c r="R380" i="20"/>
  <c r="Y380" i="20"/>
  <c r="Z380" i="20"/>
  <c r="AA380" i="20"/>
  <c r="N381" i="20"/>
  <c r="P381" i="20"/>
  <c r="R381" i="20"/>
  <c r="Y381" i="20"/>
  <c r="Z381" i="20"/>
  <c r="AA381" i="20"/>
  <c r="N382" i="20"/>
  <c r="P382" i="20"/>
  <c r="R382" i="20"/>
  <c r="Y382" i="20"/>
  <c r="Z382" i="20"/>
  <c r="AA382" i="20"/>
  <c r="AB366" i="20"/>
  <c r="AE366" i="20"/>
  <c r="AD354" i="20"/>
  <c r="N354" i="20"/>
  <c r="P354" i="20"/>
  <c r="R354" i="20"/>
  <c r="Y354" i="20"/>
  <c r="Z354" i="20"/>
  <c r="AA354" i="20"/>
  <c r="N355" i="20"/>
  <c r="P355" i="20"/>
  <c r="R355" i="20"/>
  <c r="Y355" i="20"/>
  <c r="Z355" i="20"/>
  <c r="AA355" i="20"/>
  <c r="N356" i="20"/>
  <c r="P356" i="20"/>
  <c r="R356" i="20"/>
  <c r="Y356" i="20"/>
  <c r="Z356" i="20"/>
  <c r="AA356" i="20"/>
  <c r="N357" i="20"/>
  <c r="P357" i="20"/>
  <c r="R357" i="20"/>
  <c r="Y357" i="20"/>
  <c r="Z357" i="20"/>
  <c r="AA357" i="20"/>
  <c r="N358" i="20"/>
  <c r="P358" i="20"/>
  <c r="R358" i="20"/>
  <c r="Y358" i="20"/>
  <c r="Z358" i="20"/>
  <c r="AA358" i="20"/>
  <c r="N359" i="20"/>
  <c r="P359" i="20"/>
  <c r="R359" i="20"/>
  <c r="Y359" i="20"/>
  <c r="Z359" i="20"/>
  <c r="AA359" i="20"/>
  <c r="N360" i="20"/>
  <c r="P360" i="20"/>
  <c r="R360" i="20"/>
  <c r="Y360" i="20"/>
  <c r="Z360" i="20"/>
  <c r="AA360" i="20"/>
  <c r="N361" i="20"/>
  <c r="P361" i="20"/>
  <c r="R361" i="20"/>
  <c r="Y361" i="20"/>
  <c r="Z361" i="20"/>
  <c r="AA361" i="20"/>
  <c r="N362" i="20"/>
  <c r="P362" i="20"/>
  <c r="R362" i="20"/>
  <c r="Y362" i="20"/>
  <c r="Z362" i="20"/>
  <c r="AA362" i="20"/>
  <c r="N363" i="20"/>
  <c r="P363" i="20"/>
  <c r="R363" i="20"/>
  <c r="Y363" i="20"/>
  <c r="Z363" i="20"/>
  <c r="AA363" i="20"/>
  <c r="N364" i="20"/>
  <c r="P364" i="20"/>
  <c r="R364" i="20"/>
  <c r="Y364" i="20"/>
  <c r="Z364" i="20"/>
  <c r="AA364" i="20"/>
  <c r="N365" i="20"/>
  <c r="P365" i="20"/>
  <c r="R365" i="20"/>
  <c r="Y365" i="20"/>
  <c r="Z365" i="20"/>
  <c r="AA365" i="20"/>
  <c r="AB354" i="20"/>
  <c r="AE354" i="20"/>
  <c r="AD352" i="20"/>
  <c r="N352" i="20"/>
  <c r="P352" i="20"/>
  <c r="R352" i="20"/>
  <c r="Y352" i="20"/>
  <c r="Z352" i="20"/>
  <c r="AA352" i="20"/>
  <c r="N353" i="20"/>
  <c r="P353" i="20"/>
  <c r="R353" i="20"/>
  <c r="Y353" i="20"/>
  <c r="Z353" i="20"/>
  <c r="AA353" i="20"/>
  <c r="AB352" i="20"/>
  <c r="AE352" i="20"/>
  <c r="AD343" i="20"/>
  <c r="N343" i="20"/>
  <c r="P343" i="20"/>
  <c r="R343" i="20"/>
  <c r="Y343" i="20"/>
  <c r="Z343" i="20"/>
  <c r="AA343" i="20"/>
  <c r="N344" i="20"/>
  <c r="P344" i="20"/>
  <c r="R344" i="20"/>
  <c r="Y344" i="20"/>
  <c r="Z344" i="20"/>
  <c r="AA344" i="20"/>
  <c r="N345" i="20"/>
  <c r="P345" i="20"/>
  <c r="R345" i="20"/>
  <c r="Y345" i="20"/>
  <c r="Z345" i="20"/>
  <c r="AA345" i="20"/>
  <c r="N346" i="20"/>
  <c r="P346" i="20"/>
  <c r="R346" i="20"/>
  <c r="Y346" i="20"/>
  <c r="Z346" i="20"/>
  <c r="AA346" i="20"/>
  <c r="N347" i="20"/>
  <c r="P347" i="20"/>
  <c r="R347" i="20"/>
  <c r="Y347" i="20"/>
  <c r="Z347" i="20"/>
  <c r="AA347" i="20"/>
  <c r="N348" i="20"/>
  <c r="P348" i="20"/>
  <c r="R348" i="20"/>
  <c r="Y348" i="20"/>
  <c r="Z348" i="20"/>
  <c r="AA348" i="20"/>
  <c r="N349" i="20"/>
  <c r="P349" i="20"/>
  <c r="R349" i="20"/>
  <c r="Y349" i="20"/>
  <c r="Z349" i="20"/>
  <c r="AA349" i="20"/>
  <c r="N350" i="20"/>
  <c r="P350" i="20"/>
  <c r="R350" i="20"/>
  <c r="Y350" i="20"/>
  <c r="Z350" i="20"/>
  <c r="AA350" i="20"/>
  <c r="N351" i="20"/>
  <c r="P351" i="20"/>
  <c r="R351" i="20"/>
  <c r="Y351" i="20"/>
  <c r="Z351" i="20"/>
  <c r="AA351" i="20"/>
  <c r="AB343" i="20"/>
  <c r="AE343" i="20"/>
  <c r="AD328" i="20"/>
  <c r="N328" i="20"/>
  <c r="P328" i="20"/>
  <c r="R328" i="20"/>
  <c r="Y328" i="20"/>
  <c r="Z328" i="20"/>
  <c r="AA328" i="20"/>
  <c r="N329" i="20"/>
  <c r="P329" i="20"/>
  <c r="R329" i="20"/>
  <c r="Y329" i="20"/>
  <c r="Z329" i="20"/>
  <c r="AA329" i="20"/>
  <c r="N330" i="20"/>
  <c r="P330" i="20"/>
  <c r="R330" i="20"/>
  <c r="Y330" i="20"/>
  <c r="Z330" i="20"/>
  <c r="AA330" i="20"/>
  <c r="N331" i="20"/>
  <c r="P331" i="20"/>
  <c r="R331" i="20"/>
  <c r="Y331" i="20"/>
  <c r="Z331" i="20"/>
  <c r="AA331" i="20"/>
  <c r="N332" i="20"/>
  <c r="P332" i="20"/>
  <c r="R332" i="20"/>
  <c r="Y332" i="20"/>
  <c r="Z332" i="20"/>
  <c r="AA332" i="20"/>
  <c r="N333" i="20"/>
  <c r="P333" i="20"/>
  <c r="R333" i="20"/>
  <c r="Y333" i="20"/>
  <c r="Z333" i="20"/>
  <c r="AA333" i="20"/>
  <c r="N334" i="20"/>
  <c r="P334" i="20"/>
  <c r="R334" i="20"/>
  <c r="Y334" i="20"/>
  <c r="Z334" i="20"/>
  <c r="AA334" i="20"/>
  <c r="N335" i="20"/>
  <c r="P335" i="20"/>
  <c r="R335" i="20"/>
  <c r="Y335" i="20"/>
  <c r="Z335" i="20"/>
  <c r="AA335" i="20"/>
  <c r="N336" i="20"/>
  <c r="P336" i="20"/>
  <c r="R336" i="20"/>
  <c r="Y336" i="20"/>
  <c r="Z336" i="20"/>
  <c r="AA336" i="20"/>
  <c r="N337" i="20"/>
  <c r="P337" i="20"/>
  <c r="R337" i="20"/>
  <c r="Y337" i="20"/>
  <c r="Z337" i="20"/>
  <c r="AA337" i="20"/>
  <c r="N338" i="20"/>
  <c r="P338" i="20"/>
  <c r="R338" i="20"/>
  <c r="Y338" i="20"/>
  <c r="Z338" i="20"/>
  <c r="AA338" i="20"/>
  <c r="N339" i="20"/>
  <c r="P339" i="20"/>
  <c r="R339" i="20"/>
  <c r="Y339" i="20"/>
  <c r="Z339" i="20"/>
  <c r="AA339" i="20"/>
  <c r="N340" i="20"/>
  <c r="P340" i="20"/>
  <c r="R340" i="20"/>
  <c r="Y340" i="20"/>
  <c r="Z340" i="20"/>
  <c r="AA340" i="20"/>
  <c r="N341" i="20"/>
  <c r="P341" i="20"/>
  <c r="R341" i="20"/>
  <c r="Y341" i="20"/>
  <c r="Z341" i="20"/>
  <c r="AA341" i="20"/>
  <c r="N342" i="20"/>
  <c r="P342" i="20"/>
  <c r="R342" i="20"/>
  <c r="Y342" i="20"/>
  <c r="Z342" i="20"/>
  <c r="AA342" i="20"/>
  <c r="AB328" i="20"/>
  <c r="AE328" i="20"/>
  <c r="AD305" i="20"/>
  <c r="N305" i="20"/>
  <c r="P305" i="20"/>
  <c r="R305" i="20"/>
  <c r="Y305" i="20"/>
  <c r="Z305" i="20"/>
  <c r="AA305" i="20"/>
  <c r="N306" i="20"/>
  <c r="P306" i="20"/>
  <c r="R306" i="20"/>
  <c r="Y306" i="20"/>
  <c r="Z306" i="20"/>
  <c r="AA306" i="20"/>
  <c r="N307" i="20"/>
  <c r="P307" i="20"/>
  <c r="R307" i="20"/>
  <c r="Y307" i="20"/>
  <c r="Z307" i="20"/>
  <c r="AA307" i="20"/>
  <c r="N308" i="20"/>
  <c r="P308" i="20"/>
  <c r="R308" i="20"/>
  <c r="Y308" i="20"/>
  <c r="Z308" i="20"/>
  <c r="AA308" i="20"/>
  <c r="N309" i="20"/>
  <c r="P309" i="20"/>
  <c r="R309" i="20"/>
  <c r="Y309" i="20"/>
  <c r="Z309" i="20"/>
  <c r="AA309" i="20"/>
  <c r="N310" i="20"/>
  <c r="P310" i="20"/>
  <c r="R310" i="20"/>
  <c r="Y310" i="20"/>
  <c r="Z310" i="20"/>
  <c r="AA310" i="20"/>
  <c r="N311" i="20"/>
  <c r="P311" i="20"/>
  <c r="R311" i="20"/>
  <c r="Y311" i="20"/>
  <c r="Z311" i="20"/>
  <c r="AA311" i="20"/>
  <c r="N312" i="20"/>
  <c r="P312" i="20"/>
  <c r="R312" i="20"/>
  <c r="Y312" i="20"/>
  <c r="Z312" i="20"/>
  <c r="AA312" i="20"/>
  <c r="N313" i="20"/>
  <c r="P313" i="20"/>
  <c r="R313" i="20"/>
  <c r="Y313" i="20"/>
  <c r="Z313" i="20"/>
  <c r="AA313" i="20"/>
  <c r="N314" i="20"/>
  <c r="P314" i="20"/>
  <c r="R314" i="20"/>
  <c r="Y314" i="20"/>
  <c r="Z314" i="20"/>
  <c r="AA314" i="20"/>
  <c r="N315" i="20"/>
  <c r="P315" i="20"/>
  <c r="R315" i="20"/>
  <c r="Y315" i="20"/>
  <c r="Z315" i="20"/>
  <c r="AA315" i="20"/>
  <c r="N316" i="20"/>
  <c r="P316" i="20"/>
  <c r="R316" i="20"/>
  <c r="Y316" i="20"/>
  <c r="Z316" i="20"/>
  <c r="AA316" i="20"/>
  <c r="N317" i="20"/>
  <c r="P317" i="20"/>
  <c r="R317" i="20"/>
  <c r="Y317" i="20"/>
  <c r="Z317" i="20"/>
  <c r="AA317" i="20"/>
  <c r="N318" i="20"/>
  <c r="P318" i="20"/>
  <c r="R318" i="20"/>
  <c r="Y318" i="20"/>
  <c r="Z318" i="20"/>
  <c r="AA318" i="20"/>
  <c r="N319" i="20"/>
  <c r="P319" i="20"/>
  <c r="R319" i="20"/>
  <c r="Y319" i="20"/>
  <c r="Z319" i="20"/>
  <c r="AA319" i="20"/>
  <c r="N320" i="20"/>
  <c r="P320" i="20"/>
  <c r="R320" i="20"/>
  <c r="Y320" i="20"/>
  <c r="Z320" i="20"/>
  <c r="AA320" i="20"/>
  <c r="N321" i="20"/>
  <c r="P321" i="20"/>
  <c r="R321" i="20"/>
  <c r="Y321" i="20"/>
  <c r="Z321" i="20"/>
  <c r="AA321" i="20"/>
  <c r="N322" i="20"/>
  <c r="P322" i="20"/>
  <c r="R322" i="20"/>
  <c r="Y322" i="20"/>
  <c r="Z322" i="20"/>
  <c r="AA322" i="20"/>
  <c r="N323" i="20"/>
  <c r="P323" i="20"/>
  <c r="R323" i="20"/>
  <c r="Y323" i="20"/>
  <c r="Z323" i="20"/>
  <c r="AA323" i="20"/>
  <c r="N324" i="20"/>
  <c r="P324" i="20"/>
  <c r="R324" i="20"/>
  <c r="Y324" i="20"/>
  <c r="Z324" i="20"/>
  <c r="AA324" i="20"/>
  <c r="N325" i="20"/>
  <c r="P325" i="20"/>
  <c r="R325" i="20"/>
  <c r="Y325" i="20"/>
  <c r="Z325" i="20"/>
  <c r="AA325" i="20"/>
  <c r="N326" i="20"/>
  <c r="P326" i="20"/>
  <c r="R326" i="20"/>
  <c r="Y326" i="20"/>
  <c r="Z326" i="20"/>
  <c r="AA326" i="20"/>
  <c r="N327" i="20"/>
  <c r="P327" i="20"/>
  <c r="R327" i="20"/>
  <c r="Y327" i="20"/>
  <c r="Z327" i="20"/>
  <c r="AA327" i="20"/>
  <c r="AB305" i="20"/>
  <c r="AE305" i="20"/>
  <c r="AD289" i="20"/>
  <c r="N289" i="20"/>
  <c r="P289" i="20"/>
  <c r="R289" i="20"/>
  <c r="Y289" i="20"/>
  <c r="Z289" i="20"/>
  <c r="AA289" i="20"/>
  <c r="N290" i="20"/>
  <c r="P290" i="20"/>
  <c r="R290" i="20"/>
  <c r="Y290" i="20"/>
  <c r="Z290" i="20"/>
  <c r="AA290" i="20"/>
  <c r="N291" i="20"/>
  <c r="P291" i="20"/>
  <c r="R291" i="20"/>
  <c r="Y291" i="20"/>
  <c r="Z291" i="20"/>
  <c r="AA291" i="20"/>
  <c r="N292" i="20"/>
  <c r="P292" i="20"/>
  <c r="R292" i="20"/>
  <c r="Y292" i="20"/>
  <c r="Z292" i="20"/>
  <c r="AA292" i="20"/>
  <c r="N293" i="20"/>
  <c r="P293" i="20"/>
  <c r="R293" i="20"/>
  <c r="Y293" i="20"/>
  <c r="Z293" i="20"/>
  <c r="AA293" i="20"/>
  <c r="N294" i="20"/>
  <c r="P294" i="20"/>
  <c r="R294" i="20"/>
  <c r="Y294" i="20"/>
  <c r="Z294" i="20"/>
  <c r="AA294" i="20"/>
  <c r="N295" i="20"/>
  <c r="P295" i="20"/>
  <c r="R295" i="20"/>
  <c r="Y295" i="20"/>
  <c r="Z295" i="20"/>
  <c r="AA295" i="20"/>
  <c r="N296" i="20"/>
  <c r="P296" i="20"/>
  <c r="R296" i="20"/>
  <c r="Y296" i="20"/>
  <c r="Z296" i="20"/>
  <c r="AA296" i="20"/>
  <c r="N297" i="20"/>
  <c r="P297" i="20"/>
  <c r="R297" i="20"/>
  <c r="Y297" i="20"/>
  <c r="Z297" i="20"/>
  <c r="AA297" i="20"/>
  <c r="N298" i="20"/>
  <c r="P298" i="20"/>
  <c r="R298" i="20"/>
  <c r="Y298" i="20"/>
  <c r="Z298" i="20"/>
  <c r="AA298" i="20"/>
  <c r="N299" i="20"/>
  <c r="P299" i="20"/>
  <c r="R299" i="20"/>
  <c r="Y299" i="20"/>
  <c r="Z299" i="20"/>
  <c r="AA299" i="20"/>
  <c r="N300" i="20"/>
  <c r="P300" i="20"/>
  <c r="R300" i="20"/>
  <c r="Y300" i="20"/>
  <c r="Z300" i="20"/>
  <c r="AA300" i="20"/>
  <c r="N301" i="20"/>
  <c r="P301" i="20"/>
  <c r="R301" i="20"/>
  <c r="Y301" i="20"/>
  <c r="Z301" i="20"/>
  <c r="AA301" i="20"/>
  <c r="N302" i="20"/>
  <c r="P302" i="20"/>
  <c r="R302" i="20"/>
  <c r="Y302" i="20"/>
  <c r="Z302" i="20"/>
  <c r="AA302" i="20"/>
  <c r="N303" i="20"/>
  <c r="P303" i="20"/>
  <c r="R303" i="20"/>
  <c r="Y303" i="20"/>
  <c r="Z303" i="20"/>
  <c r="AA303" i="20"/>
  <c r="N304" i="20"/>
  <c r="P304" i="20"/>
  <c r="R304" i="20"/>
  <c r="Y304" i="20"/>
  <c r="Z304" i="20"/>
  <c r="AA304" i="20"/>
  <c r="AB289" i="20"/>
  <c r="AE289" i="20"/>
  <c r="AD280" i="20"/>
  <c r="N280" i="20"/>
  <c r="P280" i="20"/>
  <c r="R280" i="20"/>
  <c r="Y280" i="20"/>
  <c r="Z280" i="20"/>
  <c r="AA280" i="20"/>
  <c r="N281" i="20"/>
  <c r="P281" i="20"/>
  <c r="R281" i="20"/>
  <c r="Y281" i="20"/>
  <c r="Z281" i="20"/>
  <c r="AA281" i="20"/>
  <c r="N282" i="20"/>
  <c r="P282" i="20"/>
  <c r="R282" i="20"/>
  <c r="Y282" i="20"/>
  <c r="Z282" i="20"/>
  <c r="AA282" i="20"/>
  <c r="N283" i="20"/>
  <c r="P283" i="20"/>
  <c r="R283" i="20"/>
  <c r="Y283" i="20"/>
  <c r="Z283" i="20"/>
  <c r="AA283" i="20"/>
  <c r="N284" i="20"/>
  <c r="P284" i="20"/>
  <c r="R284" i="20"/>
  <c r="Y284" i="20"/>
  <c r="Z284" i="20"/>
  <c r="AA284" i="20"/>
  <c r="N285" i="20"/>
  <c r="P285" i="20"/>
  <c r="R285" i="20"/>
  <c r="Y285" i="20"/>
  <c r="Z285" i="20"/>
  <c r="AA285" i="20"/>
  <c r="N286" i="20"/>
  <c r="P286" i="20"/>
  <c r="R286" i="20"/>
  <c r="Y286" i="20"/>
  <c r="Z286" i="20"/>
  <c r="AA286" i="20"/>
  <c r="N287" i="20"/>
  <c r="P287" i="20"/>
  <c r="R287" i="20"/>
  <c r="Y287" i="20"/>
  <c r="Z287" i="20"/>
  <c r="AA287" i="20"/>
  <c r="N288" i="20"/>
  <c r="P288" i="20"/>
  <c r="R288" i="20"/>
  <c r="Y288" i="20"/>
  <c r="Z288" i="20"/>
  <c r="AA288" i="20"/>
  <c r="AB280" i="20"/>
  <c r="AE280" i="20"/>
  <c r="AD264" i="20"/>
  <c r="N264" i="20"/>
  <c r="P264" i="20"/>
  <c r="R264" i="20"/>
  <c r="Y264" i="20"/>
  <c r="Z264" i="20"/>
  <c r="AA264" i="20"/>
  <c r="N265" i="20"/>
  <c r="P265" i="20"/>
  <c r="R265" i="20"/>
  <c r="Y265" i="20"/>
  <c r="Z265" i="20"/>
  <c r="AA265" i="20"/>
  <c r="N266" i="20"/>
  <c r="P266" i="20"/>
  <c r="R266" i="20"/>
  <c r="Y266" i="20"/>
  <c r="Z266" i="20"/>
  <c r="AA266" i="20"/>
  <c r="N267" i="20"/>
  <c r="P267" i="20"/>
  <c r="R267" i="20"/>
  <c r="Y267" i="20"/>
  <c r="Z267" i="20"/>
  <c r="AA267" i="20"/>
  <c r="N268" i="20"/>
  <c r="P268" i="20"/>
  <c r="R268" i="20"/>
  <c r="Y268" i="20"/>
  <c r="Z268" i="20"/>
  <c r="AA268" i="20"/>
  <c r="N269" i="20"/>
  <c r="P269" i="20"/>
  <c r="R269" i="20"/>
  <c r="Y269" i="20"/>
  <c r="Z269" i="20"/>
  <c r="AA269" i="20"/>
  <c r="N270" i="20"/>
  <c r="P270" i="20"/>
  <c r="R270" i="20"/>
  <c r="Y270" i="20"/>
  <c r="Z270" i="20"/>
  <c r="AA270" i="20"/>
  <c r="N271" i="20"/>
  <c r="P271" i="20"/>
  <c r="R271" i="20"/>
  <c r="Y271" i="20"/>
  <c r="Z271" i="20"/>
  <c r="AA271" i="20"/>
  <c r="N272" i="20"/>
  <c r="P272" i="20"/>
  <c r="R272" i="20"/>
  <c r="Y272" i="20"/>
  <c r="Z272" i="20"/>
  <c r="AA272" i="20"/>
  <c r="N273" i="20"/>
  <c r="P273" i="20"/>
  <c r="R273" i="20"/>
  <c r="Y273" i="20"/>
  <c r="Z273" i="20"/>
  <c r="AA273" i="20"/>
  <c r="N274" i="20"/>
  <c r="P274" i="20"/>
  <c r="R274" i="20"/>
  <c r="Y274" i="20"/>
  <c r="Z274" i="20"/>
  <c r="AA274" i="20"/>
  <c r="N275" i="20"/>
  <c r="P275" i="20"/>
  <c r="R275" i="20"/>
  <c r="Y275" i="20"/>
  <c r="Z275" i="20"/>
  <c r="AA275" i="20"/>
  <c r="N276" i="20"/>
  <c r="P276" i="20"/>
  <c r="R276" i="20"/>
  <c r="Y276" i="20"/>
  <c r="Z276" i="20"/>
  <c r="AA276" i="20"/>
  <c r="N277" i="20"/>
  <c r="P277" i="20"/>
  <c r="R277" i="20"/>
  <c r="Y277" i="20"/>
  <c r="Z277" i="20"/>
  <c r="AA277" i="20"/>
  <c r="N278" i="20"/>
  <c r="P278" i="20"/>
  <c r="R278" i="20"/>
  <c r="Y278" i="20"/>
  <c r="Z278" i="20"/>
  <c r="AA278" i="20"/>
  <c r="N279" i="20"/>
  <c r="P279" i="20"/>
  <c r="R279" i="20"/>
  <c r="Y279" i="20"/>
  <c r="Z279" i="20"/>
  <c r="AA279" i="20"/>
  <c r="AB264" i="20"/>
  <c r="AE264" i="20"/>
  <c r="AD251" i="20"/>
  <c r="N251" i="20"/>
  <c r="P251" i="20"/>
  <c r="R251" i="20"/>
  <c r="Y251" i="20"/>
  <c r="Z251" i="20"/>
  <c r="AA251" i="20"/>
  <c r="N252" i="20"/>
  <c r="P252" i="20"/>
  <c r="R252" i="20"/>
  <c r="Y252" i="20"/>
  <c r="Z252" i="20"/>
  <c r="AA252" i="20"/>
  <c r="N253" i="20"/>
  <c r="P253" i="20"/>
  <c r="R253" i="20"/>
  <c r="Y253" i="20"/>
  <c r="Z253" i="20"/>
  <c r="AA253" i="20"/>
  <c r="N254" i="20"/>
  <c r="P254" i="20"/>
  <c r="R254" i="20"/>
  <c r="Y254" i="20"/>
  <c r="Z254" i="20"/>
  <c r="AA254" i="20"/>
  <c r="N255" i="20"/>
  <c r="P255" i="20"/>
  <c r="R255" i="20"/>
  <c r="Y255" i="20"/>
  <c r="Z255" i="20"/>
  <c r="AA255" i="20"/>
  <c r="N256" i="20"/>
  <c r="P256" i="20"/>
  <c r="R256" i="20"/>
  <c r="Y256" i="20"/>
  <c r="Z256" i="20"/>
  <c r="AA256" i="20"/>
  <c r="N257" i="20"/>
  <c r="P257" i="20"/>
  <c r="R257" i="20"/>
  <c r="Y257" i="20"/>
  <c r="Z257" i="20"/>
  <c r="AA257" i="20"/>
  <c r="N258" i="20"/>
  <c r="P258" i="20"/>
  <c r="R258" i="20"/>
  <c r="Y258" i="20"/>
  <c r="Z258" i="20"/>
  <c r="AA258" i="20"/>
  <c r="N259" i="20"/>
  <c r="P259" i="20"/>
  <c r="R259" i="20"/>
  <c r="Y259" i="20"/>
  <c r="Z259" i="20"/>
  <c r="AA259" i="20"/>
  <c r="N260" i="20"/>
  <c r="P260" i="20"/>
  <c r="R260" i="20"/>
  <c r="Y260" i="20"/>
  <c r="Z260" i="20"/>
  <c r="AA260" i="20"/>
  <c r="N261" i="20"/>
  <c r="P261" i="20"/>
  <c r="R261" i="20"/>
  <c r="Y261" i="20"/>
  <c r="Z261" i="20"/>
  <c r="AA261" i="20"/>
  <c r="N262" i="20"/>
  <c r="P262" i="20"/>
  <c r="R262" i="20"/>
  <c r="Y262" i="20"/>
  <c r="Z262" i="20"/>
  <c r="AA262" i="20"/>
  <c r="N263" i="20"/>
  <c r="P263" i="20"/>
  <c r="R263" i="20"/>
  <c r="Y263" i="20"/>
  <c r="Z263" i="20"/>
  <c r="AA263" i="20"/>
  <c r="AB251" i="20"/>
  <c r="AE251" i="20"/>
  <c r="AD242" i="20"/>
  <c r="N242" i="20"/>
  <c r="P242" i="20"/>
  <c r="R242" i="20"/>
  <c r="Y242" i="20"/>
  <c r="Z242" i="20"/>
  <c r="AA242" i="20"/>
  <c r="N243" i="20"/>
  <c r="P243" i="20"/>
  <c r="R243" i="20"/>
  <c r="Y243" i="20"/>
  <c r="Z243" i="20"/>
  <c r="AA243" i="20"/>
  <c r="N244" i="20"/>
  <c r="P244" i="20"/>
  <c r="R244" i="20"/>
  <c r="Y244" i="20"/>
  <c r="Z244" i="20"/>
  <c r="AA244" i="20"/>
  <c r="N245" i="20"/>
  <c r="P245" i="20"/>
  <c r="R245" i="20"/>
  <c r="Y245" i="20"/>
  <c r="Z245" i="20"/>
  <c r="AA245" i="20"/>
  <c r="N246" i="20"/>
  <c r="P246" i="20"/>
  <c r="R246" i="20"/>
  <c r="Y246" i="20"/>
  <c r="Z246" i="20"/>
  <c r="AA246" i="20"/>
  <c r="N247" i="20"/>
  <c r="P247" i="20"/>
  <c r="R247" i="20"/>
  <c r="Y247" i="20"/>
  <c r="Z247" i="20"/>
  <c r="AA247" i="20"/>
  <c r="N248" i="20"/>
  <c r="P248" i="20"/>
  <c r="R248" i="20"/>
  <c r="Y248" i="20"/>
  <c r="Z248" i="20"/>
  <c r="AA248" i="20"/>
  <c r="N249" i="20"/>
  <c r="P249" i="20"/>
  <c r="R249" i="20"/>
  <c r="Y249" i="20"/>
  <c r="Z249" i="20"/>
  <c r="AA249" i="20"/>
  <c r="N250" i="20"/>
  <c r="P250" i="20"/>
  <c r="R250" i="20"/>
  <c r="Y250" i="20"/>
  <c r="Z250" i="20"/>
  <c r="AA250" i="20"/>
  <c r="AB242" i="20"/>
  <c r="AE242" i="20"/>
  <c r="AD228" i="20"/>
  <c r="N228" i="20"/>
  <c r="P228" i="20"/>
  <c r="R228" i="20"/>
  <c r="Y228" i="20"/>
  <c r="Z228" i="20"/>
  <c r="AA228" i="20"/>
  <c r="N229" i="20"/>
  <c r="P229" i="20"/>
  <c r="R229" i="20"/>
  <c r="Y229" i="20"/>
  <c r="Z229" i="20"/>
  <c r="AA229" i="20"/>
  <c r="N230" i="20"/>
  <c r="P230" i="20"/>
  <c r="R230" i="20"/>
  <c r="Y230" i="20"/>
  <c r="Z230" i="20"/>
  <c r="AA230" i="20"/>
  <c r="N231" i="20"/>
  <c r="P231" i="20"/>
  <c r="R231" i="20"/>
  <c r="Y231" i="20"/>
  <c r="Z231" i="20"/>
  <c r="AA231" i="20"/>
  <c r="N232" i="20"/>
  <c r="P232" i="20"/>
  <c r="R232" i="20"/>
  <c r="Y232" i="20"/>
  <c r="Z232" i="20"/>
  <c r="AA232" i="20"/>
  <c r="N233" i="20"/>
  <c r="P233" i="20"/>
  <c r="R233" i="20"/>
  <c r="Y233" i="20"/>
  <c r="Z233" i="20"/>
  <c r="AA233" i="20"/>
  <c r="N234" i="20"/>
  <c r="P234" i="20"/>
  <c r="R234" i="20"/>
  <c r="Y234" i="20"/>
  <c r="Z234" i="20"/>
  <c r="AA234" i="20"/>
  <c r="N235" i="20"/>
  <c r="P235" i="20"/>
  <c r="R235" i="20"/>
  <c r="Y235" i="20"/>
  <c r="Z235" i="20"/>
  <c r="AA235" i="20"/>
  <c r="N236" i="20"/>
  <c r="P236" i="20"/>
  <c r="R236" i="20"/>
  <c r="Y236" i="20"/>
  <c r="Z236" i="20"/>
  <c r="AA236" i="20"/>
  <c r="N237" i="20"/>
  <c r="P237" i="20"/>
  <c r="R237" i="20"/>
  <c r="Y237" i="20"/>
  <c r="Z237" i="20"/>
  <c r="AA237" i="20"/>
  <c r="N238" i="20"/>
  <c r="P238" i="20"/>
  <c r="R238" i="20"/>
  <c r="Y238" i="20"/>
  <c r="Z238" i="20"/>
  <c r="AA238" i="20"/>
  <c r="N239" i="20"/>
  <c r="P239" i="20"/>
  <c r="R239" i="20"/>
  <c r="Y239" i="20"/>
  <c r="Z239" i="20"/>
  <c r="AA239" i="20"/>
  <c r="N240" i="20"/>
  <c r="P240" i="20"/>
  <c r="R240" i="20"/>
  <c r="Y240" i="20"/>
  <c r="Z240" i="20"/>
  <c r="AA240" i="20"/>
  <c r="N241" i="20"/>
  <c r="P241" i="20"/>
  <c r="R241" i="20"/>
  <c r="Y241" i="20"/>
  <c r="Z241" i="20"/>
  <c r="AA241" i="20"/>
  <c r="AB228" i="20"/>
  <c r="AE228" i="20"/>
  <c r="AD211" i="20"/>
  <c r="N211" i="20"/>
  <c r="P211" i="20"/>
  <c r="R211" i="20"/>
  <c r="Y211" i="20"/>
  <c r="Z211" i="20"/>
  <c r="AA211" i="20"/>
  <c r="N212" i="20"/>
  <c r="P212" i="20"/>
  <c r="R212" i="20"/>
  <c r="Y212" i="20"/>
  <c r="Z212" i="20"/>
  <c r="AA212" i="20"/>
  <c r="N213" i="20"/>
  <c r="P213" i="20"/>
  <c r="R213" i="20"/>
  <c r="Y213" i="20"/>
  <c r="Z213" i="20"/>
  <c r="AA213" i="20"/>
  <c r="N214" i="20"/>
  <c r="P214" i="20"/>
  <c r="R214" i="20"/>
  <c r="Y214" i="20"/>
  <c r="Z214" i="20"/>
  <c r="AA214" i="20"/>
  <c r="N215" i="20"/>
  <c r="P215" i="20"/>
  <c r="R215" i="20"/>
  <c r="Y215" i="20"/>
  <c r="Z215" i="20"/>
  <c r="AA215" i="20"/>
  <c r="N216" i="20"/>
  <c r="P216" i="20"/>
  <c r="R216" i="20"/>
  <c r="Y216" i="20"/>
  <c r="Z216" i="20"/>
  <c r="AA216" i="20"/>
  <c r="N217" i="20"/>
  <c r="P217" i="20"/>
  <c r="R217" i="20"/>
  <c r="Y217" i="20"/>
  <c r="Z217" i="20"/>
  <c r="AA217" i="20"/>
  <c r="N218" i="20"/>
  <c r="P218" i="20"/>
  <c r="R218" i="20"/>
  <c r="Y218" i="20"/>
  <c r="Z218" i="20"/>
  <c r="AA218" i="20"/>
  <c r="N219" i="20"/>
  <c r="P219" i="20"/>
  <c r="R219" i="20"/>
  <c r="Y219" i="20"/>
  <c r="Z219" i="20"/>
  <c r="AA219" i="20"/>
  <c r="N220" i="20"/>
  <c r="P220" i="20"/>
  <c r="R220" i="20"/>
  <c r="Y220" i="20"/>
  <c r="Z220" i="20"/>
  <c r="AA220" i="20"/>
  <c r="N221" i="20"/>
  <c r="P221" i="20"/>
  <c r="R221" i="20"/>
  <c r="Y221" i="20"/>
  <c r="Z221" i="20"/>
  <c r="AA221" i="20"/>
  <c r="N222" i="20"/>
  <c r="P222" i="20"/>
  <c r="R222" i="20"/>
  <c r="Y222" i="20"/>
  <c r="Z222" i="20"/>
  <c r="AA222" i="20"/>
  <c r="N223" i="20"/>
  <c r="P223" i="20"/>
  <c r="R223" i="20"/>
  <c r="Y223" i="20"/>
  <c r="Z223" i="20"/>
  <c r="AA223" i="20"/>
  <c r="N224" i="20"/>
  <c r="P224" i="20"/>
  <c r="R224" i="20"/>
  <c r="Y224" i="20"/>
  <c r="Z224" i="20"/>
  <c r="AA224" i="20"/>
  <c r="N225" i="20"/>
  <c r="P225" i="20"/>
  <c r="R225" i="20"/>
  <c r="Y225" i="20"/>
  <c r="Z225" i="20"/>
  <c r="AA225" i="20"/>
  <c r="N226" i="20"/>
  <c r="P226" i="20"/>
  <c r="R226" i="20"/>
  <c r="Y226" i="20"/>
  <c r="Z226" i="20"/>
  <c r="AA226" i="20"/>
  <c r="N227" i="20"/>
  <c r="P227" i="20"/>
  <c r="R227" i="20"/>
  <c r="Y227" i="20"/>
  <c r="Z227" i="20"/>
  <c r="AA227" i="20"/>
  <c r="AB211" i="20"/>
  <c r="AE211" i="20"/>
  <c r="AD196" i="20"/>
  <c r="N196" i="20"/>
  <c r="P196" i="20"/>
  <c r="R196" i="20"/>
  <c r="Y196" i="20"/>
  <c r="Z196" i="20"/>
  <c r="AA196" i="20"/>
  <c r="N197" i="20"/>
  <c r="P197" i="20"/>
  <c r="R197" i="20"/>
  <c r="Y197" i="20"/>
  <c r="Z197" i="20"/>
  <c r="AA197" i="20"/>
  <c r="N198" i="20"/>
  <c r="P198" i="20"/>
  <c r="R198" i="20"/>
  <c r="Y198" i="20"/>
  <c r="Z198" i="20"/>
  <c r="AA198" i="20"/>
  <c r="N199" i="20"/>
  <c r="P199" i="20"/>
  <c r="R199" i="20"/>
  <c r="Y199" i="20"/>
  <c r="Z199" i="20"/>
  <c r="AA199" i="20"/>
  <c r="N200" i="20"/>
  <c r="P200" i="20"/>
  <c r="R200" i="20"/>
  <c r="Y200" i="20"/>
  <c r="Z200" i="20"/>
  <c r="AA200" i="20"/>
  <c r="N201" i="20"/>
  <c r="P201" i="20"/>
  <c r="R201" i="20"/>
  <c r="Y201" i="20"/>
  <c r="Z201" i="20"/>
  <c r="AA201" i="20"/>
  <c r="N202" i="20"/>
  <c r="P202" i="20"/>
  <c r="R202" i="20"/>
  <c r="Y202" i="20"/>
  <c r="Z202" i="20"/>
  <c r="AA202" i="20"/>
  <c r="N203" i="20"/>
  <c r="P203" i="20"/>
  <c r="R203" i="20"/>
  <c r="Y203" i="20"/>
  <c r="Z203" i="20"/>
  <c r="AA203" i="20"/>
  <c r="N204" i="20"/>
  <c r="P204" i="20"/>
  <c r="R204" i="20"/>
  <c r="Y204" i="20"/>
  <c r="Z204" i="20"/>
  <c r="AA204" i="20"/>
  <c r="N205" i="20"/>
  <c r="P205" i="20"/>
  <c r="R205" i="20"/>
  <c r="Y205" i="20"/>
  <c r="Z205" i="20"/>
  <c r="AA205" i="20"/>
  <c r="N206" i="20"/>
  <c r="P206" i="20"/>
  <c r="R206" i="20"/>
  <c r="Y206" i="20"/>
  <c r="Z206" i="20"/>
  <c r="AA206" i="20"/>
  <c r="N207" i="20"/>
  <c r="P207" i="20"/>
  <c r="R207" i="20"/>
  <c r="Y207" i="20"/>
  <c r="Z207" i="20"/>
  <c r="AA207" i="20"/>
  <c r="N208" i="20"/>
  <c r="P208" i="20"/>
  <c r="R208" i="20"/>
  <c r="Y208" i="20"/>
  <c r="Z208" i="20"/>
  <c r="AA208" i="20"/>
  <c r="N209" i="20"/>
  <c r="P209" i="20"/>
  <c r="R209" i="20"/>
  <c r="Y209" i="20"/>
  <c r="Z209" i="20"/>
  <c r="AA209" i="20"/>
  <c r="N210" i="20"/>
  <c r="P210" i="20"/>
  <c r="R210" i="20"/>
  <c r="Y210" i="20"/>
  <c r="Z210" i="20"/>
  <c r="AA210" i="20"/>
  <c r="AB196" i="20"/>
  <c r="AE196" i="20"/>
  <c r="N185" i="20"/>
  <c r="P185" i="20"/>
  <c r="R185" i="20"/>
  <c r="Y185" i="20"/>
  <c r="Z185" i="20"/>
  <c r="AA185" i="20"/>
  <c r="N186" i="20"/>
  <c r="P186" i="20"/>
  <c r="R186" i="20"/>
  <c r="Y186" i="20"/>
  <c r="Z186" i="20"/>
  <c r="AA186" i="20"/>
  <c r="N187" i="20"/>
  <c r="P187" i="20"/>
  <c r="R187" i="20"/>
  <c r="Y187" i="20"/>
  <c r="Z187" i="20"/>
  <c r="AA187" i="20"/>
  <c r="N188" i="20"/>
  <c r="P188" i="20"/>
  <c r="R188" i="20"/>
  <c r="Y188" i="20"/>
  <c r="Z188" i="20"/>
  <c r="AA188" i="20"/>
  <c r="N189" i="20"/>
  <c r="P189" i="20"/>
  <c r="R189" i="20"/>
  <c r="Y189" i="20"/>
  <c r="Z189" i="20"/>
  <c r="AA189" i="20"/>
  <c r="N190" i="20"/>
  <c r="P190" i="20"/>
  <c r="R190" i="20"/>
  <c r="Y190" i="20"/>
  <c r="Z190" i="20"/>
  <c r="AA190" i="20"/>
  <c r="N191" i="20"/>
  <c r="P191" i="20"/>
  <c r="R191" i="20"/>
  <c r="Y191" i="20"/>
  <c r="Z191" i="20"/>
  <c r="AA191" i="20"/>
  <c r="N192" i="20"/>
  <c r="P192" i="20"/>
  <c r="R192" i="20"/>
  <c r="Y192" i="20"/>
  <c r="Z192" i="20"/>
  <c r="AA192" i="20"/>
  <c r="N193" i="20"/>
  <c r="P193" i="20"/>
  <c r="R193" i="20"/>
  <c r="Y193" i="20"/>
  <c r="Z193" i="20"/>
  <c r="AA193" i="20"/>
  <c r="N194" i="20"/>
  <c r="P194" i="20"/>
  <c r="R194" i="20"/>
  <c r="Y194" i="20"/>
  <c r="Z194" i="20"/>
  <c r="AA194" i="20"/>
  <c r="N195" i="20"/>
  <c r="P195" i="20"/>
  <c r="R195" i="20"/>
  <c r="Y195" i="20"/>
  <c r="Z195" i="20"/>
  <c r="AA195" i="20"/>
  <c r="AB185" i="20"/>
  <c r="AD185" i="20"/>
  <c r="AE185" i="20"/>
  <c r="U505" i="20"/>
  <c r="U446" i="20"/>
  <c r="V429" i="20"/>
  <c r="U366" i="20"/>
  <c r="V280" i="20"/>
  <c r="P234" i="5"/>
  <c r="P241" i="5"/>
  <c r="P319" i="5"/>
  <c r="P388" i="5"/>
  <c r="P555" i="5"/>
  <c r="P61" i="5"/>
  <c r="P249" i="5"/>
  <c r="P251" i="5"/>
  <c r="U238" i="5"/>
  <c r="P238" i="5"/>
  <c r="R238" i="5"/>
  <c r="T238" i="5"/>
  <c r="P228" i="5"/>
  <c r="R228" i="5"/>
  <c r="T228" i="5"/>
  <c r="P233" i="5"/>
  <c r="R233" i="5"/>
  <c r="T233" i="5"/>
  <c r="P229" i="5"/>
  <c r="R229" i="5"/>
  <c r="T229" i="5"/>
  <c r="P230" i="5"/>
  <c r="R230" i="5"/>
  <c r="T230" i="5"/>
  <c r="P236" i="5"/>
  <c r="R236" i="5"/>
  <c r="T236" i="5"/>
  <c r="P237" i="5"/>
  <c r="R237" i="5"/>
  <c r="T237" i="5"/>
  <c r="P231" i="5"/>
  <c r="R231" i="5"/>
  <c r="T231" i="5"/>
  <c r="P239" i="5"/>
  <c r="R239" i="5"/>
  <c r="T239" i="5"/>
  <c r="P240" i="5"/>
  <c r="R240" i="5"/>
  <c r="T240" i="5"/>
  <c r="P232" i="5"/>
  <c r="R232" i="5"/>
  <c r="T232" i="5"/>
  <c r="R234" i="5"/>
  <c r="T234" i="5"/>
  <c r="P235" i="5"/>
  <c r="R235" i="5"/>
  <c r="T235" i="5"/>
  <c r="R241" i="5"/>
  <c r="T241" i="5"/>
  <c r="P373" i="5"/>
  <c r="R373" i="5"/>
  <c r="T373" i="5"/>
  <c r="P532" i="5"/>
  <c r="R532" i="5"/>
  <c r="T532" i="5"/>
  <c r="P367" i="5"/>
  <c r="R367" i="5"/>
  <c r="T367" i="5"/>
  <c r="P366" i="5"/>
  <c r="R366" i="5"/>
  <c r="T366" i="5"/>
  <c r="P574" i="5"/>
  <c r="R574" i="5"/>
  <c r="T574" i="5"/>
  <c r="P195" i="5"/>
  <c r="R195" i="5"/>
  <c r="T195" i="5"/>
  <c r="P143" i="5"/>
  <c r="R143" i="5"/>
  <c r="T143" i="5"/>
  <c r="AA241" i="5"/>
  <c r="AB241" i="5"/>
  <c r="AC241" i="5"/>
  <c r="P372" i="5"/>
  <c r="R372" i="5"/>
  <c r="T372" i="5"/>
  <c r="P375" i="5"/>
  <c r="R375" i="5"/>
  <c r="T375" i="5"/>
  <c r="P447" i="5"/>
  <c r="R447" i="5"/>
  <c r="T447" i="5"/>
  <c r="P431" i="5"/>
  <c r="R431" i="5"/>
  <c r="T431" i="5"/>
  <c r="P635" i="5"/>
  <c r="R635" i="5"/>
  <c r="T635" i="5"/>
  <c r="P369" i="5"/>
  <c r="R369" i="5"/>
  <c r="T369" i="5"/>
  <c r="P371" i="5"/>
  <c r="R371" i="5"/>
  <c r="T371" i="5"/>
  <c r="U367" i="5"/>
  <c r="Y226" i="1"/>
  <c r="Y228" i="1"/>
  <c r="Y230" i="1"/>
  <c r="Y232" i="1"/>
  <c r="Y234" i="1"/>
  <c r="Y236" i="1"/>
  <c r="Y238" i="1"/>
  <c r="Y240" i="1"/>
  <c r="Y242" i="1"/>
  <c r="Y244" i="1"/>
  <c r="Y246" i="1"/>
  <c r="Y248" i="1"/>
  <c r="Y250" i="1"/>
  <c r="Y252" i="1"/>
  <c r="Y254" i="1"/>
  <c r="Y256" i="1"/>
  <c r="Y260" i="1"/>
  <c r="Y262" i="1"/>
  <c r="Y264" i="1"/>
  <c r="M328" i="2"/>
  <c r="M326" i="2"/>
  <c r="J329" i="2"/>
  <c r="J328" i="2"/>
  <c r="H329" i="2"/>
  <c r="H328" i="2"/>
  <c r="J327" i="2"/>
  <c r="J326" i="2"/>
  <c r="H327" i="2"/>
  <c r="H326" i="2"/>
  <c r="M324" i="2"/>
  <c r="J325" i="2"/>
  <c r="J324" i="2"/>
  <c r="H325" i="2"/>
  <c r="H324" i="2"/>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P359" i="5"/>
  <c r="R359" i="5"/>
  <c r="T359" i="5"/>
  <c r="P361" i="5"/>
  <c r="R361" i="5"/>
  <c r="T361" i="5"/>
  <c r="P96" i="5"/>
  <c r="R96" i="5"/>
  <c r="T96" i="5"/>
  <c r="P362" i="5"/>
  <c r="R362" i="5"/>
  <c r="T362" i="5"/>
  <c r="U359" i="5"/>
  <c r="P386" i="5"/>
  <c r="R386" i="5"/>
  <c r="T386" i="5"/>
  <c r="U386" i="5"/>
  <c r="P603" i="5"/>
  <c r="R603" i="5"/>
  <c r="T603" i="5"/>
  <c r="P605" i="5"/>
  <c r="R605" i="5"/>
  <c r="T605" i="5"/>
  <c r="P607" i="5"/>
  <c r="R607" i="5"/>
  <c r="T607" i="5"/>
  <c r="P609" i="5"/>
  <c r="R609" i="5"/>
  <c r="T609" i="5"/>
  <c r="P616" i="5"/>
  <c r="R616" i="5"/>
  <c r="T616" i="5"/>
  <c r="P54" i="5"/>
  <c r="R54" i="5"/>
  <c r="T54" i="5"/>
  <c r="P67" i="5"/>
  <c r="R67" i="5"/>
  <c r="T67" i="5"/>
  <c r="P4" i="5"/>
  <c r="R4" i="5"/>
  <c r="T4" i="5"/>
  <c r="P66" i="5"/>
  <c r="R66" i="5"/>
  <c r="T66" i="5"/>
  <c r="P458" i="5"/>
  <c r="R458" i="5"/>
  <c r="T458" i="5"/>
  <c r="P602" i="5"/>
  <c r="R602" i="5"/>
  <c r="T602" i="5"/>
  <c r="P606" i="5"/>
  <c r="R606" i="5"/>
  <c r="T606" i="5"/>
  <c r="P617" i="5"/>
  <c r="R617" i="5"/>
  <c r="T617" i="5"/>
  <c r="U601" i="5"/>
  <c r="P468" i="5"/>
  <c r="R468" i="5"/>
  <c r="T468" i="5"/>
  <c r="P600" i="5"/>
  <c r="R600" i="5"/>
  <c r="T600" i="5"/>
  <c r="P290" i="5"/>
  <c r="R290" i="5"/>
  <c r="T290" i="5"/>
  <c r="U456" i="5"/>
  <c r="P482" i="5"/>
  <c r="R482" i="5"/>
  <c r="T482" i="5"/>
  <c r="P486" i="5"/>
  <c r="R486" i="5"/>
  <c r="T486" i="5"/>
  <c r="P472" i="5"/>
  <c r="R472" i="5"/>
  <c r="T472" i="5"/>
  <c r="P88" i="5"/>
  <c r="R88" i="5"/>
  <c r="T88" i="5"/>
  <c r="P199" i="5"/>
  <c r="R199" i="5"/>
  <c r="T199" i="5"/>
  <c r="P483" i="5"/>
  <c r="R483" i="5"/>
  <c r="T483" i="5"/>
  <c r="P487" i="5"/>
  <c r="R487" i="5"/>
  <c r="T487" i="5"/>
  <c r="U470" i="5"/>
  <c r="P203" i="5"/>
  <c r="R203" i="5"/>
  <c r="T203" i="5"/>
  <c r="P186" i="5"/>
  <c r="R186" i="5"/>
  <c r="T186" i="5"/>
  <c r="P307" i="5"/>
  <c r="R307" i="5"/>
  <c r="T307" i="5"/>
  <c r="P198" i="5"/>
  <c r="R198" i="5"/>
  <c r="T198" i="5"/>
  <c r="U197" i="5"/>
  <c r="P220" i="5"/>
  <c r="R220" i="5"/>
  <c r="T220" i="5"/>
  <c r="P222" i="5"/>
  <c r="R222" i="5"/>
  <c r="T222" i="5"/>
  <c r="P223" i="5"/>
  <c r="R223" i="5"/>
  <c r="T223" i="5"/>
  <c r="P252" i="5"/>
  <c r="R252" i="5"/>
  <c r="T252" i="5"/>
  <c r="P344" i="5"/>
  <c r="R344" i="5"/>
  <c r="T344" i="5"/>
  <c r="P306" i="5"/>
  <c r="R306" i="5"/>
  <c r="T306" i="5"/>
  <c r="P430" i="5"/>
  <c r="R430" i="5"/>
  <c r="T430" i="5"/>
  <c r="P533" i="5"/>
  <c r="R533" i="5"/>
  <c r="T533" i="5"/>
  <c r="P215" i="5"/>
  <c r="R215" i="5"/>
  <c r="T215" i="5"/>
  <c r="P216" i="5"/>
  <c r="R216" i="5"/>
  <c r="T216" i="5"/>
  <c r="P217" i="5"/>
  <c r="R217" i="5"/>
  <c r="T217" i="5"/>
  <c r="U212" i="5"/>
  <c r="H319" i="2"/>
  <c r="J319" i="2"/>
  <c r="H320" i="2"/>
  <c r="J320" i="2"/>
  <c r="H321" i="2"/>
  <c r="J321" i="2"/>
  <c r="M319" i="2"/>
  <c r="H314" i="2"/>
  <c r="J314" i="2"/>
  <c r="H315" i="2"/>
  <c r="J315" i="2"/>
  <c r="H316" i="2"/>
  <c r="J316" i="2"/>
  <c r="M314" i="2"/>
  <c r="H322" i="2"/>
  <c r="J322" i="2"/>
  <c r="H323" i="2"/>
  <c r="J323" i="2"/>
  <c r="M322" i="2"/>
  <c r="H308" i="2"/>
  <c r="J308" i="2"/>
  <c r="H309" i="2"/>
  <c r="J309" i="2"/>
  <c r="M308" i="2"/>
  <c r="H298" i="2"/>
  <c r="J298" i="2"/>
  <c r="H299" i="2"/>
  <c r="J299" i="2"/>
  <c r="M298" i="2"/>
  <c r="H286" i="2"/>
  <c r="J286" i="2"/>
  <c r="H287" i="2"/>
  <c r="J287" i="2"/>
  <c r="M286" i="2"/>
  <c r="H312" i="2"/>
  <c r="J312" i="2"/>
  <c r="H313" i="2"/>
  <c r="J313" i="2"/>
  <c r="H317" i="2"/>
  <c r="J317" i="2"/>
  <c r="H318" i="2"/>
  <c r="J318" i="2"/>
  <c r="M317" i="2"/>
  <c r="H279" i="2"/>
  <c r="J279" i="2"/>
  <c r="H280" i="2"/>
  <c r="J280" i="2"/>
  <c r="M279" i="2"/>
  <c r="H284" i="2"/>
  <c r="J284" i="2"/>
  <c r="H285" i="2"/>
  <c r="J285" i="2"/>
  <c r="M284" i="2"/>
  <c r="H275" i="2"/>
  <c r="J275" i="2"/>
  <c r="H276" i="2"/>
  <c r="J276" i="2"/>
  <c r="H277" i="2"/>
  <c r="J277" i="2"/>
  <c r="H278" i="2"/>
  <c r="J278" i="2"/>
  <c r="M275" i="2"/>
  <c r="H281" i="2"/>
  <c r="J281" i="2"/>
  <c r="H282" i="2"/>
  <c r="J282" i="2"/>
  <c r="H283" i="2"/>
  <c r="J283" i="2"/>
  <c r="M281" i="2"/>
  <c r="H255" i="2"/>
  <c r="J255" i="2"/>
  <c r="H256" i="2"/>
  <c r="J256" i="2"/>
  <c r="M255" i="2"/>
  <c r="H260" i="2"/>
  <c r="J260" i="2"/>
  <c r="H261" i="2"/>
  <c r="J261" i="2"/>
  <c r="H262" i="2"/>
  <c r="J262" i="2"/>
  <c r="M260" i="2"/>
  <c r="H257" i="2"/>
  <c r="J257" i="2"/>
  <c r="H258" i="2"/>
  <c r="J258" i="2"/>
  <c r="H259" i="2"/>
  <c r="J259" i="2"/>
  <c r="M257" i="2"/>
  <c r="H272" i="2"/>
  <c r="J272" i="2"/>
  <c r="H273" i="2"/>
  <c r="J273" i="2"/>
  <c r="H274" i="2"/>
  <c r="J274" i="2"/>
  <c r="M272" i="2"/>
  <c r="H271" i="2"/>
  <c r="J271" i="2"/>
  <c r="H269" i="2"/>
  <c r="J269" i="2"/>
  <c r="H270" i="2"/>
  <c r="J270" i="2"/>
  <c r="M269" i="2"/>
  <c r="H265" i="2"/>
  <c r="J265" i="2"/>
  <c r="H266" i="2"/>
  <c r="J266" i="2"/>
  <c r="H267" i="2"/>
  <c r="J267" i="2"/>
  <c r="H268" i="2"/>
  <c r="J268" i="2"/>
  <c r="M265" i="2"/>
  <c r="H263" i="2"/>
  <c r="J263" i="2"/>
  <c r="H264" i="2"/>
  <c r="J264" i="2"/>
  <c r="M263" i="2"/>
  <c r="J47" i="21"/>
  <c r="K47" i="21"/>
  <c r="J33" i="21"/>
  <c r="K33" i="21"/>
  <c r="J59" i="21"/>
  <c r="K59" i="21"/>
  <c r="N174" i="20"/>
  <c r="P174" i="20"/>
  <c r="R174" i="20"/>
  <c r="Y174" i="20"/>
  <c r="Z174" i="20"/>
  <c r="AA174" i="20"/>
  <c r="N175" i="20"/>
  <c r="P175" i="20"/>
  <c r="R175" i="20"/>
  <c r="Y175" i="20"/>
  <c r="Z175" i="20"/>
  <c r="AA175" i="20"/>
  <c r="N176" i="20"/>
  <c r="P176" i="20"/>
  <c r="R176" i="20"/>
  <c r="Y176" i="20"/>
  <c r="Z176" i="20"/>
  <c r="AA176" i="20"/>
  <c r="N177" i="20"/>
  <c r="P177" i="20"/>
  <c r="R177" i="20"/>
  <c r="Y177" i="20"/>
  <c r="Z177" i="20"/>
  <c r="AA177" i="20"/>
  <c r="N178" i="20"/>
  <c r="P178" i="20"/>
  <c r="R178" i="20"/>
  <c r="Y178" i="20"/>
  <c r="Z178" i="20"/>
  <c r="AA178" i="20"/>
  <c r="N179" i="20"/>
  <c r="P179" i="20"/>
  <c r="R179" i="20"/>
  <c r="Y179" i="20"/>
  <c r="Z179" i="20"/>
  <c r="AA179" i="20"/>
  <c r="N180" i="20"/>
  <c r="P180" i="20"/>
  <c r="R180" i="20"/>
  <c r="Y180" i="20"/>
  <c r="Z180" i="20"/>
  <c r="AA180" i="20"/>
  <c r="N181" i="20"/>
  <c r="P181" i="20"/>
  <c r="R181" i="20"/>
  <c r="Y181" i="20"/>
  <c r="Z181" i="20"/>
  <c r="AA181" i="20"/>
  <c r="N182" i="20"/>
  <c r="P182" i="20"/>
  <c r="R182" i="20"/>
  <c r="Y182" i="20"/>
  <c r="Z182" i="20"/>
  <c r="AA182" i="20"/>
  <c r="N183" i="20"/>
  <c r="P183" i="20"/>
  <c r="R183" i="20"/>
  <c r="Y183" i="20"/>
  <c r="Z183" i="20"/>
  <c r="AA183" i="20"/>
  <c r="N184" i="20"/>
  <c r="P184" i="20"/>
  <c r="R184" i="20"/>
  <c r="Y184" i="20"/>
  <c r="Z184" i="20"/>
  <c r="AA184" i="20"/>
  <c r="AB174" i="20"/>
  <c r="AD174" i="20"/>
  <c r="AE174" i="20"/>
  <c r="N157" i="20"/>
  <c r="P157" i="20"/>
  <c r="R157" i="20"/>
  <c r="Y157" i="20"/>
  <c r="Z157" i="20"/>
  <c r="AA157" i="20"/>
  <c r="N158" i="20"/>
  <c r="P158" i="20"/>
  <c r="R158" i="20"/>
  <c r="Y158" i="20"/>
  <c r="Z158" i="20"/>
  <c r="AA158" i="20"/>
  <c r="N159" i="20"/>
  <c r="P159" i="20"/>
  <c r="R159" i="20"/>
  <c r="Y159" i="20"/>
  <c r="Z159" i="20"/>
  <c r="AA159" i="20"/>
  <c r="N160" i="20"/>
  <c r="P160" i="20"/>
  <c r="R160" i="20"/>
  <c r="Y160" i="20"/>
  <c r="Z160" i="20"/>
  <c r="AA160" i="20"/>
  <c r="N161" i="20"/>
  <c r="P161" i="20"/>
  <c r="R161" i="20"/>
  <c r="Y161" i="20"/>
  <c r="Z161" i="20"/>
  <c r="AA161" i="20"/>
  <c r="N162" i="20"/>
  <c r="P162" i="20"/>
  <c r="R162" i="20"/>
  <c r="Y162" i="20"/>
  <c r="Z162" i="20"/>
  <c r="AA162" i="20"/>
  <c r="N163" i="20"/>
  <c r="P163" i="20"/>
  <c r="R163" i="20"/>
  <c r="Y163" i="20"/>
  <c r="Z163" i="20"/>
  <c r="AA163" i="20"/>
  <c r="N164" i="20"/>
  <c r="P164" i="20"/>
  <c r="R164" i="20"/>
  <c r="Y164" i="20"/>
  <c r="Z164" i="20"/>
  <c r="AA164" i="20"/>
  <c r="N165" i="20"/>
  <c r="P165" i="20"/>
  <c r="R165" i="20"/>
  <c r="Y165" i="20"/>
  <c r="Z165" i="20"/>
  <c r="AA165" i="20"/>
  <c r="N166" i="20"/>
  <c r="P166" i="20"/>
  <c r="R166" i="20"/>
  <c r="Y166" i="20"/>
  <c r="Z166" i="20"/>
  <c r="AA166" i="20"/>
  <c r="N167" i="20"/>
  <c r="P167" i="20"/>
  <c r="R167" i="20"/>
  <c r="Y167" i="20"/>
  <c r="Z167" i="20"/>
  <c r="AA167" i="20"/>
  <c r="N168" i="20"/>
  <c r="P168" i="20"/>
  <c r="R168" i="20"/>
  <c r="Y168" i="20"/>
  <c r="Z168" i="20"/>
  <c r="AA168" i="20"/>
  <c r="N169" i="20"/>
  <c r="P169" i="20"/>
  <c r="R169" i="20"/>
  <c r="Y169" i="20"/>
  <c r="Z169" i="20"/>
  <c r="AA169" i="20"/>
  <c r="N170" i="20"/>
  <c r="P170" i="20"/>
  <c r="R170" i="20"/>
  <c r="Y170" i="20"/>
  <c r="Z170" i="20"/>
  <c r="AA170" i="20"/>
  <c r="N171" i="20"/>
  <c r="P171" i="20"/>
  <c r="R171" i="20"/>
  <c r="Y171" i="20"/>
  <c r="Z171" i="20"/>
  <c r="AA171" i="20"/>
  <c r="N172" i="20"/>
  <c r="P172" i="20"/>
  <c r="R172" i="20"/>
  <c r="Y172" i="20"/>
  <c r="Z172" i="20"/>
  <c r="AA172" i="20"/>
  <c r="N173" i="20"/>
  <c r="P173" i="20"/>
  <c r="R173" i="20"/>
  <c r="Y173" i="20"/>
  <c r="Z173" i="20"/>
  <c r="AA173" i="20"/>
  <c r="AB157" i="20"/>
  <c r="AD157" i="20"/>
  <c r="AE157" i="20"/>
  <c r="N141" i="20"/>
  <c r="P141" i="20"/>
  <c r="R141" i="20"/>
  <c r="Y141" i="20"/>
  <c r="Z141" i="20"/>
  <c r="AA141" i="20"/>
  <c r="N142" i="20"/>
  <c r="P142" i="20"/>
  <c r="R142" i="20"/>
  <c r="Y142" i="20"/>
  <c r="Z142" i="20"/>
  <c r="AA142" i="20"/>
  <c r="N143" i="20"/>
  <c r="P143" i="20"/>
  <c r="R143" i="20"/>
  <c r="Y143" i="20"/>
  <c r="Z143" i="20"/>
  <c r="AA143" i="20"/>
  <c r="N144" i="20"/>
  <c r="P144" i="20"/>
  <c r="R144" i="20"/>
  <c r="Y144" i="20"/>
  <c r="Z144" i="20"/>
  <c r="AA144" i="20"/>
  <c r="N145" i="20"/>
  <c r="P145" i="20"/>
  <c r="R145" i="20"/>
  <c r="Y145" i="20"/>
  <c r="Z145" i="20"/>
  <c r="AA145" i="20"/>
  <c r="N146" i="20"/>
  <c r="P146" i="20"/>
  <c r="R146" i="20"/>
  <c r="Y146" i="20"/>
  <c r="Z146" i="20"/>
  <c r="AA146" i="20"/>
  <c r="N147" i="20"/>
  <c r="P147" i="20"/>
  <c r="R147" i="20"/>
  <c r="Y147" i="20"/>
  <c r="Z147" i="20"/>
  <c r="AA147" i="20"/>
  <c r="N148" i="20"/>
  <c r="P148" i="20"/>
  <c r="R148" i="20"/>
  <c r="Y148" i="20"/>
  <c r="Z148" i="20"/>
  <c r="AA148" i="20"/>
  <c r="N149" i="20"/>
  <c r="P149" i="20"/>
  <c r="R149" i="20"/>
  <c r="Y149" i="20"/>
  <c r="Z149" i="20"/>
  <c r="AA149" i="20"/>
  <c r="N150" i="20"/>
  <c r="P150" i="20"/>
  <c r="R150" i="20"/>
  <c r="Y150" i="20"/>
  <c r="Z150" i="20"/>
  <c r="AA150" i="20"/>
  <c r="N151" i="20"/>
  <c r="P151" i="20"/>
  <c r="R151" i="20"/>
  <c r="Y151" i="20"/>
  <c r="Z151" i="20"/>
  <c r="AA151" i="20"/>
  <c r="N152" i="20"/>
  <c r="P152" i="20"/>
  <c r="R152" i="20"/>
  <c r="Y152" i="20"/>
  <c r="Z152" i="20"/>
  <c r="AA152" i="20"/>
  <c r="N153" i="20"/>
  <c r="P153" i="20"/>
  <c r="R153" i="20"/>
  <c r="Y153" i="20"/>
  <c r="Z153" i="20"/>
  <c r="AA153" i="20"/>
  <c r="N154" i="20"/>
  <c r="P154" i="20"/>
  <c r="R154" i="20"/>
  <c r="Y154" i="20"/>
  <c r="Z154" i="20"/>
  <c r="AA154" i="20"/>
  <c r="N155" i="20"/>
  <c r="P155" i="20"/>
  <c r="R155" i="20"/>
  <c r="Y155" i="20"/>
  <c r="Z155" i="20"/>
  <c r="AA155" i="20"/>
  <c r="N156" i="20"/>
  <c r="P156" i="20"/>
  <c r="R156" i="20"/>
  <c r="Y156" i="20"/>
  <c r="Z156" i="20"/>
  <c r="AA156" i="20"/>
  <c r="AB141" i="20"/>
  <c r="AD141" i="20"/>
  <c r="AE141" i="20"/>
  <c r="N132" i="20"/>
  <c r="P132" i="20"/>
  <c r="R132" i="20"/>
  <c r="Y132" i="20"/>
  <c r="Z132" i="20"/>
  <c r="AA132" i="20"/>
  <c r="N133" i="20"/>
  <c r="P133" i="20"/>
  <c r="R133" i="20"/>
  <c r="Y133" i="20"/>
  <c r="Z133" i="20"/>
  <c r="AA133" i="20"/>
  <c r="N134" i="20"/>
  <c r="P134" i="20"/>
  <c r="R134" i="20"/>
  <c r="Y134" i="20"/>
  <c r="Z134" i="20"/>
  <c r="AA134" i="20"/>
  <c r="N135" i="20"/>
  <c r="P135" i="20"/>
  <c r="R135" i="20"/>
  <c r="Y135" i="20"/>
  <c r="Z135" i="20"/>
  <c r="AA135" i="20"/>
  <c r="N136" i="20"/>
  <c r="P136" i="20"/>
  <c r="R136" i="20"/>
  <c r="Y136" i="20"/>
  <c r="Z136" i="20"/>
  <c r="AA136" i="20"/>
  <c r="N137" i="20"/>
  <c r="P137" i="20"/>
  <c r="R137" i="20"/>
  <c r="Y137" i="20"/>
  <c r="Z137" i="20"/>
  <c r="AA137" i="20"/>
  <c r="N138" i="20"/>
  <c r="P138" i="20"/>
  <c r="R138" i="20"/>
  <c r="Y138" i="20"/>
  <c r="Z138" i="20"/>
  <c r="AA138" i="20"/>
  <c r="N139" i="20"/>
  <c r="P139" i="20"/>
  <c r="R139" i="20"/>
  <c r="Y139" i="20"/>
  <c r="Z139" i="20"/>
  <c r="AA139" i="20"/>
  <c r="N140" i="20"/>
  <c r="P140" i="20"/>
  <c r="R140" i="20"/>
  <c r="Y140" i="20"/>
  <c r="Z140" i="20"/>
  <c r="AA140" i="20"/>
  <c r="AB132" i="20"/>
  <c r="AD132" i="20"/>
  <c r="AE132" i="20"/>
  <c r="N123" i="20"/>
  <c r="P123" i="20"/>
  <c r="R123" i="20"/>
  <c r="Y123" i="20"/>
  <c r="Z123" i="20"/>
  <c r="AA123" i="20"/>
  <c r="N124" i="20"/>
  <c r="P124" i="20"/>
  <c r="R124" i="20"/>
  <c r="Y124" i="20"/>
  <c r="Z124" i="20"/>
  <c r="AA124" i="20"/>
  <c r="N125" i="20"/>
  <c r="P125" i="20"/>
  <c r="R125" i="20"/>
  <c r="Y125" i="20"/>
  <c r="Z125" i="20"/>
  <c r="AA125" i="20"/>
  <c r="N126" i="20"/>
  <c r="P126" i="20"/>
  <c r="R126" i="20"/>
  <c r="Y126" i="20"/>
  <c r="Z126" i="20"/>
  <c r="AA126" i="20"/>
  <c r="N127" i="20"/>
  <c r="P127" i="20"/>
  <c r="R127" i="20"/>
  <c r="Y127" i="20"/>
  <c r="Z127" i="20"/>
  <c r="AA127" i="20"/>
  <c r="N128" i="20"/>
  <c r="P128" i="20"/>
  <c r="R128" i="20"/>
  <c r="Y128" i="20"/>
  <c r="Z128" i="20"/>
  <c r="AA128" i="20"/>
  <c r="N129" i="20"/>
  <c r="P129" i="20"/>
  <c r="R129" i="20"/>
  <c r="Y129" i="20"/>
  <c r="Z129" i="20"/>
  <c r="AA129" i="20"/>
  <c r="N130" i="20"/>
  <c r="P130" i="20"/>
  <c r="R130" i="20"/>
  <c r="Y130" i="20"/>
  <c r="Z130" i="20"/>
  <c r="AA130" i="20"/>
  <c r="N131" i="20"/>
  <c r="P131" i="20"/>
  <c r="R131" i="20"/>
  <c r="Y131" i="20"/>
  <c r="Z131" i="20"/>
  <c r="AA131" i="20"/>
  <c r="AB123" i="20"/>
  <c r="AD123" i="20"/>
  <c r="AE123" i="20"/>
  <c r="N105" i="20"/>
  <c r="P105" i="20"/>
  <c r="R105" i="20"/>
  <c r="Y105" i="20"/>
  <c r="Z105" i="20"/>
  <c r="AA105" i="20"/>
  <c r="N106" i="20"/>
  <c r="P106" i="20"/>
  <c r="R106" i="20"/>
  <c r="Y106" i="20"/>
  <c r="Z106" i="20"/>
  <c r="AA106" i="20"/>
  <c r="N107" i="20"/>
  <c r="P107" i="20"/>
  <c r="R107" i="20"/>
  <c r="Y107" i="20"/>
  <c r="Z107" i="20"/>
  <c r="AA107" i="20"/>
  <c r="N108" i="20"/>
  <c r="P108" i="20"/>
  <c r="R108" i="20"/>
  <c r="Y108" i="20"/>
  <c r="Z108" i="20"/>
  <c r="AA108" i="20"/>
  <c r="N109" i="20"/>
  <c r="P109" i="20"/>
  <c r="R109" i="20"/>
  <c r="Y109" i="20"/>
  <c r="Z109" i="20"/>
  <c r="AA109" i="20"/>
  <c r="N110" i="20"/>
  <c r="P110" i="20"/>
  <c r="R110" i="20"/>
  <c r="Y110" i="20"/>
  <c r="Z110" i="20"/>
  <c r="AA110" i="20"/>
  <c r="N111" i="20"/>
  <c r="P111" i="20"/>
  <c r="R111" i="20"/>
  <c r="Y111" i="20"/>
  <c r="Z111" i="20"/>
  <c r="AA111" i="20"/>
  <c r="N112" i="20"/>
  <c r="P112" i="20"/>
  <c r="R112" i="20"/>
  <c r="Y112" i="20"/>
  <c r="Z112" i="20"/>
  <c r="AA112" i="20"/>
  <c r="N113" i="20"/>
  <c r="P113" i="20"/>
  <c r="R113" i="20"/>
  <c r="Y113" i="20"/>
  <c r="Z113" i="20"/>
  <c r="AA113" i="20"/>
  <c r="N114" i="20"/>
  <c r="P114" i="20"/>
  <c r="R114" i="20"/>
  <c r="Y114" i="20"/>
  <c r="Z114" i="20"/>
  <c r="AA114" i="20"/>
  <c r="N115" i="20"/>
  <c r="P115" i="20"/>
  <c r="R115" i="20"/>
  <c r="Y115" i="20"/>
  <c r="Z115" i="20"/>
  <c r="AA115" i="20"/>
  <c r="N116" i="20"/>
  <c r="P116" i="20"/>
  <c r="R116" i="20"/>
  <c r="Y116" i="20"/>
  <c r="Z116" i="20"/>
  <c r="AA116" i="20"/>
  <c r="N117" i="20"/>
  <c r="P117" i="20"/>
  <c r="R117" i="20"/>
  <c r="Y117" i="20"/>
  <c r="Z117" i="20"/>
  <c r="AA117" i="20"/>
  <c r="N118" i="20"/>
  <c r="P118" i="20"/>
  <c r="R118" i="20"/>
  <c r="Y118" i="20"/>
  <c r="Z118" i="20"/>
  <c r="AA118" i="20"/>
  <c r="N119" i="20"/>
  <c r="P119" i="20"/>
  <c r="R119" i="20"/>
  <c r="Y119" i="20"/>
  <c r="Z119" i="20"/>
  <c r="AA119" i="20"/>
  <c r="N120" i="20"/>
  <c r="P120" i="20"/>
  <c r="R120" i="20"/>
  <c r="Y120" i="20"/>
  <c r="Z120" i="20"/>
  <c r="AA120" i="20"/>
  <c r="N121" i="20"/>
  <c r="P121" i="20"/>
  <c r="R121" i="20"/>
  <c r="Y121" i="20"/>
  <c r="Z121" i="20"/>
  <c r="AA121" i="20"/>
  <c r="N122" i="20"/>
  <c r="P122" i="20"/>
  <c r="R122" i="20"/>
  <c r="Y122" i="20"/>
  <c r="Z122" i="20"/>
  <c r="AA122" i="20"/>
  <c r="AB105" i="20"/>
  <c r="AD105" i="20"/>
  <c r="AE105" i="20"/>
  <c r="N86" i="20"/>
  <c r="P86" i="20"/>
  <c r="R86" i="20"/>
  <c r="Y86" i="20"/>
  <c r="Z86" i="20"/>
  <c r="AA86" i="20"/>
  <c r="N87" i="20"/>
  <c r="P87" i="20"/>
  <c r="R87" i="20"/>
  <c r="Y87" i="20"/>
  <c r="Z87" i="20"/>
  <c r="AA87" i="20"/>
  <c r="N88" i="20"/>
  <c r="P88" i="20"/>
  <c r="R88" i="20"/>
  <c r="Y88" i="20"/>
  <c r="Z88" i="20"/>
  <c r="AA88" i="20"/>
  <c r="N89" i="20"/>
  <c r="P89" i="20"/>
  <c r="R89" i="20"/>
  <c r="Y89" i="20"/>
  <c r="Z89" i="20"/>
  <c r="AA89" i="20"/>
  <c r="N90" i="20"/>
  <c r="P90" i="20"/>
  <c r="R90" i="20"/>
  <c r="Y90" i="20"/>
  <c r="Z90" i="20"/>
  <c r="AA90" i="20"/>
  <c r="N91" i="20"/>
  <c r="P91" i="20"/>
  <c r="R91" i="20"/>
  <c r="Y91" i="20"/>
  <c r="Z91" i="20"/>
  <c r="AA91" i="20"/>
  <c r="N92" i="20"/>
  <c r="P92" i="20"/>
  <c r="R92" i="20"/>
  <c r="Y92" i="20"/>
  <c r="Z92" i="20"/>
  <c r="AA92" i="20"/>
  <c r="N93" i="20"/>
  <c r="P93" i="20"/>
  <c r="R93" i="20"/>
  <c r="Y93" i="20"/>
  <c r="Z93" i="20"/>
  <c r="AA93" i="20"/>
  <c r="N94" i="20"/>
  <c r="P94" i="20"/>
  <c r="R94" i="20"/>
  <c r="Y94" i="20"/>
  <c r="Z94" i="20"/>
  <c r="AA94" i="20"/>
  <c r="N95" i="20"/>
  <c r="P95" i="20"/>
  <c r="R95" i="20"/>
  <c r="Y95" i="20"/>
  <c r="Z95" i="20"/>
  <c r="AA95" i="20"/>
  <c r="N96" i="20"/>
  <c r="P96" i="20"/>
  <c r="R96" i="20"/>
  <c r="Y96" i="20"/>
  <c r="Z96" i="20"/>
  <c r="AA96" i="20"/>
  <c r="N97" i="20"/>
  <c r="P97" i="20"/>
  <c r="R97" i="20"/>
  <c r="Y97" i="20"/>
  <c r="Z97" i="20"/>
  <c r="AA97" i="20"/>
  <c r="N98" i="20"/>
  <c r="P98" i="20"/>
  <c r="R98" i="20"/>
  <c r="Y98" i="20"/>
  <c r="Z98" i="20"/>
  <c r="AA98" i="20"/>
  <c r="N99" i="20"/>
  <c r="P99" i="20"/>
  <c r="R99" i="20"/>
  <c r="Y99" i="20"/>
  <c r="Z99" i="20"/>
  <c r="AA99" i="20"/>
  <c r="N100" i="20"/>
  <c r="P100" i="20"/>
  <c r="R100" i="20"/>
  <c r="Y100" i="20"/>
  <c r="Z100" i="20"/>
  <c r="AA100" i="20"/>
  <c r="N101" i="20"/>
  <c r="P101" i="20"/>
  <c r="R101" i="20"/>
  <c r="Y101" i="20"/>
  <c r="Z101" i="20"/>
  <c r="AA101" i="20"/>
  <c r="N102" i="20"/>
  <c r="P102" i="20"/>
  <c r="R102" i="20"/>
  <c r="Y102" i="20"/>
  <c r="Z102" i="20"/>
  <c r="AA102" i="20"/>
  <c r="N103" i="20"/>
  <c r="P103" i="20"/>
  <c r="R103" i="20"/>
  <c r="Y103" i="20"/>
  <c r="Z103" i="20"/>
  <c r="AA103" i="20"/>
  <c r="N104" i="20"/>
  <c r="P104" i="20"/>
  <c r="R104" i="20"/>
  <c r="Y104" i="20"/>
  <c r="Z104" i="20"/>
  <c r="AA104" i="20"/>
  <c r="AB86" i="20"/>
  <c r="AD86" i="20"/>
  <c r="AE86" i="20"/>
  <c r="N65" i="20"/>
  <c r="P65" i="20"/>
  <c r="R65" i="20"/>
  <c r="Y65" i="20"/>
  <c r="Z65" i="20"/>
  <c r="AA65" i="20"/>
  <c r="N66" i="20"/>
  <c r="P66" i="20"/>
  <c r="R66" i="20"/>
  <c r="Y66" i="20"/>
  <c r="Z66" i="20"/>
  <c r="AA66" i="20"/>
  <c r="N67" i="20"/>
  <c r="P67" i="20"/>
  <c r="R67" i="20"/>
  <c r="Y67" i="20"/>
  <c r="Z67" i="20"/>
  <c r="AA67" i="20"/>
  <c r="N68" i="20"/>
  <c r="P68" i="20"/>
  <c r="R68" i="20"/>
  <c r="Y68" i="20"/>
  <c r="Z68" i="20"/>
  <c r="AA68" i="20"/>
  <c r="N69" i="20"/>
  <c r="P69" i="20"/>
  <c r="R69" i="20"/>
  <c r="Y69" i="20"/>
  <c r="Z69" i="20"/>
  <c r="AA69" i="20"/>
  <c r="N70" i="20"/>
  <c r="P70" i="20"/>
  <c r="R70" i="20"/>
  <c r="Y70" i="20"/>
  <c r="Z70" i="20"/>
  <c r="AA70" i="20"/>
  <c r="N71" i="20"/>
  <c r="P71" i="20"/>
  <c r="R71" i="20"/>
  <c r="Y71" i="20"/>
  <c r="Z71" i="20"/>
  <c r="AA71" i="20"/>
  <c r="N72" i="20"/>
  <c r="P72" i="20"/>
  <c r="R72" i="20"/>
  <c r="Y72" i="20"/>
  <c r="Z72" i="20"/>
  <c r="AA72" i="20"/>
  <c r="N73" i="20"/>
  <c r="P73" i="20"/>
  <c r="R73" i="20"/>
  <c r="Y73" i="20"/>
  <c r="Z73" i="20"/>
  <c r="AA73" i="20"/>
  <c r="N74" i="20"/>
  <c r="P74" i="20"/>
  <c r="R74" i="20"/>
  <c r="Y74" i="20"/>
  <c r="Z74" i="20"/>
  <c r="AA74" i="20"/>
  <c r="N75" i="20"/>
  <c r="P75" i="20"/>
  <c r="R75" i="20"/>
  <c r="Y75" i="20"/>
  <c r="Z75" i="20"/>
  <c r="AA75" i="20"/>
  <c r="N76" i="20"/>
  <c r="P76" i="20"/>
  <c r="R76" i="20"/>
  <c r="Y76" i="20"/>
  <c r="Z76" i="20"/>
  <c r="AA76" i="20"/>
  <c r="N77" i="20"/>
  <c r="P77" i="20"/>
  <c r="R77" i="20"/>
  <c r="Y77" i="20"/>
  <c r="Z77" i="20"/>
  <c r="AA77" i="20"/>
  <c r="N78" i="20"/>
  <c r="P78" i="20"/>
  <c r="R78" i="20"/>
  <c r="Y78" i="20"/>
  <c r="Z78" i="20"/>
  <c r="AA78" i="20"/>
  <c r="N79" i="20"/>
  <c r="P79" i="20"/>
  <c r="R79" i="20"/>
  <c r="Y79" i="20"/>
  <c r="Z79" i="20"/>
  <c r="AA79" i="20"/>
  <c r="N80" i="20"/>
  <c r="P80" i="20"/>
  <c r="R80" i="20"/>
  <c r="Y80" i="20"/>
  <c r="Z80" i="20"/>
  <c r="AA80" i="20"/>
  <c r="N81" i="20"/>
  <c r="P81" i="20"/>
  <c r="R81" i="20"/>
  <c r="Y81" i="20"/>
  <c r="Z81" i="20"/>
  <c r="AA81" i="20"/>
  <c r="N82" i="20"/>
  <c r="P82" i="20"/>
  <c r="R82" i="20"/>
  <c r="Y82" i="20"/>
  <c r="Z82" i="20"/>
  <c r="AA82" i="20"/>
  <c r="N83" i="20"/>
  <c r="P83" i="20"/>
  <c r="R83" i="20"/>
  <c r="Y83" i="20"/>
  <c r="Z83" i="20"/>
  <c r="AA83" i="20"/>
  <c r="N84" i="20"/>
  <c r="P84" i="20"/>
  <c r="R84" i="20"/>
  <c r="Y84" i="20"/>
  <c r="Z84" i="20"/>
  <c r="AA84" i="20"/>
  <c r="N85" i="20"/>
  <c r="P85" i="20"/>
  <c r="R85" i="20"/>
  <c r="Y85" i="20"/>
  <c r="Z85" i="20"/>
  <c r="AA85" i="20"/>
  <c r="AB65" i="20"/>
  <c r="AD65" i="20"/>
  <c r="AE65" i="20"/>
  <c r="N52" i="20"/>
  <c r="P52" i="20"/>
  <c r="R52" i="20"/>
  <c r="Y52" i="20"/>
  <c r="Z52" i="20"/>
  <c r="AA52" i="20"/>
  <c r="N53" i="20"/>
  <c r="P53" i="20"/>
  <c r="R53" i="20"/>
  <c r="Y53" i="20"/>
  <c r="Z53" i="20"/>
  <c r="AA53" i="20"/>
  <c r="N54" i="20"/>
  <c r="P54" i="20"/>
  <c r="R54" i="20"/>
  <c r="Y54" i="20"/>
  <c r="Z54" i="20"/>
  <c r="AA54" i="20"/>
  <c r="N55" i="20"/>
  <c r="P55" i="20"/>
  <c r="R55" i="20"/>
  <c r="Y55" i="20"/>
  <c r="Z55" i="20"/>
  <c r="AA55" i="20"/>
  <c r="N56" i="20"/>
  <c r="P56" i="20"/>
  <c r="R56" i="20"/>
  <c r="Y56" i="20"/>
  <c r="Z56" i="20"/>
  <c r="AA56" i="20"/>
  <c r="N57" i="20"/>
  <c r="P57" i="20"/>
  <c r="R57" i="20"/>
  <c r="Y57" i="20"/>
  <c r="Z57" i="20"/>
  <c r="AA57" i="20"/>
  <c r="N58" i="20"/>
  <c r="P58" i="20"/>
  <c r="R58" i="20"/>
  <c r="Y58" i="20"/>
  <c r="Z58" i="20"/>
  <c r="AA58" i="20"/>
  <c r="N59" i="20"/>
  <c r="P59" i="20"/>
  <c r="R59" i="20"/>
  <c r="Y59" i="20"/>
  <c r="Z59" i="20"/>
  <c r="AA59" i="20"/>
  <c r="N60" i="20"/>
  <c r="P60" i="20"/>
  <c r="R60" i="20"/>
  <c r="Y60" i="20"/>
  <c r="Z60" i="20"/>
  <c r="AA60" i="20"/>
  <c r="N61" i="20"/>
  <c r="P61" i="20"/>
  <c r="R61" i="20"/>
  <c r="Y61" i="20"/>
  <c r="Z61" i="20"/>
  <c r="AA61" i="20"/>
  <c r="N62" i="20"/>
  <c r="P62" i="20"/>
  <c r="R62" i="20"/>
  <c r="Y62" i="20"/>
  <c r="Z62" i="20"/>
  <c r="AA62" i="20"/>
  <c r="N63" i="20"/>
  <c r="P63" i="20"/>
  <c r="R63" i="20"/>
  <c r="Y63" i="20"/>
  <c r="Z63" i="20"/>
  <c r="AA63" i="20"/>
  <c r="N64" i="20"/>
  <c r="P64" i="20"/>
  <c r="R64" i="20"/>
  <c r="Y64" i="20"/>
  <c r="Z64" i="20"/>
  <c r="AA64" i="20"/>
  <c r="AB52" i="20"/>
  <c r="AD52" i="20"/>
  <c r="AE52" i="20"/>
  <c r="N34" i="20"/>
  <c r="P34" i="20"/>
  <c r="R34" i="20"/>
  <c r="Y34" i="20"/>
  <c r="Z34" i="20"/>
  <c r="AA34" i="20"/>
  <c r="N35" i="20"/>
  <c r="P35" i="20"/>
  <c r="R35" i="20"/>
  <c r="Y35" i="20"/>
  <c r="Z35" i="20"/>
  <c r="AA35" i="20"/>
  <c r="N36" i="20"/>
  <c r="P36" i="20"/>
  <c r="R36" i="20"/>
  <c r="Y36" i="20"/>
  <c r="Z36" i="20"/>
  <c r="AA36" i="20"/>
  <c r="N37" i="20"/>
  <c r="P37" i="20"/>
  <c r="R37" i="20"/>
  <c r="Y37" i="20"/>
  <c r="Z37" i="20"/>
  <c r="AA37" i="20"/>
  <c r="N38" i="20"/>
  <c r="P38" i="20"/>
  <c r="R38" i="20"/>
  <c r="Y38" i="20"/>
  <c r="Z38" i="20"/>
  <c r="AA38" i="20"/>
  <c r="N39" i="20"/>
  <c r="P39" i="20"/>
  <c r="R39" i="20"/>
  <c r="Y39" i="20"/>
  <c r="Z39" i="20"/>
  <c r="AA39" i="20"/>
  <c r="N40" i="20"/>
  <c r="P40" i="20"/>
  <c r="R40" i="20"/>
  <c r="Y40" i="20"/>
  <c r="Z40" i="20"/>
  <c r="AA40" i="20"/>
  <c r="N41" i="20"/>
  <c r="P41" i="20"/>
  <c r="R41" i="20"/>
  <c r="Y41" i="20"/>
  <c r="Z41" i="20"/>
  <c r="AA41" i="20"/>
  <c r="N42" i="20"/>
  <c r="P42" i="20"/>
  <c r="R42" i="20"/>
  <c r="Y42" i="20"/>
  <c r="Z42" i="20"/>
  <c r="AA42" i="20"/>
  <c r="N43" i="20"/>
  <c r="P43" i="20"/>
  <c r="R43" i="20"/>
  <c r="Y43" i="20"/>
  <c r="Z43" i="20"/>
  <c r="AA43" i="20"/>
  <c r="N44" i="20"/>
  <c r="P44" i="20"/>
  <c r="R44" i="20"/>
  <c r="Y44" i="20"/>
  <c r="Z44" i="20"/>
  <c r="AA44" i="20"/>
  <c r="N45" i="20"/>
  <c r="P45" i="20"/>
  <c r="R45" i="20"/>
  <c r="Y45" i="20"/>
  <c r="Z45" i="20"/>
  <c r="AA45" i="20"/>
  <c r="N46" i="20"/>
  <c r="P46" i="20"/>
  <c r="R46" i="20"/>
  <c r="Y46" i="20"/>
  <c r="Z46" i="20"/>
  <c r="AA46" i="20"/>
  <c r="N47" i="20"/>
  <c r="P47" i="20"/>
  <c r="R47" i="20"/>
  <c r="Y47" i="20"/>
  <c r="Z47" i="20"/>
  <c r="AA47" i="20"/>
  <c r="N48" i="20"/>
  <c r="P48" i="20"/>
  <c r="R48" i="20"/>
  <c r="Y48" i="20"/>
  <c r="Z48" i="20"/>
  <c r="AA48" i="20"/>
  <c r="N49" i="20"/>
  <c r="P49" i="20"/>
  <c r="R49" i="20"/>
  <c r="Y49" i="20"/>
  <c r="Z49" i="20"/>
  <c r="AA49" i="20"/>
  <c r="N50" i="20"/>
  <c r="P50" i="20"/>
  <c r="R50" i="20"/>
  <c r="Y50" i="20"/>
  <c r="Z50" i="20"/>
  <c r="AA50" i="20"/>
  <c r="N51" i="20"/>
  <c r="P51" i="20"/>
  <c r="R51" i="20"/>
  <c r="Y51" i="20"/>
  <c r="Z51" i="20"/>
  <c r="AA51" i="20"/>
  <c r="AB34" i="20"/>
  <c r="AD34" i="20"/>
  <c r="AE34" i="20"/>
  <c r="N21" i="20"/>
  <c r="P21" i="20"/>
  <c r="R21" i="20"/>
  <c r="Y21" i="20"/>
  <c r="Z21" i="20"/>
  <c r="AA21" i="20"/>
  <c r="N22" i="20"/>
  <c r="P22" i="20"/>
  <c r="R22" i="20"/>
  <c r="Y22" i="20"/>
  <c r="Z22" i="20"/>
  <c r="AA22" i="20"/>
  <c r="N23" i="20"/>
  <c r="P23" i="20"/>
  <c r="R23" i="20"/>
  <c r="Y23" i="20"/>
  <c r="Z23" i="20"/>
  <c r="AA23" i="20"/>
  <c r="N24" i="20"/>
  <c r="P24" i="20"/>
  <c r="R24" i="20"/>
  <c r="Y24" i="20"/>
  <c r="Z24" i="20"/>
  <c r="AA24" i="20"/>
  <c r="N25" i="20"/>
  <c r="P25" i="20"/>
  <c r="R25" i="20"/>
  <c r="Y25" i="20"/>
  <c r="Z25" i="20"/>
  <c r="AA25" i="20"/>
  <c r="N26" i="20"/>
  <c r="P26" i="20"/>
  <c r="R26" i="20"/>
  <c r="Y26" i="20"/>
  <c r="Z26" i="20"/>
  <c r="AA26" i="20"/>
  <c r="N27" i="20"/>
  <c r="P27" i="20"/>
  <c r="R27" i="20"/>
  <c r="Y27" i="20"/>
  <c r="Z27" i="20"/>
  <c r="AA27" i="20"/>
  <c r="N28" i="20"/>
  <c r="P28" i="20"/>
  <c r="R28" i="20"/>
  <c r="Y28" i="20"/>
  <c r="Z28" i="20"/>
  <c r="AA28" i="20"/>
  <c r="N29" i="20"/>
  <c r="P29" i="20"/>
  <c r="R29" i="20"/>
  <c r="Y29" i="20"/>
  <c r="Z29" i="20"/>
  <c r="AA29" i="20"/>
  <c r="N30" i="20"/>
  <c r="P30" i="20"/>
  <c r="R30" i="20"/>
  <c r="Y30" i="20"/>
  <c r="Z30" i="20"/>
  <c r="AA30" i="20"/>
  <c r="N31" i="20"/>
  <c r="P31" i="20"/>
  <c r="R31" i="20"/>
  <c r="Y31" i="20"/>
  <c r="Z31" i="20"/>
  <c r="AA31" i="20"/>
  <c r="N32" i="20"/>
  <c r="P32" i="20"/>
  <c r="R32" i="20"/>
  <c r="Y32" i="20"/>
  <c r="Z32" i="20"/>
  <c r="AA32" i="20"/>
  <c r="N33" i="20"/>
  <c r="P33" i="20"/>
  <c r="R33" i="20"/>
  <c r="Y33" i="20"/>
  <c r="Z33" i="20"/>
  <c r="AA33" i="20"/>
  <c r="AB21" i="20"/>
  <c r="AD21" i="20"/>
  <c r="AE21" i="20"/>
  <c r="X174" i="20"/>
  <c r="X157" i="20"/>
  <c r="X141" i="20"/>
  <c r="X132" i="20"/>
  <c r="X123" i="20"/>
  <c r="X105" i="20"/>
  <c r="X86" i="20"/>
  <c r="X65" i="20"/>
  <c r="X52" i="20"/>
  <c r="X34" i="20"/>
  <c r="X21" i="20"/>
  <c r="N2" i="20"/>
  <c r="P2" i="20"/>
  <c r="R2" i="20"/>
  <c r="N3" i="20"/>
  <c r="P3" i="20"/>
  <c r="R3" i="20"/>
  <c r="N4" i="20"/>
  <c r="P4" i="20"/>
  <c r="R4" i="20"/>
  <c r="N5" i="20"/>
  <c r="P5" i="20"/>
  <c r="R5" i="20"/>
  <c r="N6" i="20"/>
  <c r="P6" i="20"/>
  <c r="R6" i="20"/>
  <c r="N7" i="20"/>
  <c r="P7" i="20"/>
  <c r="R7" i="20"/>
  <c r="N8" i="20"/>
  <c r="P8" i="20"/>
  <c r="R8" i="20"/>
  <c r="N9" i="20"/>
  <c r="P9" i="20"/>
  <c r="R9" i="20"/>
  <c r="N10" i="20"/>
  <c r="P10" i="20"/>
  <c r="R10" i="20"/>
  <c r="N11" i="20"/>
  <c r="P11" i="20"/>
  <c r="R11" i="20"/>
  <c r="N12" i="20"/>
  <c r="P12" i="20"/>
  <c r="R12" i="20"/>
  <c r="N13" i="20"/>
  <c r="P13" i="20"/>
  <c r="R13" i="20"/>
  <c r="N14" i="20"/>
  <c r="P14" i="20"/>
  <c r="R14" i="20"/>
  <c r="N15" i="20"/>
  <c r="P15" i="20"/>
  <c r="R15" i="20"/>
  <c r="N16" i="20"/>
  <c r="P16" i="20"/>
  <c r="R16" i="20"/>
  <c r="N17" i="20"/>
  <c r="P17" i="20"/>
  <c r="R17" i="20"/>
  <c r="N18" i="20"/>
  <c r="P18" i="20"/>
  <c r="R18" i="20"/>
  <c r="N19" i="20"/>
  <c r="P19" i="20"/>
  <c r="R19" i="20"/>
  <c r="N20" i="20"/>
  <c r="P20" i="20"/>
  <c r="R20" i="20"/>
  <c r="X2" i="20"/>
  <c r="P523" i="5"/>
  <c r="R523" i="5"/>
  <c r="T523" i="5"/>
  <c r="P623" i="5"/>
  <c r="R623" i="5"/>
  <c r="T623" i="5"/>
  <c r="P651" i="5"/>
  <c r="R651" i="5"/>
  <c r="T651" i="5"/>
  <c r="P297" i="5"/>
  <c r="R297" i="5"/>
  <c r="T297" i="5"/>
  <c r="P639" i="5"/>
  <c r="R639" i="5"/>
  <c r="T639" i="5"/>
  <c r="P10" i="5"/>
  <c r="R10" i="5"/>
  <c r="T10" i="5"/>
  <c r="P11" i="5"/>
  <c r="R11" i="5"/>
  <c r="T11" i="5"/>
  <c r="P72" i="5"/>
  <c r="R72" i="5"/>
  <c r="T72" i="5"/>
  <c r="P148" i="5"/>
  <c r="R148" i="5"/>
  <c r="T148" i="5"/>
  <c r="P163" i="5"/>
  <c r="R163" i="5"/>
  <c r="T163" i="5"/>
  <c r="P189" i="5"/>
  <c r="R189" i="5"/>
  <c r="T189" i="5"/>
  <c r="P218" i="5"/>
  <c r="R218" i="5"/>
  <c r="T218" i="5"/>
  <c r="P255" i="5"/>
  <c r="R255" i="5"/>
  <c r="T255" i="5"/>
  <c r="P283" i="5"/>
  <c r="R283" i="5"/>
  <c r="T283" i="5"/>
  <c r="P73" i="5"/>
  <c r="R73" i="5"/>
  <c r="T73" i="5"/>
  <c r="P245" i="5"/>
  <c r="R245" i="5"/>
  <c r="T245" i="5"/>
  <c r="P74" i="5"/>
  <c r="R74" i="5"/>
  <c r="T74" i="5"/>
  <c r="P75" i="5"/>
  <c r="R75" i="5"/>
  <c r="T75" i="5"/>
  <c r="P520" i="5"/>
  <c r="R520" i="5"/>
  <c r="T520" i="5"/>
  <c r="P521" i="5"/>
  <c r="R521" i="5"/>
  <c r="T521" i="5"/>
  <c r="P522" i="5"/>
  <c r="R522" i="5"/>
  <c r="T522" i="5"/>
  <c r="P524" i="5"/>
  <c r="R524" i="5"/>
  <c r="T524" i="5"/>
  <c r="P525" i="5"/>
  <c r="R525" i="5"/>
  <c r="T525" i="5"/>
  <c r="W511" i="5"/>
  <c r="P126" i="5"/>
  <c r="R126" i="5"/>
  <c r="T126" i="5"/>
  <c r="P164" i="5"/>
  <c r="R164" i="5"/>
  <c r="T164" i="5"/>
  <c r="P315" i="5"/>
  <c r="R315" i="5"/>
  <c r="T315" i="5"/>
  <c r="P540" i="5"/>
  <c r="R540" i="5"/>
  <c r="T540" i="5"/>
  <c r="P12" i="5"/>
  <c r="R12" i="5"/>
  <c r="T12" i="5"/>
  <c r="P27" i="5"/>
  <c r="R27" i="5"/>
  <c r="T27" i="5"/>
  <c r="P43" i="5"/>
  <c r="R43" i="5"/>
  <c r="T43" i="5"/>
  <c r="P128" i="5"/>
  <c r="R128" i="5"/>
  <c r="T128" i="5"/>
  <c r="P124" i="5"/>
  <c r="R124" i="5"/>
  <c r="T124" i="5"/>
  <c r="P129" i="5"/>
  <c r="R129" i="5"/>
  <c r="T129" i="5"/>
  <c r="P123" i="5"/>
  <c r="R123" i="5"/>
  <c r="T123" i="5"/>
  <c r="P125" i="5"/>
  <c r="R125" i="5"/>
  <c r="T125" i="5"/>
  <c r="P127" i="5"/>
  <c r="R127" i="5"/>
  <c r="T127" i="5"/>
  <c r="P130" i="5"/>
  <c r="R130" i="5"/>
  <c r="T130" i="5"/>
  <c r="P131" i="5"/>
  <c r="R131" i="5"/>
  <c r="T131" i="5"/>
  <c r="P114" i="5"/>
  <c r="R114" i="5"/>
  <c r="T114" i="5"/>
  <c r="P92" i="5"/>
  <c r="R92" i="5"/>
  <c r="T92" i="5"/>
  <c r="P93" i="5"/>
  <c r="R93" i="5"/>
  <c r="T93" i="5"/>
  <c r="P76" i="5"/>
  <c r="R76" i="5"/>
  <c r="T76" i="5"/>
  <c r="P58" i="5"/>
  <c r="R58" i="5"/>
  <c r="T58" i="5"/>
  <c r="P179" i="5"/>
  <c r="R179" i="5"/>
  <c r="T179" i="5"/>
  <c r="P285" i="5"/>
  <c r="R285" i="5"/>
  <c r="T285" i="5"/>
  <c r="P132" i="5"/>
  <c r="R132" i="5"/>
  <c r="T132" i="5"/>
  <c r="P133" i="5"/>
  <c r="R133" i="5"/>
  <c r="T133" i="5"/>
  <c r="P134" i="5"/>
  <c r="R134" i="5"/>
  <c r="T134" i="5"/>
  <c r="X126" i="5"/>
  <c r="U511" i="5"/>
  <c r="P65" i="5"/>
  <c r="R65" i="5"/>
  <c r="T65" i="5"/>
  <c r="P86" i="5"/>
  <c r="R86" i="5"/>
  <c r="T86" i="5"/>
  <c r="P157" i="5"/>
  <c r="R157" i="5"/>
  <c r="T157" i="5"/>
  <c r="P211" i="5"/>
  <c r="R211" i="5"/>
  <c r="T211" i="5"/>
  <c r="P242" i="5"/>
  <c r="R242" i="5"/>
  <c r="T242" i="5"/>
  <c r="P24" i="5"/>
  <c r="R24" i="5"/>
  <c r="T24" i="5"/>
  <c r="P25" i="5"/>
  <c r="R25" i="5"/>
  <c r="T25" i="5"/>
  <c r="P30" i="5"/>
  <c r="R30" i="5"/>
  <c r="T30" i="5"/>
  <c r="P35" i="5"/>
  <c r="R35" i="5"/>
  <c r="T35" i="5"/>
  <c r="P44" i="5"/>
  <c r="R44" i="5"/>
  <c r="T44" i="5"/>
  <c r="P87" i="5"/>
  <c r="R87" i="5"/>
  <c r="T87" i="5"/>
  <c r="P91" i="5"/>
  <c r="R91" i="5"/>
  <c r="T91" i="5"/>
  <c r="P3" i="5"/>
  <c r="R3" i="5"/>
  <c r="T3" i="5"/>
  <c r="P105" i="5"/>
  <c r="R105" i="5"/>
  <c r="T105" i="5"/>
  <c r="P185" i="5"/>
  <c r="R185" i="5"/>
  <c r="T185" i="5"/>
  <c r="P280" i="5"/>
  <c r="R280" i="5"/>
  <c r="T280" i="5"/>
  <c r="P196" i="5"/>
  <c r="R196" i="5"/>
  <c r="T196" i="5"/>
  <c r="R251" i="5"/>
  <c r="T251" i="5"/>
  <c r="P34" i="5"/>
  <c r="R34" i="5"/>
  <c r="T34" i="5"/>
  <c r="U21" i="5"/>
  <c r="P37" i="5"/>
  <c r="R37" i="5"/>
  <c r="T37" i="5"/>
  <c r="P39" i="5"/>
  <c r="R39" i="5"/>
  <c r="T39" i="5"/>
  <c r="P48" i="5"/>
  <c r="R48" i="5"/>
  <c r="T48" i="5"/>
  <c r="P2" i="5"/>
  <c r="R2" i="5"/>
  <c r="T2" i="5"/>
  <c r="P328" i="5"/>
  <c r="R328" i="5"/>
  <c r="T328" i="5"/>
  <c r="P36" i="5"/>
  <c r="R36" i="5"/>
  <c r="T36" i="5"/>
  <c r="P38" i="5"/>
  <c r="R38" i="5"/>
  <c r="T38" i="5"/>
  <c r="P45" i="5"/>
  <c r="R45" i="5"/>
  <c r="T45" i="5"/>
  <c r="U34" i="5"/>
  <c r="P550" i="5"/>
  <c r="R550" i="5"/>
  <c r="T550" i="5"/>
  <c r="P463" i="5"/>
  <c r="R463" i="5"/>
  <c r="T463" i="5"/>
  <c r="P265" i="5"/>
  <c r="R265" i="5"/>
  <c r="T265" i="5"/>
  <c r="P355" i="5"/>
  <c r="R355" i="5"/>
  <c r="T355" i="5"/>
  <c r="P395" i="5"/>
  <c r="R395" i="5"/>
  <c r="T395" i="5"/>
  <c r="P6" i="5"/>
  <c r="R6" i="5"/>
  <c r="T6" i="5"/>
  <c r="P7" i="5"/>
  <c r="R7" i="5"/>
  <c r="T7" i="5"/>
  <c r="P13" i="5"/>
  <c r="R13" i="5"/>
  <c r="T13" i="5"/>
  <c r="P18" i="5"/>
  <c r="R18" i="5"/>
  <c r="T18" i="5"/>
  <c r="P501" i="5"/>
  <c r="R501" i="5"/>
  <c r="T501" i="5"/>
  <c r="P243" i="5"/>
  <c r="R243" i="5"/>
  <c r="T243" i="5"/>
  <c r="P16" i="5"/>
  <c r="R16" i="5"/>
  <c r="T16" i="5"/>
  <c r="P19" i="5"/>
  <c r="R19" i="5"/>
  <c r="T19" i="5"/>
  <c r="U3" i="5"/>
  <c r="P281" i="5"/>
  <c r="R281" i="5"/>
  <c r="T281" i="5"/>
  <c r="P470" i="5"/>
  <c r="R470" i="5"/>
  <c r="T470" i="5"/>
  <c r="P226" i="5"/>
  <c r="R226" i="5"/>
  <c r="T226" i="5"/>
  <c r="P394" i="5"/>
  <c r="R394" i="5"/>
  <c r="T394" i="5"/>
  <c r="P213" i="5"/>
  <c r="R213" i="5"/>
  <c r="T213" i="5"/>
  <c r="P314" i="5"/>
  <c r="R314" i="5"/>
  <c r="T314" i="5"/>
  <c r="P318" i="5"/>
  <c r="R318" i="5"/>
  <c r="T318" i="5"/>
  <c r="P323" i="5"/>
  <c r="R323" i="5"/>
  <c r="T323" i="5"/>
  <c r="P324" i="5"/>
  <c r="R324" i="5"/>
  <c r="T324" i="5"/>
  <c r="P142" i="5"/>
  <c r="R142" i="5"/>
  <c r="T142" i="5"/>
  <c r="P618" i="5"/>
  <c r="R618" i="5"/>
  <c r="T618" i="5"/>
  <c r="P309" i="5"/>
  <c r="R309" i="5"/>
  <c r="T309" i="5"/>
  <c r="P310" i="5"/>
  <c r="R310" i="5"/>
  <c r="T310" i="5"/>
  <c r="P312" i="5"/>
  <c r="R312" i="5"/>
  <c r="T312" i="5"/>
  <c r="P325" i="5"/>
  <c r="R325" i="5"/>
  <c r="T325" i="5"/>
  <c r="U306" i="5"/>
  <c r="P349" i="5"/>
  <c r="R349" i="5"/>
  <c r="T349" i="5"/>
  <c r="P350" i="5"/>
  <c r="R350" i="5"/>
  <c r="T350" i="5"/>
  <c r="P175" i="5"/>
  <c r="R175" i="5"/>
  <c r="T175" i="5"/>
  <c r="P347" i="5"/>
  <c r="R347" i="5"/>
  <c r="T347" i="5"/>
  <c r="P351" i="5"/>
  <c r="R351" i="5"/>
  <c r="T351" i="5"/>
  <c r="U344" i="5"/>
  <c r="P266" i="5"/>
  <c r="R266" i="5"/>
  <c r="T266" i="5"/>
  <c r="P379" i="5"/>
  <c r="R379" i="5"/>
  <c r="T379" i="5"/>
  <c r="P398" i="5"/>
  <c r="R398" i="5"/>
  <c r="T398" i="5"/>
  <c r="P406" i="5"/>
  <c r="R406" i="5"/>
  <c r="T406" i="5"/>
  <c r="P187" i="5"/>
  <c r="R187" i="5"/>
  <c r="T187" i="5"/>
  <c r="P396" i="5"/>
  <c r="R396" i="5"/>
  <c r="T396" i="5"/>
  <c r="P407" i="5"/>
  <c r="R407" i="5"/>
  <c r="T407" i="5"/>
  <c r="U394" i="5"/>
  <c r="P442" i="5"/>
  <c r="R442" i="5"/>
  <c r="T442" i="5"/>
  <c r="P159" i="5"/>
  <c r="R159" i="5"/>
  <c r="T159" i="5"/>
  <c r="P443" i="5"/>
  <c r="R443" i="5"/>
  <c r="T443" i="5"/>
  <c r="U430" i="5"/>
  <c r="P559" i="5"/>
  <c r="R559" i="5"/>
  <c r="T559" i="5"/>
  <c r="P488" i="5"/>
  <c r="R488" i="5"/>
  <c r="T488" i="5"/>
  <c r="P543" i="5"/>
  <c r="R543" i="5"/>
  <c r="T543" i="5"/>
  <c r="P546" i="5"/>
  <c r="R546" i="5"/>
  <c r="T546" i="5"/>
  <c r="P549" i="5"/>
  <c r="R549" i="5"/>
  <c r="T549" i="5"/>
  <c r="P158" i="5"/>
  <c r="R158" i="5"/>
  <c r="T158" i="5"/>
  <c r="P267" i="5"/>
  <c r="R267" i="5"/>
  <c r="T267" i="5"/>
  <c r="P489" i="5"/>
  <c r="R489" i="5"/>
  <c r="T489" i="5"/>
  <c r="P534" i="5"/>
  <c r="R534" i="5"/>
  <c r="T534" i="5"/>
  <c r="P535" i="5"/>
  <c r="R535" i="5"/>
  <c r="T535" i="5"/>
  <c r="P547" i="5"/>
  <c r="R547" i="5"/>
  <c r="T547" i="5"/>
  <c r="U533" i="5"/>
  <c r="P471" i="5"/>
  <c r="R471" i="5"/>
  <c r="T471" i="5"/>
  <c r="P637" i="5"/>
  <c r="R637" i="5"/>
  <c r="T637" i="5"/>
  <c r="P640" i="5"/>
  <c r="R640" i="5"/>
  <c r="T640" i="5"/>
  <c r="P636" i="5"/>
  <c r="R636" i="5"/>
  <c r="T636" i="5"/>
  <c r="P646" i="5"/>
  <c r="R646" i="5"/>
  <c r="T646" i="5"/>
  <c r="P368" i="5"/>
  <c r="R368" i="5"/>
  <c r="T368" i="5"/>
  <c r="P108" i="5"/>
  <c r="R108" i="5"/>
  <c r="T108" i="5"/>
  <c r="P638" i="5"/>
  <c r="R638" i="5"/>
  <c r="T638" i="5"/>
  <c r="P644" i="5"/>
  <c r="R644" i="5"/>
  <c r="T644" i="5"/>
  <c r="P647" i="5"/>
  <c r="R647" i="5"/>
  <c r="T647" i="5"/>
  <c r="U635" i="5"/>
  <c r="P601" i="5"/>
  <c r="R601" i="5"/>
  <c r="T601" i="5"/>
  <c r="P95" i="5"/>
  <c r="R95" i="5"/>
  <c r="T95" i="5"/>
  <c r="P98" i="5"/>
  <c r="R98" i="5"/>
  <c r="T98" i="5"/>
  <c r="P89" i="5"/>
  <c r="R89" i="5"/>
  <c r="T89" i="5"/>
  <c r="P197" i="5"/>
  <c r="R197" i="5"/>
  <c r="T197" i="5"/>
  <c r="P23" i="5"/>
  <c r="R23" i="5"/>
  <c r="T23" i="5"/>
  <c r="P144" i="5"/>
  <c r="R144" i="5"/>
  <c r="T144" i="5"/>
  <c r="P90" i="5"/>
  <c r="R90" i="5"/>
  <c r="T90" i="5"/>
  <c r="P101" i="5"/>
  <c r="R101" i="5"/>
  <c r="T101" i="5"/>
  <c r="U87" i="5"/>
  <c r="P149" i="5"/>
  <c r="R149" i="5"/>
  <c r="T149" i="5"/>
  <c r="P156" i="5"/>
  <c r="R156" i="5"/>
  <c r="T156" i="5"/>
  <c r="U142" i="5"/>
  <c r="P166" i="5"/>
  <c r="R166" i="5"/>
  <c r="T166" i="5"/>
  <c r="P161" i="5"/>
  <c r="R161" i="5"/>
  <c r="T161" i="5"/>
  <c r="P170" i="5"/>
  <c r="R170" i="5"/>
  <c r="T170" i="5"/>
  <c r="U158" i="5"/>
  <c r="P194" i="5"/>
  <c r="R194" i="5"/>
  <c r="T194" i="5"/>
  <c r="P207" i="5"/>
  <c r="R207" i="5"/>
  <c r="T207" i="5"/>
  <c r="P268" i="5"/>
  <c r="R268" i="5"/>
  <c r="T268" i="5"/>
  <c r="P270" i="5"/>
  <c r="R270" i="5"/>
  <c r="T270" i="5"/>
  <c r="P274" i="5"/>
  <c r="R274" i="5"/>
  <c r="T274" i="5"/>
  <c r="P276" i="5"/>
  <c r="R276" i="5"/>
  <c r="T276" i="5"/>
  <c r="P432" i="5"/>
  <c r="R432" i="5"/>
  <c r="T432" i="5"/>
  <c r="P269" i="5"/>
  <c r="R269" i="5"/>
  <c r="T269" i="5"/>
  <c r="P273" i="5"/>
  <c r="R273" i="5"/>
  <c r="T273" i="5"/>
  <c r="P278" i="5"/>
  <c r="R278" i="5"/>
  <c r="T278" i="5"/>
  <c r="U266" i="5"/>
  <c r="P300" i="5"/>
  <c r="R300" i="5"/>
  <c r="T300" i="5"/>
  <c r="P302" i="5"/>
  <c r="R302" i="5"/>
  <c r="T302" i="5"/>
  <c r="P291" i="5"/>
  <c r="R291" i="5"/>
  <c r="T291" i="5"/>
  <c r="P292" i="5"/>
  <c r="R292" i="5"/>
  <c r="T292" i="5"/>
  <c r="P294" i="5"/>
  <c r="R294" i="5"/>
  <c r="T294" i="5"/>
  <c r="P303" i="5"/>
  <c r="R303" i="5"/>
  <c r="T303" i="5"/>
  <c r="U290" i="5"/>
  <c r="P496" i="5"/>
  <c r="R496" i="5"/>
  <c r="T496" i="5"/>
  <c r="P497" i="5"/>
  <c r="R497" i="5"/>
  <c r="T497" i="5"/>
  <c r="P492" i="5"/>
  <c r="R492" i="5"/>
  <c r="T492" i="5"/>
  <c r="P498" i="5"/>
  <c r="R498" i="5"/>
  <c r="T498" i="5"/>
  <c r="U488" i="5"/>
  <c r="P22" i="5"/>
  <c r="R22" i="5"/>
  <c r="T22" i="5"/>
  <c r="P561" i="5"/>
  <c r="R561" i="5"/>
  <c r="T561" i="5"/>
  <c r="P568" i="5"/>
  <c r="R568" i="5"/>
  <c r="T568" i="5"/>
  <c r="P571" i="5"/>
  <c r="R571" i="5"/>
  <c r="T571" i="5"/>
  <c r="P5" i="5"/>
  <c r="R5" i="5"/>
  <c r="T5" i="5"/>
  <c r="P564" i="5"/>
  <c r="R564" i="5"/>
  <c r="T564" i="5"/>
  <c r="P569" i="5"/>
  <c r="R569" i="5"/>
  <c r="T569" i="5"/>
  <c r="P572" i="5"/>
  <c r="R572" i="5"/>
  <c r="T572" i="5"/>
  <c r="U559" i="5"/>
  <c r="P614" i="5"/>
  <c r="R614" i="5"/>
  <c r="T614" i="5"/>
  <c r="P619" i="5"/>
  <c r="R619" i="5"/>
  <c r="T619" i="5"/>
  <c r="P620" i="5"/>
  <c r="R620" i="5"/>
  <c r="T620" i="5"/>
  <c r="P626" i="5"/>
  <c r="R626" i="5"/>
  <c r="T626" i="5"/>
  <c r="P632" i="5"/>
  <c r="R632" i="5"/>
  <c r="T632" i="5"/>
  <c r="P629" i="5"/>
  <c r="R629" i="5"/>
  <c r="T629" i="5"/>
  <c r="P630" i="5"/>
  <c r="R630" i="5"/>
  <c r="T630" i="5"/>
  <c r="P107" i="5"/>
  <c r="R107" i="5"/>
  <c r="T107" i="5"/>
  <c r="P356" i="5"/>
  <c r="R356" i="5"/>
  <c r="T356" i="5"/>
  <c r="P621" i="5"/>
  <c r="R621" i="5"/>
  <c r="T621" i="5"/>
  <c r="P625" i="5"/>
  <c r="R625" i="5"/>
  <c r="T625" i="5"/>
  <c r="P631" i="5"/>
  <c r="R631" i="5"/>
  <c r="T631" i="5"/>
  <c r="U618" i="5"/>
  <c r="P254" i="5"/>
  <c r="R254" i="5"/>
  <c r="T254" i="5"/>
  <c r="P296" i="5"/>
  <c r="R296" i="5"/>
  <c r="T296" i="5"/>
  <c r="P503" i="5"/>
  <c r="R503" i="5"/>
  <c r="T503" i="5"/>
  <c r="P256" i="5"/>
  <c r="R256" i="5"/>
  <c r="T256" i="5"/>
  <c r="P258" i="5"/>
  <c r="R258" i="5"/>
  <c r="T258" i="5"/>
  <c r="P450" i="5"/>
  <c r="R450" i="5"/>
  <c r="T450" i="5"/>
  <c r="U254" i="5"/>
  <c r="P526" i="5"/>
  <c r="R526" i="5"/>
  <c r="T526" i="5"/>
  <c r="U523" i="5"/>
  <c r="P655" i="5"/>
  <c r="R655" i="5"/>
  <c r="T655" i="5"/>
  <c r="P284" i="5"/>
  <c r="R284" i="5"/>
  <c r="T284" i="5"/>
  <c r="U651" i="5"/>
  <c r="P435" i="5"/>
  <c r="R435" i="5"/>
  <c r="T435" i="5"/>
  <c r="P78" i="5"/>
  <c r="R78" i="5"/>
  <c r="T78" i="5"/>
  <c r="P68" i="5"/>
  <c r="R68" i="5"/>
  <c r="T68" i="5"/>
  <c r="P79" i="5"/>
  <c r="R79" i="5"/>
  <c r="T79" i="5"/>
  <c r="P85" i="5"/>
  <c r="R85" i="5"/>
  <c r="T85" i="5"/>
  <c r="P417" i="5"/>
  <c r="R417" i="5"/>
  <c r="T417" i="5"/>
  <c r="P190" i="5"/>
  <c r="R190" i="5"/>
  <c r="T190" i="5"/>
  <c r="P77" i="5"/>
  <c r="R77" i="5"/>
  <c r="T77" i="5"/>
  <c r="P82" i="5"/>
  <c r="R82" i="5"/>
  <c r="T82" i="5"/>
  <c r="U72" i="5"/>
  <c r="P313" i="5"/>
  <c r="R313" i="5"/>
  <c r="T313" i="5"/>
  <c r="P286" i="5"/>
  <c r="R286" i="5"/>
  <c r="T286" i="5"/>
  <c r="P652" i="5"/>
  <c r="R652" i="5"/>
  <c r="T652" i="5"/>
  <c r="U283" i="5"/>
  <c r="P624" i="5"/>
  <c r="R624" i="5"/>
  <c r="T624" i="5"/>
  <c r="P334" i="5"/>
  <c r="R334" i="5"/>
  <c r="T334" i="5"/>
  <c r="P337" i="5"/>
  <c r="R337" i="5"/>
  <c r="T337" i="5"/>
  <c r="P340" i="5"/>
  <c r="R340" i="5"/>
  <c r="T340" i="5"/>
  <c r="P584" i="5"/>
  <c r="R584" i="5"/>
  <c r="T584" i="5"/>
  <c r="P333" i="5"/>
  <c r="R333" i="5"/>
  <c r="T333" i="5"/>
  <c r="P336" i="5"/>
  <c r="R336" i="5"/>
  <c r="T336" i="5"/>
  <c r="U332" i="5"/>
  <c r="P419" i="5"/>
  <c r="R419" i="5"/>
  <c r="T419" i="5"/>
  <c r="P421" i="5"/>
  <c r="R421" i="5"/>
  <c r="T421" i="5"/>
  <c r="P425" i="5"/>
  <c r="R425" i="5"/>
  <c r="T425" i="5"/>
  <c r="P257" i="5"/>
  <c r="R257" i="5"/>
  <c r="T257" i="5"/>
  <c r="P418" i="5"/>
  <c r="R418" i="5"/>
  <c r="T418" i="5"/>
  <c r="U417" i="5"/>
  <c r="P582" i="5"/>
  <c r="R582" i="5"/>
  <c r="T582" i="5"/>
  <c r="P589" i="5"/>
  <c r="R589" i="5"/>
  <c r="T589" i="5"/>
  <c r="P588" i="5"/>
  <c r="R588" i="5"/>
  <c r="T588" i="5"/>
  <c r="P592" i="5"/>
  <c r="R592" i="5"/>
  <c r="T592" i="5"/>
  <c r="U584" i="5"/>
  <c r="P247" i="5"/>
  <c r="R247" i="5"/>
  <c r="T247" i="5"/>
  <c r="P246" i="5"/>
  <c r="R246" i="5"/>
  <c r="T246" i="5"/>
  <c r="U245" i="5"/>
  <c r="U126" i="5"/>
  <c r="P596" i="5"/>
  <c r="R596" i="5"/>
  <c r="T596" i="5"/>
  <c r="P595" i="5"/>
  <c r="R595" i="5"/>
  <c r="T595" i="5"/>
  <c r="U594" i="5"/>
  <c r="P59" i="5"/>
  <c r="R59" i="5"/>
  <c r="T59" i="5"/>
  <c r="P116" i="5"/>
  <c r="R116" i="5"/>
  <c r="T116" i="5"/>
  <c r="P64" i="5"/>
  <c r="R64" i="5"/>
  <c r="T64" i="5"/>
  <c r="P53" i="5"/>
  <c r="R53" i="5"/>
  <c r="T53" i="5"/>
  <c r="P62" i="5"/>
  <c r="R62" i="5"/>
  <c r="T62" i="5"/>
  <c r="P554" i="5"/>
  <c r="R554" i="5"/>
  <c r="T554" i="5"/>
  <c r="P60" i="5"/>
  <c r="R60" i="5"/>
  <c r="T60" i="5"/>
  <c r="P70" i="5"/>
  <c r="R70" i="5"/>
  <c r="T70" i="5"/>
  <c r="U59" i="5"/>
  <c r="P109" i="5"/>
  <c r="R109" i="5"/>
  <c r="T109" i="5"/>
  <c r="P110" i="5"/>
  <c r="R110" i="5"/>
  <c r="T110" i="5"/>
  <c r="P111" i="5"/>
  <c r="R111" i="5"/>
  <c r="T111" i="5"/>
  <c r="P117" i="5"/>
  <c r="R117" i="5"/>
  <c r="T117" i="5"/>
  <c r="P118" i="5"/>
  <c r="R118" i="5"/>
  <c r="T118" i="5"/>
  <c r="P221" i="5"/>
  <c r="R221" i="5"/>
  <c r="T221" i="5"/>
  <c r="U116" i="5"/>
  <c r="U554" i="5"/>
  <c r="P28" i="5"/>
  <c r="R28" i="5"/>
  <c r="T28" i="5"/>
  <c r="P363" i="5"/>
  <c r="R363" i="5"/>
  <c r="T363" i="5"/>
  <c r="P390" i="5"/>
  <c r="R390" i="5"/>
  <c r="T390" i="5"/>
  <c r="P493" i="5"/>
  <c r="R493" i="5"/>
  <c r="T493" i="5"/>
  <c r="P580" i="5"/>
  <c r="R580" i="5"/>
  <c r="T580" i="5"/>
  <c r="P272" i="5"/>
  <c r="R272" i="5"/>
  <c r="T272" i="5"/>
  <c r="P259" i="5"/>
  <c r="R259" i="5"/>
  <c r="T259" i="5"/>
  <c r="P583" i="5"/>
  <c r="R583" i="5"/>
  <c r="T583" i="5"/>
  <c r="U575" i="5"/>
  <c r="P354" i="5"/>
  <c r="R354" i="5"/>
  <c r="T354" i="5"/>
  <c r="P357" i="5"/>
  <c r="R357" i="5"/>
  <c r="T357" i="5"/>
  <c r="P358" i="5"/>
  <c r="R358" i="5"/>
  <c r="T358" i="5"/>
  <c r="P364" i="5"/>
  <c r="R364" i="5"/>
  <c r="T364" i="5"/>
  <c r="P365" i="5"/>
  <c r="R365" i="5"/>
  <c r="T365" i="5"/>
  <c r="P452" i="5"/>
  <c r="R452" i="5"/>
  <c r="T452" i="5"/>
  <c r="P446" i="5"/>
  <c r="R446" i="5"/>
  <c r="T446" i="5"/>
  <c r="P448" i="5"/>
  <c r="R448" i="5"/>
  <c r="T448" i="5"/>
  <c r="P449" i="5"/>
  <c r="R449" i="5"/>
  <c r="T449" i="5"/>
  <c r="P451" i="5"/>
  <c r="R451" i="5"/>
  <c r="T451" i="5"/>
  <c r="P453" i="5"/>
  <c r="R453" i="5"/>
  <c r="T453" i="5"/>
  <c r="P454" i="5"/>
  <c r="R454" i="5"/>
  <c r="T454" i="5"/>
  <c r="P455" i="5"/>
  <c r="R455" i="5"/>
  <c r="T455" i="5"/>
  <c r="P176" i="5"/>
  <c r="R176" i="5"/>
  <c r="T176" i="5"/>
  <c r="P282" i="5"/>
  <c r="R282" i="5"/>
  <c r="T282" i="5"/>
  <c r="P383" i="5"/>
  <c r="R383" i="5"/>
  <c r="T383" i="5"/>
  <c r="P456" i="5"/>
  <c r="R456" i="5"/>
  <c r="T456" i="5"/>
  <c r="W447" i="5"/>
  <c r="P374" i="5"/>
  <c r="R374" i="5"/>
  <c r="T374" i="5"/>
  <c r="P376" i="5"/>
  <c r="R376" i="5"/>
  <c r="T376" i="5"/>
  <c r="P370" i="5"/>
  <c r="R370" i="5"/>
  <c r="T370" i="5"/>
  <c r="P377" i="5"/>
  <c r="R377" i="5"/>
  <c r="T377" i="5"/>
  <c r="P378" i="5"/>
  <c r="R378" i="5"/>
  <c r="T378" i="5"/>
  <c r="P380" i="5"/>
  <c r="R380" i="5"/>
  <c r="T380" i="5"/>
  <c r="P381" i="5"/>
  <c r="R381" i="5"/>
  <c r="T381" i="5"/>
  <c r="P382" i="5"/>
  <c r="R382" i="5"/>
  <c r="T382" i="5"/>
  <c r="P214" i="5"/>
  <c r="R214" i="5"/>
  <c r="T214" i="5"/>
  <c r="W367" i="5"/>
  <c r="P332" i="5"/>
  <c r="R332" i="5"/>
  <c r="T332" i="5"/>
  <c r="P287" i="5"/>
  <c r="R287" i="5"/>
  <c r="T287" i="5"/>
  <c r="P288" i="5"/>
  <c r="R288" i="5"/>
  <c r="T288" i="5"/>
  <c r="P346" i="5"/>
  <c r="R346" i="5"/>
  <c r="T346" i="5"/>
  <c r="P289" i="5"/>
  <c r="R289" i="5"/>
  <c r="T289" i="5"/>
  <c r="X283" i="5"/>
  <c r="Y2" i="20"/>
  <c r="Z2" i="20"/>
  <c r="AA2" i="20"/>
  <c r="Y3" i="20"/>
  <c r="Z3" i="20"/>
  <c r="AA3" i="20"/>
  <c r="Y4" i="20"/>
  <c r="Z4" i="20"/>
  <c r="AA4" i="20"/>
  <c r="Y5" i="20"/>
  <c r="Z5" i="20"/>
  <c r="AA5" i="20"/>
  <c r="Y6" i="20"/>
  <c r="Z6" i="20"/>
  <c r="AA6" i="20"/>
  <c r="Y7" i="20"/>
  <c r="Z7" i="20"/>
  <c r="AA7" i="20"/>
  <c r="Y8" i="20"/>
  <c r="Z8" i="20"/>
  <c r="AA8" i="20"/>
  <c r="Y9" i="20"/>
  <c r="Z9" i="20"/>
  <c r="AA9" i="20"/>
  <c r="Y10" i="20"/>
  <c r="Z10" i="20"/>
  <c r="AA10" i="20"/>
  <c r="Y11" i="20"/>
  <c r="Z11" i="20"/>
  <c r="AA11" i="20"/>
  <c r="Y12" i="20"/>
  <c r="Z12" i="20"/>
  <c r="AA12" i="20"/>
  <c r="Y13" i="20"/>
  <c r="Z13" i="20"/>
  <c r="AA13" i="20"/>
  <c r="Y14" i="20"/>
  <c r="Z14" i="20"/>
  <c r="AA14" i="20"/>
  <c r="Y15" i="20"/>
  <c r="Z15" i="20"/>
  <c r="AA15" i="20"/>
  <c r="Y16" i="20"/>
  <c r="Z16" i="20"/>
  <c r="AA16" i="20"/>
  <c r="Y17" i="20"/>
  <c r="Z17" i="20"/>
  <c r="AA17" i="20"/>
  <c r="Y18" i="20"/>
  <c r="Z18" i="20"/>
  <c r="AA18" i="20"/>
  <c r="Y19" i="20"/>
  <c r="Z19" i="20"/>
  <c r="AA19" i="20"/>
  <c r="Y20" i="20"/>
  <c r="Z20" i="20"/>
  <c r="AA20" i="20"/>
  <c r="AB2" i="20"/>
  <c r="AD2" i="20"/>
  <c r="AE2" i="20"/>
  <c r="T52" i="20"/>
  <c r="U52" i="20"/>
  <c r="V52" i="20"/>
  <c r="T53" i="20"/>
  <c r="U53" i="20"/>
  <c r="V53" i="20"/>
  <c r="T54" i="20"/>
  <c r="U54" i="20"/>
  <c r="V54" i="20"/>
  <c r="T55" i="20"/>
  <c r="U55" i="20"/>
  <c r="V55" i="20"/>
  <c r="T56" i="20"/>
  <c r="U56" i="20"/>
  <c r="V56" i="20"/>
  <c r="T57" i="20"/>
  <c r="U57" i="20"/>
  <c r="V57" i="20"/>
  <c r="T58" i="20"/>
  <c r="U58" i="20"/>
  <c r="V58" i="20"/>
  <c r="T59" i="20"/>
  <c r="U59" i="20"/>
  <c r="V59" i="20"/>
  <c r="T60" i="20"/>
  <c r="U60" i="20"/>
  <c r="V60" i="20"/>
  <c r="T61" i="20"/>
  <c r="U61" i="20"/>
  <c r="V61" i="20"/>
  <c r="T62" i="20"/>
  <c r="U62" i="20"/>
  <c r="V62" i="20"/>
  <c r="T63" i="20"/>
  <c r="U63" i="20"/>
  <c r="V63" i="20"/>
  <c r="T64" i="20"/>
  <c r="U64" i="20"/>
  <c r="V64" i="20"/>
  <c r="W52" i="20"/>
  <c r="T34" i="20"/>
  <c r="U34" i="20"/>
  <c r="V34" i="20"/>
  <c r="T35" i="20"/>
  <c r="U35" i="20"/>
  <c r="V35" i="20"/>
  <c r="T36" i="20"/>
  <c r="U36" i="20"/>
  <c r="V36" i="20"/>
  <c r="T37" i="20"/>
  <c r="U37" i="20"/>
  <c r="V37" i="20"/>
  <c r="T38" i="20"/>
  <c r="U38" i="20"/>
  <c r="V38" i="20"/>
  <c r="T39" i="20"/>
  <c r="U39" i="20"/>
  <c r="V39" i="20"/>
  <c r="T40" i="20"/>
  <c r="U40" i="20"/>
  <c r="V40" i="20"/>
  <c r="T41" i="20"/>
  <c r="U41" i="20"/>
  <c r="V41" i="20"/>
  <c r="T42" i="20"/>
  <c r="U42" i="20"/>
  <c r="V42" i="20"/>
  <c r="T43" i="20"/>
  <c r="U43" i="20"/>
  <c r="V43" i="20"/>
  <c r="T44" i="20"/>
  <c r="U44" i="20"/>
  <c r="V44" i="20"/>
  <c r="T45" i="20"/>
  <c r="U45" i="20"/>
  <c r="V45" i="20"/>
  <c r="T46" i="20"/>
  <c r="U46" i="20"/>
  <c r="V46" i="20"/>
  <c r="T47" i="20"/>
  <c r="U47" i="20"/>
  <c r="V47" i="20"/>
  <c r="T48" i="20"/>
  <c r="U48" i="20"/>
  <c r="V48" i="20"/>
  <c r="T49" i="20"/>
  <c r="U49" i="20"/>
  <c r="V49" i="20"/>
  <c r="T50" i="20"/>
  <c r="U50" i="20"/>
  <c r="V50" i="20"/>
  <c r="T51" i="20"/>
  <c r="U51" i="20"/>
  <c r="V51" i="20"/>
  <c r="W34" i="20"/>
  <c r="T21" i="20"/>
  <c r="U21" i="20"/>
  <c r="V21" i="20"/>
  <c r="T22" i="20"/>
  <c r="U22" i="20"/>
  <c r="V22" i="20"/>
  <c r="T23" i="20"/>
  <c r="U23" i="20"/>
  <c r="V23" i="20"/>
  <c r="T24" i="20"/>
  <c r="U24" i="20"/>
  <c r="V24" i="20"/>
  <c r="T25" i="20"/>
  <c r="U25" i="20"/>
  <c r="V25" i="20"/>
  <c r="T26" i="20"/>
  <c r="U26" i="20"/>
  <c r="V26" i="20"/>
  <c r="T27" i="20"/>
  <c r="U27" i="20"/>
  <c r="V27" i="20"/>
  <c r="T28" i="20"/>
  <c r="U28" i="20"/>
  <c r="V28" i="20"/>
  <c r="T29" i="20"/>
  <c r="U29" i="20"/>
  <c r="V29" i="20"/>
  <c r="T30" i="20"/>
  <c r="U30" i="20"/>
  <c r="V30" i="20"/>
  <c r="T31" i="20"/>
  <c r="U31" i="20"/>
  <c r="V31" i="20"/>
  <c r="T32" i="20"/>
  <c r="U32" i="20"/>
  <c r="V32" i="20"/>
  <c r="T33" i="20"/>
  <c r="U33" i="20"/>
  <c r="V33" i="20"/>
  <c r="W21" i="20"/>
  <c r="T2" i="20"/>
  <c r="U2" i="20"/>
  <c r="V2" i="20"/>
  <c r="T3" i="20"/>
  <c r="U3" i="20"/>
  <c r="V3" i="20"/>
  <c r="T4" i="20"/>
  <c r="U4" i="20"/>
  <c r="V4" i="20"/>
  <c r="T5" i="20"/>
  <c r="U5" i="20"/>
  <c r="V5" i="20"/>
  <c r="T6" i="20"/>
  <c r="U6" i="20"/>
  <c r="V6" i="20"/>
  <c r="T7" i="20"/>
  <c r="U7" i="20"/>
  <c r="V7" i="20"/>
  <c r="T8" i="20"/>
  <c r="U8" i="20"/>
  <c r="V8" i="20"/>
  <c r="T9" i="20"/>
  <c r="U9" i="20"/>
  <c r="V9" i="20"/>
  <c r="T10" i="20"/>
  <c r="U10" i="20"/>
  <c r="V10" i="20"/>
  <c r="T11" i="20"/>
  <c r="U11" i="20"/>
  <c r="V11" i="20"/>
  <c r="T12" i="20"/>
  <c r="U12" i="20"/>
  <c r="V12" i="20"/>
  <c r="T13" i="20"/>
  <c r="U13" i="20"/>
  <c r="V13" i="20"/>
  <c r="T14" i="20"/>
  <c r="U14" i="20"/>
  <c r="V14" i="20"/>
  <c r="T15" i="20"/>
  <c r="U15" i="20"/>
  <c r="V15" i="20"/>
  <c r="T16" i="20"/>
  <c r="U16" i="20"/>
  <c r="V16" i="20"/>
  <c r="T17" i="20"/>
  <c r="U17" i="20"/>
  <c r="V17" i="20"/>
  <c r="T18" i="20"/>
  <c r="U18" i="20"/>
  <c r="V18" i="20"/>
  <c r="T19" i="20"/>
  <c r="U19" i="20"/>
  <c r="V19" i="20"/>
  <c r="T20" i="20"/>
  <c r="U20" i="20"/>
  <c r="V20" i="20"/>
  <c r="W2" i="20"/>
  <c r="P94" i="5"/>
  <c r="R94" i="5"/>
  <c r="T94" i="5"/>
  <c r="P14" i="5"/>
  <c r="R14" i="5"/>
  <c r="T14" i="5"/>
  <c r="P55" i="5"/>
  <c r="R55" i="5"/>
  <c r="T55" i="5"/>
  <c r="P56" i="5"/>
  <c r="R56" i="5"/>
  <c r="T56" i="5"/>
  <c r="P80" i="5"/>
  <c r="R80" i="5"/>
  <c r="T80" i="5"/>
  <c r="P112" i="5"/>
  <c r="R112" i="5"/>
  <c r="T112" i="5"/>
  <c r="P113" i="5"/>
  <c r="R113" i="5"/>
  <c r="T113" i="5"/>
  <c r="P115" i="5"/>
  <c r="R115" i="5"/>
  <c r="T115" i="5"/>
  <c r="P352" i="5"/>
  <c r="R352" i="5"/>
  <c r="T352" i="5"/>
  <c r="P353" i="5"/>
  <c r="R353" i="5"/>
  <c r="T353" i="5"/>
  <c r="P360" i="5"/>
  <c r="R360" i="5"/>
  <c r="T360" i="5"/>
  <c r="P387" i="5"/>
  <c r="R387" i="5"/>
  <c r="T387" i="5"/>
  <c r="R388" i="5"/>
  <c r="T388" i="5"/>
  <c r="P384" i="5"/>
  <c r="R384" i="5"/>
  <c r="T384" i="5"/>
  <c r="P404" i="5"/>
  <c r="R404" i="5"/>
  <c r="T404" i="5"/>
  <c r="P393" i="5"/>
  <c r="R393" i="5"/>
  <c r="T393" i="5"/>
  <c r="P422" i="5"/>
  <c r="R422" i="5"/>
  <c r="T422" i="5"/>
  <c r="P410" i="5"/>
  <c r="R410" i="5"/>
  <c r="T410" i="5"/>
  <c r="P212" i="5"/>
  <c r="R212" i="5"/>
  <c r="T212" i="5"/>
  <c r="P329" i="5"/>
  <c r="R329" i="5"/>
  <c r="T329" i="5"/>
  <c r="P433" i="5"/>
  <c r="R433" i="5"/>
  <c r="T433" i="5"/>
  <c r="P434" i="5"/>
  <c r="R434" i="5"/>
  <c r="T434" i="5"/>
  <c r="P436" i="5"/>
  <c r="R436" i="5"/>
  <c r="T436" i="5"/>
  <c r="P437" i="5"/>
  <c r="R437" i="5"/>
  <c r="T437" i="5"/>
  <c r="P438" i="5"/>
  <c r="R438" i="5"/>
  <c r="T438" i="5"/>
  <c r="P439" i="5"/>
  <c r="R439" i="5"/>
  <c r="T439" i="5"/>
  <c r="P440" i="5"/>
  <c r="R440" i="5"/>
  <c r="T440" i="5"/>
  <c r="P441" i="5"/>
  <c r="R441" i="5"/>
  <c r="T441" i="5"/>
  <c r="P444" i="5"/>
  <c r="R444" i="5"/>
  <c r="T444" i="5"/>
  <c r="P445" i="5"/>
  <c r="R445" i="5"/>
  <c r="T445" i="5"/>
  <c r="P480" i="5"/>
  <c r="R480" i="5"/>
  <c r="T480" i="5"/>
  <c r="P491" i="5"/>
  <c r="R491" i="5"/>
  <c r="T491" i="5"/>
  <c r="P494" i="5"/>
  <c r="R494" i="5"/>
  <c r="T494" i="5"/>
  <c r="P544" i="5"/>
  <c r="R544" i="5"/>
  <c r="T544" i="5"/>
  <c r="P586" i="5"/>
  <c r="R586" i="5"/>
  <c r="T586" i="5"/>
  <c r="P429" i="5"/>
  <c r="R429" i="5"/>
  <c r="T429" i="5"/>
  <c r="X430" i="5"/>
  <c r="Y143" i="1"/>
  <c r="H160" i="2"/>
  <c r="J160" i="2"/>
  <c r="H161" i="2"/>
  <c r="J161" i="2"/>
  <c r="M160" i="2"/>
  <c r="P499" i="5"/>
  <c r="R499" i="5"/>
  <c r="T499" i="5"/>
  <c r="P469" i="5"/>
  <c r="R469" i="5"/>
  <c r="T469" i="5"/>
  <c r="P473" i="5"/>
  <c r="R473" i="5"/>
  <c r="T473" i="5"/>
  <c r="P474" i="5"/>
  <c r="R474" i="5"/>
  <c r="T474" i="5"/>
  <c r="P475" i="5"/>
  <c r="R475" i="5"/>
  <c r="T475" i="5"/>
  <c r="P476" i="5"/>
  <c r="R476" i="5"/>
  <c r="T476" i="5"/>
  <c r="P500" i="5"/>
  <c r="R500" i="5"/>
  <c r="T500" i="5"/>
  <c r="P563" i="5"/>
  <c r="R563" i="5"/>
  <c r="T563" i="5"/>
  <c r="P567" i="5"/>
  <c r="R567" i="5"/>
  <c r="T567" i="5"/>
  <c r="P575" i="5"/>
  <c r="R575" i="5"/>
  <c r="T575" i="5"/>
  <c r="P576" i="5"/>
  <c r="R576" i="5"/>
  <c r="T576" i="5"/>
  <c r="P587" i="5"/>
  <c r="R587" i="5"/>
  <c r="T587" i="5"/>
  <c r="P597" i="5"/>
  <c r="R597" i="5"/>
  <c r="T597" i="5"/>
  <c r="P610" i="5"/>
  <c r="R610" i="5"/>
  <c r="T610" i="5"/>
  <c r="P611" i="5"/>
  <c r="R611" i="5"/>
  <c r="T611" i="5"/>
  <c r="P627" i="5"/>
  <c r="R627" i="5"/>
  <c r="T627" i="5"/>
  <c r="P642" i="5"/>
  <c r="R642" i="5"/>
  <c r="T642" i="5"/>
  <c r="P643" i="5"/>
  <c r="R643" i="5"/>
  <c r="T643" i="5"/>
  <c r="P654" i="5"/>
  <c r="R654" i="5"/>
  <c r="T654" i="5"/>
  <c r="Q7" i="1"/>
  <c r="P335" i="5"/>
  <c r="R335" i="5"/>
  <c r="T335" i="5"/>
  <c r="P348" i="5"/>
  <c r="R348" i="5"/>
  <c r="T348" i="5"/>
  <c r="P299" i="5"/>
  <c r="R299" i="5"/>
  <c r="T299" i="5"/>
  <c r="P317" i="5"/>
  <c r="R317" i="5"/>
  <c r="T317" i="5"/>
  <c r="R319" i="5"/>
  <c r="T319" i="5"/>
  <c r="P320" i="5"/>
  <c r="R320" i="5"/>
  <c r="T320" i="5"/>
  <c r="P191" i="5"/>
  <c r="R191" i="5"/>
  <c r="T191" i="5"/>
  <c r="P192" i="5"/>
  <c r="R192" i="5"/>
  <c r="T192" i="5"/>
  <c r="P204" i="5"/>
  <c r="R204" i="5"/>
  <c r="T204" i="5"/>
  <c r="P224" i="5"/>
  <c r="R224" i="5"/>
  <c r="T224" i="5"/>
  <c r="P137" i="5"/>
  <c r="R137" i="5"/>
  <c r="T137" i="5"/>
  <c r="X38" i="1"/>
  <c r="X39" i="1"/>
  <c r="X40" i="1"/>
  <c r="X41" i="1"/>
  <c r="X22" i="1"/>
  <c r="X23" i="1"/>
  <c r="X24" i="1"/>
  <c r="X25" i="1"/>
  <c r="U6" i="1"/>
  <c r="U7" i="1"/>
  <c r="U8" i="1"/>
  <c r="X6" i="1"/>
  <c r="Y6" i="1"/>
  <c r="X7" i="1"/>
  <c r="Y7" i="1"/>
  <c r="X8" i="1"/>
  <c r="Y8" i="1"/>
  <c r="Y9" i="1"/>
  <c r="Y14" i="1"/>
  <c r="Y15" i="1"/>
  <c r="Y16" i="1"/>
  <c r="Y17" i="1"/>
  <c r="Y22" i="1"/>
  <c r="Y23" i="1"/>
  <c r="Y24" i="1"/>
  <c r="Y25" i="1"/>
  <c r="Y30" i="1"/>
  <c r="Y31" i="1"/>
  <c r="Y32" i="1"/>
  <c r="Y33" i="1"/>
  <c r="Y38" i="1"/>
  <c r="Y39" i="1"/>
  <c r="Y40" i="1"/>
  <c r="Y41" i="1"/>
  <c r="Y46" i="1"/>
  <c r="Y47" i="1"/>
  <c r="Y48" i="1"/>
  <c r="Y49" i="1"/>
  <c r="Y54" i="1"/>
  <c r="Y55" i="1"/>
  <c r="Y56" i="1"/>
  <c r="Y57" i="1"/>
  <c r="X9" i="1"/>
  <c r="Y63" i="1"/>
  <c r="Y64" i="1"/>
  <c r="Y65" i="1"/>
  <c r="Y66" i="1"/>
  <c r="Y67" i="1"/>
  <c r="Y68" i="1"/>
  <c r="Y69" i="1"/>
  <c r="Y82" i="1"/>
  <c r="X83" i="1"/>
  <c r="Y83" i="1"/>
  <c r="X84" i="1"/>
  <c r="Y84" i="1"/>
  <c r="X85" i="1"/>
  <c r="Y85" i="1"/>
  <c r="Y98" i="1"/>
  <c r="Y99" i="1"/>
  <c r="Y100" i="1"/>
  <c r="Y101" i="1"/>
  <c r="X126" i="1"/>
  <c r="Y126" i="1"/>
  <c r="X127" i="1"/>
  <c r="Y127" i="1"/>
  <c r="Y128" i="1"/>
  <c r="Y129" i="1"/>
  <c r="Y142" i="1"/>
  <c r="Y144" i="1"/>
  <c r="Y145" i="1"/>
  <c r="Y150" i="1"/>
  <c r="Y151" i="1"/>
  <c r="Y152" i="1"/>
  <c r="Y182" i="1"/>
  <c r="Y183" i="1"/>
  <c r="Y184" i="1"/>
  <c r="Y185" i="1"/>
  <c r="Y198" i="1"/>
  <c r="Y199" i="1"/>
  <c r="Y200" i="1"/>
  <c r="Y201" i="1"/>
  <c r="Y210" i="1"/>
  <c r="X212" i="1"/>
  <c r="Y212" i="1"/>
  <c r="X214" i="1"/>
  <c r="Y214" i="1"/>
  <c r="Y216" i="1"/>
  <c r="Y62" i="1"/>
  <c r="U210" i="1"/>
  <c r="X210" i="1"/>
  <c r="U201" i="1"/>
  <c r="U212" i="1"/>
  <c r="U214" i="1"/>
  <c r="U216" i="1"/>
  <c r="X216" i="1"/>
  <c r="X201" i="1"/>
  <c r="X198" i="1"/>
  <c r="X199" i="1"/>
  <c r="X200" i="1"/>
  <c r="X182" i="1"/>
  <c r="X183" i="1"/>
  <c r="X184" i="1"/>
  <c r="X185" i="1"/>
  <c r="X150" i="1"/>
  <c r="X151" i="1"/>
  <c r="X152" i="1"/>
  <c r="X142" i="1"/>
  <c r="X143" i="1"/>
  <c r="X144" i="1"/>
  <c r="X145" i="1"/>
  <c r="X128" i="1"/>
  <c r="X129" i="1"/>
  <c r="X101" i="1"/>
  <c r="X82" i="1"/>
  <c r="X98" i="1"/>
  <c r="X99" i="1"/>
  <c r="X100" i="1"/>
  <c r="X62" i="1"/>
  <c r="X63" i="1"/>
  <c r="X64" i="1"/>
  <c r="X65" i="1"/>
  <c r="X66" i="1"/>
  <c r="X67" i="1"/>
  <c r="X69" i="1"/>
  <c r="X68" i="1"/>
  <c r="J77" i="1"/>
  <c r="O77" i="1"/>
  <c r="U77" i="1"/>
  <c r="H288" i="2"/>
  <c r="J288" i="2"/>
  <c r="H289" i="2"/>
  <c r="J289" i="2"/>
  <c r="M288" i="2"/>
  <c r="H303" i="2"/>
  <c r="J303" i="2"/>
  <c r="H302" i="2"/>
  <c r="J302" i="2"/>
  <c r="H297" i="2"/>
  <c r="J297" i="2"/>
  <c r="H296" i="2"/>
  <c r="J296" i="2"/>
  <c r="M296" i="2"/>
  <c r="H292" i="2"/>
  <c r="J292" i="2"/>
  <c r="H291" i="2"/>
  <c r="J291" i="2"/>
  <c r="H290" i="2"/>
  <c r="J290" i="2"/>
  <c r="H311" i="2"/>
  <c r="J311" i="2"/>
  <c r="H310" i="2"/>
  <c r="J310" i="2"/>
  <c r="H305" i="2"/>
  <c r="J305" i="2"/>
  <c r="H304" i="2"/>
  <c r="J304" i="2"/>
  <c r="H307" i="2"/>
  <c r="J307" i="2"/>
  <c r="H306" i="2"/>
  <c r="J306" i="2"/>
  <c r="H301" i="2"/>
  <c r="J301" i="2"/>
  <c r="H300" i="2"/>
  <c r="J300" i="2"/>
  <c r="P305" i="5"/>
  <c r="R305" i="5"/>
  <c r="T305" i="5"/>
  <c r="P316" i="5"/>
  <c r="R316" i="5"/>
  <c r="T316" i="5"/>
  <c r="P327" i="5"/>
  <c r="R327" i="5"/>
  <c r="T327" i="5"/>
  <c r="P322" i="5"/>
  <c r="R322" i="5"/>
  <c r="T322" i="5"/>
  <c r="P308" i="5"/>
  <c r="R308" i="5"/>
  <c r="T308" i="5"/>
  <c r="P326" i="5"/>
  <c r="R326" i="5"/>
  <c r="T326" i="5"/>
  <c r="P311" i="5"/>
  <c r="R311" i="5"/>
  <c r="T311" i="5"/>
  <c r="P321" i="5"/>
  <c r="R321" i="5"/>
  <c r="T321" i="5"/>
  <c r="P188" i="5"/>
  <c r="R188" i="5"/>
  <c r="T188" i="5"/>
  <c r="P193" i="5"/>
  <c r="R193" i="5"/>
  <c r="T193" i="5"/>
  <c r="P219" i="5"/>
  <c r="R219" i="5"/>
  <c r="T219" i="5"/>
  <c r="P227" i="5"/>
  <c r="R227" i="5"/>
  <c r="T227" i="5"/>
  <c r="P225" i="5"/>
  <c r="R225" i="5"/>
  <c r="T225" i="5"/>
  <c r="P202" i="5"/>
  <c r="R202" i="5"/>
  <c r="T202" i="5"/>
  <c r="P210" i="5"/>
  <c r="R210" i="5"/>
  <c r="T210" i="5"/>
  <c r="P208" i="5"/>
  <c r="R208" i="5"/>
  <c r="T208" i="5"/>
  <c r="P206" i="5"/>
  <c r="R206" i="5"/>
  <c r="T206" i="5"/>
  <c r="P209" i="5"/>
  <c r="R209" i="5"/>
  <c r="T209" i="5"/>
  <c r="P201" i="5"/>
  <c r="R201" i="5"/>
  <c r="T201" i="5"/>
  <c r="P200" i="5"/>
  <c r="R200" i="5"/>
  <c r="T200" i="5"/>
  <c r="P205" i="5"/>
  <c r="R205" i="5"/>
  <c r="T205" i="5"/>
  <c r="P385" i="5"/>
  <c r="R385" i="5"/>
  <c r="T385" i="5"/>
  <c r="P392" i="5"/>
  <c r="R392" i="5"/>
  <c r="T392" i="5"/>
  <c r="P391" i="5"/>
  <c r="R391" i="5"/>
  <c r="T391" i="5"/>
  <c r="P389" i="5"/>
  <c r="R389" i="5"/>
  <c r="T389" i="5"/>
  <c r="P244" i="5"/>
  <c r="R244" i="5"/>
  <c r="T244" i="5"/>
  <c r="P250" i="5"/>
  <c r="R250" i="5"/>
  <c r="T250" i="5"/>
  <c r="R249" i="5"/>
  <c r="T249" i="5"/>
  <c r="P248" i="5"/>
  <c r="R248" i="5"/>
  <c r="T248" i="5"/>
  <c r="P253" i="5"/>
  <c r="R253" i="5"/>
  <c r="T253" i="5"/>
  <c r="P263" i="5"/>
  <c r="R263" i="5"/>
  <c r="T263" i="5"/>
  <c r="P261" i="5"/>
  <c r="R261" i="5"/>
  <c r="T261" i="5"/>
  <c r="P260" i="5"/>
  <c r="R260" i="5"/>
  <c r="T260" i="5"/>
  <c r="P262" i="5"/>
  <c r="R262" i="5"/>
  <c r="T262" i="5"/>
  <c r="P264" i="5"/>
  <c r="R264" i="5"/>
  <c r="T264" i="5"/>
  <c r="P271" i="5"/>
  <c r="R271" i="5"/>
  <c r="T271" i="5"/>
  <c r="P277" i="5"/>
  <c r="R277" i="5"/>
  <c r="T277" i="5"/>
  <c r="P275" i="5"/>
  <c r="R275" i="5"/>
  <c r="T275" i="5"/>
  <c r="P279" i="5"/>
  <c r="R279" i="5"/>
  <c r="T279" i="5"/>
  <c r="P343" i="5"/>
  <c r="R343" i="5"/>
  <c r="T343" i="5"/>
  <c r="P345" i="5"/>
  <c r="R345" i="5"/>
  <c r="T345" i="5"/>
  <c r="P331" i="5"/>
  <c r="R331" i="5"/>
  <c r="T331" i="5"/>
  <c r="P341" i="5"/>
  <c r="R341" i="5"/>
  <c r="T341" i="5"/>
  <c r="P339" i="5"/>
  <c r="R339" i="5"/>
  <c r="T339" i="5"/>
  <c r="P342" i="5"/>
  <c r="R342" i="5"/>
  <c r="T342" i="5"/>
  <c r="P330" i="5"/>
  <c r="R330" i="5"/>
  <c r="T330" i="5"/>
  <c r="P338" i="5"/>
  <c r="R338" i="5"/>
  <c r="T338" i="5"/>
  <c r="P298" i="5"/>
  <c r="R298" i="5"/>
  <c r="T298" i="5"/>
  <c r="P293" i="5"/>
  <c r="R293" i="5"/>
  <c r="T293" i="5"/>
  <c r="P301" i="5"/>
  <c r="R301" i="5"/>
  <c r="T301" i="5"/>
  <c r="P304" i="5"/>
  <c r="R304" i="5"/>
  <c r="T304" i="5"/>
  <c r="P295" i="5"/>
  <c r="R295" i="5"/>
  <c r="T295" i="5"/>
  <c r="P461" i="5"/>
  <c r="R461" i="5"/>
  <c r="T461" i="5"/>
  <c r="P457" i="5"/>
  <c r="R457" i="5"/>
  <c r="T457" i="5"/>
  <c r="P459" i="5"/>
  <c r="R459" i="5"/>
  <c r="T459" i="5"/>
  <c r="P464" i="5"/>
  <c r="R464" i="5"/>
  <c r="T464" i="5"/>
  <c r="P462" i="5"/>
  <c r="R462" i="5"/>
  <c r="T462" i="5"/>
  <c r="P466" i="5"/>
  <c r="R466" i="5"/>
  <c r="T466" i="5"/>
  <c r="P467" i="5"/>
  <c r="R467" i="5"/>
  <c r="T467" i="5"/>
  <c r="P460" i="5"/>
  <c r="R460" i="5"/>
  <c r="T460" i="5"/>
  <c r="P465" i="5"/>
  <c r="R465" i="5"/>
  <c r="T465" i="5"/>
  <c r="P479" i="5"/>
  <c r="R479" i="5"/>
  <c r="T479" i="5"/>
  <c r="P477" i="5"/>
  <c r="R477" i="5"/>
  <c r="T477" i="5"/>
  <c r="P478" i="5"/>
  <c r="R478" i="5"/>
  <c r="T478" i="5"/>
  <c r="P481" i="5"/>
  <c r="R481" i="5"/>
  <c r="T481" i="5"/>
  <c r="P484" i="5"/>
  <c r="R484" i="5"/>
  <c r="T484" i="5"/>
  <c r="P485" i="5"/>
  <c r="R485" i="5"/>
  <c r="T485" i="5"/>
  <c r="P495" i="5"/>
  <c r="R495" i="5"/>
  <c r="T495" i="5"/>
  <c r="P490" i="5"/>
  <c r="R490" i="5"/>
  <c r="T490" i="5"/>
  <c r="P504" i="5"/>
  <c r="R504" i="5"/>
  <c r="T504" i="5"/>
  <c r="P502" i="5"/>
  <c r="R502" i="5"/>
  <c r="T502" i="5"/>
  <c r="P403" i="5"/>
  <c r="R403" i="5"/>
  <c r="T403" i="5"/>
  <c r="P408" i="5"/>
  <c r="R408" i="5"/>
  <c r="T408" i="5"/>
  <c r="P405" i="5"/>
  <c r="R405" i="5"/>
  <c r="T405" i="5"/>
  <c r="P409" i="5"/>
  <c r="R409" i="5"/>
  <c r="T409" i="5"/>
  <c r="P400" i="5"/>
  <c r="R400" i="5"/>
  <c r="T400" i="5"/>
  <c r="P397" i="5"/>
  <c r="R397" i="5"/>
  <c r="T397" i="5"/>
  <c r="P401" i="5"/>
  <c r="R401" i="5"/>
  <c r="T401" i="5"/>
  <c r="P402" i="5"/>
  <c r="R402" i="5"/>
  <c r="T402" i="5"/>
  <c r="P399" i="5"/>
  <c r="R399" i="5"/>
  <c r="T399" i="5"/>
  <c r="P426" i="5"/>
  <c r="R426" i="5"/>
  <c r="T426" i="5"/>
  <c r="P424" i="5"/>
  <c r="R424" i="5"/>
  <c r="T424" i="5"/>
  <c r="P427" i="5"/>
  <c r="R427" i="5"/>
  <c r="T427" i="5"/>
  <c r="P423" i="5"/>
  <c r="R423" i="5"/>
  <c r="T423" i="5"/>
  <c r="P428" i="5"/>
  <c r="R428" i="5"/>
  <c r="T428" i="5"/>
  <c r="P414" i="5"/>
  <c r="R414" i="5"/>
  <c r="T414" i="5"/>
  <c r="P411" i="5"/>
  <c r="R411" i="5"/>
  <c r="T411" i="5"/>
  <c r="P412" i="5"/>
  <c r="R412" i="5"/>
  <c r="T412" i="5"/>
  <c r="P415" i="5"/>
  <c r="R415" i="5"/>
  <c r="T415" i="5"/>
  <c r="P416" i="5"/>
  <c r="R416" i="5"/>
  <c r="T416" i="5"/>
  <c r="P413" i="5"/>
  <c r="R413" i="5"/>
  <c r="T413" i="5"/>
  <c r="P420" i="5"/>
  <c r="R420" i="5"/>
  <c r="T420" i="5"/>
  <c r="P608" i="5"/>
  <c r="R608" i="5"/>
  <c r="T608" i="5"/>
  <c r="P615" i="5"/>
  <c r="R615" i="5"/>
  <c r="T615" i="5"/>
  <c r="P612" i="5"/>
  <c r="R612" i="5"/>
  <c r="T612" i="5"/>
  <c r="P604" i="5"/>
  <c r="R604" i="5"/>
  <c r="T604" i="5"/>
  <c r="P613" i="5"/>
  <c r="R613" i="5"/>
  <c r="T613" i="5"/>
  <c r="P628" i="5"/>
  <c r="R628" i="5"/>
  <c r="T628" i="5"/>
  <c r="P633" i="5"/>
  <c r="R633" i="5"/>
  <c r="T633" i="5"/>
  <c r="P622" i="5"/>
  <c r="R622" i="5"/>
  <c r="T622" i="5"/>
  <c r="P648" i="5"/>
  <c r="R648" i="5"/>
  <c r="T648" i="5"/>
  <c r="P634" i="5"/>
  <c r="R634" i="5"/>
  <c r="T634" i="5"/>
  <c r="P641" i="5"/>
  <c r="R641" i="5"/>
  <c r="T641" i="5"/>
  <c r="P645" i="5"/>
  <c r="R645" i="5"/>
  <c r="T645" i="5"/>
  <c r="P649" i="5"/>
  <c r="R649" i="5"/>
  <c r="T649" i="5"/>
  <c r="P650" i="5"/>
  <c r="R650" i="5"/>
  <c r="T650" i="5"/>
  <c r="P653" i="5"/>
  <c r="R653" i="5"/>
  <c r="T653" i="5"/>
  <c r="P539" i="5"/>
  <c r="R539" i="5"/>
  <c r="T539" i="5"/>
  <c r="H295" i="2"/>
  <c r="J295" i="2"/>
  <c r="H294" i="2"/>
  <c r="J294" i="2"/>
  <c r="H293" i="2"/>
  <c r="J293" i="2"/>
  <c r="M293" i="2"/>
  <c r="P558" i="5"/>
  <c r="R558" i="5"/>
  <c r="T558" i="5"/>
  <c r="P566" i="5"/>
  <c r="R566" i="5"/>
  <c r="T566" i="5"/>
  <c r="P570" i="5"/>
  <c r="R570" i="5"/>
  <c r="T570" i="5"/>
  <c r="P560" i="5"/>
  <c r="R560" i="5"/>
  <c r="T560" i="5"/>
  <c r="P562" i="5"/>
  <c r="R562" i="5"/>
  <c r="T562" i="5"/>
  <c r="P565" i="5"/>
  <c r="R565" i="5"/>
  <c r="T565" i="5"/>
  <c r="P577" i="5"/>
  <c r="R577" i="5"/>
  <c r="T577" i="5"/>
  <c r="P573" i="5"/>
  <c r="R573" i="5"/>
  <c r="T573" i="5"/>
  <c r="P579" i="5"/>
  <c r="R579" i="5"/>
  <c r="T579" i="5"/>
  <c r="P578" i="5"/>
  <c r="R578" i="5"/>
  <c r="T578" i="5"/>
  <c r="P581" i="5"/>
  <c r="R581" i="5"/>
  <c r="T581" i="5"/>
  <c r="P585" i="5"/>
  <c r="R585" i="5"/>
  <c r="T585" i="5"/>
  <c r="P591" i="5"/>
  <c r="R591" i="5"/>
  <c r="T591" i="5"/>
  <c r="P590" i="5"/>
  <c r="R590" i="5"/>
  <c r="T590" i="5"/>
  <c r="P599" i="5"/>
  <c r="R599" i="5"/>
  <c r="T599" i="5"/>
  <c r="P598" i="5"/>
  <c r="R598" i="5"/>
  <c r="T598" i="5"/>
  <c r="P593" i="5"/>
  <c r="R593" i="5"/>
  <c r="T593" i="5"/>
  <c r="P536" i="5"/>
  <c r="R536" i="5"/>
  <c r="T536" i="5"/>
  <c r="P537" i="5"/>
  <c r="R537" i="5"/>
  <c r="T537" i="5"/>
  <c r="P553" i="5"/>
  <c r="R553" i="5"/>
  <c r="T553" i="5"/>
  <c r="P541" i="5"/>
  <c r="R541" i="5"/>
  <c r="T541" i="5"/>
  <c r="P542" i="5"/>
  <c r="R542" i="5"/>
  <c r="T542" i="5"/>
  <c r="R555" i="5"/>
  <c r="T555" i="5"/>
  <c r="P545" i="5"/>
  <c r="R545" i="5"/>
  <c r="T545" i="5"/>
  <c r="P527" i="5"/>
  <c r="R527" i="5"/>
  <c r="T527" i="5"/>
  <c r="P528" i="5"/>
  <c r="R528" i="5"/>
  <c r="T528" i="5"/>
  <c r="P556" i="5"/>
  <c r="R556" i="5"/>
  <c r="T556" i="5"/>
  <c r="P529" i="5"/>
  <c r="R529" i="5"/>
  <c r="T529" i="5"/>
  <c r="P530" i="5"/>
  <c r="R530" i="5"/>
  <c r="T530" i="5"/>
  <c r="P557" i="5"/>
  <c r="R557" i="5"/>
  <c r="T557" i="5"/>
  <c r="P548" i="5"/>
  <c r="R548" i="5"/>
  <c r="T548" i="5"/>
  <c r="P531" i="5"/>
  <c r="R531" i="5"/>
  <c r="T531" i="5"/>
  <c r="P551" i="5"/>
  <c r="R551" i="5"/>
  <c r="T551" i="5"/>
  <c r="P552" i="5"/>
  <c r="R552" i="5"/>
  <c r="T552" i="5"/>
  <c r="P538" i="5"/>
  <c r="R538" i="5"/>
  <c r="T538" i="5"/>
  <c r="N18" i="1"/>
  <c r="Q18" i="1"/>
  <c r="R18" i="1"/>
  <c r="J18" i="1"/>
  <c r="H38" i="2"/>
  <c r="J38" i="2"/>
  <c r="H39" i="2"/>
  <c r="J39" i="2"/>
  <c r="H40" i="2"/>
  <c r="K40" i="2"/>
  <c r="D35" i="2"/>
  <c r="H35" i="2"/>
  <c r="J265" i="1"/>
  <c r="O265" i="1"/>
  <c r="J264" i="1"/>
  <c r="K264" i="1"/>
  <c r="J263" i="1"/>
  <c r="O263" i="1"/>
  <c r="J262" i="1"/>
  <c r="O262" i="1"/>
  <c r="J261" i="1"/>
  <c r="O261" i="1"/>
  <c r="J260" i="1"/>
  <c r="K260" i="1"/>
  <c r="J259" i="1"/>
  <c r="J258" i="1"/>
  <c r="J257" i="1"/>
  <c r="O257" i="1"/>
  <c r="J256" i="1"/>
  <c r="O256" i="1"/>
  <c r="J255" i="1"/>
  <c r="O255" i="1"/>
  <c r="J254" i="1"/>
  <c r="O254" i="1"/>
  <c r="J253" i="1"/>
  <c r="J252" i="1"/>
  <c r="O252" i="1"/>
  <c r="J251" i="1"/>
  <c r="J250" i="1"/>
  <c r="J249" i="1"/>
  <c r="O249" i="1"/>
  <c r="J248" i="1"/>
  <c r="O248" i="1"/>
  <c r="J247" i="1"/>
  <c r="O247" i="1"/>
  <c r="J246" i="1"/>
  <c r="O246" i="1"/>
  <c r="J245" i="1"/>
  <c r="J244" i="1"/>
  <c r="N244" i="1"/>
  <c r="J243" i="1"/>
  <c r="J242" i="1"/>
  <c r="J241" i="1"/>
  <c r="O241" i="1"/>
  <c r="J240" i="1"/>
  <c r="O240" i="1"/>
  <c r="J239" i="1"/>
  <c r="O239" i="1"/>
  <c r="J238" i="1"/>
  <c r="O238" i="1"/>
  <c r="J237" i="1"/>
  <c r="J236" i="1"/>
  <c r="K236" i="1"/>
  <c r="J235" i="1"/>
  <c r="J234" i="1"/>
  <c r="O234" i="1"/>
  <c r="J233" i="1"/>
  <c r="O233" i="1"/>
  <c r="J232" i="1"/>
  <c r="O232" i="1"/>
  <c r="J231" i="1"/>
  <c r="O231" i="1"/>
  <c r="J230" i="1"/>
  <c r="O230" i="1"/>
  <c r="J229" i="1"/>
  <c r="O229" i="1"/>
  <c r="J228" i="1"/>
  <c r="K228" i="1"/>
  <c r="J227" i="1"/>
  <c r="J226" i="1"/>
  <c r="J225" i="1"/>
  <c r="O225" i="1"/>
  <c r="J224" i="1"/>
  <c r="O224" i="1"/>
  <c r="J223" i="1"/>
  <c r="O223" i="1"/>
  <c r="J222" i="1"/>
  <c r="O222" i="1"/>
  <c r="J221" i="1"/>
  <c r="J220" i="1"/>
  <c r="K220" i="1"/>
  <c r="J219" i="1"/>
  <c r="J218" i="1"/>
  <c r="J217" i="1"/>
  <c r="O217" i="1"/>
  <c r="J216" i="1"/>
  <c r="J215" i="1"/>
  <c r="O215" i="1"/>
  <c r="J214" i="1"/>
  <c r="O214" i="1"/>
  <c r="J213" i="1"/>
  <c r="O213" i="1"/>
  <c r="J212" i="1"/>
  <c r="K212" i="1"/>
  <c r="J211" i="1"/>
  <c r="J210" i="1"/>
  <c r="J209" i="1"/>
  <c r="O209" i="1"/>
  <c r="J208" i="1"/>
  <c r="N208" i="1"/>
  <c r="O208" i="1"/>
  <c r="J207" i="1"/>
  <c r="O207" i="1"/>
  <c r="J206" i="1"/>
  <c r="O206" i="1"/>
  <c r="J205" i="1"/>
  <c r="J204" i="1"/>
  <c r="K204" i="1"/>
  <c r="J203" i="1"/>
  <c r="J202" i="1"/>
  <c r="Q289" i="4"/>
  <c r="I289" i="4"/>
  <c r="Q288" i="4"/>
  <c r="I288" i="4"/>
  <c r="Q287" i="4"/>
  <c r="I287" i="4"/>
  <c r="Q286" i="4"/>
  <c r="I286" i="4"/>
  <c r="Q285" i="4"/>
  <c r="I285" i="4"/>
  <c r="Q284" i="4"/>
  <c r="I284" i="4"/>
  <c r="Q283" i="4"/>
  <c r="I283" i="4"/>
  <c r="Q282" i="4"/>
  <c r="I282" i="4"/>
  <c r="Q281" i="4"/>
  <c r="I281" i="4"/>
  <c r="Q280" i="4"/>
  <c r="I280" i="4"/>
  <c r="Q279" i="4"/>
  <c r="I279" i="4"/>
  <c r="Q278" i="4"/>
  <c r="I278" i="4"/>
  <c r="Q277" i="4"/>
  <c r="I277" i="4"/>
  <c r="Q276" i="4"/>
  <c r="I276" i="4"/>
  <c r="Q275" i="4"/>
  <c r="I275" i="4"/>
  <c r="Q274" i="4"/>
  <c r="I274" i="4"/>
  <c r="Q273" i="4"/>
  <c r="I273" i="4"/>
  <c r="Q272" i="4"/>
  <c r="I272" i="4"/>
  <c r="Q271" i="4"/>
  <c r="I271" i="4"/>
  <c r="Q270" i="4"/>
  <c r="I270" i="4"/>
  <c r="Q269" i="4"/>
  <c r="I269" i="4"/>
  <c r="Q268" i="4"/>
  <c r="I268" i="4"/>
  <c r="Q267" i="4"/>
  <c r="I267" i="4"/>
  <c r="Q266" i="4"/>
  <c r="I266" i="4"/>
  <c r="Q265" i="4"/>
  <c r="I265" i="4"/>
  <c r="Q264" i="4"/>
  <c r="I264" i="4"/>
  <c r="Q263" i="4"/>
  <c r="I263" i="4"/>
  <c r="Q262" i="4"/>
  <c r="I262" i="4"/>
  <c r="Q261" i="4"/>
  <c r="I261" i="4"/>
  <c r="Q260" i="4"/>
  <c r="I260" i="4"/>
  <c r="Q259" i="4"/>
  <c r="I259" i="4"/>
  <c r="Q258" i="4"/>
  <c r="I258" i="4"/>
  <c r="Q257" i="4"/>
  <c r="I257" i="4"/>
  <c r="Q256" i="4"/>
  <c r="I256" i="4"/>
  <c r="Q255" i="4"/>
  <c r="I255" i="4"/>
  <c r="Q254" i="4"/>
  <c r="I254" i="4"/>
  <c r="Q253" i="4"/>
  <c r="I253" i="4"/>
  <c r="Q252" i="4"/>
  <c r="I252" i="4"/>
  <c r="Q251" i="4"/>
  <c r="I251" i="4"/>
  <c r="Q250" i="4"/>
  <c r="I250" i="4"/>
  <c r="Q249" i="4"/>
  <c r="I249" i="4"/>
  <c r="Q248" i="4"/>
  <c r="I248" i="4"/>
  <c r="Q247" i="4"/>
  <c r="I247" i="4"/>
  <c r="Q246" i="4"/>
  <c r="I246" i="4"/>
  <c r="Q245" i="4"/>
  <c r="I245" i="4"/>
  <c r="Q244" i="4"/>
  <c r="I244" i="4"/>
  <c r="Q243" i="4"/>
  <c r="I243" i="4"/>
  <c r="Q242" i="4"/>
  <c r="I242" i="4"/>
  <c r="Q241" i="4"/>
  <c r="I241" i="4"/>
  <c r="Q240" i="4"/>
  <c r="I240" i="4"/>
  <c r="Q239" i="4"/>
  <c r="I239" i="4"/>
  <c r="Q238" i="4"/>
  <c r="I238" i="4"/>
  <c r="Q237" i="4"/>
  <c r="I237" i="4"/>
  <c r="Q236" i="4"/>
  <c r="I236" i="4"/>
  <c r="Q235" i="4"/>
  <c r="I235" i="4"/>
  <c r="Q234" i="4"/>
  <c r="I234" i="4"/>
  <c r="Q233" i="4"/>
  <c r="I233" i="4"/>
  <c r="Q232" i="4"/>
  <c r="I232" i="4"/>
  <c r="Q231" i="4"/>
  <c r="I231" i="4"/>
  <c r="Q230" i="4"/>
  <c r="I230" i="4"/>
  <c r="Q229" i="4"/>
  <c r="I229" i="4"/>
  <c r="Q228" i="4"/>
  <c r="I228" i="4"/>
  <c r="Q227" i="4"/>
  <c r="I227" i="4"/>
  <c r="Q226" i="4"/>
  <c r="I226" i="4"/>
  <c r="Q225" i="4"/>
  <c r="I225" i="4"/>
  <c r="Q224" i="4"/>
  <c r="I224" i="4"/>
  <c r="Q223" i="4"/>
  <c r="I223" i="4"/>
  <c r="Q222" i="4"/>
  <c r="I222" i="4"/>
  <c r="Q221" i="4"/>
  <c r="I221" i="4"/>
  <c r="Q220" i="4"/>
  <c r="I220" i="4"/>
  <c r="Q219" i="4"/>
  <c r="I219" i="4"/>
  <c r="Q218" i="4"/>
  <c r="I218" i="4"/>
  <c r="Q217" i="4"/>
  <c r="I217" i="4"/>
  <c r="Q216" i="4"/>
  <c r="I216" i="4"/>
  <c r="Q215" i="4"/>
  <c r="I215" i="4"/>
  <c r="Q214" i="4"/>
  <c r="I214" i="4"/>
  <c r="Q213" i="4"/>
  <c r="I213" i="4"/>
  <c r="Q212" i="4"/>
  <c r="I212" i="4"/>
  <c r="Q211" i="4"/>
  <c r="I211" i="4"/>
  <c r="Q210" i="4"/>
  <c r="I210" i="4"/>
  <c r="Q209" i="4"/>
  <c r="I209" i="4"/>
  <c r="Q208" i="4"/>
  <c r="I208" i="4"/>
  <c r="Q207" i="4"/>
  <c r="I207" i="4"/>
  <c r="Q206" i="4"/>
  <c r="I206" i="4"/>
  <c r="Q205" i="4"/>
  <c r="I205" i="4"/>
  <c r="Q204" i="4"/>
  <c r="I204" i="4"/>
  <c r="Q203" i="4"/>
  <c r="I203" i="4"/>
  <c r="Q202" i="4"/>
  <c r="I202" i="4"/>
  <c r="Q201" i="4"/>
  <c r="I201" i="4"/>
  <c r="Q200" i="4"/>
  <c r="I200" i="4"/>
  <c r="Q199" i="4"/>
  <c r="J199" i="4"/>
  <c r="I199" i="4"/>
  <c r="Q198" i="4"/>
  <c r="J198" i="4"/>
  <c r="I198" i="4"/>
  <c r="Q197" i="4"/>
  <c r="J197" i="4"/>
  <c r="I197" i="4"/>
  <c r="Q196" i="4"/>
  <c r="J196" i="4"/>
  <c r="I196" i="4"/>
  <c r="Q195" i="4"/>
  <c r="J195" i="4"/>
  <c r="I195" i="4"/>
  <c r="Q194" i="4"/>
  <c r="J194" i="4"/>
  <c r="I194" i="4"/>
  <c r="Q193" i="4"/>
  <c r="J193" i="4"/>
  <c r="I193" i="4"/>
  <c r="Q192" i="4"/>
  <c r="J192" i="4"/>
  <c r="I192" i="4"/>
  <c r="Q191" i="4"/>
  <c r="J191" i="4"/>
  <c r="I191" i="4"/>
  <c r="Q190" i="4"/>
  <c r="J190" i="4"/>
  <c r="I190" i="4"/>
  <c r="Q189" i="4"/>
  <c r="J189" i="4"/>
  <c r="I189" i="4"/>
  <c r="Q188" i="4"/>
  <c r="J188" i="4"/>
  <c r="I188" i="4"/>
  <c r="Q187" i="4"/>
  <c r="J187" i="4"/>
  <c r="I187" i="4"/>
  <c r="Q186" i="4"/>
  <c r="J186" i="4"/>
  <c r="I186" i="4"/>
  <c r="Q185" i="4"/>
  <c r="J185" i="4"/>
  <c r="I185" i="4"/>
  <c r="Q184" i="4"/>
  <c r="J184" i="4"/>
  <c r="I184" i="4"/>
  <c r="Q183" i="4"/>
  <c r="J183" i="4"/>
  <c r="I183" i="4"/>
  <c r="Q182" i="4"/>
  <c r="J182" i="4"/>
  <c r="I182" i="4"/>
  <c r="Q181" i="4"/>
  <c r="J181" i="4"/>
  <c r="I181" i="4"/>
  <c r="Q180" i="4"/>
  <c r="J180" i="4"/>
  <c r="I180" i="4"/>
  <c r="Q179" i="4"/>
  <c r="J179" i="4"/>
  <c r="I179" i="4"/>
  <c r="Q178" i="4"/>
  <c r="J178" i="4"/>
  <c r="I178" i="4"/>
  <c r="Q177" i="4"/>
  <c r="J177" i="4"/>
  <c r="I177" i="4"/>
  <c r="Q176" i="4"/>
  <c r="J176" i="4"/>
  <c r="I176" i="4"/>
  <c r="K259" i="1"/>
  <c r="K261" i="1"/>
  <c r="K262" i="1"/>
  <c r="K263" i="1"/>
  <c r="K265" i="1"/>
  <c r="N261" i="1"/>
  <c r="N262" i="1"/>
  <c r="N263" i="1"/>
  <c r="N265" i="1"/>
  <c r="K244" i="1"/>
  <c r="K254" i="1"/>
  <c r="N249" i="1"/>
  <c r="K242" i="1"/>
  <c r="K246" i="1"/>
  <c r="K247" i="1"/>
  <c r="K248" i="1"/>
  <c r="K249" i="1"/>
  <c r="K251" i="1"/>
  <c r="K252" i="1"/>
  <c r="K255" i="1"/>
  <c r="K257" i="1"/>
  <c r="N246" i="1"/>
  <c r="N247" i="1"/>
  <c r="N252" i="1"/>
  <c r="N254" i="1"/>
  <c r="N255" i="1"/>
  <c r="N256" i="1"/>
  <c r="N257" i="1"/>
  <c r="N241" i="1"/>
  <c r="K227" i="1"/>
  <c r="K229" i="1"/>
  <c r="K230" i="1"/>
  <c r="K231" i="1"/>
  <c r="K233" i="1"/>
  <c r="K234" i="1"/>
  <c r="K238" i="1"/>
  <c r="K239" i="1"/>
  <c r="K241" i="1"/>
  <c r="N229" i="1"/>
  <c r="Q229" i="1"/>
  <c r="N230" i="1"/>
  <c r="Q230" i="1"/>
  <c r="N231" i="1"/>
  <c r="Q231" i="1"/>
  <c r="N233" i="1"/>
  <c r="Q233" i="1"/>
  <c r="N234" i="1"/>
  <c r="Q234" i="1"/>
  <c r="N238" i="1"/>
  <c r="N239" i="1"/>
  <c r="K222" i="1"/>
  <c r="K223" i="1"/>
  <c r="K225" i="1"/>
  <c r="N218" i="1"/>
  <c r="Q218" i="1"/>
  <c r="N222" i="1"/>
  <c r="Q222" i="1"/>
  <c r="N223" i="1"/>
  <c r="Q223" i="1"/>
  <c r="N225" i="1"/>
  <c r="Q225" i="1"/>
  <c r="K202" i="1"/>
  <c r="K203" i="1"/>
  <c r="K206" i="1"/>
  <c r="K207" i="1"/>
  <c r="K208" i="1"/>
  <c r="K209" i="1"/>
  <c r="K211" i="1"/>
  <c r="K213" i="1"/>
  <c r="K214" i="1"/>
  <c r="K215" i="1"/>
  <c r="K217" i="1"/>
  <c r="N206" i="1"/>
  <c r="N207" i="1"/>
  <c r="N209" i="1"/>
  <c r="N213" i="1"/>
  <c r="Q213" i="1"/>
  <c r="N214" i="1"/>
  <c r="Q214" i="1"/>
  <c r="N215" i="1"/>
  <c r="Q215" i="1"/>
  <c r="N217" i="1"/>
  <c r="Q217" i="1"/>
  <c r="G16" i="19"/>
  <c r="F16" i="19"/>
  <c r="E16" i="19"/>
  <c r="D16" i="19"/>
  <c r="C16" i="19"/>
  <c r="G11" i="19"/>
  <c r="F11" i="19"/>
  <c r="E11" i="19"/>
  <c r="D11" i="19"/>
  <c r="C11" i="19"/>
  <c r="G6" i="19"/>
  <c r="F6" i="19"/>
  <c r="E6" i="19"/>
  <c r="D6" i="19"/>
  <c r="C6" i="19"/>
  <c r="D12" i="6"/>
  <c r="D11" i="6"/>
  <c r="P135" i="5"/>
  <c r="R135" i="5"/>
  <c r="T135" i="5"/>
  <c r="P138" i="5"/>
  <c r="R138" i="5"/>
  <c r="T138" i="5"/>
  <c r="P139" i="5"/>
  <c r="R139" i="5"/>
  <c r="T139" i="5"/>
  <c r="P140" i="5"/>
  <c r="R140" i="5"/>
  <c r="T140" i="5"/>
  <c r="P136" i="5"/>
  <c r="R136" i="5"/>
  <c r="T136" i="5"/>
  <c r="P151" i="5"/>
  <c r="R151" i="5"/>
  <c r="T151" i="5"/>
  <c r="P152" i="5"/>
  <c r="R152" i="5"/>
  <c r="T152" i="5"/>
  <c r="P145" i="5"/>
  <c r="R145" i="5"/>
  <c r="T145" i="5"/>
  <c r="P155" i="5"/>
  <c r="R155" i="5"/>
  <c r="T155" i="5"/>
  <c r="P146" i="5"/>
  <c r="R146" i="5"/>
  <c r="T146" i="5"/>
  <c r="P147" i="5"/>
  <c r="R147" i="5"/>
  <c r="T147" i="5"/>
  <c r="P153" i="5"/>
  <c r="R153" i="5"/>
  <c r="T153" i="5"/>
  <c r="P141" i="5"/>
  <c r="R141" i="5"/>
  <c r="T141" i="5"/>
  <c r="P154" i="5"/>
  <c r="R154" i="5"/>
  <c r="T154" i="5"/>
  <c r="P150" i="5"/>
  <c r="R150" i="5"/>
  <c r="T150" i="5"/>
  <c r="P167" i="5"/>
  <c r="R167" i="5"/>
  <c r="T167" i="5"/>
  <c r="P168" i="5"/>
  <c r="R168" i="5"/>
  <c r="T168" i="5"/>
  <c r="P169" i="5"/>
  <c r="R169" i="5"/>
  <c r="T169" i="5"/>
  <c r="P171" i="5"/>
  <c r="R171" i="5"/>
  <c r="T171" i="5"/>
  <c r="P162" i="5"/>
  <c r="R162" i="5"/>
  <c r="T162" i="5"/>
  <c r="P160" i="5"/>
  <c r="R160" i="5"/>
  <c r="T160" i="5"/>
  <c r="P173" i="5"/>
  <c r="R173" i="5"/>
  <c r="T173" i="5"/>
  <c r="P172" i="5"/>
  <c r="R172" i="5"/>
  <c r="T172" i="5"/>
  <c r="P165" i="5"/>
  <c r="R165" i="5"/>
  <c r="T165" i="5"/>
  <c r="P181" i="5"/>
  <c r="R181" i="5"/>
  <c r="T181" i="5"/>
  <c r="P177" i="5"/>
  <c r="R177" i="5"/>
  <c r="T177" i="5"/>
  <c r="P178" i="5"/>
  <c r="R178" i="5"/>
  <c r="T178" i="5"/>
  <c r="P180" i="5"/>
  <c r="R180" i="5"/>
  <c r="T180" i="5"/>
  <c r="P182" i="5"/>
  <c r="R182" i="5"/>
  <c r="T182" i="5"/>
  <c r="P174" i="5"/>
  <c r="R174" i="5"/>
  <c r="T174" i="5"/>
  <c r="P184" i="5"/>
  <c r="R184" i="5"/>
  <c r="T184" i="5"/>
  <c r="P183" i="5"/>
  <c r="R183" i="5"/>
  <c r="T183" i="5"/>
  <c r="P81" i="5"/>
  <c r="R81" i="5"/>
  <c r="T81" i="5"/>
  <c r="P71" i="5"/>
  <c r="R71" i="5"/>
  <c r="T71" i="5"/>
  <c r="P69" i="5"/>
  <c r="R69" i="5"/>
  <c r="T69" i="5"/>
  <c r="P84" i="5"/>
  <c r="R84" i="5"/>
  <c r="T84" i="5"/>
  <c r="P83" i="5"/>
  <c r="R83" i="5"/>
  <c r="T83" i="5"/>
  <c r="P97" i="5"/>
  <c r="R97" i="5"/>
  <c r="P99" i="5"/>
  <c r="R99" i="5"/>
  <c r="T99" i="5"/>
  <c r="P100" i="5"/>
  <c r="R100" i="5"/>
  <c r="P104" i="5"/>
  <c r="R104" i="5"/>
  <c r="P103" i="5"/>
  <c r="R103" i="5"/>
  <c r="P102" i="5"/>
  <c r="R102" i="5"/>
  <c r="P106" i="5"/>
  <c r="R106" i="5"/>
  <c r="T106" i="5"/>
  <c r="P119" i="5"/>
  <c r="R119" i="5"/>
  <c r="T119" i="5"/>
  <c r="P120" i="5"/>
  <c r="R120" i="5"/>
  <c r="T120" i="5"/>
  <c r="P121" i="5"/>
  <c r="R121" i="5"/>
  <c r="T121" i="5"/>
  <c r="P122" i="5"/>
  <c r="R122" i="5"/>
  <c r="T122" i="5"/>
  <c r="P15" i="5"/>
  <c r="R15" i="5"/>
  <c r="T15" i="5"/>
  <c r="P17" i="5"/>
  <c r="R17" i="5"/>
  <c r="T17" i="5"/>
  <c r="P20" i="5"/>
  <c r="R20" i="5"/>
  <c r="T20" i="5"/>
  <c r="P9" i="5"/>
  <c r="R9" i="5"/>
  <c r="T9" i="5"/>
  <c r="P8" i="5"/>
  <c r="R8" i="5"/>
  <c r="T8" i="5"/>
  <c r="P29" i="5"/>
  <c r="R29" i="5"/>
  <c r="T29" i="5"/>
  <c r="P33" i="5"/>
  <c r="R33" i="5"/>
  <c r="T33" i="5"/>
  <c r="P26" i="5"/>
  <c r="R26" i="5"/>
  <c r="T26" i="5"/>
  <c r="P21" i="5"/>
  <c r="R21" i="5"/>
  <c r="T21" i="5"/>
  <c r="P32" i="5"/>
  <c r="R32" i="5"/>
  <c r="T32" i="5"/>
  <c r="P31" i="5"/>
  <c r="R31" i="5"/>
  <c r="T31" i="5"/>
  <c r="P46" i="5"/>
  <c r="R46" i="5"/>
  <c r="T46" i="5"/>
  <c r="P41" i="5"/>
  <c r="R41" i="5"/>
  <c r="T41" i="5"/>
  <c r="P42" i="5"/>
  <c r="R42" i="5"/>
  <c r="T42" i="5"/>
  <c r="P47" i="5"/>
  <c r="R47" i="5"/>
  <c r="T47" i="5"/>
  <c r="P51" i="5"/>
  <c r="R51" i="5"/>
  <c r="T51" i="5"/>
  <c r="P40" i="5"/>
  <c r="R40" i="5"/>
  <c r="T40" i="5"/>
  <c r="P50" i="5"/>
  <c r="R50" i="5"/>
  <c r="T50" i="5"/>
  <c r="P49" i="5"/>
  <c r="R49" i="5"/>
  <c r="T49" i="5"/>
  <c r="P57" i="5"/>
  <c r="R57" i="5"/>
  <c r="T57" i="5"/>
  <c r="P52" i="5"/>
  <c r="R52" i="5"/>
  <c r="T52" i="5"/>
  <c r="P63" i="5"/>
  <c r="R63" i="5"/>
  <c r="T63" i="5"/>
  <c r="R61" i="5"/>
  <c r="T61" i="5"/>
  <c r="J175" i="4"/>
  <c r="I175" i="4"/>
  <c r="J174" i="4"/>
  <c r="I174" i="4"/>
  <c r="J173" i="4"/>
  <c r="I173" i="4"/>
  <c r="J172" i="4"/>
  <c r="I172" i="4"/>
  <c r="J171" i="4"/>
  <c r="I171" i="4"/>
  <c r="J170" i="4"/>
  <c r="I170" i="4"/>
  <c r="J169" i="4"/>
  <c r="I169" i="4"/>
  <c r="J168" i="4"/>
  <c r="I168" i="4"/>
  <c r="J167" i="4"/>
  <c r="I167" i="4"/>
  <c r="J166" i="4"/>
  <c r="I166" i="4"/>
  <c r="J165" i="4"/>
  <c r="I165" i="4"/>
  <c r="Q164" i="4"/>
  <c r="J164" i="4"/>
  <c r="I164" i="4"/>
  <c r="J163" i="4"/>
  <c r="I163" i="4"/>
  <c r="J162" i="4"/>
  <c r="I162" i="4"/>
  <c r="Q161" i="4"/>
  <c r="J161" i="4"/>
  <c r="I161" i="4"/>
  <c r="J160" i="4"/>
  <c r="I160" i="4"/>
  <c r="J159" i="4"/>
  <c r="I159" i="4"/>
  <c r="J158" i="4"/>
  <c r="I158" i="4"/>
  <c r="J157" i="4"/>
  <c r="J156" i="4"/>
  <c r="I157" i="4"/>
  <c r="I156" i="4"/>
  <c r="Q155" i="4"/>
  <c r="J155" i="4"/>
  <c r="I155" i="4"/>
  <c r="I151" i="4"/>
  <c r="I150" i="4"/>
  <c r="I149" i="4"/>
  <c r="I148" i="4"/>
  <c r="I147" i="4"/>
  <c r="I146" i="4"/>
  <c r="I145" i="4"/>
  <c r="I144" i="4"/>
  <c r="Q143" i="4"/>
  <c r="I143" i="4"/>
  <c r="J142" i="4"/>
  <c r="I142" i="4"/>
  <c r="J141" i="4"/>
  <c r="I141" i="4"/>
  <c r="J140" i="4"/>
  <c r="I140" i="4"/>
  <c r="I139" i="4"/>
  <c r="I138" i="4"/>
  <c r="Q137" i="4"/>
  <c r="I137" i="4"/>
  <c r="I136" i="4"/>
  <c r="I135" i="4"/>
  <c r="Q134" i="4"/>
  <c r="I134" i="4"/>
  <c r="I133" i="4"/>
  <c r="I132" i="4"/>
  <c r="Q131" i="4"/>
  <c r="I131" i="4"/>
  <c r="I130" i="4"/>
  <c r="I129" i="4"/>
  <c r="Q128" i="4"/>
  <c r="I128" i="4"/>
  <c r="I127" i="4"/>
  <c r="I126" i="4"/>
  <c r="I125" i="4"/>
  <c r="I124" i="4"/>
  <c r="I123" i="4"/>
  <c r="I122" i="4"/>
  <c r="J121" i="4"/>
  <c r="I121" i="4"/>
  <c r="J120" i="4"/>
  <c r="I120" i="4"/>
  <c r="Q119" i="4"/>
  <c r="J119" i="4"/>
  <c r="I119" i="4"/>
  <c r="J118" i="4"/>
  <c r="I118" i="4"/>
  <c r="J117" i="4"/>
  <c r="I117" i="4"/>
  <c r="J116" i="4"/>
  <c r="I116" i="4"/>
  <c r="I115" i="4"/>
  <c r="I114" i="4"/>
  <c r="Q113" i="4"/>
  <c r="I113" i="4"/>
  <c r="J112" i="4"/>
  <c r="I112" i="4"/>
  <c r="J111" i="4"/>
  <c r="I111" i="4"/>
  <c r="Q110" i="4"/>
  <c r="J110" i="4"/>
  <c r="I110" i="4"/>
  <c r="J109" i="4"/>
  <c r="I109" i="4"/>
  <c r="J108" i="4"/>
  <c r="I108" i="4"/>
  <c r="Q107" i="4"/>
  <c r="J107" i="4"/>
  <c r="I107" i="4"/>
  <c r="J106" i="4"/>
  <c r="I106" i="4"/>
  <c r="J105" i="4"/>
  <c r="I105" i="4"/>
  <c r="Q104" i="4"/>
  <c r="J104" i="4"/>
  <c r="I104" i="4"/>
  <c r="J103" i="4"/>
  <c r="I103" i="4"/>
  <c r="J102" i="4"/>
  <c r="I102" i="4"/>
  <c r="J101" i="4"/>
  <c r="I101" i="4"/>
  <c r="J100" i="4"/>
  <c r="I100" i="4"/>
  <c r="J99" i="4"/>
  <c r="I99" i="4"/>
  <c r="Q98" i="4"/>
  <c r="J98" i="4"/>
  <c r="I98" i="4"/>
  <c r="J97" i="4"/>
  <c r="I97" i="4"/>
  <c r="J96" i="4"/>
  <c r="I96" i="4"/>
  <c r="J95" i="4"/>
  <c r="I95" i="4"/>
  <c r="J94" i="4"/>
  <c r="I94" i="4"/>
  <c r="J93" i="4"/>
  <c r="I93" i="4"/>
  <c r="Q92" i="4"/>
  <c r="I92" i="4"/>
  <c r="J91" i="4"/>
  <c r="I91" i="4"/>
  <c r="J90" i="4"/>
  <c r="I90" i="4"/>
  <c r="J89" i="4"/>
  <c r="I89" i="4"/>
  <c r="I88" i="4"/>
  <c r="I87" i="4"/>
  <c r="Q86" i="4"/>
  <c r="I86" i="4"/>
  <c r="T83" i="4"/>
  <c r="J83" i="4"/>
  <c r="T80" i="4"/>
  <c r="T77" i="4"/>
  <c r="J76" i="4"/>
  <c r="T74" i="4"/>
  <c r="T71" i="4"/>
  <c r="T68" i="4"/>
  <c r="T65" i="4"/>
  <c r="T62" i="4"/>
  <c r="J61" i="4"/>
  <c r="I61" i="4"/>
  <c r="J60" i="4"/>
  <c r="I60" i="4"/>
  <c r="T59" i="4"/>
  <c r="J59" i="4"/>
  <c r="I59" i="4"/>
  <c r="I58" i="4"/>
  <c r="J57" i="4"/>
  <c r="I57" i="4"/>
  <c r="T56" i="4"/>
  <c r="J56" i="4"/>
  <c r="I56" i="4"/>
  <c r="J55" i="4"/>
  <c r="I55" i="4"/>
  <c r="J54" i="4"/>
  <c r="I54" i="4"/>
  <c r="T53" i="4"/>
  <c r="J53" i="4"/>
  <c r="I53" i="4"/>
  <c r="I52" i="4"/>
  <c r="J51" i="4"/>
  <c r="I51" i="4"/>
  <c r="T50" i="4"/>
  <c r="J50" i="4"/>
  <c r="I50" i="4"/>
  <c r="J49" i="4"/>
  <c r="I49" i="4"/>
  <c r="J48" i="4"/>
  <c r="I48" i="4"/>
  <c r="T47" i="4"/>
  <c r="J47" i="4"/>
  <c r="I47" i="4"/>
  <c r="J46" i="4"/>
  <c r="I46" i="4"/>
  <c r="J45" i="4"/>
  <c r="I45" i="4"/>
  <c r="T44" i="4"/>
  <c r="J44" i="4"/>
  <c r="I44" i="4"/>
  <c r="J43" i="4"/>
  <c r="J42" i="4"/>
  <c r="T41" i="4"/>
  <c r="J40" i="4"/>
  <c r="J39" i="4"/>
  <c r="T38" i="4"/>
  <c r="T35" i="4"/>
  <c r="I34" i="4"/>
  <c r="I33" i="4"/>
  <c r="T32" i="4"/>
  <c r="I32" i="4"/>
  <c r="I31" i="4"/>
  <c r="I30" i="4"/>
  <c r="T29" i="4"/>
  <c r="I29" i="4"/>
  <c r="I28" i="4"/>
  <c r="I27" i="4"/>
  <c r="T26" i="4"/>
  <c r="I26" i="4"/>
  <c r="I24" i="4"/>
  <c r="T23" i="4"/>
  <c r="I23" i="4"/>
  <c r="T20" i="4"/>
  <c r="I20" i="4"/>
  <c r="T17" i="4"/>
  <c r="T14" i="4"/>
  <c r="T11" i="4"/>
  <c r="T8" i="4"/>
  <c r="T5" i="4"/>
  <c r="T2" i="4"/>
  <c r="I2" i="4"/>
  <c r="H253" i="2"/>
  <c r="J253" i="2"/>
  <c r="H252" i="2"/>
  <c r="J252" i="2"/>
  <c r="M252" i="2"/>
  <c r="H251" i="2"/>
  <c r="J251" i="2"/>
  <c r="H249" i="2"/>
  <c r="J249" i="2"/>
  <c r="H250" i="2"/>
  <c r="J250" i="2"/>
  <c r="M249" i="2"/>
  <c r="H248" i="2"/>
  <c r="J248" i="2"/>
  <c r="H247" i="2"/>
  <c r="J247" i="2"/>
  <c r="H246" i="2"/>
  <c r="J246" i="2"/>
  <c r="H245" i="2"/>
  <c r="J245" i="2"/>
  <c r="H244" i="2"/>
  <c r="J244" i="2"/>
  <c r="H243" i="2"/>
  <c r="J243" i="2"/>
  <c r="H242" i="2"/>
  <c r="J242" i="2"/>
  <c r="H241" i="2"/>
  <c r="J241" i="2"/>
  <c r="H240" i="2"/>
  <c r="J240" i="2"/>
  <c r="H239" i="2"/>
  <c r="J239" i="2"/>
  <c r="H238" i="2"/>
  <c r="J238" i="2"/>
  <c r="H237" i="2"/>
  <c r="J237" i="2"/>
  <c r="M237" i="2"/>
  <c r="H236" i="2"/>
  <c r="J236" i="2"/>
  <c r="H235" i="2"/>
  <c r="J235" i="2"/>
  <c r="H234" i="2"/>
  <c r="J234" i="2"/>
  <c r="H233" i="2"/>
  <c r="J233" i="2"/>
  <c r="M233" i="2"/>
  <c r="H232" i="2"/>
  <c r="J232" i="2"/>
  <c r="H231" i="2"/>
  <c r="J231" i="2"/>
  <c r="H230" i="2"/>
  <c r="J230" i="2"/>
  <c r="H229" i="2"/>
  <c r="J229" i="2"/>
  <c r="H228" i="2"/>
  <c r="J228" i="2"/>
  <c r="H227" i="2"/>
  <c r="J227" i="2"/>
  <c r="H226" i="2"/>
  <c r="J226" i="2"/>
  <c r="H225" i="2"/>
  <c r="J225" i="2"/>
  <c r="M225" i="2"/>
  <c r="H224" i="2"/>
  <c r="J224" i="2"/>
  <c r="H223" i="2"/>
  <c r="J223" i="2"/>
  <c r="H222" i="2"/>
  <c r="J222" i="2"/>
  <c r="H221" i="2"/>
  <c r="J221" i="2"/>
  <c r="M221" i="2"/>
  <c r="H220" i="2"/>
  <c r="J220" i="2"/>
  <c r="H219" i="2"/>
  <c r="J219" i="2"/>
  <c r="H94" i="2"/>
  <c r="J94" i="2"/>
  <c r="H218" i="2"/>
  <c r="J218" i="2"/>
  <c r="H217" i="2"/>
  <c r="J217" i="2"/>
  <c r="H216" i="2"/>
  <c r="J216" i="2"/>
  <c r="M216" i="2"/>
  <c r="H215" i="2"/>
  <c r="J215" i="2"/>
  <c r="H214" i="2"/>
  <c r="J214" i="2"/>
  <c r="H213" i="2"/>
  <c r="J213" i="2"/>
  <c r="H212" i="2"/>
  <c r="J212" i="2"/>
  <c r="M212" i="2"/>
  <c r="H211" i="2"/>
  <c r="J211" i="2"/>
  <c r="H209" i="2"/>
  <c r="J209" i="2"/>
  <c r="H210" i="2"/>
  <c r="J210" i="2"/>
  <c r="M209" i="2"/>
  <c r="H208" i="2"/>
  <c r="J208" i="2"/>
  <c r="H207" i="2"/>
  <c r="J207" i="2"/>
  <c r="H206" i="2"/>
  <c r="J206" i="2"/>
  <c r="H205" i="2"/>
  <c r="J205" i="2"/>
  <c r="M205" i="2"/>
  <c r="H204" i="2"/>
  <c r="J204" i="2"/>
  <c r="H203" i="2"/>
  <c r="J203" i="2"/>
  <c r="H202" i="2"/>
  <c r="J202" i="2"/>
  <c r="M202" i="2"/>
  <c r="H201" i="2"/>
  <c r="J201" i="2"/>
  <c r="H199" i="2"/>
  <c r="J199" i="2"/>
  <c r="H200" i="2"/>
  <c r="J200" i="2"/>
  <c r="M199" i="2"/>
  <c r="H198" i="2"/>
  <c r="J198" i="2"/>
  <c r="H197" i="2"/>
  <c r="J197" i="2"/>
  <c r="H196" i="2"/>
  <c r="J196" i="2"/>
  <c r="H195" i="2"/>
  <c r="J195" i="2"/>
  <c r="H194" i="2"/>
  <c r="J194" i="2"/>
  <c r="H193" i="2"/>
  <c r="J193" i="2"/>
  <c r="H192" i="2"/>
  <c r="J192" i="2"/>
  <c r="H191" i="2"/>
  <c r="J191" i="2"/>
  <c r="H190" i="2"/>
  <c r="J190" i="2"/>
  <c r="H189" i="2"/>
  <c r="J189" i="2"/>
  <c r="M189" i="2"/>
  <c r="H188" i="2"/>
  <c r="J188" i="2"/>
  <c r="H187" i="2"/>
  <c r="J187" i="2"/>
  <c r="M187" i="2"/>
  <c r="H186" i="2"/>
  <c r="J186" i="2"/>
  <c r="H185" i="2"/>
  <c r="J185" i="2"/>
  <c r="M185" i="2"/>
  <c r="H184" i="2"/>
  <c r="J184" i="2"/>
  <c r="H183" i="2"/>
  <c r="J183" i="2"/>
  <c r="H182" i="2"/>
  <c r="J182" i="2"/>
  <c r="M182" i="2"/>
  <c r="H181" i="2"/>
  <c r="J181" i="2"/>
  <c r="H180" i="2"/>
  <c r="J180" i="2"/>
  <c r="H178" i="2"/>
  <c r="J178" i="2"/>
  <c r="H177" i="2"/>
  <c r="J177" i="2"/>
  <c r="H176" i="2"/>
  <c r="J176" i="2"/>
  <c r="H175" i="2"/>
  <c r="J175" i="2"/>
  <c r="H174" i="2"/>
  <c r="J174" i="2"/>
  <c r="H173" i="2"/>
  <c r="J173" i="2"/>
  <c r="H172" i="2"/>
  <c r="J172" i="2"/>
  <c r="H171" i="2"/>
  <c r="J171" i="2"/>
  <c r="H170" i="2"/>
  <c r="J170" i="2"/>
  <c r="H169" i="2"/>
  <c r="J169" i="2"/>
  <c r="H168" i="2"/>
  <c r="J168" i="2"/>
  <c r="H179" i="2"/>
  <c r="J179" i="2"/>
  <c r="H167" i="2"/>
  <c r="J167" i="2"/>
  <c r="H166" i="2"/>
  <c r="J166" i="2"/>
  <c r="M166" i="2"/>
  <c r="H165" i="2"/>
  <c r="J165" i="2"/>
  <c r="H164" i="2"/>
  <c r="J164" i="2"/>
  <c r="M164" i="2"/>
  <c r="H163" i="2"/>
  <c r="J163" i="2"/>
  <c r="H162" i="2"/>
  <c r="J162" i="2"/>
  <c r="M162" i="2"/>
  <c r="H159" i="2"/>
  <c r="J159" i="2"/>
  <c r="H158" i="2"/>
  <c r="J158" i="2"/>
  <c r="H157" i="2"/>
  <c r="J157" i="2"/>
  <c r="H156" i="2"/>
  <c r="J156" i="2"/>
  <c r="M156" i="2"/>
  <c r="H155" i="2"/>
  <c r="J155" i="2"/>
  <c r="H154" i="2"/>
  <c r="J154" i="2"/>
  <c r="H153" i="2"/>
  <c r="J153" i="2"/>
  <c r="H152" i="2"/>
  <c r="J152" i="2"/>
  <c r="M152" i="2"/>
  <c r="H151" i="2"/>
  <c r="J151" i="2"/>
  <c r="H150" i="2"/>
  <c r="J150" i="2"/>
  <c r="M150" i="2"/>
  <c r="H149" i="2"/>
  <c r="J149" i="2"/>
  <c r="H148" i="2"/>
  <c r="J148" i="2"/>
  <c r="H147" i="2"/>
  <c r="J147" i="2"/>
  <c r="M147" i="2"/>
  <c r="H145" i="2"/>
  <c r="J145" i="2"/>
  <c r="H144" i="2"/>
  <c r="J144" i="2"/>
  <c r="H143" i="2"/>
  <c r="J143" i="2"/>
  <c r="M143" i="2"/>
  <c r="H142" i="2"/>
  <c r="J142" i="2"/>
  <c r="H141" i="2"/>
  <c r="J141" i="2"/>
  <c r="H140" i="2"/>
  <c r="J140" i="2"/>
  <c r="M140" i="2"/>
  <c r="H139" i="2"/>
  <c r="J139" i="2"/>
  <c r="H138" i="2"/>
  <c r="J138" i="2"/>
  <c r="H137" i="2"/>
  <c r="J137" i="2"/>
  <c r="H136" i="2"/>
  <c r="J136" i="2"/>
  <c r="M136" i="2"/>
  <c r="H135" i="2"/>
  <c r="J135" i="2"/>
  <c r="H134" i="2"/>
  <c r="J134" i="2"/>
  <c r="H133" i="2"/>
  <c r="J133" i="2"/>
  <c r="M133" i="2"/>
  <c r="H132" i="2"/>
  <c r="J132" i="2"/>
  <c r="H131" i="2"/>
  <c r="J131" i="2"/>
  <c r="M131" i="2"/>
  <c r="H130" i="2"/>
  <c r="J130" i="2"/>
  <c r="H129" i="2"/>
  <c r="J129" i="2"/>
  <c r="H128" i="2"/>
  <c r="J128" i="2"/>
  <c r="H127" i="2"/>
  <c r="J127" i="2"/>
  <c r="H126" i="2"/>
  <c r="J126" i="2"/>
  <c r="H125" i="2"/>
  <c r="J125" i="2"/>
  <c r="M125" i="2"/>
  <c r="H124" i="2"/>
  <c r="J124" i="2"/>
  <c r="H123" i="2"/>
  <c r="J123" i="2"/>
  <c r="H122" i="2"/>
  <c r="J122" i="2"/>
  <c r="M122" i="2"/>
  <c r="H121" i="2"/>
  <c r="J121" i="2"/>
  <c r="H120" i="2"/>
  <c r="J120" i="2"/>
  <c r="M120" i="2"/>
  <c r="H119" i="2"/>
  <c r="J119" i="2"/>
  <c r="H118" i="2"/>
  <c r="J118" i="2"/>
  <c r="H117" i="2"/>
  <c r="J117" i="2"/>
  <c r="M117" i="2"/>
  <c r="H116" i="2"/>
  <c r="J116" i="2"/>
  <c r="H115" i="2"/>
  <c r="J115" i="2"/>
  <c r="M115" i="2"/>
  <c r="H114" i="2"/>
  <c r="J114" i="2"/>
  <c r="H113" i="2"/>
  <c r="J113" i="2"/>
  <c r="H106" i="2"/>
  <c r="J106" i="2"/>
  <c r="H105" i="2"/>
  <c r="J105" i="2"/>
  <c r="H110" i="2"/>
  <c r="J110" i="2"/>
  <c r="H109" i="2"/>
  <c r="J109" i="2"/>
  <c r="M109" i="2"/>
  <c r="H108" i="2"/>
  <c r="J108" i="2"/>
  <c r="H107" i="2"/>
  <c r="J107" i="2"/>
  <c r="M107" i="2"/>
  <c r="H112" i="2"/>
  <c r="J112" i="2"/>
  <c r="H111" i="2"/>
  <c r="J111" i="2"/>
  <c r="M111" i="2"/>
  <c r="H96" i="2"/>
  <c r="J96" i="2"/>
  <c r="H95" i="2"/>
  <c r="J95" i="2"/>
  <c r="H98" i="2"/>
  <c r="J98" i="2"/>
  <c r="H97" i="2"/>
  <c r="J97" i="2"/>
  <c r="H104" i="2"/>
  <c r="J104" i="2"/>
  <c r="H103" i="2"/>
  <c r="J103" i="2"/>
  <c r="H102" i="2"/>
  <c r="J102" i="2"/>
  <c r="M102" i="2"/>
  <c r="H101" i="2"/>
  <c r="J101" i="2"/>
  <c r="H99" i="2"/>
  <c r="J99" i="2"/>
  <c r="H100" i="2"/>
  <c r="J100" i="2"/>
  <c r="M99" i="2"/>
  <c r="H93" i="2"/>
  <c r="J93" i="2"/>
  <c r="H92" i="2"/>
  <c r="J92" i="2"/>
  <c r="M92" i="2"/>
  <c r="H91" i="2"/>
  <c r="J91" i="2"/>
  <c r="H90" i="2"/>
  <c r="J90" i="2"/>
  <c r="M90" i="2"/>
  <c r="H89" i="2"/>
  <c r="J89" i="2"/>
  <c r="H88" i="2"/>
  <c r="J88" i="2"/>
  <c r="H87" i="2"/>
  <c r="J87" i="2"/>
  <c r="M87" i="2"/>
  <c r="H86" i="2"/>
  <c r="J86" i="2"/>
  <c r="H85" i="2"/>
  <c r="J85" i="2"/>
  <c r="H84" i="2"/>
  <c r="J84" i="2"/>
  <c r="H83" i="2"/>
  <c r="J83" i="2"/>
  <c r="M83" i="2"/>
  <c r="H82" i="2"/>
  <c r="J82" i="2"/>
  <c r="H81" i="2"/>
  <c r="J81" i="2"/>
  <c r="H80" i="2"/>
  <c r="J80" i="2"/>
  <c r="H79" i="2"/>
  <c r="J79" i="2"/>
  <c r="H78" i="2"/>
  <c r="J78" i="2"/>
  <c r="H77" i="2"/>
  <c r="J77" i="2"/>
  <c r="H76" i="2"/>
  <c r="J76" i="2"/>
  <c r="H75" i="2"/>
  <c r="J75" i="2"/>
  <c r="M75" i="2"/>
  <c r="H74" i="2"/>
  <c r="J74" i="2"/>
  <c r="H73" i="2"/>
  <c r="K73" i="2"/>
  <c r="H72" i="2"/>
  <c r="K72" i="2"/>
  <c r="H68" i="2"/>
  <c r="K68" i="2"/>
  <c r="H67" i="2"/>
  <c r="K67" i="2"/>
  <c r="H71" i="2"/>
  <c r="H70" i="2"/>
  <c r="J70" i="2"/>
  <c r="H69" i="2"/>
  <c r="J69" i="2"/>
  <c r="H66" i="2"/>
  <c r="J66" i="2"/>
  <c r="H65" i="2"/>
  <c r="K65" i="2"/>
  <c r="H64" i="2"/>
  <c r="J64" i="2"/>
  <c r="H63" i="2"/>
  <c r="K63" i="2"/>
  <c r="H62" i="2"/>
  <c r="K62" i="2"/>
  <c r="H61" i="2"/>
  <c r="H57" i="2"/>
  <c r="J57" i="2"/>
  <c r="H56" i="2"/>
  <c r="K56" i="2"/>
  <c r="H55" i="2"/>
  <c r="K55" i="2"/>
  <c r="H60" i="2"/>
  <c r="K60" i="2"/>
  <c r="H59" i="2"/>
  <c r="K59" i="2"/>
  <c r="H58" i="2"/>
  <c r="K58" i="2"/>
  <c r="H54" i="2"/>
  <c r="K54" i="2"/>
  <c r="H53" i="2"/>
  <c r="H52" i="2"/>
  <c r="J52" i="2"/>
  <c r="H51" i="2"/>
  <c r="J51" i="2"/>
  <c r="H50" i="2"/>
  <c r="K50" i="2"/>
  <c r="H49" i="2"/>
  <c r="K49" i="2"/>
  <c r="H45" i="2"/>
  <c r="J45" i="2"/>
  <c r="H44" i="2"/>
  <c r="K44" i="2"/>
  <c r="H43" i="2"/>
  <c r="K43" i="2"/>
  <c r="H42" i="2"/>
  <c r="H41" i="2"/>
  <c r="J41" i="2"/>
  <c r="H48" i="2"/>
  <c r="K48" i="2"/>
  <c r="H47" i="2"/>
  <c r="K47" i="2"/>
  <c r="H46" i="2"/>
  <c r="J46" i="2"/>
  <c r="K46" i="2"/>
  <c r="H25" i="2"/>
  <c r="K25" i="2"/>
  <c r="H24" i="2"/>
  <c r="K24" i="2"/>
  <c r="H23" i="2"/>
  <c r="J23" i="2"/>
  <c r="J24" i="2"/>
  <c r="J25" i="2"/>
  <c r="H13" i="2"/>
  <c r="J13" i="2"/>
  <c r="H14" i="2"/>
  <c r="J14" i="2"/>
  <c r="H15" i="2"/>
  <c r="J15" i="2"/>
  <c r="J42" i="2"/>
  <c r="J43" i="2"/>
  <c r="J44" i="2"/>
  <c r="L28" i="2"/>
  <c r="H29" i="2"/>
  <c r="K29" i="2"/>
  <c r="H34" i="2"/>
  <c r="J34" i="2"/>
  <c r="H33" i="2"/>
  <c r="K33" i="2"/>
  <c r="H32" i="2"/>
  <c r="K32" i="2"/>
  <c r="H31" i="2"/>
  <c r="H30" i="2"/>
  <c r="K30" i="2"/>
  <c r="H28" i="2"/>
  <c r="H27" i="2"/>
  <c r="K27" i="2"/>
  <c r="H26" i="2"/>
  <c r="K26" i="2"/>
  <c r="H22" i="2"/>
  <c r="J22" i="2"/>
  <c r="H21" i="2"/>
  <c r="K21" i="2"/>
  <c r="H20" i="2"/>
  <c r="K20" i="2"/>
  <c r="H19" i="2"/>
  <c r="J19" i="2"/>
  <c r="H18" i="2"/>
  <c r="J18" i="2"/>
  <c r="H17" i="2"/>
  <c r="J17" i="2"/>
  <c r="K17" i="2"/>
  <c r="H16" i="2"/>
  <c r="K16" i="2"/>
  <c r="K13" i="2"/>
  <c r="H12" i="2"/>
  <c r="J12" i="2"/>
  <c r="L12" i="2"/>
  <c r="H8" i="2"/>
  <c r="K8" i="2"/>
  <c r="J8" i="2"/>
  <c r="H7" i="2"/>
  <c r="K7" i="2"/>
  <c r="H11" i="2"/>
  <c r="K11" i="2"/>
  <c r="H10" i="2"/>
  <c r="K10" i="2"/>
  <c r="H9" i="2"/>
  <c r="K9" i="2"/>
  <c r="H3" i="2"/>
  <c r="H2" i="2"/>
  <c r="K2" i="2"/>
  <c r="J2" i="2"/>
  <c r="H6" i="2"/>
  <c r="J6" i="2"/>
  <c r="H5" i="2"/>
  <c r="K5" i="2"/>
  <c r="H4" i="2"/>
  <c r="J4" i="2"/>
  <c r="J201" i="1"/>
  <c r="O201" i="1"/>
  <c r="G201" i="1"/>
  <c r="J200" i="1"/>
  <c r="O200" i="1"/>
  <c r="U200" i="1"/>
  <c r="G200" i="1"/>
  <c r="J199" i="1"/>
  <c r="K199" i="1"/>
  <c r="G199" i="1"/>
  <c r="J198" i="1"/>
  <c r="N198" i="1"/>
  <c r="K198" i="1"/>
  <c r="G198" i="1"/>
  <c r="J197" i="1"/>
  <c r="O197" i="1"/>
  <c r="G197" i="1"/>
  <c r="J196" i="1"/>
  <c r="N196" i="1"/>
  <c r="Q196" i="1"/>
  <c r="R196" i="1"/>
  <c r="O196" i="1"/>
  <c r="G196" i="1"/>
  <c r="J195" i="1"/>
  <c r="N195" i="1"/>
  <c r="Q195" i="1"/>
  <c r="R195" i="1"/>
  <c r="K195" i="1"/>
  <c r="G195" i="1"/>
  <c r="J194" i="1"/>
  <c r="O194" i="1"/>
  <c r="N194" i="1"/>
  <c r="Q194" i="1"/>
  <c r="R194" i="1"/>
  <c r="G194" i="1"/>
  <c r="J193" i="1"/>
  <c r="K193" i="1"/>
  <c r="G193" i="1"/>
  <c r="J192" i="1"/>
  <c r="O192" i="1"/>
  <c r="U192" i="1"/>
  <c r="N192" i="1"/>
  <c r="G192" i="1"/>
  <c r="J191" i="1"/>
  <c r="K191" i="1"/>
  <c r="G191" i="1"/>
  <c r="J190" i="1"/>
  <c r="N190" i="1"/>
  <c r="G190" i="1"/>
  <c r="J189" i="1"/>
  <c r="O189" i="1"/>
  <c r="G189" i="1"/>
  <c r="J188" i="1"/>
  <c r="K188" i="1"/>
  <c r="N188" i="1"/>
  <c r="Q188" i="1"/>
  <c r="R188" i="1"/>
  <c r="G188" i="1"/>
  <c r="J187" i="1"/>
  <c r="N187" i="1"/>
  <c r="Q187" i="1"/>
  <c r="R187" i="1"/>
  <c r="O187" i="1"/>
  <c r="G187" i="1"/>
  <c r="J186" i="1"/>
  <c r="K186" i="1"/>
  <c r="N186" i="1"/>
  <c r="Q186" i="1"/>
  <c r="R186" i="1"/>
  <c r="G186" i="1"/>
  <c r="J185" i="1"/>
  <c r="K185" i="1"/>
  <c r="G185" i="1"/>
  <c r="J184" i="1"/>
  <c r="O184" i="1"/>
  <c r="U184" i="1"/>
  <c r="N184" i="1"/>
  <c r="G184" i="1"/>
  <c r="J183" i="1"/>
  <c r="K183" i="1"/>
  <c r="G183" i="1"/>
  <c r="J182" i="1"/>
  <c r="N182" i="1"/>
  <c r="G182" i="1"/>
  <c r="J181" i="1"/>
  <c r="O181" i="1"/>
  <c r="G181" i="1"/>
  <c r="J180" i="1"/>
  <c r="N180" i="1"/>
  <c r="Q180" i="1"/>
  <c r="R180" i="1"/>
  <c r="O180" i="1"/>
  <c r="K180" i="1"/>
  <c r="G180" i="1"/>
  <c r="J179" i="1"/>
  <c r="N179" i="1"/>
  <c r="Q179" i="1"/>
  <c r="R179" i="1"/>
  <c r="G179" i="1"/>
  <c r="J178" i="1"/>
  <c r="N178" i="1"/>
  <c r="Q178" i="1"/>
  <c r="R178" i="1"/>
  <c r="O178" i="1"/>
  <c r="G178" i="1"/>
  <c r="J177" i="1"/>
  <c r="G177" i="1"/>
  <c r="J176" i="1"/>
  <c r="N176" i="1"/>
  <c r="K176" i="1"/>
  <c r="G176" i="1"/>
  <c r="J175" i="1"/>
  <c r="K175" i="1"/>
  <c r="G175" i="1"/>
  <c r="J174" i="1"/>
  <c r="N174" i="1"/>
  <c r="K174" i="1"/>
  <c r="G174" i="1"/>
  <c r="J173" i="1"/>
  <c r="G173" i="1"/>
  <c r="J172" i="1"/>
  <c r="K172" i="1"/>
  <c r="N172" i="1"/>
  <c r="Q172" i="1"/>
  <c r="R172" i="1"/>
  <c r="G172" i="1"/>
  <c r="J171" i="1"/>
  <c r="N171" i="1"/>
  <c r="Q171" i="1"/>
  <c r="R171" i="1"/>
  <c r="G171" i="1"/>
  <c r="J170" i="1"/>
  <c r="O170" i="1"/>
  <c r="N170" i="1"/>
  <c r="Q170" i="1"/>
  <c r="R170" i="1"/>
  <c r="G170" i="1"/>
  <c r="J169" i="1"/>
  <c r="O169" i="1"/>
  <c r="U169" i="1"/>
  <c r="K169" i="1"/>
  <c r="G169" i="1"/>
  <c r="J168" i="1"/>
  <c r="N168" i="1"/>
  <c r="G168" i="1"/>
  <c r="J167" i="1"/>
  <c r="K167" i="1"/>
  <c r="G167" i="1"/>
  <c r="J166" i="1"/>
  <c r="O166" i="1"/>
  <c r="U166" i="1"/>
  <c r="J165" i="1"/>
  <c r="K165" i="1"/>
  <c r="G165" i="1"/>
  <c r="J164" i="1"/>
  <c r="N164" i="1"/>
  <c r="Q164" i="1"/>
  <c r="R164" i="1"/>
  <c r="K164" i="1"/>
  <c r="G164" i="1"/>
  <c r="J163" i="1"/>
  <c r="N163" i="1"/>
  <c r="Q163" i="1"/>
  <c r="R163" i="1"/>
  <c r="O163" i="1"/>
  <c r="G163" i="1"/>
  <c r="J162" i="1"/>
  <c r="N162" i="1"/>
  <c r="Q162" i="1"/>
  <c r="R162" i="1"/>
  <c r="O162" i="1"/>
  <c r="J161" i="1"/>
  <c r="K161" i="1"/>
  <c r="O161" i="1"/>
  <c r="N161" i="1"/>
  <c r="J160" i="1"/>
  <c r="K160" i="1"/>
  <c r="O160" i="1"/>
  <c r="U160" i="1"/>
  <c r="J159" i="1"/>
  <c r="N159" i="1"/>
  <c r="K159" i="1"/>
  <c r="J158" i="1"/>
  <c r="K158" i="1"/>
  <c r="J157" i="1"/>
  <c r="N157" i="1"/>
  <c r="Q157" i="1"/>
  <c r="R157" i="1"/>
  <c r="O157" i="1"/>
  <c r="K157" i="1"/>
  <c r="J156" i="1"/>
  <c r="O156" i="1"/>
  <c r="J155" i="1"/>
  <c r="K155" i="1"/>
  <c r="N155" i="1"/>
  <c r="Q155" i="1"/>
  <c r="R155" i="1"/>
  <c r="J154" i="1"/>
  <c r="N154" i="1"/>
  <c r="K154" i="1"/>
  <c r="J153" i="1"/>
  <c r="G153" i="1"/>
  <c r="J152" i="1"/>
  <c r="K152" i="1"/>
  <c r="N152" i="1"/>
  <c r="G152" i="1"/>
  <c r="J151" i="1"/>
  <c r="N151" i="1"/>
  <c r="O151" i="1"/>
  <c r="U151" i="1"/>
  <c r="G151" i="1"/>
  <c r="J150" i="1"/>
  <c r="K150" i="1"/>
  <c r="N150" i="1"/>
  <c r="J149" i="1"/>
  <c r="N149" i="1"/>
  <c r="Q149" i="1"/>
  <c r="R149" i="1"/>
  <c r="O149" i="1"/>
  <c r="G149" i="1"/>
  <c r="J148" i="1"/>
  <c r="N148" i="1"/>
  <c r="Q148" i="1"/>
  <c r="R148" i="1"/>
  <c r="G148" i="1"/>
  <c r="J147" i="1"/>
  <c r="K147" i="1"/>
  <c r="G147" i="1"/>
  <c r="J146" i="1"/>
  <c r="N146" i="1"/>
  <c r="Q146" i="1"/>
  <c r="R146" i="1"/>
  <c r="J145" i="1"/>
  <c r="N145" i="1"/>
  <c r="K145" i="1"/>
  <c r="G145" i="1"/>
  <c r="J144" i="1"/>
  <c r="K144" i="1"/>
  <c r="O144" i="1"/>
  <c r="U144" i="1"/>
  <c r="G144" i="1"/>
  <c r="J143" i="1"/>
  <c r="N143" i="1"/>
  <c r="G143" i="1"/>
  <c r="J142" i="1"/>
  <c r="O142" i="1"/>
  <c r="J141" i="1"/>
  <c r="N141" i="1"/>
  <c r="Q141" i="1"/>
  <c r="R141" i="1"/>
  <c r="O141" i="1"/>
  <c r="G141" i="1"/>
  <c r="J140" i="1"/>
  <c r="O140" i="1"/>
  <c r="N140" i="1"/>
  <c r="Q140" i="1"/>
  <c r="R140" i="1"/>
  <c r="G140" i="1"/>
  <c r="J139" i="1"/>
  <c r="N139" i="1"/>
  <c r="Q139" i="1"/>
  <c r="R139" i="1"/>
  <c r="G139" i="1"/>
  <c r="J138" i="1"/>
  <c r="O138" i="1"/>
  <c r="G138" i="1"/>
  <c r="O137" i="1"/>
  <c r="U137" i="1"/>
  <c r="N137" i="1"/>
  <c r="K137" i="1"/>
  <c r="O136" i="1"/>
  <c r="U136" i="1"/>
  <c r="N136" i="1"/>
  <c r="K136" i="1"/>
  <c r="O135" i="1"/>
  <c r="U135" i="1"/>
  <c r="N135" i="1"/>
  <c r="K135" i="1"/>
  <c r="O134" i="1"/>
  <c r="U134" i="1"/>
  <c r="N134" i="1"/>
  <c r="K134" i="1"/>
  <c r="N133" i="1"/>
  <c r="Q133" i="1"/>
  <c r="R133" i="1"/>
  <c r="O133" i="1"/>
  <c r="K133" i="1"/>
  <c r="N132" i="1"/>
  <c r="Q132" i="1"/>
  <c r="R132" i="1"/>
  <c r="O132" i="1"/>
  <c r="K132" i="1"/>
  <c r="N131" i="1"/>
  <c r="Q131" i="1"/>
  <c r="R131" i="1"/>
  <c r="O131" i="1"/>
  <c r="K131" i="1"/>
  <c r="N130" i="1"/>
  <c r="Q130" i="1"/>
  <c r="R130" i="1"/>
  <c r="O130" i="1"/>
  <c r="K130" i="1"/>
  <c r="O129" i="1"/>
  <c r="U129" i="1"/>
  <c r="N129" i="1"/>
  <c r="K129" i="1"/>
  <c r="O128" i="1"/>
  <c r="U128" i="1"/>
  <c r="N128" i="1"/>
  <c r="K128" i="1"/>
  <c r="O127" i="1"/>
  <c r="U127" i="1"/>
  <c r="N127" i="1"/>
  <c r="K127" i="1"/>
  <c r="O126" i="1"/>
  <c r="U126" i="1"/>
  <c r="N126" i="1"/>
  <c r="K126" i="1"/>
  <c r="N125" i="1"/>
  <c r="Q125" i="1"/>
  <c r="R125" i="1"/>
  <c r="O125" i="1"/>
  <c r="K125" i="1"/>
  <c r="N124" i="1"/>
  <c r="Q124" i="1"/>
  <c r="R124" i="1"/>
  <c r="O124" i="1"/>
  <c r="K124" i="1"/>
  <c r="N123" i="1"/>
  <c r="Q123" i="1"/>
  <c r="R123" i="1"/>
  <c r="O123" i="1"/>
  <c r="K123" i="1"/>
  <c r="N122" i="1"/>
  <c r="Q122" i="1"/>
  <c r="R122" i="1"/>
  <c r="O122" i="1"/>
  <c r="K122" i="1"/>
  <c r="O121" i="1"/>
  <c r="U121" i="1"/>
  <c r="N121" i="1"/>
  <c r="K121" i="1"/>
  <c r="O120" i="1"/>
  <c r="U120" i="1"/>
  <c r="N120" i="1"/>
  <c r="K120" i="1"/>
  <c r="O119" i="1"/>
  <c r="U119" i="1"/>
  <c r="N119" i="1"/>
  <c r="K119" i="1"/>
  <c r="O118" i="1"/>
  <c r="U118" i="1"/>
  <c r="N118" i="1"/>
  <c r="K118" i="1"/>
  <c r="N117" i="1"/>
  <c r="Q117" i="1"/>
  <c r="R117" i="1"/>
  <c r="O117" i="1"/>
  <c r="K117" i="1"/>
  <c r="G117" i="1"/>
  <c r="N116" i="1"/>
  <c r="Q116" i="1"/>
  <c r="R116" i="1"/>
  <c r="O116" i="1"/>
  <c r="K116" i="1"/>
  <c r="G116" i="1"/>
  <c r="N115" i="1"/>
  <c r="Q115" i="1"/>
  <c r="R115" i="1"/>
  <c r="O115" i="1"/>
  <c r="K115" i="1"/>
  <c r="G115" i="1"/>
  <c r="N114" i="1"/>
  <c r="Q114" i="1"/>
  <c r="R114" i="1"/>
  <c r="O114" i="1"/>
  <c r="K114" i="1"/>
  <c r="G114" i="1"/>
  <c r="N113" i="1"/>
  <c r="Q113" i="1"/>
  <c r="R113" i="1"/>
  <c r="J113" i="1"/>
  <c r="K113" i="1"/>
  <c r="O113" i="1"/>
  <c r="G113" i="1"/>
  <c r="J112" i="1"/>
  <c r="K112" i="1"/>
  <c r="O112" i="1"/>
  <c r="N112" i="1"/>
  <c r="G112" i="1"/>
  <c r="N111" i="1"/>
  <c r="Q111" i="1"/>
  <c r="R111" i="1"/>
  <c r="J111" i="1"/>
  <c r="K111" i="1"/>
  <c r="G111" i="1"/>
  <c r="N110" i="1"/>
  <c r="Q110" i="1"/>
  <c r="R110" i="1"/>
  <c r="J110" i="1"/>
  <c r="K110" i="1"/>
  <c r="G110" i="1"/>
  <c r="J109" i="1"/>
  <c r="O109" i="1"/>
  <c r="U109" i="1"/>
  <c r="N109" i="1"/>
  <c r="K109" i="1"/>
  <c r="G109" i="1"/>
  <c r="J108" i="1"/>
  <c r="K108" i="1"/>
  <c r="O108" i="1"/>
  <c r="U108" i="1"/>
  <c r="N108" i="1"/>
  <c r="G108" i="1"/>
  <c r="J107" i="1"/>
  <c r="O107" i="1"/>
  <c r="U107" i="1"/>
  <c r="N107" i="1"/>
  <c r="G107" i="1"/>
  <c r="J106" i="1"/>
  <c r="O106" i="1"/>
  <c r="U106" i="1"/>
  <c r="N106" i="1"/>
  <c r="K106" i="1"/>
  <c r="G106" i="1"/>
  <c r="N105" i="1"/>
  <c r="Q105" i="1"/>
  <c r="R105" i="1"/>
  <c r="J105" i="1"/>
  <c r="O105" i="1"/>
  <c r="G105" i="1"/>
  <c r="N104" i="1"/>
  <c r="Q104" i="1"/>
  <c r="R104" i="1"/>
  <c r="J104" i="1"/>
  <c r="O104" i="1"/>
  <c r="K104" i="1"/>
  <c r="G104" i="1"/>
  <c r="N103" i="1"/>
  <c r="Q103" i="1"/>
  <c r="R103" i="1"/>
  <c r="J103" i="1"/>
  <c r="O103" i="1"/>
  <c r="G103" i="1"/>
  <c r="N102" i="1"/>
  <c r="Q102" i="1"/>
  <c r="R102" i="1"/>
  <c r="J102" i="1"/>
  <c r="K102" i="1"/>
  <c r="G102" i="1"/>
  <c r="J101" i="1"/>
  <c r="K101" i="1"/>
  <c r="N101" i="1"/>
  <c r="G101" i="1"/>
  <c r="J100" i="1"/>
  <c r="O100" i="1"/>
  <c r="U100" i="1"/>
  <c r="N100" i="1"/>
  <c r="G100" i="1"/>
  <c r="J99" i="1"/>
  <c r="O99" i="1"/>
  <c r="U99" i="1"/>
  <c r="N99" i="1"/>
  <c r="G99" i="1"/>
  <c r="J98" i="1"/>
  <c r="O98" i="1"/>
  <c r="U98" i="1"/>
  <c r="N98" i="1"/>
  <c r="G98" i="1"/>
  <c r="N97" i="1"/>
  <c r="Q97" i="1"/>
  <c r="R97" i="1"/>
  <c r="J97" i="1"/>
  <c r="O97" i="1"/>
  <c r="G97" i="1"/>
  <c r="N96" i="1"/>
  <c r="Q96" i="1"/>
  <c r="R96" i="1"/>
  <c r="J96" i="1"/>
  <c r="O96" i="1"/>
  <c r="K96" i="1"/>
  <c r="G96" i="1"/>
  <c r="N95" i="1"/>
  <c r="Q95" i="1"/>
  <c r="R95" i="1"/>
  <c r="J95" i="1"/>
  <c r="K95" i="1"/>
  <c r="G95" i="1"/>
  <c r="N94" i="1"/>
  <c r="Q94" i="1"/>
  <c r="R94" i="1"/>
  <c r="J94" i="1"/>
  <c r="K94" i="1"/>
  <c r="G94" i="1"/>
  <c r="J93" i="1"/>
  <c r="O93" i="1"/>
  <c r="U93" i="1"/>
  <c r="N93" i="1"/>
  <c r="K93" i="1"/>
  <c r="G93" i="1"/>
  <c r="J92" i="1"/>
  <c r="K92" i="1"/>
  <c r="N92" i="1"/>
  <c r="G92" i="1"/>
  <c r="J91" i="1"/>
  <c r="O91" i="1"/>
  <c r="U91" i="1"/>
  <c r="N91" i="1"/>
  <c r="G91" i="1"/>
  <c r="J90" i="1"/>
  <c r="O90" i="1"/>
  <c r="U90" i="1"/>
  <c r="N90" i="1"/>
  <c r="G90" i="1"/>
  <c r="N89" i="1"/>
  <c r="Q89" i="1"/>
  <c r="R89" i="1"/>
  <c r="J89" i="1"/>
  <c r="O89" i="1"/>
  <c r="K89" i="1"/>
  <c r="N88" i="1"/>
  <c r="Q88" i="1"/>
  <c r="R88" i="1"/>
  <c r="J88" i="1"/>
  <c r="K88" i="1"/>
  <c r="O88" i="1"/>
  <c r="N87" i="1"/>
  <c r="Q87" i="1"/>
  <c r="R87" i="1"/>
  <c r="J87" i="1"/>
  <c r="K87" i="1"/>
  <c r="O87" i="1"/>
  <c r="N86" i="1"/>
  <c r="Q86" i="1"/>
  <c r="R86" i="1"/>
  <c r="J86" i="1"/>
  <c r="K86" i="1"/>
  <c r="J85" i="1"/>
  <c r="N85" i="1"/>
  <c r="J84" i="1"/>
  <c r="K84" i="1"/>
  <c r="N84" i="1"/>
  <c r="J83" i="1"/>
  <c r="O83" i="1"/>
  <c r="U83" i="1"/>
  <c r="K83" i="1"/>
  <c r="N83" i="1"/>
  <c r="J82" i="1"/>
  <c r="K82" i="1"/>
  <c r="N82" i="1"/>
  <c r="N81" i="1"/>
  <c r="Q81" i="1"/>
  <c r="R81" i="1"/>
  <c r="J81" i="1"/>
  <c r="O81" i="1"/>
  <c r="N80" i="1"/>
  <c r="Q80" i="1"/>
  <c r="R80" i="1"/>
  <c r="J80" i="1"/>
  <c r="O80" i="1"/>
  <c r="K80" i="1"/>
  <c r="N79" i="1"/>
  <c r="Q79" i="1"/>
  <c r="R79" i="1"/>
  <c r="J79" i="1"/>
  <c r="K79" i="1"/>
  <c r="N78" i="1"/>
  <c r="Q78" i="1"/>
  <c r="R78" i="1"/>
  <c r="J78" i="1"/>
  <c r="K78" i="1"/>
  <c r="N77" i="1"/>
  <c r="J76" i="1"/>
  <c r="O76" i="1"/>
  <c r="U76" i="1"/>
  <c r="N76" i="1"/>
  <c r="J75" i="1"/>
  <c r="O75" i="1"/>
  <c r="U75" i="1"/>
  <c r="N75" i="1"/>
  <c r="K75" i="1"/>
  <c r="J74" i="1"/>
  <c r="O74" i="1"/>
  <c r="U74" i="1"/>
  <c r="N74" i="1"/>
  <c r="K74" i="1"/>
  <c r="N73" i="1"/>
  <c r="Q73" i="1"/>
  <c r="R73" i="1"/>
  <c r="J73" i="1"/>
  <c r="K73" i="1"/>
  <c r="N72" i="1"/>
  <c r="Q72" i="1"/>
  <c r="R72" i="1"/>
  <c r="J72" i="1"/>
  <c r="N71" i="1"/>
  <c r="Q71" i="1"/>
  <c r="R71" i="1"/>
  <c r="J71" i="1"/>
  <c r="K71" i="1"/>
  <c r="O71" i="1"/>
  <c r="N70" i="1"/>
  <c r="Q70" i="1"/>
  <c r="R70" i="1"/>
  <c r="J70" i="1"/>
  <c r="K70" i="1"/>
  <c r="O70" i="1"/>
  <c r="J69" i="1"/>
  <c r="O69" i="1"/>
  <c r="N69" i="1"/>
  <c r="J68" i="1"/>
  <c r="O68" i="1"/>
  <c r="U68" i="1"/>
  <c r="N68" i="1"/>
  <c r="J67" i="1"/>
  <c r="K67" i="1"/>
  <c r="N67" i="1"/>
  <c r="J66" i="1"/>
  <c r="O66" i="1"/>
  <c r="U66" i="1"/>
  <c r="N66" i="1"/>
  <c r="J65" i="1"/>
  <c r="O65" i="1"/>
  <c r="U65" i="1"/>
  <c r="N65" i="1"/>
  <c r="K65" i="1"/>
  <c r="J64" i="1"/>
  <c r="O64" i="1"/>
  <c r="U64" i="1"/>
  <c r="N64" i="1"/>
  <c r="K64" i="1"/>
  <c r="J63" i="1"/>
  <c r="O63" i="1"/>
  <c r="U63" i="1"/>
  <c r="N63" i="1"/>
  <c r="K63" i="1"/>
  <c r="J62" i="1"/>
  <c r="O62" i="1"/>
  <c r="U62" i="1"/>
  <c r="N62" i="1"/>
  <c r="K62" i="1"/>
  <c r="N61" i="1"/>
  <c r="Q61" i="1"/>
  <c r="R61" i="1"/>
  <c r="J61" i="1"/>
  <c r="K61" i="1"/>
  <c r="N60" i="1"/>
  <c r="Q60" i="1"/>
  <c r="R60" i="1"/>
  <c r="J60" i="1"/>
  <c r="K60" i="1"/>
  <c r="O60" i="1"/>
  <c r="N59" i="1"/>
  <c r="Q59" i="1"/>
  <c r="R59" i="1"/>
  <c r="J59" i="1"/>
  <c r="K59" i="1"/>
  <c r="N58" i="1"/>
  <c r="Q58" i="1"/>
  <c r="R58" i="1"/>
  <c r="J58" i="1"/>
  <c r="O58" i="1"/>
  <c r="J57" i="1"/>
  <c r="O57" i="1"/>
  <c r="U57" i="1"/>
  <c r="N57" i="1"/>
  <c r="K57" i="1"/>
  <c r="J56" i="1"/>
  <c r="O56" i="1"/>
  <c r="N56" i="1"/>
  <c r="J55" i="1"/>
  <c r="O55" i="1"/>
  <c r="U55" i="1"/>
  <c r="N55" i="1"/>
  <c r="J54" i="1"/>
  <c r="K54" i="1"/>
  <c r="N54" i="1"/>
  <c r="N53" i="1"/>
  <c r="Q53" i="1"/>
  <c r="R53" i="1"/>
  <c r="J53" i="1"/>
  <c r="O53" i="1"/>
  <c r="N52" i="1"/>
  <c r="Q52" i="1"/>
  <c r="R52" i="1"/>
  <c r="J52" i="1"/>
  <c r="K52" i="1"/>
  <c r="N51" i="1"/>
  <c r="Q51" i="1"/>
  <c r="R51" i="1"/>
  <c r="J51" i="1"/>
  <c r="K51" i="1"/>
  <c r="O51" i="1"/>
  <c r="N50" i="1"/>
  <c r="Q50" i="1"/>
  <c r="R50" i="1"/>
  <c r="J50" i="1"/>
  <c r="K50" i="1"/>
  <c r="J49" i="1"/>
  <c r="O49" i="1"/>
  <c r="U49" i="1"/>
  <c r="N49" i="1"/>
  <c r="J48" i="1"/>
  <c r="O48" i="1"/>
  <c r="U48" i="1"/>
  <c r="K48" i="1"/>
  <c r="N48" i="1"/>
  <c r="J47" i="1"/>
  <c r="O47" i="1"/>
  <c r="U47" i="1"/>
  <c r="N47" i="1"/>
  <c r="J46" i="1"/>
  <c r="N46" i="1"/>
  <c r="N45" i="1"/>
  <c r="Q45" i="1"/>
  <c r="R45" i="1"/>
  <c r="J45" i="1"/>
  <c r="O45" i="1"/>
  <c r="N44" i="1"/>
  <c r="T44" i="1"/>
  <c r="J44" i="1"/>
  <c r="O44" i="1"/>
  <c r="N43" i="1"/>
  <c r="T43" i="1"/>
  <c r="J43" i="1"/>
  <c r="K43" i="1"/>
  <c r="O43" i="1"/>
  <c r="N42" i="1"/>
  <c r="J42" i="1"/>
  <c r="J41" i="1"/>
  <c r="O41" i="1"/>
  <c r="K41" i="1"/>
  <c r="N41" i="1"/>
  <c r="J40" i="1"/>
  <c r="O40" i="1"/>
  <c r="N40" i="1"/>
  <c r="J39" i="1"/>
  <c r="K39" i="1"/>
  <c r="N39" i="1"/>
  <c r="J38" i="1"/>
  <c r="K38" i="1"/>
  <c r="O38" i="1"/>
  <c r="U38" i="1"/>
  <c r="N38" i="1"/>
  <c r="N37" i="1"/>
  <c r="Q37" i="1"/>
  <c r="R37" i="1"/>
  <c r="T37" i="1"/>
  <c r="J37" i="1"/>
  <c r="O37" i="1"/>
  <c r="K37" i="1"/>
  <c r="N36" i="1"/>
  <c r="T36" i="1"/>
  <c r="J36" i="1"/>
  <c r="K36" i="1"/>
  <c r="O36" i="1"/>
  <c r="N35" i="1"/>
  <c r="J35" i="1"/>
  <c r="N34" i="1"/>
  <c r="T34" i="1"/>
  <c r="J34" i="1"/>
  <c r="O34" i="1"/>
  <c r="J33" i="1"/>
  <c r="N33" i="1"/>
  <c r="J32" i="1"/>
  <c r="O32" i="1"/>
  <c r="U32" i="1"/>
  <c r="N32" i="1"/>
  <c r="J31" i="1"/>
  <c r="O31" i="1"/>
  <c r="N31" i="1"/>
  <c r="K31" i="1"/>
  <c r="J30" i="1"/>
  <c r="O30" i="1"/>
  <c r="N30" i="1"/>
  <c r="K30" i="1"/>
  <c r="N29" i="1"/>
  <c r="Q29" i="1"/>
  <c r="R29" i="1"/>
  <c r="J29" i="1"/>
  <c r="K29" i="1"/>
  <c r="N28" i="1"/>
  <c r="T28" i="1"/>
  <c r="J28" i="1"/>
  <c r="O28" i="1"/>
  <c r="N27" i="1"/>
  <c r="Q27" i="1"/>
  <c r="R27" i="1"/>
  <c r="T27" i="1"/>
  <c r="J27" i="1"/>
  <c r="O27" i="1"/>
  <c r="J23" i="1"/>
  <c r="K23" i="1"/>
  <c r="O23" i="1"/>
  <c r="U23" i="1"/>
  <c r="N26" i="1"/>
  <c r="Q26" i="1"/>
  <c r="R26" i="1"/>
  <c r="J26" i="1"/>
  <c r="K26" i="1"/>
  <c r="J25" i="1"/>
  <c r="O25" i="1"/>
  <c r="U25" i="1"/>
  <c r="K25" i="1"/>
  <c r="N25" i="1"/>
  <c r="J24" i="1"/>
  <c r="K24" i="1"/>
  <c r="N24" i="1"/>
  <c r="N23" i="1"/>
  <c r="J22" i="1"/>
  <c r="O22" i="1"/>
  <c r="N22" i="1"/>
  <c r="N21" i="1"/>
  <c r="Q21" i="1"/>
  <c r="R21" i="1"/>
  <c r="J21" i="1"/>
  <c r="K21" i="1"/>
  <c r="N20" i="1"/>
  <c r="T20" i="1"/>
  <c r="J20" i="1"/>
  <c r="K20" i="1"/>
  <c r="N19" i="1"/>
  <c r="T19" i="1"/>
  <c r="J19" i="1"/>
  <c r="O19" i="1"/>
  <c r="J17" i="1"/>
  <c r="O17" i="1"/>
  <c r="U17" i="1"/>
  <c r="N17" i="1"/>
  <c r="J16" i="1"/>
  <c r="O16" i="1"/>
  <c r="U16" i="1"/>
  <c r="N16" i="1"/>
  <c r="J15" i="1"/>
  <c r="K15" i="1"/>
  <c r="N15" i="1"/>
  <c r="J14" i="1"/>
  <c r="K14" i="1"/>
  <c r="O14" i="1"/>
  <c r="U14" i="1"/>
  <c r="N14" i="1"/>
  <c r="N13" i="1"/>
  <c r="T13" i="1"/>
  <c r="J13" i="1"/>
  <c r="O13" i="1"/>
  <c r="N12" i="1"/>
  <c r="T12" i="1"/>
  <c r="Q12" i="1"/>
  <c r="R12" i="1"/>
  <c r="J12" i="1"/>
  <c r="K12" i="1"/>
  <c r="N11" i="1"/>
  <c r="T11" i="1"/>
  <c r="J11" i="1"/>
  <c r="O11" i="1"/>
  <c r="N10" i="1"/>
  <c r="Q10" i="1"/>
  <c r="R10" i="1"/>
  <c r="J10" i="1"/>
  <c r="K10" i="1"/>
  <c r="O10" i="1"/>
  <c r="J9" i="1"/>
  <c r="O9" i="1"/>
  <c r="U9" i="1"/>
  <c r="N9" i="1"/>
  <c r="Q9" i="1"/>
  <c r="J8" i="1"/>
  <c r="O8" i="1"/>
  <c r="K8" i="1"/>
  <c r="N8" i="1"/>
  <c r="Q8" i="1"/>
  <c r="J7" i="1"/>
  <c r="O7" i="1"/>
  <c r="N7" i="1"/>
  <c r="J6" i="1"/>
  <c r="O6" i="1"/>
  <c r="N6" i="1"/>
  <c r="Q6" i="1"/>
  <c r="K6" i="1"/>
  <c r="N5" i="1"/>
  <c r="Q5" i="1"/>
  <c r="R5" i="1"/>
  <c r="T5" i="1"/>
  <c r="J5" i="1"/>
  <c r="K5" i="1"/>
  <c r="O5" i="1"/>
  <c r="N4" i="1"/>
  <c r="Q4" i="1"/>
  <c r="R4" i="1"/>
  <c r="J4" i="1"/>
  <c r="K4" i="1"/>
  <c r="N3" i="1"/>
  <c r="Q3" i="1"/>
  <c r="R3" i="1"/>
  <c r="T3" i="1"/>
  <c r="J3" i="1"/>
  <c r="O3" i="1"/>
  <c r="N2" i="1"/>
  <c r="T2" i="1"/>
  <c r="Q2" i="1"/>
  <c r="R2" i="1"/>
  <c r="J2" i="1"/>
  <c r="O2" i="1"/>
  <c r="K2" i="1"/>
  <c r="T6" i="1"/>
  <c r="O12" i="1"/>
  <c r="Q20" i="1"/>
  <c r="R20" i="1"/>
  <c r="O24" i="1"/>
  <c r="U24" i="1"/>
  <c r="K27" i="1"/>
  <c r="Q28" i="1"/>
  <c r="R28" i="1"/>
  <c r="Q44" i="1"/>
  <c r="R44" i="1"/>
  <c r="K47" i="1"/>
  <c r="K55" i="1"/>
  <c r="K66" i="1"/>
  <c r="K90" i="1"/>
  <c r="K91" i="1"/>
  <c r="N138" i="1"/>
  <c r="Q138" i="1"/>
  <c r="R138" i="1"/>
  <c r="N142" i="1"/>
  <c r="O146" i="1"/>
  <c r="O148" i="1"/>
  <c r="K151" i="1"/>
  <c r="N153" i="1"/>
  <c r="O155" i="1"/>
  <c r="O159" i="1"/>
  <c r="U159" i="1"/>
  <c r="K163" i="1"/>
  <c r="O164" i="1"/>
  <c r="K168" i="1"/>
  <c r="K184" i="1"/>
  <c r="K190" i="1"/>
  <c r="K192" i="1"/>
  <c r="K194" i="1"/>
  <c r="O15" i="1"/>
  <c r="U15" i="1"/>
  <c r="T26" i="1"/>
  <c r="Q36" i="1"/>
  <c r="R36" i="1"/>
  <c r="O52" i="1"/>
  <c r="K58" i="1"/>
  <c r="K76" i="1"/>
  <c r="K97" i="1"/>
  <c r="K105" i="1"/>
  <c r="O111" i="1"/>
  <c r="O172" i="1"/>
  <c r="O174" i="1"/>
  <c r="U174" i="1"/>
  <c r="O188" i="1"/>
  <c r="K98" i="1"/>
  <c r="K99" i="1"/>
  <c r="K100" i="1"/>
  <c r="K138" i="1"/>
  <c r="O168" i="1"/>
  <c r="U168" i="1"/>
  <c r="O190" i="1"/>
  <c r="U190" i="1"/>
  <c r="K16" i="1"/>
  <c r="Q19" i="1"/>
  <c r="R19" i="1"/>
  <c r="O26" i="1"/>
  <c r="Q34" i="1"/>
  <c r="R34" i="1"/>
  <c r="O73" i="1"/>
  <c r="K81" i="1"/>
  <c r="K142" i="1"/>
  <c r="K143" i="1"/>
  <c r="N144" i="1"/>
  <c r="T103" i="5"/>
  <c r="T102" i="5"/>
  <c r="O35" i="1"/>
  <c r="K35" i="1"/>
  <c r="Q42" i="1"/>
  <c r="R42" i="1"/>
  <c r="T42" i="1"/>
  <c r="Q13" i="1"/>
  <c r="R13" i="1"/>
  <c r="T29" i="1"/>
  <c r="K34" i="1"/>
  <c r="T35" i="1"/>
  <c r="Q35" i="1"/>
  <c r="R35" i="1"/>
  <c r="Q38" i="1"/>
  <c r="K49" i="1"/>
  <c r="K7" i="1"/>
  <c r="K17" i="1"/>
  <c r="K32" i="1"/>
  <c r="K9" i="1"/>
  <c r="K42" i="1"/>
  <c r="O42" i="1"/>
  <c r="O61" i="1"/>
  <c r="K69" i="1"/>
  <c r="O78" i="1"/>
  <c r="O94" i="1"/>
  <c r="O102" i="1"/>
  <c r="O143" i="1"/>
  <c r="U143" i="1"/>
  <c r="O145" i="1"/>
  <c r="U145" i="1"/>
  <c r="K148" i="1"/>
  <c r="O150" i="1"/>
  <c r="U150" i="1"/>
  <c r="O154" i="1"/>
  <c r="N156" i="1"/>
  <c r="Q156" i="1"/>
  <c r="R156" i="1"/>
  <c r="N173" i="1"/>
  <c r="Q173" i="1"/>
  <c r="R173" i="1"/>
  <c r="K173" i="1"/>
  <c r="O175" i="1"/>
  <c r="U175" i="1"/>
  <c r="O177" i="1"/>
  <c r="U177" i="1"/>
  <c r="N177" i="1"/>
  <c r="N201" i="1"/>
  <c r="K181" i="1"/>
  <c r="O183" i="1"/>
  <c r="U183" i="1"/>
  <c r="N183" i="1"/>
  <c r="O185" i="1"/>
  <c r="U185" i="1"/>
  <c r="K3" i="2"/>
  <c r="J3" i="2"/>
  <c r="K31" i="2"/>
  <c r="J31" i="2"/>
  <c r="K42" i="2"/>
  <c r="K53" i="2"/>
  <c r="J53" i="2"/>
  <c r="K61" i="2"/>
  <c r="J61" i="2"/>
  <c r="K71" i="2"/>
  <c r="J71" i="2"/>
  <c r="Q43" i="1"/>
  <c r="R43" i="1"/>
  <c r="K103" i="1"/>
  <c r="K146" i="1"/>
  <c r="K156" i="1"/>
  <c r="K162" i="1"/>
  <c r="K189" i="1"/>
  <c r="O191" i="1"/>
  <c r="U191" i="1"/>
  <c r="N191" i="1"/>
  <c r="O193" i="1"/>
  <c r="U193" i="1"/>
  <c r="K28" i="2"/>
  <c r="J28" i="2"/>
  <c r="K140" i="1"/>
  <c r="K149" i="1"/>
  <c r="O167" i="1"/>
  <c r="U167" i="1"/>
  <c r="N167" i="1"/>
  <c r="N169" i="1"/>
  <c r="O173" i="1"/>
  <c r="K177" i="1"/>
  <c r="N197" i="1"/>
  <c r="Q197" i="1"/>
  <c r="R197" i="1"/>
  <c r="K197" i="1"/>
  <c r="O199" i="1"/>
  <c r="U199" i="1"/>
  <c r="N199" i="1"/>
  <c r="K15" i="2"/>
  <c r="K19" i="2"/>
  <c r="T104" i="5"/>
  <c r="T100" i="5"/>
  <c r="T97" i="5"/>
  <c r="M302" i="2"/>
  <c r="M154" i="2"/>
  <c r="M239" i="2"/>
  <c r="J65" i="2"/>
  <c r="J29" i="2"/>
  <c r="J63" i="2"/>
  <c r="M290" i="2"/>
  <c r="J72" i="2"/>
  <c r="M77" i="2"/>
  <c r="M306" i="2"/>
  <c r="J49" i="2"/>
  <c r="K4" i="2"/>
  <c r="K34" i="2"/>
  <c r="J50" i="2"/>
  <c r="K69" i="2"/>
  <c r="M242" i="2"/>
  <c r="M300" i="2"/>
  <c r="K6" i="2"/>
  <c r="J20" i="2"/>
  <c r="J59" i="2"/>
  <c r="M169" i="2"/>
  <c r="M230" i="2"/>
  <c r="K51" i="2"/>
  <c r="M113" i="2"/>
  <c r="J35" i="2"/>
  <c r="M310" i="2"/>
  <c r="J73" i="2"/>
  <c r="J7" i="2"/>
  <c r="J21" i="2"/>
  <c r="J55" i="2"/>
  <c r="K18" i="2"/>
  <c r="J32" i="2"/>
  <c r="M127" i="2"/>
  <c r="J10" i="2"/>
  <c r="M246" i="2"/>
  <c r="M129" i="2"/>
  <c r="M235" i="2"/>
  <c r="K66" i="2"/>
  <c r="M95" i="2"/>
  <c r="J40" i="2"/>
  <c r="M180" i="2"/>
  <c r="J5" i="2"/>
  <c r="K12" i="2"/>
  <c r="J47" i="2"/>
  <c r="J56" i="2"/>
  <c r="K64" i="2"/>
  <c r="M39" i="2"/>
  <c r="M105" i="2"/>
  <c r="M97" i="2"/>
  <c r="J48" i="2"/>
  <c r="K45" i="2"/>
  <c r="K38" i="2"/>
  <c r="J68" i="2"/>
  <c r="K46" i="1"/>
  <c r="O46" i="1"/>
  <c r="M79" i="2"/>
  <c r="O4" i="1"/>
  <c r="K77" i="1"/>
  <c r="K22" i="1"/>
  <c r="K45" i="1"/>
  <c r="O54" i="1"/>
  <c r="U54" i="1"/>
  <c r="K33" i="1"/>
  <c r="O33" i="1"/>
  <c r="U33" i="1"/>
  <c r="M171" i="2"/>
  <c r="K3" i="1"/>
  <c r="K11" i="1"/>
  <c r="K153" i="1"/>
  <c r="O153" i="1"/>
  <c r="T21" i="1"/>
  <c r="K44" i="1"/>
  <c r="K72" i="1"/>
  <c r="O72" i="1"/>
  <c r="O85" i="1"/>
  <c r="U85" i="1"/>
  <c r="K85" i="1"/>
  <c r="K107" i="1"/>
  <c r="O101" i="1"/>
  <c r="U101" i="1"/>
  <c r="N160" i="1"/>
  <c r="K14" i="2"/>
  <c r="K52" i="2"/>
  <c r="K171" i="1"/>
  <c r="K179" i="1"/>
  <c r="K170" i="1"/>
  <c r="O171" i="1"/>
  <c r="O179" i="1"/>
  <c r="K182" i="1"/>
  <c r="O186" i="1"/>
  <c r="K200" i="1"/>
  <c r="N200" i="1"/>
  <c r="K23" i="2"/>
  <c r="O182" i="1"/>
  <c r="U182" i="1"/>
  <c r="J16" i="2"/>
  <c r="K22" i="2"/>
  <c r="J33" i="2"/>
  <c r="J67" i="2"/>
  <c r="L27" i="2"/>
  <c r="K41" i="2"/>
  <c r="J54" i="2"/>
  <c r="K57" i="2"/>
  <c r="M176" i="2"/>
  <c r="N240" i="1"/>
  <c r="N232" i="1"/>
  <c r="Q232" i="1"/>
  <c r="K240" i="1"/>
  <c r="K232" i="1"/>
  <c r="N248" i="1"/>
  <c r="K256" i="1"/>
  <c r="O204" i="1"/>
  <c r="O212" i="1"/>
  <c r="O220" i="1"/>
  <c r="O228" i="1"/>
  <c r="O236" i="1"/>
  <c r="O244" i="1"/>
  <c r="O260" i="1"/>
  <c r="K39" i="2"/>
  <c r="O18" i="1"/>
  <c r="K18" i="1"/>
  <c r="N236" i="1"/>
  <c r="N228" i="1"/>
  <c r="Q228" i="1"/>
  <c r="N212" i="1"/>
  <c r="Q212" i="1"/>
  <c r="N204" i="1"/>
  <c r="N220" i="1"/>
  <c r="Q220" i="1"/>
  <c r="N260" i="1"/>
  <c r="Q41" i="1"/>
  <c r="U41" i="1"/>
  <c r="M4" i="2"/>
  <c r="U40" i="1"/>
  <c r="Q40" i="1"/>
  <c r="M94" i="2"/>
  <c r="M194" i="2"/>
  <c r="J30" i="2"/>
  <c r="L30" i="2"/>
  <c r="K70" i="2"/>
  <c r="N165" i="1"/>
  <c r="Q165" i="1"/>
  <c r="R165" i="1"/>
  <c r="O50" i="1"/>
  <c r="J11" i="2"/>
  <c r="K201" i="1"/>
  <c r="K40" i="1"/>
  <c r="N193" i="1"/>
  <c r="K141" i="1"/>
  <c r="J27" i="2"/>
  <c r="N185" i="1"/>
  <c r="N175" i="1"/>
  <c r="O152" i="1"/>
  <c r="U152" i="1"/>
  <c r="K139" i="1"/>
  <c r="O59" i="1"/>
  <c r="O29" i="1"/>
  <c r="O139" i="1"/>
  <c r="K178" i="1"/>
  <c r="O86" i="1"/>
  <c r="O67" i="1"/>
  <c r="U67" i="1"/>
  <c r="O39" i="1"/>
  <c r="T4" i="1"/>
  <c r="O176" i="1"/>
  <c r="U176" i="1"/>
  <c r="O147" i="1"/>
  <c r="K53" i="1"/>
  <c r="K28" i="1"/>
  <c r="O79" i="1"/>
  <c r="O92" i="1"/>
  <c r="U92" i="1"/>
  <c r="O95" i="1"/>
  <c r="N147" i="1"/>
  <c r="Q147" i="1"/>
  <c r="R147" i="1"/>
  <c r="N158" i="1"/>
  <c r="K196" i="1"/>
  <c r="O198" i="1"/>
  <c r="U198" i="1"/>
  <c r="M138" i="2"/>
  <c r="O205" i="1"/>
  <c r="K205" i="1"/>
  <c r="N205" i="1"/>
  <c r="O211" i="1"/>
  <c r="N211" i="1"/>
  <c r="Q211" i="1"/>
  <c r="O258" i="1"/>
  <c r="N258" i="1"/>
  <c r="K258" i="1"/>
  <c r="N216" i="1"/>
  <c r="Q216" i="1"/>
  <c r="O216" i="1"/>
  <c r="O226" i="1"/>
  <c r="K226" i="1"/>
  <c r="N226" i="1"/>
  <c r="Q226" i="1"/>
  <c r="O237" i="1"/>
  <c r="K237" i="1"/>
  <c r="N237" i="1"/>
  <c r="O243" i="1"/>
  <c r="N243" i="1"/>
  <c r="K243" i="1"/>
  <c r="J9" i="2"/>
  <c r="O165" i="1"/>
  <c r="O158" i="1"/>
  <c r="U158" i="1"/>
  <c r="O84" i="1"/>
  <c r="U84" i="1"/>
  <c r="K13" i="1"/>
  <c r="K68" i="1"/>
  <c r="O21" i="1"/>
  <c r="T10" i="1"/>
  <c r="T45" i="1"/>
  <c r="N166" i="1"/>
  <c r="O210" i="1"/>
  <c r="K210" i="1"/>
  <c r="N210" i="1"/>
  <c r="O221" i="1"/>
  <c r="N221" i="1"/>
  <c r="Q221" i="1"/>
  <c r="K221" i="1"/>
  <c r="O227" i="1"/>
  <c r="N227" i="1"/>
  <c r="Q227" i="1"/>
  <c r="N264" i="1"/>
  <c r="O264" i="1"/>
  <c r="K166" i="1"/>
  <c r="J62" i="2"/>
  <c r="O20" i="1"/>
  <c r="Q11" i="1"/>
  <c r="R11" i="1"/>
  <c r="J26" i="2"/>
  <c r="L26" i="2"/>
  <c r="J60" i="2"/>
  <c r="J58" i="2"/>
  <c r="K74" i="2"/>
  <c r="N189" i="1"/>
  <c r="Q189" i="1"/>
  <c r="R189" i="1"/>
  <c r="N181" i="1"/>
  <c r="Q181" i="1"/>
  <c r="R181" i="1"/>
  <c r="O110" i="1"/>
  <c r="K56" i="1"/>
  <c r="O82" i="1"/>
  <c r="O195" i="1"/>
  <c r="K19" i="1"/>
  <c r="K187" i="1"/>
  <c r="K216" i="1"/>
  <c r="O242" i="1"/>
  <c r="N242" i="1"/>
  <c r="O253" i="1"/>
  <c r="K253" i="1"/>
  <c r="N253" i="1"/>
  <c r="O259" i="1"/>
  <c r="N259" i="1"/>
  <c r="O202" i="1"/>
  <c r="N202" i="1"/>
  <c r="O218" i="1"/>
  <c r="K218" i="1"/>
  <c r="N224" i="1"/>
  <c r="Q224" i="1"/>
  <c r="K224" i="1"/>
  <c r="O250" i="1"/>
  <c r="N250" i="1"/>
  <c r="K250" i="1"/>
  <c r="O203" i="1"/>
  <c r="N203" i="1"/>
  <c r="O219" i="1"/>
  <c r="N219" i="1"/>
  <c r="Q219" i="1"/>
  <c r="K219" i="1"/>
  <c r="O235" i="1"/>
  <c r="K235" i="1"/>
  <c r="N235" i="1"/>
  <c r="Q235" i="1"/>
  <c r="O245" i="1"/>
  <c r="K245" i="1"/>
  <c r="N245" i="1"/>
  <c r="O251" i="1"/>
  <c r="N251" i="1"/>
  <c r="M304" i="2"/>
  <c r="Q39" i="1"/>
  <c r="U39" i="1"/>
</calcChain>
</file>

<file path=xl/sharedStrings.xml><?xml version="1.0" encoding="utf-8"?>
<sst xmlns="http://schemas.openxmlformats.org/spreadsheetml/2006/main" count="31852" uniqueCount="714">
  <si>
    <t>Sample Date</t>
  </si>
  <si>
    <t>Water discharge week (cfs)</t>
  </si>
  <si>
    <t>Water 2 days before (cfs)</t>
  </si>
  <si>
    <t>Time of low tide</t>
  </si>
  <si>
    <t>Station</t>
  </si>
  <si>
    <t>Station description</t>
  </si>
  <si>
    <t>Time Begin</t>
  </si>
  <si>
    <t>Water Depth (ft)</t>
  </si>
  <si>
    <t>Water Depth (m)</t>
  </si>
  <si>
    <t>Sonde Depth (m)</t>
  </si>
  <si>
    <t>Dissolved Oxygen (mg/L)</t>
  </si>
  <si>
    <t>Turbidity  (NTU)</t>
  </si>
  <si>
    <t>Chla (ug/L) Sonde</t>
  </si>
  <si>
    <t>Temp C</t>
  </si>
  <si>
    <t>Salinity (PSU)</t>
  </si>
  <si>
    <t>Secchi Depth (ft)</t>
  </si>
  <si>
    <t>Secchi Depth (m) (NEED CHECKING)</t>
  </si>
  <si>
    <t>Chla (ug/L) Extract</t>
  </si>
  <si>
    <t>Phaeo (ug/L) Extract</t>
  </si>
  <si>
    <t>Total Cha Extract (ug/L)</t>
  </si>
  <si>
    <t>Fa: Fo</t>
  </si>
  <si>
    <t>SPM</t>
  </si>
  <si>
    <t>Sonde Extract Diff</t>
  </si>
  <si>
    <t>Zooplankton Density</t>
  </si>
  <si>
    <t xml:space="preserve">Mysid </t>
  </si>
  <si>
    <t>Notes</t>
  </si>
  <si>
    <t>Latitude</t>
  </si>
  <si>
    <t>Longitude</t>
  </si>
  <si>
    <t>5.28.13</t>
  </si>
  <si>
    <t>Should double check that spot checks w/ YSI match the data from vertical profile</t>
  </si>
  <si>
    <t>hit bottom made very turbid fluctuated between 400 1038</t>
  </si>
  <si>
    <t>6.25.13</t>
  </si>
  <si>
    <t>very few animals</t>
  </si>
  <si>
    <t>7.25.13</t>
  </si>
  <si>
    <t>8.28.13</t>
  </si>
  <si>
    <t>9.25.13</t>
  </si>
  <si>
    <t>Station 2 and 4 had most mysids</t>
  </si>
  <si>
    <t>10.23.13</t>
  </si>
  <si>
    <t>11.08.13</t>
  </si>
  <si>
    <t>75% Cloud cover</t>
  </si>
  <si>
    <t>5.02.14</t>
  </si>
  <si>
    <t>5.30.14</t>
  </si>
  <si>
    <t>6.27.14</t>
  </si>
  <si>
    <t>2 beginning</t>
  </si>
  <si>
    <t>parker point</t>
  </si>
  <si>
    <t>7.31.14</t>
  </si>
  <si>
    <t xml:space="preserve">From station 5 on I entered data from the datasheets on the boat. </t>
  </si>
  <si>
    <t>Note: I changed the time of the handheld/sonde while on the boat so the time given is not necessarily chronological. Use actual data values to match files to station.</t>
  </si>
  <si>
    <t>6.22.16</t>
  </si>
  <si>
    <t>44° 38.21 N</t>
  </si>
  <si>
    <t>68° 59W</t>
  </si>
  <si>
    <t>4435.0359N</t>
  </si>
  <si>
    <t>6848.7120W</t>
  </si>
  <si>
    <t>4431.3N</t>
  </si>
  <si>
    <t>6847.47W</t>
  </si>
  <si>
    <t>4429.8475N</t>
  </si>
  <si>
    <t>6846.8350W</t>
  </si>
  <si>
    <t>7.20.16</t>
  </si>
  <si>
    <t>Fish Larva caught in tow net, likely to have gone through a school, an additional sample of fish larva taken off trawl net.</t>
  </si>
  <si>
    <t>4438.2038N</t>
  </si>
  <si>
    <t>15% cloud cover, water relatively calm at about 5-10 mph</t>
  </si>
  <si>
    <t>about 5%cloud cover, NW winds, winds picked up to about 9mph, midtide coming in, white caps visible.</t>
  </si>
  <si>
    <t>4435.0337N</t>
  </si>
  <si>
    <t>06848.694W</t>
  </si>
  <si>
    <t xml:space="preserve">Thunderstorms the previous day, 99%clear skies, low tide, &lt;5mph winds, calm waters. </t>
  </si>
  <si>
    <t>4429.28N</t>
  </si>
  <si>
    <t>06846.57W</t>
  </si>
  <si>
    <t>5.25.16</t>
  </si>
  <si>
    <t>NA</t>
  </si>
  <si>
    <t>Vertical Profile Only</t>
  </si>
  <si>
    <r>
      <t xml:space="preserve">100% Cloud cover, very low visibility, very foggy, cool probably around 50 </t>
    </r>
    <r>
      <rPr>
        <sz val="11"/>
        <color rgb="FF000000"/>
        <rFont val="Calibri"/>
      </rPr>
      <t>°F, 226 Fish caught All At. Herring, 1 Blueback, 1 Alewife</t>
    </r>
  </si>
  <si>
    <t>44.29'31</t>
  </si>
  <si>
    <t>66.46'53</t>
  </si>
  <si>
    <t>5.11.16</t>
  </si>
  <si>
    <t>44.39'019</t>
  </si>
  <si>
    <t>68.49'933</t>
  </si>
  <si>
    <t>Vertical Profile Only. Issues with fish net, current pushing starboard line on door down.</t>
  </si>
  <si>
    <t>44.36'39</t>
  </si>
  <si>
    <t>68.50'89</t>
  </si>
  <si>
    <t>Lots of Mysids</t>
  </si>
  <si>
    <t>44.35'058</t>
  </si>
  <si>
    <t>68.48'685</t>
  </si>
  <si>
    <t>small ctenophores</t>
  </si>
  <si>
    <t>44.32'17</t>
  </si>
  <si>
    <t>68.48'32</t>
  </si>
  <si>
    <t>Flowrate 11,900 cfs, 0% cloud cover, windy about 15 knots.</t>
  </si>
  <si>
    <t>44.29'785</t>
  </si>
  <si>
    <t>68.46'86</t>
  </si>
  <si>
    <t>4.27.16</t>
  </si>
  <si>
    <t>Vertical Profile</t>
  </si>
  <si>
    <t>44.39'2</t>
  </si>
  <si>
    <t>68.49'54</t>
  </si>
  <si>
    <t>44.37'54</t>
  </si>
  <si>
    <t>68.50'15</t>
  </si>
  <si>
    <t>44.36'61</t>
  </si>
  <si>
    <t>68.51'04</t>
  </si>
  <si>
    <t>Bottle #4 Chl and DNA sample</t>
  </si>
  <si>
    <t>44.35'0767</t>
  </si>
  <si>
    <t>68.48'723</t>
  </si>
  <si>
    <t xml:space="preserve">Bottle not working. Filled steicle sample bottle and poured into second steicle bottle with mesh on rim of bottle. Mesh got contaminated so we used a second mesh piece. Then I cleaned the mesh by pouring 5% bleach into ziploc 3x then pouring milliQ water into ziploc 3X. </t>
  </si>
  <si>
    <t>44.32'78</t>
  </si>
  <si>
    <t>68.48'3214</t>
  </si>
  <si>
    <t>BEG</t>
  </si>
  <si>
    <t xml:space="preserve">Vertical Profile. Lowtide 9am, 0% cloud cover, water looks fairly clear, a bit snow yesterday. Nice weather day before and nice weather today. River discharge about 18K CFS, about half the mean discharge for this time of year. </t>
  </si>
  <si>
    <t>44.28'69</t>
  </si>
  <si>
    <t>68.47'26</t>
  </si>
  <si>
    <t>END</t>
  </si>
  <si>
    <t>44.29'8</t>
  </si>
  <si>
    <t>68.46'82</t>
  </si>
  <si>
    <t>8.24.16</t>
  </si>
  <si>
    <t>Lots of flying ants in sample and pipefish</t>
  </si>
  <si>
    <t>Vertical Profile. Clear Skies, River discharge 6,800, water calm</t>
  </si>
  <si>
    <t>44.28'38</t>
  </si>
  <si>
    <t>9.21.16</t>
  </si>
  <si>
    <t>44.39'1</t>
  </si>
  <si>
    <t>68.48'57</t>
  </si>
  <si>
    <t>44.35'4</t>
  </si>
  <si>
    <t>68.48'42</t>
  </si>
  <si>
    <t>44.32'2</t>
  </si>
  <si>
    <t>68.48'19</t>
  </si>
  <si>
    <t xml:space="preserve">Rope broke on trawl net. Took mysids (~100) from the catch for Gesche preserved in 90% EtOH. Sunny, very foggy earlier. Cleared just before sampling. Lots of mysids. </t>
  </si>
  <si>
    <t>44.29'41</t>
  </si>
  <si>
    <t>68.46'54</t>
  </si>
  <si>
    <t>10.19.16</t>
  </si>
  <si>
    <t>44.34'56</t>
  </si>
  <si>
    <t>68.48'43</t>
  </si>
  <si>
    <t>44.32'5</t>
  </si>
  <si>
    <t>68.48'20</t>
  </si>
  <si>
    <t>Reflection on 2016: Such a dry year, July temp…2013-68°; 2014- 59°; 2015- 58°; 2016-71°</t>
  </si>
  <si>
    <t>Date</t>
  </si>
  <si>
    <t>Year</t>
  </si>
  <si>
    <t>Month</t>
  </si>
  <si>
    <t>Mesh Size</t>
  </si>
  <si>
    <t>Tow Type</t>
  </si>
  <si>
    <t>ApproximateTow Depth (m)</t>
  </si>
  <si>
    <t>Flowmeter Start</t>
  </si>
  <si>
    <t>Flowmeter End</t>
  </si>
  <si>
    <t>Flowmeter Diff</t>
  </si>
  <si>
    <t>Est. Tow Distance (m)</t>
  </si>
  <si>
    <t>Jar</t>
  </si>
  <si>
    <t>Cruise</t>
  </si>
  <si>
    <t>Eggs in Sample</t>
  </si>
  <si>
    <t>Egg Density</t>
  </si>
  <si>
    <t>Taxa non-mysid</t>
  </si>
  <si>
    <t>May</t>
  </si>
  <si>
    <t>vertical</t>
  </si>
  <si>
    <t>Nan</t>
  </si>
  <si>
    <t>Penobscot</t>
  </si>
  <si>
    <t>44, 46</t>
  </si>
  <si>
    <t>43, 50</t>
  </si>
  <si>
    <t>52, mud in zip</t>
  </si>
  <si>
    <t>June</t>
  </si>
  <si>
    <t>82, 84</t>
  </si>
  <si>
    <t>82, 90</t>
  </si>
  <si>
    <t>July</t>
  </si>
  <si>
    <t>113, 179</t>
  </si>
  <si>
    <t>August</t>
  </si>
  <si>
    <t>September</t>
  </si>
  <si>
    <t>135,91</t>
  </si>
  <si>
    <t>October</t>
  </si>
  <si>
    <t xml:space="preserve"> </t>
  </si>
  <si>
    <t>November</t>
  </si>
  <si>
    <t>136, 147</t>
  </si>
  <si>
    <t>Check this reference, this one was also anlayzed by FV</t>
  </si>
  <si>
    <t>201, 204</t>
  </si>
  <si>
    <t>213, 106</t>
  </si>
  <si>
    <t xml:space="preserve">Check this reference collection, are there more than 21? This was analyzed by FV and we made a note that there were only 21. </t>
  </si>
  <si>
    <t>8.29.14</t>
  </si>
  <si>
    <t>9.30.14</t>
  </si>
  <si>
    <t>10.29.14</t>
  </si>
  <si>
    <t>N/A</t>
  </si>
  <si>
    <t>5.6.15</t>
  </si>
  <si>
    <t>5.20.15</t>
  </si>
  <si>
    <t>6.18.15</t>
  </si>
  <si>
    <t>7.21.15</t>
  </si>
  <si>
    <t>9.16.15</t>
  </si>
  <si>
    <t>?</t>
  </si>
  <si>
    <t>10.21.15</t>
  </si>
  <si>
    <r>
      <t xml:space="preserve">Wasn't aware this sample was split. Saved entire second sample for identification purposes. Reference jar </t>
    </r>
    <r>
      <rPr>
        <i/>
        <sz val="11"/>
        <color rgb="FF000000"/>
        <rFont val="Calibri"/>
        <family val="2"/>
      </rPr>
      <t>#109</t>
    </r>
  </si>
  <si>
    <t>April</t>
  </si>
  <si>
    <t>august</t>
  </si>
  <si>
    <t>october</t>
  </si>
  <si>
    <t>5.12.17</t>
  </si>
  <si>
    <t>may</t>
  </si>
  <si>
    <t>6.14.17</t>
  </si>
  <si>
    <t>june</t>
  </si>
  <si>
    <t>7.12.17</t>
  </si>
  <si>
    <t>july</t>
  </si>
  <si>
    <t>8.9.17</t>
  </si>
  <si>
    <t>10.11.17</t>
  </si>
  <si>
    <t>DATE</t>
  </si>
  <si>
    <t>STATION</t>
  </si>
  <si>
    <t>PHYLUM</t>
  </si>
  <si>
    <t>CLASS</t>
  </si>
  <si>
    <t>SUB-CLASS</t>
  </si>
  <si>
    <t>ORDER</t>
  </si>
  <si>
    <t>FAMILY</t>
  </si>
  <si>
    <t>GENUS</t>
  </si>
  <si>
    <t>SPECIES</t>
  </si>
  <si>
    <t>QUANTITY</t>
  </si>
  <si>
    <t>LOWEST TAXA</t>
  </si>
  <si>
    <t>NAME</t>
  </si>
  <si>
    <t>TOTAL # ORGANISMS</t>
  </si>
  <si>
    <t>% ABUNDANCE</t>
  </si>
  <si>
    <t># ORGANISMS/M^3</t>
  </si>
  <si>
    <t>CORRECTED % ABUNDANCE</t>
  </si>
  <si>
    <t>NET MESH SIZE (MICRONS)</t>
  </si>
  <si>
    <t>NOTES</t>
  </si>
  <si>
    <t>Picture number</t>
  </si>
  <si>
    <t>Chaetognatha</t>
  </si>
  <si>
    <t>Sagittoidea</t>
  </si>
  <si>
    <t>Aphragmophora</t>
  </si>
  <si>
    <t>Sagittidae</t>
  </si>
  <si>
    <t>Sagitta</t>
  </si>
  <si>
    <t>elegans</t>
  </si>
  <si>
    <t>Arrow worm</t>
  </si>
  <si>
    <t>Annelida</t>
  </si>
  <si>
    <t>Polychaeta</t>
  </si>
  <si>
    <t xml:space="preserve">Polychaete </t>
  </si>
  <si>
    <t>Polychaete</t>
  </si>
  <si>
    <t>Polychaete larvae</t>
  </si>
  <si>
    <t>Class</t>
  </si>
  <si>
    <t>Larvae</t>
  </si>
  <si>
    <t>Arthropoda</t>
  </si>
  <si>
    <t>Maxillopoda</t>
  </si>
  <si>
    <t>Copepoda</t>
  </si>
  <si>
    <t>Calanoida</t>
  </si>
  <si>
    <t>Acartiidae</t>
  </si>
  <si>
    <t>Acartia</t>
  </si>
  <si>
    <t>Genus</t>
  </si>
  <si>
    <t>Either hudsonica, longerememis or tonsa</t>
  </si>
  <si>
    <t>Either A. hudsonica, A. tonsa or longeremis</t>
  </si>
  <si>
    <t>Calanidae</t>
  </si>
  <si>
    <t>Calanus</t>
  </si>
  <si>
    <t>finmarchicus</t>
  </si>
  <si>
    <t>Centropagidae</t>
  </si>
  <si>
    <t>Centropages</t>
  </si>
  <si>
    <t>hamatus</t>
  </si>
  <si>
    <t xml:space="preserve">Centropages </t>
  </si>
  <si>
    <t>Temorida</t>
  </si>
  <si>
    <t>Eurytemora</t>
  </si>
  <si>
    <t>Either affinis or herdmani</t>
  </si>
  <si>
    <t>Either E. affinis or E. herdmani</t>
  </si>
  <si>
    <t>Harpactacoida</t>
  </si>
  <si>
    <t>Ectinosomatidae </t>
  </si>
  <si>
    <t>Microsetella</t>
  </si>
  <si>
    <t>norvegica</t>
  </si>
  <si>
    <t>Species</t>
  </si>
  <si>
    <t>Cyclopoida</t>
  </si>
  <si>
    <t>Oithonidae</t>
  </si>
  <si>
    <t>Oithona</t>
  </si>
  <si>
    <t>similus</t>
  </si>
  <si>
    <t>Likely similus</t>
  </si>
  <si>
    <t>Clausocalinidae</t>
  </si>
  <si>
    <t>Parvocalanus</t>
  </si>
  <si>
    <t>Either moultani or newmani</t>
  </si>
  <si>
    <t>Pseudocalanus</t>
  </si>
  <si>
    <t>Either P. moultani or P. newmani</t>
  </si>
  <si>
    <t>Temora</t>
  </si>
  <si>
    <t>longicornis</t>
  </si>
  <si>
    <t xml:space="preserve">Temora </t>
  </si>
  <si>
    <t>Tortanidae</t>
  </si>
  <si>
    <t xml:space="preserve">Tortanus </t>
  </si>
  <si>
    <t>discaudatus</t>
  </si>
  <si>
    <t>Tortanus</t>
  </si>
  <si>
    <t>Copepod nauplii</t>
  </si>
  <si>
    <t>Nauplii, cannot identify further</t>
  </si>
  <si>
    <t>Malacostraca</t>
  </si>
  <si>
    <t>Submalacostraca</t>
  </si>
  <si>
    <t>Amphipoda</t>
  </si>
  <si>
    <t>Amphipod</t>
  </si>
  <si>
    <t>Eggs</t>
  </si>
  <si>
    <t>Isopoda</t>
  </si>
  <si>
    <t>Decapoda</t>
  </si>
  <si>
    <t>Crangonidae</t>
  </si>
  <si>
    <t>Crangon</t>
  </si>
  <si>
    <t>septemspinosa</t>
  </si>
  <si>
    <t>Crangonid larvae</t>
  </si>
  <si>
    <t>Eumalacostraca</t>
  </si>
  <si>
    <t>Mysida</t>
  </si>
  <si>
    <t>Mysidae</t>
  </si>
  <si>
    <t>Mysis</t>
  </si>
  <si>
    <t>stenolepis</t>
  </si>
  <si>
    <t>Mysid</t>
  </si>
  <si>
    <t>Neomysis</t>
  </si>
  <si>
    <t>americana</t>
  </si>
  <si>
    <t>In superfamily Gamaridae</t>
  </si>
  <si>
    <t>In superfamily Gammaridae</t>
  </si>
  <si>
    <t>Cnidaria</t>
  </si>
  <si>
    <t>Hydrozoa</t>
  </si>
  <si>
    <t>Hydroidolina</t>
  </si>
  <si>
    <t>Anthoathecata</t>
  </si>
  <si>
    <t>Corynidae</t>
  </si>
  <si>
    <t>Sarsia</t>
  </si>
  <si>
    <t>Hydrozoan</t>
  </si>
  <si>
    <t>Bryozoa</t>
  </si>
  <si>
    <t>Gymnolaemata</t>
  </si>
  <si>
    <t>Cheilostomata</t>
  </si>
  <si>
    <t>Membraniporidae</t>
  </si>
  <si>
    <t>Membranipora</t>
  </si>
  <si>
    <t>Mollusca</t>
  </si>
  <si>
    <t>Gastropoda</t>
  </si>
  <si>
    <t>Gastropod</t>
  </si>
  <si>
    <t>Crustacea</t>
  </si>
  <si>
    <t>Thecostraca</t>
  </si>
  <si>
    <t>Ciripedia</t>
  </si>
  <si>
    <t>Balinidae</t>
  </si>
  <si>
    <t>Balanus</t>
  </si>
  <si>
    <t>Cyprid</t>
  </si>
  <si>
    <t>Nauplii</t>
  </si>
  <si>
    <t>Branciopoda</t>
  </si>
  <si>
    <t>Cladocera</t>
  </si>
  <si>
    <t>Daphiidae</t>
  </si>
  <si>
    <t>Daphnia</t>
  </si>
  <si>
    <t>Phyllopoda</t>
  </si>
  <si>
    <t>Podonidae</t>
  </si>
  <si>
    <t>Evadne</t>
  </si>
  <si>
    <t>Branchiopoda</t>
  </si>
  <si>
    <t>Bosminidae</t>
  </si>
  <si>
    <t>Bosmina</t>
  </si>
  <si>
    <t>Bivalvia</t>
  </si>
  <si>
    <t>Bivalve larvae</t>
  </si>
  <si>
    <t>Bivalve</t>
  </si>
  <si>
    <t>Chordata</t>
  </si>
  <si>
    <t>Actinopterygii</t>
  </si>
  <si>
    <t>Clupeiformes</t>
  </si>
  <si>
    <t>Clupeidae</t>
  </si>
  <si>
    <t>Fish larvae</t>
  </si>
  <si>
    <t>Unknown</t>
  </si>
  <si>
    <t>Sessilia</t>
  </si>
  <si>
    <t>Balanidae</t>
  </si>
  <si>
    <t>Unknown copepodite</t>
  </si>
  <si>
    <t>Nauplii stage</t>
  </si>
  <si>
    <t>Gammaridae</t>
  </si>
  <si>
    <t>Gammarus</t>
  </si>
  <si>
    <t>Decapod</t>
  </si>
  <si>
    <t>Infraorder Brachyura, zoea stage</t>
  </si>
  <si>
    <t>Megalopae</t>
  </si>
  <si>
    <t>Zoea</t>
  </si>
  <si>
    <t>Leptohecata</t>
  </si>
  <si>
    <t>Campanulariidae</t>
  </si>
  <si>
    <t>Cytia</t>
  </si>
  <si>
    <t>normanni</t>
  </si>
  <si>
    <t>Pleopis</t>
  </si>
  <si>
    <t>polyhemoides</t>
  </si>
  <si>
    <t>Cladoceran</t>
  </si>
  <si>
    <t>Diplostraca</t>
  </si>
  <si>
    <t>Podon</t>
  </si>
  <si>
    <t>leuckarti</t>
  </si>
  <si>
    <t>Alosa</t>
  </si>
  <si>
    <t>Unidentified jelly</t>
  </si>
  <si>
    <t>Ctenophora</t>
  </si>
  <si>
    <t>Ctenophore</t>
  </si>
  <si>
    <t xml:space="preserve">Worm like </t>
  </si>
  <si>
    <t>larvae</t>
  </si>
  <si>
    <t>Paracalidae</t>
  </si>
  <si>
    <t>Paracalanus</t>
  </si>
  <si>
    <t>Harpactacoid</t>
  </si>
  <si>
    <t>Many with broken caudal rami</t>
  </si>
  <si>
    <t>Cyclopidae</t>
  </si>
  <si>
    <t>Halicyclops</t>
  </si>
  <si>
    <t>fosteri</t>
  </si>
  <si>
    <t>Halicyclops fosteri</t>
  </si>
  <si>
    <t>Many peanut shaped</t>
  </si>
  <si>
    <t>Check for Paracal.</t>
  </si>
  <si>
    <t>Pleopsis</t>
  </si>
  <si>
    <t>polyphemoides</t>
  </si>
  <si>
    <t xml:space="preserve">Very weird - might want to just call cladoceran… </t>
  </si>
  <si>
    <t>intermedus</t>
  </si>
  <si>
    <t>Bryozoan</t>
  </si>
  <si>
    <t xml:space="preserve">Unknown </t>
  </si>
  <si>
    <t>Oikopleura</t>
  </si>
  <si>
    <t>dioica</t>
  </si>
  <si>
    <t>sample data</t>
  </si>
  <si>
    <t>station</t>
  </si>
  <si>
    <t>counter</t>
  </si>
  <si>
    <t># zoop</t>
  </si>
  <si>
    <t># eggs</t>
  </si>
  <si>
    <t>total V (mL)</t>
  </si>
  <si>
    <t>aliquout V (mL)</t>
  </si>
  <si>
    <t>aliquot correction factor</t>
  </si>
  <si>
    <t># zoop in total V</t>
  </si>
  <si>
    <t># eggs in total V</t>
  </si>
  <si>
    <t>quality control (sample name)</t>
  </si>
  <si>
    <t>average</t>
  </si>
  <si>
    <t>notes</t>
  </si>
  <si>
    <t>Rachel</t>
  </si>
  <si>
    <t>spartan</t>
  </si>
  <si>
    <t>Alex may have not counted some of the copepod nauplii</t>
  </si>
  <si>
    <t>Alex</t>
  </si>
  <si>
    <t>packers</t>
  </si>
  <si>
    <t>Nearly all are Eurytemora</t>
  </si>
  <si>
    <t xml:space="preserve">Double check this datasheet </t>
  </si>
  <si>
    <t>* 8/15/18 Found this datasheet</t>
  </si>
  <si>
    <t>8/15/18 Found the datasheet and it was actually station 5 (not 8)</t>
  </si>
  <si>
    <t>Rachel/Alex</t>
  </si>
  <si>
    <t>not sure if measured w/ graduated cylinder</t>
  </si>
  <si>
    <t>dominated by Acartia, not sure if measured w/ graduated cylinder</t>
  </si>
  <si>
    <t>Acartia, ostracod, urchin larvae</t>
  </si>
  <si>
    <t>not measured w graduated cylinder</t>
  </si>
  <si>
    <t>there are 12 mysids in the zooplankton sample</t>
  </si>
  <si>
    <t>ther are 4 mysids in the zooplankton sample</t>
  </si>
  <si>
    <t>matt</t>
  </si>
  <si>
    <t>brittany</t>
  </si>
  <si>
    <t>matt/brittany</t>
  </si>
  <si>
    <t>Felipe</t>
  </si>
  <si>
    <t>only 21 zoops in entire sample</t>
  </si>
  <si>
    <t>leah</t>
  </si>
  <si>
    <t>Missing</t>
  </si>
  <si>
    <t>rachel</t>
  </si>
  <si>
    <t>breanna</t>
  </si>
  <si>
    <t>teiga</t>
  </si>
  <si>
    <t>horizontal</t>
  </si>
  <si>
    <t>61, mud in zip</t>
  </si>
  <si>
    <t>date</t>
  </si>
  <si>
    <t>fish</t>
  </si>
  <si>
    <t>5/28/2013</t>
  </si>
  <si>
    <t>6/25/2013</t>
  </si>
  <si>
    <t>7/25/2013</t>
  </si>
  <si>
    <t>8/28/2013</t>
  </si>
  <si>
    <t>9/25/2013</t>
  </si>
  <si>
    <t>10/23/2013</t>
  </si>
  <si>
    <t>11/8/2013</t>
  </si>
  <si>
    <t>% Occurance PIVOT</t>
  </si>
  <si>
    <t>Date - Tow Number</t>
  </si>
  <si>
    <t>Alewife</t>
  </si>
  <si>
    <t>American shad</t>
  </si>
  <si>
    <t>Atlantic herring</t>
  </si>
  <si>
    <t>Atlantic mackerel</t>
  </si>
  <si>
    <t>Atlantic rock crab</t>
  </si>
  <si>
    <t>Atlantic tomcod</t>
  </si>
  <si>
    <t>Blueback herring</t>
  </si>
  <si>
    <t>Bluefish</t>
  </si>
  <si>
    <t>Butterfish</t>
  </si>
  <si>
    <t>Northern pipefish</t>
  </si>
  <si>
    <t>Rainbow smelt</t>
  </si>
  <si>
    <t>Sea lamprey</t>
  </si>
  <si>
    <t>Winter flounder</t>
  </si>
  <si>
    <t>Grand Total</t>
  </si>
  <si>
    <t>Total Count</t>
  </si>
  <si>
    <t># Neomysis</t>
  </si>
  <si>
    <t>Dummy</t>
  </si>
  <si>
    <t>Neomysis density</t>
  </si>
  <si>
    <t>Praunus flexuosus</t>
  </si>
  <si>
    <t>Crangon septemspinosa</t>
  </si>
  <si>
    <t>fish larvae</t>
  </si>
  <si>
    <t>amphipods</t>
  </si>
  <si>
    <t>jellies</t>
  </si>
  <si>
    <t>crab megalop</t>
  </si>
  <si>
    <t>crab zoea</t>
  </si>
  <si>
    <t>isopod</t>
  </si>
  <si>
    <t>polychaete</t>
  </si>
  <si>
    <t>larvacean</t>
  </si>
  <si>
    <t>ctenophore</t>
  </si>
  <si>
    <t>ctenophore larvae</t>
  </si>
  <si>
    <t>unidentified</t>
  </si>
  <si>
    <t>There are lots of copepods (likely Calanus)</t>
  </si>
  <si>
    <t>There are 4 Calanus copepods</t>
  </si>
  <si>
    <t xml:space="preserve">Fish are likely herring, amphipods likely Isaeidae </t>
  </si>
  <si>
    <t>Jelly is a scyphozoa, looks like Obelia</t>
  </si>
  <si>
    <t>DOUBLE CHECK THIS!</t>
  </si>
  <si>
    <t>Isopod likely chiridotea, jelly is a scyphozoa</t>
  </si>
  <si>
    <t>Juvenil</t>
  </si>
  <si>
    <t>Male</t>
  </si>
  <si>
    <t>Female Empty</t>
  </si>
  <si>
    <t>Female w/ Egg</t>
  </si>
  <si>
    <t>Female Imm.</t>
  </si>
  <si>
    <t>all</t>
  </si>
  <si>
    <t>kevin</t>
  </si>
  <si>
    <r>
      <t xml:space="preserve">split factor </t>
    </r>
    <r>
      <rPr>
        <b/>
        <sz val="11"/>
        <color rgb="FF000000"/>
        <rFont val="Calibri"/>
        <family val="2"/>
      </rPr>
      <t>*change equation!</t>
    </r>
  </si>
  <si>
    <t>Two unknowns to be ID'd</t>
  </si>
  <si>
    <t xml:space="preserve">1 might be paracal. </t>
  </si>
  <si>
    <t>Counted Entire Sample</t>
  </si>
  <si>
    <t>Issues with transfer</t>
  </si>
  <si>
    <t>Phylum</t>
  </si>
  <si>
    <t>Unknown to be ID'd</t>
  </si>
  <si>
    <t xml:space="preserve">Metridia </t>
  </si>
  <si>
    <t xml:space="preserve">Counted entire sample </t>
  </si>
  <si>
    <t xml:space="preserve">Podon/Pleopsis </t>
  </si>
  <si>
    <t xml:space="preserve">Bryozoan </t>
  </si>
  <si>
    <t>intermedius</t>
  </si>
  <si>
    <t xml:space="preserve">Eurytemora </t>
  </si>
  <si>
    <t xml:space="preserve">Cladoceran </t>
  </si>
  <si>
    <t xml:space="preserve">Not counted - 1 decapod larvae </t>
  </si>
  <si>
    <t>nordmanni</t>
  </si>
  <si>
    <t xml:space="preserve">2 Crab larvae not counted </t>
  </si>
  <si>
    <t xml:space="preserve">Pseudodiaptomus </t>
  </si>
  <si>
    <t>Pseudodiaptomidae</t>
  </si>
  <si>
    <t>Pseudodiaptomus</t>
  </si>
  <si>
    <t>Appendicularia</t>
  </si>
  <si>
    <t>Copelata</t>
  </si>
  <si>
    <t>Oikopleuridae</t>
  </si>
  <si>
    <t xml:space="preserve">Mixed </t>
  </si>
  <si>
    <t>Juveniles - RLR</t>
  </si>
  <si>
    <t>Crab larvae</t>
  </si>
  <si>
    <t xml:space="preserve">One had babies break in sample - 4 unknown cladoceran babies. </t>
  </si>
  <si>
    <t xml:space="preserve">Counted Entire Sample </t>
  </si>
  <si>
    <t xml:space="preserve">2 Juveniles </t>
  </si>
  <si>
    <t xml:space="preserve">Weird furoughed worm </t>
  </si>
  <si>
    <t xml:space="preserve">Hydrozoan </t>
  </si>
  <si>
    <t xml:space="preserve">Acartia </t>
  </si>
  <si>
    <t>similis</t>
  </si>
  <si>
    <t xml:space="preserve">No Acartia in this sample </t>
  </si>
  <si>
    <t xml:space="preserve">Not oithona sp. </t>
  </si>
  <si>
    <t xml:space="preserve">There is no Station 8 for this date </t>
  </si>
  <si>
    <t xml:space="preserve">Nematode </t>
  </si>
  <si>
    <t xml:space="preserve">Calanus </t>
  </si>
  <si>
    <t>Coullana</t>
  </si>
  <si>
    <t>Order</t>
  </si>
  <si>
    <t>Family</t>
  </si>
  <si>
    <t>Subclass</t>
  </si>
  <si>
    <t xml:space="preserve">Analyzed 1 of 2 Jars - Second "split" jar was benthic material/rocky so it wasn't analyzed </t>
  </si>
  <si>
    <t xml:space="preserve">Bivalve </t>
  </si>
  <si>
    <t>Hermit</t>
  </si>
  <si>
    <t>Echinodermata</t>
  </si>
  <si>
    <t>Ophiuroidea</t>
  </si>
  <si>
    <t>Brittle Star</t>
  </si>
  <si>
    <t>Pycnogonida</t>
  </si>
  <si>
    <t>Pantopoda</t>
  </si>
  <si>
    <t xml:space="preserve">Crangon </t>
  </si>
  <si>
    <t>Crab megalopa</t>
  </si>
  <si>
    <t>Monstrilloida</t>
  </si>
  <si>
    <t>Monstrillidae</t>
  </si>
  <si>
    <t xml:space="preserve">Monstrilla </t>
  </si>
  <si>
    <t>Monstrilla</t>
  </si>
  <si>
    <t xml:space="preserve">Zoop. but count? </t>
  </si>
  <si>
    <t xml:space="preserve">Arthropoda </t>
  </si>
  <si>
    <t>Idoteidae</t>
  </si>
  <si>
    <t>Edotia</t>
  </si>
  <si>
    <t>triloba</t>
  </si>
  <si>
    <t xml:space="preserve">Isopod </t>
  </si>
  <si>
    <t xml:space="preserve">Unknown head - possibly Gammarus </t>
  </si>
  <si>
    <t xml:space="preserve">Fish larvae </t>
  </si>
  <si>
    <t xml:space="preserve">Class </t>
  </si>
  <si>
    <t xml:space="preserve">Ctenophore </t>
  </si>
  <si>
    <t xml:space="preserve">Likely the invase m. leidi (spelling issues - sea walnut) </t>
  </si>
  <si>
    <t xml:space="preserve">Very broken down </t>
  </si>
  <si>
    <t>Homarus</t>
  </si>
  <si>
    <t>americanus</t>
  </si>
  <si>
    <t xml:space="preserve">Lobster larvae </t>
  </si>
  <si>
    <t xml:space="preserve">Sample was found dried out/in poor condition. There could be many broken down hydrozoans that couldn't be ID'd </t>
  </si>
  <si>
    <t>tubulosa</t>
  </si>
  <si>
    <t>Hargeria</t>
  </si>
  <si>
    <t xml:space="preserve">rapax </t>
  </si>
  <si>
    <t xml:space="preserve">Species </t>
  </si>
  <si>
    <t xml:space="preserve">Juvenile/Larvae </t>
  </si>
  <si>
    <t xml:space="preserve">Sample mostly dried up - animals stuck together/2 stuck on side of vial </t>
  </si>
  <si>
    <t xml:space="preserve">Mostly flattened, fully inact </t>
  </si>
  <si>
    <t xml:space="preserve">flattened and rigid from being dried out </t>
  </si>
  <si>
    <t xml:space="preserve">very deformed </t>
  </si>
  <si>
    <t xml:space="preserve">Larvae </t>
  </si>
  <si>
    <t>helgolandica</t>
  </si>
  <si>
    <t>Hyperia</t>
  </si>
  <si>
    <t>galba</t>
  </si>
  <si>
    <t>Hyperiidae</t>
  </si>
  <si>
    <t>Siphonostomatoida</t>
  </si>
  <si>
    <t>Caligidae</t>
  </si>
  <si>
    <t xml:space="preserve">Caligus </t>
  </si>
  <si>
    <t>Carcinus</t>
  </si>
  <si>
    <t>maenas</t>
  </si>
  <si>
    <t>Syngnathiformes</t>
  </si>
  <si>
    <t>Syngnathidae</t>
  </si>
  <si>
    <t xml:space="preserve">Syngnathus </t>
  </si>
  <si>
    <t>Pipefish</t>
  </si>
  <si>
    <t xml:space="preserve">Caridean? </t>
  </si>
  <si>
    <t>Clytia</t>
  </si>
  <si>
    <t>hemisphaerica</t>
  </si>
  <si>
    <t>Leptothecata</t>
  </si>
  <si>
    <t xml:space="preserve">4 distinct, 10 stuck to debris - somewhat approximate number </t>
  </si>
  <si>
    <t>Cortney</t>
  </si>
  <si>
    <t>MS CJ</t>
  </si>
  <si>
    <t>Molly</t>
  </si>
  <si>
    <t>MS KM</t>
  </si>
  <si>
    <t>This sample had other animals in it but they were too damaged/decomposed to ID or count</t>
  </si>
  <si>
    <t>Most likely Clytia - others listed as hydrozoans different</t>
  </si>
  <si>
    <t xml:space="preserve">Larval </t>
  </si>
  <si>
    <t>Ostracoda</t>
  </si>
  <si>
    <t>Ostracod</t>
  </si>
  <si>
    <t xml:space="preserve">Cerapus sp. </t>
  </si>
  <si>
    <t>2 Larvae</t>
  </si>
  <si>
    <t>1 Larvae</t>
  </si>
  <si>
    <t xml:space="preserve">THIS SAMPLE WAS SPLIT IN HALF - Split factor is 2 </t>
  </si>
  <si>
    <t>Mysid V filtered (m^3)</t>
  </si>
  <si>
    <t xml:space="preserve">Note, that I did not change the 'total nekton in sample column. I would assume that that these are the same mysids and if natalie found other organisms they should be added to the 792 mysid number. </t>
  </si>
  <si>
    <t xml:space="preserve">Note I verified this date with Leahs and the numbers look good (i.e. there are no places where there is a zero on this sheet but a value on Leahs. </t>
  </si>
  <si>
    <t xml:space="preserve">This date has been verified with Leahs sheet, there ar no places where there is a zero here and a number in Leah's sheet. </t>
  </si>
  <si>
    <t>Verified, same as above</t>
  </si>
  <si>
    <t>Note there were measured mysids in St. 2 that were not counted in total nekton</t>
  </si>
  <si>
    <t xml:space="preserve">I have double and triple checked this the 72 mysids were actually from station 4 (not 5). This needs to be changed. Also, there were 2 mysids measured in station 2 that should be added. </t>
  </si>
  <si>
    <t># Neomysis in Sample (Leah)</t>
  </si>
  <si>
    <t># Other Nekton in Sample (Natalie)</t>
  </si>
  <si>
    <t xml:space="preserve">Total # Animals 1000um </t>
  </si>
  <si>
    <t xml:space="preserve">*These could be Neomysis but we aren't 100% positive </t>
  </si>
  <si>
    <t xml:space="preserve">*These were separated out by Leah??? </t>
  </si>
  <si>
    <t xml:space="preserve">Family </t>
  </si>
  <si>
    <t>*Leah Count - didn't mention any mysid not N. americana</t>
  </si>
  <si>
    <t>Natalie #</t>
  </si>
  <si>
    <t xml:space="preserve">***Other mysids around lab? Leah stages 100, Natalie counted 153, total on Leah's data sheet reads 547 </t>
  </si>
  <si>
    <t xml:space="preserve">*Missing? EB 7/26/19 has no data/sample </t>
  </si>
  <si>
    <t xml:space="preserve">*Leah Staged the first 100. Wrote 547 total? Couldn't decipher so included Natalie's 143 with her known 100. </t>
  </si>
  <si>
    <t>Calanoid spp</t>
  </si>
  <si>
    <t xml:space="preserve">Unknown copepod </t>
  </si>
  <si>
    <t>Density of Neomysis</t>
  </si>
  <si>
    <t>Density of Nekton - for 1000 comp density</t>
  </si>
  <si>
    <t xml:space="preserve">**ERIN CHANGED #NEOMYSIS FROM 15 to 14! - The composition data sheet has 14 Neomysis and 1 Mysis sten. Other future months have mysis sten. Separated into #other nekton. For consistencies sake it was changed 7/29/19. </t>
  </si>
  <si>
    <t xml:space="preserve">**EB changed this number from 417 to 511. Found a data sheet with 511 mysid and couldn't find the original ID data sheet. Suspect that the second ID animals were undercounted/small mysid pushed through the mesh.   </t>
  </si>
  <si>
    <t xml:space="preserve">*EB the # Neomysis - found a 2013 data sheet with 107 instead of 97 </t>
  </si>
  <si>
    <t>*EB the # Neomysis - found a 2013 data sheet with 101 instead of 92</t>
  </si>
  <si>
    <t>ZOOPLANKTON 250/1000 DENSITY (get this from zoop tab)</t>
  </si>
  <si>
    <t>SMALL/250 Zooplankton Density (m^3)</t>
  </si>
  <si>
    <t>SMALL 250Zoop Density per Liter</t>
  </si>
  <si>
    <t>SMALL 250 Zoop V filtered (m^3)</t>
  </si>
  <si>
    <t>Total #  SMALL 250 Zooplankton in sample</t>
  </si>
  <si>
    <t>COMBINED 250 +1000 # ORGANISMS/M^3</t>
  </si>
  <si>
    <t xml:space="preserve">**Column Q is the 250 SMALL zoop and 1000 Nekton densities from Colum O. </t>
  </si>
  <si>
    <t>*No/Missing sample for 1000um 9/16/15 St. 8</t>
  </si>
  <si>
    <t>*No/Missing sample for 250um 5/20/15 St. 8</t>
  </si>
  <si>
    <t>**No Animals in the 5/28/13 St.5 1000um</t>
  </si>
  <si>
    <t>Sea spider</t>
  </si>
  <si>
    <t xml:space="preserve">Polychaete  </t>
  </si>
  <si>
    <t>Nauplius</t>
  </si>
  <si>
    <t>NET MESH SIZE</t>
  </si>
  <si>
    <t>ln(pi)</t>
  </si>
  <si>
    <t>pi*ln(pi)</t>
  </si>
  <si>
    <t>H = SUM pi*ln(pi) for station</t>
  </si>
  <si>
    <t>PROPORTION NOT CORRECTED</t>
  </si>
  <si>
    <t>PROPORTION (pi) CORRECTED</t>
  </si>
  <si>
    <t>ln (pi)</t>
  </si>
  <si>
    <t>H</t>
  </si>
  <si>
    <t xml:space="preserve">**We use the corrected relative abundances for mysid is because if we look at them separately it looks like mysid are super super dominant in the system when in fact (density) and compare apples to apples their density is lower than actual copepods because copepods are actually really dense. We need a way to compare/take into account that mysids were collected with a HUGE net so we had a high probability of catching anything. We can't compare the densities exactly and that's why we need to correct them. Now. Diversity is all about how many individuals belong to any given species within that community. And so. Hunch is to say that it would need to be corrected. Corrected by the density not just the number. Density is the only way to compare density of copepods per liter and mysid per liter BUT you can't compare totally number collected in one net versus another net. So as long as we use this correct density we have the same unit. </t>
  </si>
  <si>
    <t>SEI</t>
  </si>
  <si>
    <t xml:space="preserve">S (Richness - # sp. in community) </t>
  </si>
  <si>
    <t>Hmax = ln(S)</t>
  </si>
  <si>
    <t xml:space="preserve">H </t>
  </si>
  <si>
    <t xml:space="preserve">Order </t>
  </si>
  <si>
    <t xml:space="preserve">% Not Genus </t>
  </si>
  <si>
    <t>Total % Check</t>
  </si>
  <si>
    <t>JA</t>
  </si>
  <si>
    <t>JA RLR</t>
  </si>
  <si>
    <t xml:space="preserve">**EB entered. Saw one of aliquots was 20ml and other two were 10ml?? </t>
  </si>
  <si>
    <t xml:space="preserve">These don't match datahseet Erin found… </t>
  </si>
  <si>
    <t>MS</t>
  </si>
  <si>
    <t xml:space="preserve">*Reference collection has a vial, Erin can't find datasheet to enter count data </t>
  </si>
  <si>
    <t>CC</t>
  </si>
  <si>
    <t xml:space="preserve">*Double check this data isn't in this sheet twice. </t>
  </si>
  <si>
    <t>BD HH</t>
  </si>
  <si>
    <t xml:space="preserve">*Not a typo! Did get same count twice </t>
  </si>
  <si>
    <t>Myrianida</t>
  </si>
  <si>
    <t>NONE</t>
  </si>
  <si>
    <t>Oxyurostylis</t>
  </si>
  <si>
    <t>smithi</t>
  </si>
  <si>
    <t xml:space="preserve">Cumacean </t>
  </si>
  <si>
    <t>Cumacea</t>
  </si>
  <si>
    <t>Alitta</t>
  </si>
  <si>
    <t>Likely 17 Pleopsis 2 Podon</t>
  </si>
  <si>
    <t xml:space="preserve">Pleopsis </t>
  </si>
  <si>
    <t>Sea Mite</t>
  </si>
  <si>
    <t>Gastropod larvae</t>
  </si>
  <si>
    <t>2 different. Potentially Coullana dn Longipedia</t>
  </si>
  <si>
    <t xml:space="preserve">Cyprid </t>
  </si>
  <si>
    <t xml:space="preserve">Podon </t>
  </si>
  <si>
    <t>BD EB</t>
  </si>
  <si>
    <t>EB</t>
  </si>
  <si>
    <t>CC EAB</t>
  </si>
  <si>
    <t>KM EAB</t>
  </si>
  <si>
    <t>JA EAB</t>
  </si>
  <si>
    <t xml:space="preserve">ZOOPLANKTON 250/1000 DENSITY (get this from zoop tab) # Org/m^3 </t>
  </si>
  <si>
    <t>ID</t>
  </si>
  <si>
    <t>COMBINED ABUNDANCE</t>
  </si>
  <si>
    <t>Mesocyclops</t>
  </si>
  <si>
    <t>Microcyclops</t>
  </si>
  <si>
    <t>Diacyclops</t>
  </si>
  <si>
    <t>Eucyclops</t>
  </si>
  <si>
    <t>Harpacticoid</t>
  </si>
  <si>
    <t>Diaptomididae</t>
  </si>
  <si>
    <t>Leptodiaptomus</t>
  </si>
  <si>
    <t xml:space="preserve">Leptodiaptomus </t>
  </si>
  <si>
    <t>Nematoda</t>
  </si>
  <si>
    <t>EBC</t>
  </si>
  <si>
    <t>Checked? Notes?</t>
  </si>
  <si>
    <t xml:space="preserve">Balanus </t>
  </si>
  <si>
    <t>Unknowns to be updated!</t>
  </si>
  <si>
    <t xml:space="preserve">*Cladocerans grouped </t>
  </si>
  <si>
    <t xml:space="preserve">EBC - bosmina marked as cladoceran </t>
  </si>
  <si>
    <t xml:space="preserve">Check all harpacticoid sp. </t>
  </si>
  <si>
    <t>No 5/20/15 Sample because no zoop. sample was found</t>
  </si>
  <si>
    <t xml:space="preserve">*Missing 1000um </t>
  </si>
  <si>
    <t>EBC - missing 1000um sample</t>
  </si>
  <si>
    <t>EBC - unknowns to be ID'd</t>
  </si>
  <si>
    <t>Grouped polychaete</t>
  </si>
  <si>
    <t xml:space="preserve">Group Hydrozoans, Group Cladocerans, Group Balanus, Group Mysids, Group decapods, Group Harpacticoid, Grouped Amphipods, Group polychaete   </t>
  </si>
  <si>
    <t xml:space="preserve">EBC - unknown/missing sample check </t>
  </si>
  <si>
    <t xml:space="preserve">Year </t>
  </si>
  <si>
    <t xml:space="preserve">July </t>
  </si>
  <si>
    <t>Pooled Sp Total</t>
  </si>
  <si>
    <t xml:space="preserve">Pooled Total </t>
  </si>
  <si>
    <t>Percent Abundance</t>
  </si>
  <si>
    <t xml:space="preserve">SKIP THESE NO LOWER FOR FISH IN MAY </t>
  </si>
  <si>
    <t>Pooled Zoop. Density - by 250 or 100</t>
  </si>
  <si>
    <t>pool #Org/m^3</t>
  </si>
  <si>
    <t>pooled combined density</t>
  </si>
  <si>
    <t>pooled corrected %</t>
  </si>
  <si>
    <t>EB did not include Unknowns in Sp. Richness</t>
  </si>
  <si>
    <t>EBC - EB did not include Unknowns in sp. Richness</t>
  </si>
  <si>
    <t xml:space="preserve">*BD and HH datasheet interpreting by Erin and Rachel - updated 11/19/19. </t>
  </si>
  <si>
    <t>Crab zoea</t>
  </si>
  <si>
    <t>Unidentified</t>
  </si>
  <si>
    <t xml:space="preserve">EBC - unknowns WERE counted in sp. richness because it's highly likely they were different sp. (above, likely they were the same, just unidentifiable) </t>
  </si>
  <si>
    <t>Pseudodiaptomous</t>
  </si>
  <si>
    <t>CORRECTED PERCENT ABUNDANCE</t>
  </si>
  <si>
    <t xml:space="preserve">*EB did count Unknowns here because it is highly likely they were different sp. </t>
  </si>
  <si>
    <t>Megalopa</t>
  </si>
  <si>
    <t xml:space="preserve">Calanoid spp </t>
  </si>
  <si>
    <t>Cyclopoid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</si>
</sst>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
  </numFmts>
  <fonts count="11" x14ac:knownFonts="1">
    <font>
      <sz val="11"/>
      <color rgb="FF000000"/>
      <name val="Calibri"/>
    </font>
    <font>
      <sz val="11"/>
      <name val="Calibri"/>
      <family val="2"/>
    </font>
    <font>
      <b/>
      <sz val="11"/>
      <color rgb="FF000000"/>
      <name val="Calibri"/>
      <family val="2"/>
    </font>
    <font>
      <i/>
      <sz val="11"/>
      <color rgb="FF000000"/>
      <name val="Calibri"/>
      <family val="2"/>
    </font>
    <font>
      <sz val="11"/>
      <color rgb="FF000000"/>
      <name val="Calibri"/>
      <family val="2"/>
    </font>
    <font>
      <u/>
      <sz val="11"/>
      <color theme="10"/>
      <name val="Calibri"/>
      <family val="2"/>
    </font>
    <font>
      <u/>
      <sz val="11"/>
      <color theme="11"/>
      <name val="Calibri"/>
      <family val="2"/>
    </font>
    <font>
      <sz val="11"/>
      <color rgb="FF222222"/>
      <name val="Calibri"/>
      <family val="2"/>
      <scheme val="minor"/>
    </font>
    <font>
      <sz val="11"/>
      <color rgb="FFFF0000"/>
      <name val="Calibri"/>
      <family val="2"/>
    </font>
    <font>
      <sz val="11"/>
      <color indexed="206"/>
      <name val="Calibri"/>
      <family val="2"/>
    </font>
    <font>
      <sz val="11"/>
      <color rgb="FF000000"/>
      <name val="Calibri"/>
      <family val="2"/>
      <scheme val="minor"/>
    </font>
  </fonts>
  <fills count="26">
    <fill>
      <patternFill patternType="none"/>
    </fill>
    <fill>
      <patternFill patternType="gray125"/>
    </fill>
    <fill>
      <patternFill patternType="solid">
        <fgColor rgb="FFFFFF00"/>
        <bgColor rgb="FFFFFF00"/>
      </patternFill>
    </fill>
    <fill>
      <patternFill patternType="solid">
        <fgColor theme="0"/>
        <bgColor indexed="64"/>
      </patternFill>
    </fill>
    <fill>
      <patternFill patternType="solid">
        <fgColor rgb="FFFFFF00"/>
        <bgColor indexed="64"/>
      </patternFill>
    </fill>
    <fill>
      <patternFill patternType="solid">
        <fgColor theme="2"/>
        <bgColor indexed="64"/>
      </patternFill>
    </fill>
    <fill>
      <patternFill patternType="solid">
        <fgColor theme="2"/>
        <bgColor rgb="FFFFFF00"/>
      </patternFill>
    </fill>
    <fill>
      <patternFill patternType="solid">
        <fgColor theme="5"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79998168889431442"/>
        <bgColor rgb="FFFFFF00"/>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59999389629810485"/>
        <bgColor rgb="FFFFFF00"/>
      </patternFill>
    </fill>
    <fill>
      <patternFill patternType="solid">
        <fgColor rgb="FFF4BAFF"/>
        <bgColor indexed="64"/>
      </patternFill>
    </fill>
    <fill>
      <patternFill patternType="solid">
        <fgColor rgb="FFF4BAFF"/>
        <bgColor rgb="FFFFFF00"/>
      </patternFill>
    </fill>
    <fill>
      <patternFill patternType="solid">
        <fgColor theme="5"/>
        <bgColor indexed="64"/>
      </patternFill>
    </fill>
    <fill>
      <patternFill patternType="solid">
        <fgColor theme="5" tint="0.39997558519241921"/>
        <bgColor rgb="FFFFFF00"/>
      </patternFill>
    </fill>
    <fill>
      <patternFill patternType="solid">
        <fgColor theme="5" tint="0.79998168889431442"/>
        <bgColor rgb="FFFFFF00"/>
      </patternFill>
    </fill>
    <fill>
      <patternFill patternType="solid">
        <fgColor theme="7" tint="0.79998168889431442"/>
        <bgColor rgb="FFFFFF00"/>
      </patternFill>
    </fill>
    <fill>
      <patternFill patternType="solid">
        <fgColor theme="7" tint="0.79998168889431442"/>
        <bgColor indexed="64"/>
      </patternFill>
    </fill>
    <fill>
      <patternFill patternType="solid">
        <fgColor rgb="FFFFF2CC"/>
        <bgColor rgb="FFFFFF00"/>
      </patternFill>
    </fill>
    <fill>
      <patternFill patternType="solid">
        <fgColor rgb="FFFFF2CC"/>
        <bgColor rgb="FF000000"/>
      </patternFill>
    </fill>
    <fill>
      <patternFill patternType="solid">
        <fgColor theme="9" tint="0.39997558519241921"/>
        <bgColor rgb="FFFFFF00"/>
      </patternFill>
    </fill>
    <fill>
      <patternFill patternType="solid">
        <fgColor theme="9" tint="0.39997558519241921"/>
        <bgColor indexed="64"/>
      </patternFill>
    </fill>
    <fill>
      <patternFill patternType="solid">
        <fgColor theme="5" tint="-0.249977111117893"/>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s>
  <cellStyleXfs count="3662">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184">
    <xf numFmtId="0" fontId="0" fillId="0" borderId="0" xfId="0" applyFont="1" applyAlignment="1"/>
    <xf numFmtId="0" fontId="0" fillId="0" borderId="0" xfId="0" applyFont="1" applyAlignment="1">
      <alignment wrapText="1"/>
    </xf>
    <xf numFmtId="1" fontId="0" fillId="0" borderId="0" xfId="0" applyNumberFormat="1" applyFont="1" applyAlignment="1">
      <alignment wrapText="1"/>
    </xf>
    <xf numFmtId="0" fontId="0" fillId="0" borderId="0" xfId="0" applyFont="1"/>
    <xf numFmtId="1" fontId="0" fillId="0" borderId="0" xfId="0" applyNumberFormat="1" applyFont="1"/>
    <xf numFmtId="20" fontId="0" fillId="0" borderId="0" xfId="0" applyNumberFormat="1" applyFont="1"/>
    <xf numFmtId="0" fontId="0" fillId="0" borderId="0" xfId="0" quotePrefix="1" applyFont="1"/>
    <xf numFmtId="0" fontId="1" fillId="0" borderId="0" xfId="0" applyFont="1"/>
    <xf numFmtId="0" fontId="0" fillId="2" borderId="1" xfId="0" applyFont="1" applyFill="1" applyBorder="1"/>
    <xf numFmtId="1" fontId="0" fillId="2" borderId="1" xfId="0" applyNumberFormat="1" applyFont="1" applyFill="1" applyBorder="1"/>
    <xf numFmtId="0" fontId="0" fillId="0" borderId="0" xfId="0" applyFont="1" applyAlignment="1">
      <alignment horizontal="left"/>
    </xf>
    <xf numFmtId="20" fontId="1" fillId="0" borderId="0" xfId="0" applyNumberFormat="1" applyFont="1"/>
    <xf numFmtId="3" fontId="0" fillId="0" borderId="0" xfId="0" applyNumberFormat="1" applyFont="1"/>
    <xf numFmtId="14" fontId="0" fillId="0" borderId="0" xfId="0" applyNumberFormat="1" applyFont="1"/>
    <xf numFmtId="0" fontId="2" fillId="0" borderId="0" xfId="0" applyFont="1"/>
    <xf numFmtId="2" fontId="0" fillId="0" borderId="0" xfId="0" applyNumberFormat="1" applyFont="1"/>
    <xf numFmtId="0" fontId="0" fillId="3" borderId="0" xfId="0" applyFont="1" applyFill="1"/>
    <xf numFmtId="0" fontId="4" fillId="0" borderId="0" xfId="0" applyFont="1"/>
    <xf numFmtId="0" fontId="0" fillId="0" borderId="0" xfId="0"/>
    <xf numFmtId="2" fontId="4" fillId="0" borderId="0" xfId="0" applyNumberFormat="1" applyFont="1"/>
    <xf numFmtId="0" fontId="4" fillId="0" borderId="0" xfId="0" applyFont="1" applyAlignment="1">
      <alignment wrapText="1"/>
    </xf>
    <xf numFmtId="14" fontId="4" fillId="0" borderId="0" xfId="0" applyNumberFormat="1" applyFont="1"/>
    <xf numFmtId="0" fontId="0" fillId="4" borderId="0" xfId="0" applyFont="1" applyFill="1"/>
    <xf numFmtId="1" fontId="0" fillId="0" borderId="0" xfId="0" applyNumberFormat="1" applyFont="1" applyAlignment="1"/>
    <xf numFmtId="0" fontId="0" fillId="4" borderId="0" xfId="0" applyFont="1" applyFill="1" applyAlignment="1"/>
    <xf numFmtId="1" fontId="0" fillId="4" borderId="0" xfId="0" applyNumberFormat="1" applyFont="1" applyFill="1"/>
    <xf numFmtId="1" fontId="0" fillId="4" borderId="0" xfId="0" applyNumberFormat="1" applyFont="1" applyFill="1" applyAlignment="1"/>
    <xf numFmtId="0" fontId="0" fillId="5" borderId="2" xfId="0" applyFont="1" applyFill="1" applyBorder="1" applyAlignment="1">
      <alignment wrapText="1"/>
    </xf>
    <xf numFmtId="0" fontId="0" fillId="5" borderId="2" xfId="0" applyFont="1" applyFill="1" applyBorder="1"/>
    <xf numFmtId="0" fontId="0" fillId="6" borderId="2" xfId="0" applyFont="1" applyFill="1" applyBorder="1"/>
    <xf numFmtId="0" fontId="0" fillId="5" borderId="2" xfId="0" applyFont="1" applyFill="1" applyBorder="1" applyAlignment="1"/>
    <xf numFmtId="14" fontId="0" fillId="7" borderId="0" xfId="0" applyNumberFormat="1" applyFont="1" applyFill="1"/>
    <xf numFmtId="0" fontId="0" fillId="7" borderId="0" xfId="0" applyFont="1" applyFill="1"/>
    <xf numFmtId="0" fontId="0" fillId="7" borderId="0" xfId="0" applyFont="1" applyFill="1" applyAlignment="1"/>
    <xf numFmtId="0" fontId="0" fillId="0" borderId="1" xfId="0" applyFont="1" applyBorder="1"/>
    <xf numFmtId="14" fontId="0" fillId="0" borderId="0" xfId="0" applyNumberFormat="1" applyFont="1" applyFill="1"/>
    <xf numFmtId="0" fontId="0" fillId="0" borderId="0" xfId="0" applyFont="1" applyFill="1"/>
    <xf numFmtId="0" fontId="0" fillId="7" borderId="2" xfId="0" applyFont="1" applyFill="1" applyBorder="1"/>
    <xf numFmtId="0" fontId="0" fillId="0" borderId="0" xfId="0" applyFont="1" applyFill="1" applyAlignment="1"/>
    <xf numFmtId="0" fontId="0" fillId="7" borderId="1" xfId="0" applyFont="1" applyFill="1" applyBorder="1"/>
    <xf numFmtId="0" fontId="0" fillId="4" borderId="1" xfId="0" applyFont="1" applyFill="1" applyBorder="1"/>
    <xf numFmtId="0" fontId="0" fillId="8" borderId="0" xfId="0" applyFont="1" applyFill="1"/>
    <xf numFmtId="0" fontId="0" fillId="8" borderId="0" xfId="0" applyFont="1" applyFill="1" applyAlignment="1"/>
    <xf numFmtId="14" fontId="4" fillId="7" borderId="0" xfId="0" applyNumberFormat="1" applyFont="1" applyFill="1"/>
    <xf numFmtId="0" fontId="4" fillId="7" borderId="0" xfId="0" applyFont="1" applyFill="1"/>
    <xf numFmtId="0" fontId="0" fillId="4" borderId="2" xfId="0" applyFont="1" applyFill="1" applyBorder="1"/>
    <xf numFmtId="1" fontId="0" fillId="0" borderId="1" xfId="0" applyNumberFormat="1" applyFont="1" applyFill="1" applyBorder="1" applyAlignment="1"/>
    <xf numFmtId="0" fontId="0" fillId="0" borderId="1" xfId="0" applyFont="1" applyFill="1" applyBorder="1" applyAlignment="1"/>
    <xf numFmtId="0" fontId="0" fillId="9" borderId="0" xfId="0" applyFont="1" applyFill="1"/>
    <xf numFmtId="0" fontId="0" fillId="10" borderId="1" xfId="0" applyFont="1" applyFill="1" applyBorder="1"/>
    <xf numFmtId="0" fontId="0" fillId="9" borderId="0" xfId="0" applyFont="1" applyFill="1" applyAlignment="1"/>
    <xf numFmtId="0" fontId="0" fillId="0" borderId="0" xfId="0" applyFont="1" applyBorder="1"/>
    <xf numFmtId="0" fontId="0" fillId="0" borderId="0" xfId="0" applyFont="1" applyBorder="1" applyAlignment="1"/>
    <xf numFmtId="0" fontId="0" fillId="0" borderId="1" xfId="0" applyFont="1" applyFill="1" applyBorder="1"/>
    <xf numFmtId="0" fontId="7" fillId="0" borderId="0" xfId="0" applyFont="1" applyFill="1" applyAlignment="1"/>
    <xf numFmtId="0" fontId="8" fillId="0" borderId="0" xfId="0" applyFont="1" applyFill="1"/>
    <xf numFmtId="0" fontId="8" fillId="0" borderId="0" xfId="0" applyFont="1" applyFill="1" applyAlignment="1"/>
    <xf numFmtId="0" fontId="0" fillId="11" borderId="0" xfId="0" applyFont="1" applyFill="1"/>
    <xf numFmtId="14" fontId="0" fillId="11" borderId="0" xfId="0" applyNumberFormat="1" applyFont="1" applyFill="1"/>
    <xf numFmtId="0" fontId="1" fillId="0" borderId="0" xfId="0" applyFont="1" applyFill="1"/>
    <xf numFmtId="0" fontId="1" fillId="4" borderId="1" xfId="0" applyFont="1" applyFill="1" applyBorder="1"/>
    <xf numFmtId="0" fontId="0" fillId="11" borderId="0" xfId="0" applyFont="1" applyFill="1" applyAlignment="1"/>
    <xf numFmtId="0" fontId="0" fillId="0" borderId="2" xfId="0" applyFont="1" applyFill="1" applyBorder="1"/>
    <xf numFmtId="14" fontId="0" fillId="0" borderId="0" xfId="0" applyNumberFormat="1" applyFont="1" applyBorder="1" applyAlignment="1"/>
    <xf numFmtId="14" fontId="0" fillId="0" borderId="1" xfId="0" applyNumberFormat="1" applyFont="1" applyFill="1" applyBorder="1"/>
    <xf numFmtId="0" fontId="0" fillId="0" borderId="0" xfId="0" applyFont="1" applyFill="1" applyBorder="1"/>
    <xf numFmtId="14" fontId="0" fillId="12" borderId="0" xfId="0" applyNumberFormat="1" applyFont="1" applyFill="1"/>
    <xf numFmtId="0" fontId="0" fillId="12" borderId="0" xfId="0" applyFont="1" applyFill="1"/>
    <xf numFmtId="0" fontId="0" fillId="13" borderId="1" xfId="0" applyFont="1" applyFill="1" applyBorder="1"/>
    <xf numFmtId="0" fontId="0" fillId="12" borderId="0" xfId="0" applyFont="1" applyFill="1" applyBorder="1"/>
    <xf numFmtId="0" fontId="0" fillId="12" borderId="0" xfId="0" applyFont="1" applyFill="1" applyAlignment="1"/>
    <xf numFmtId="14" fontId="0" fillId="0" borderId="0" xfId="0" applyNumberFormat="1" applyFont="1" applyBorder="1"/>
    <xf numFmtId="14" fontId="0" fillId="0" borderId="0" xfId="0" applyNumberFormat="1" applyFont="1" applyFill="1" applyBorder="1"/>
    <xf numFmtId="0" fontId="0" fillId="9" borderId="0" xfId="0" applyFont="1" applyFill="1" applyAlignment="1">
      <alignment wrapText="1"/>
    </xf>
    <xf numFmtId="0" fontId="0" fillId="9" borderId="1" xfId="0" applyFont="1" applyFill="1" applyBorder="1"/>
    <xf numFmtId="0" fontId="0" fillId="12" borderId="1" xfId="0" applyFont="1" applyFill="1" applyBorder="1"/>
    <xf numFmtId="0" fontId="0" fillId="0" borderId="0" xfId="0" applyFont="1" applyFill="1" applyBorder="1" applyAlignment="1"/>
    <xf numFmtId="0" fontId="0" fillId="14" borderId="2" xfId="0" applyFont="1" applyFill="1" applyBorder="1"/>
    <xf numFmtId="0" fontId="0" fillId="15" borderId="2" xfId="0" applyFont="1" applyFill="1" applyBorder="1"/>
    <xf numFmtId="0" fontId="0" fillId="14" borderId="2" xfId="0" applyFont="1" applyFill="1" applyBorder="1" applyAlignment="1"/>
    <xf numFmtId="0" fontId="4" fillId="14" borderId="0" xfId="0" applyFont="1" applyFill="1"/>
    <xf numFmtId="0" fontId="0" fillId="14" borderId="2" xfId="0" applyFont="1" applyFill="1" applyBorder="1" applyAlignment="1">
      <alignment wrapText="1"/>
    </xf>
    <xf numFmtId="0" fontId="10" fillId="0" borderId="0" xfId="0" applyFont="1" applyFill="1" applyAlignment="1"/>
    <xf numFmtId="0" fontId="10" fillId="0" borderId="0" xfId="0" applyFont="1" applyFill="1"/>
    <xf numFmtId="14" fontId="0" fillId="0" borderId="1" xfId="0" applyNumberFormat="1" applyFont="1" applyBorder="1"/>
    <xf numFmtId="14" fontId="0" fillId="12" borderId="0" xfId="0" applyNumberFormat="1" applyFont="1" applyFill="1" applyBorder="1"/>
    <xf numFmtId="14" fontId="0" fillId="0" borderId="0" xfId="0" applyNumberFormat="1" applyFont="1" applyFill="1" applyBorder="1" applyAlignment="1"/>
    <xf numFmtId="0" fontId="0" fillId="11" borderId="1" xfId="0" applyFont="1" applyFill="1" applyBorder="1"/>
    <xf numFmtId="0" fontId="1" fillId="8" borderId="0" xfId="0" applyFont="1" applyFill="1"/>
    <xf numFmtId="0" fontId="0" fillId="16" borderId="0" xfId="0" applyFont="1" applyFill="1" applyAlignment="1"/>
    <xf numFmtId="0" fontId="1" fillId="0" borderId="0" xfId="0" applyFont="1" applyFill="1" applyAlignment="1"/>
    <xf numFmtId="0" fontId="0" fillId="17" borderId="1" xfId="0" applyFont="1" applyFill="1" applyBorder="1"/>
    <xf numFmtId="0" fontId="1" fillId="11" borderId="1" xfId="0" applyFont="1" applyFill="1" applyBorder="1"/>
    <xf numFmtId="0" fontId="0" fillId="18" borderId="2" xfId="0" applyFont="1" applyFill="1" applyBorder="1"/>
    <xf numFmtId="0" fontId="0" fillId="7" borderId="2" xfId="0" applyFont="1" applyFill="1" applyBorder="1" applyAlignment="1"/>
    <xf numFmtId="0" fontId="0" fillId="8" borderId="2" xfId="0" applyFont="1" applyFill="1" applyBorder="1"/>
    <xf numFmtId="0" fontId="0" fillId="0" borderId="0" xfId="0" applyFont="1" applyFill="1" applyAlignment="1">
      <alignment wrapText="1"/>
    </xf>
    <xf numFmtId="0" fontId="0" fillId="19" borderId="2" xfId="0" applyFont="1" applyFill="1" applyBorder="1"/>
    <xf numFmtId="0" fontId="0" fillId="20" borderId="2" xfId="0" applyFont="1" applyFill="1" applyBorder="1"/>
    <xf numFmtId="0" fontId="0" fillId="20" borderId="2" xfId="0" applyFont="1" applyFill="1" applyBorder="1" applyAlignment="1"/>
    <xf numFmtId="0" fontId="0" fillId="0" borderId="1" xfId="0" applyFont="1" applyBorder="1" applyAlignment="1"/>
    <xf numFmtId="0" fontId="0" fillId="21" borderId="3" xfId="0" applyFont="1" applyFill="1" applyBorder="1" applyAlignment="1"/>
    <xf numFmtId="14" fontId="0" fillId="0" borderId="1" xfId="0" applyNumberFormat="1" applyFont="1" applyBorder="1" applyAlignment="1"/>
    <xf numFmtId="0" fontId="0" fillId="22" borderId="4" xfId="0" applyFont="1" applyFill="1" applyBorder="1" applyAlignment="1"/>
    <xf numFmtId="0" fontId="1" fillId="0" borderId="1" xfId="0" applyFont="1" applyFill="1" applyBorder="1" applyAlignment="1"/>
    <xf numFmtId="0" fontId="0" fillId="20" borderId="0" xfId="0" applyFont="1" applyFill="1" applyAlignment="1"/>
    <xf numFmtId="0" fontId="0" fillId="9" borderId="0" xfId="0" applyFont="1" applyFill="1" applyBorder="1"/>
    <xf numFmtId="0" fontId="9" fillId="0" borderId="0" xfId="0" applyFont="1" applyFill="1"/>
    <xf numFmtId="0" fontId="1" fillId="0" borderId="1" xfId="0" applyFont="1" applyFill="1" applyBorder="1"/>
    <xf numFmtId="0" fontId="0" fillId="23" borderId="1" xfId="0" applyFont="1" applyFill="1" applyBorder="1"/>
    <xf numFmtId="0" fontId="0" fillId="24" borderId="1" xfId="0" applyFont="1" applyFill="1" applyBorder="1"/>
    <xf numFmtId="0" fontId="1" fillId="24" borderId="1" xfId="0" applyFont="1" applyFill="1" applyBorder="1"/>
    <xf numFmtId="0" fontId="0" fillId="24" borderId="0" xfId="0" applyFont="1" applyFill="1" applyAlignment="1"/>
    <xf numFmtId="0" fontId="0" fillId="11" borderId="0" xfId="0" applyFont="1" applyFill="1" applyBorder="1" applyAlignment="1"/>
    <xf numFmtId="0" fontId="9" fillId="23" borderId="1" xfId="0" applyFont="1" applyFill="1" applyBorder="1"/>
    <xf numFmtId="0" fontId="0" fillId="7" borderId="0" xfId="0" applyFont="1" applyFill="1" applyBorder="1" applyAlignment="1"/>
    <xf numFmtId="0" fontId="0" fillId="18" borderId="1" xfId="0" applyFont="1" applyFill="1" applyBorder="1"/>
    <xf numFmtId="0" fontId="0" fillId="7" borderId="0" xfId="0" applyFont="1" applyFill="1" applyBorder="1"/>
    <xf numFmtId="14" fontId="0" fillId="7" borderId="0" xfId="0" applyNumberFormat="1" applyFont="1" applyFill="1" applyBorder="1"/>
    <xf numFmtId="0" fontId="4" fillId="0" borderId="0" xfId="0" applyFont="1" applyFill="1" applyAlignment="1"/>
    <xf numFmtId="1" fontId="0" fillId="0" borderId="0" xfId="0" applyNumberFormat="1" applyFont="1" applyFill="1"/>
    <xf numFmtId="1" fontId="0" fillId="0" borderId="0" xfId="0" applyNumberFormat="1" applyFont="1" applyFill="1" applyAlignment="1"/>
    <xf numFmtId="1" fontId="0" fillId="12" borderId="0" xfId="0" applyNumberFormat="1" applyFont="1" applyFill="1"/>
    <xf numFmtId="1" fontId="0" fillId="12" borderId="0" xfId="0" applyNumberFormat="1" applyFont="1" applyFill="1" applyAlignment="1"/>
    <xf numFmtId="1" fontId="0" fillId="7" borderId="0" xfId="0" applyNumberFormat="1" applyFont="1" applyFill="1"/>
    <xf numFmtId="1" fontId="0" fillId="0" borderId="0" xfId="0" applyNumberFormat="1" applyFont="1" applyBorder="1"/>
    <xf numFmtId="1" fontId="0" fillId="0" borderId="0" xfId="0" applyNumberFormat="1" applyFont="1" applyFill="1" applyBorder="1"/>
    <xf numFmtId="1" fontId="0" fillId="0" borderId="0" xfId="0" applyNumberFormat="1" applyFont="1" applyFill="1" applyBorder="1" applyAlignment="1"/>
    <xf numFmtId="164" fontId="0" fillId="0" borderId="0" xfId="0" applyNumberFormat="1" applyFont="1" applyAlignment="1">
      <alignment wrapText="1"/>
    </xf>
    <xf numFmtId="164" fontId="0" fillId="0" borderId="0" xfId="0" applyNumberFormat="1" applyFont="1" applyAlignment="1"/>
    <xf numFmtId="164" fontId="0" fillId="0" borderId="0" xfId="0" applyNumberFormat="1" applyFont="1"/>
    <xf numFmtId="164" fontId="0" fillId="0" borderId="0" xfId="0" applyNumberFormat="1" applyFont="1" applyBorder="1"/>
    <xf numFmtId="164" fontId="0" fillId="7" borderId="0" xfId="0" applyNumberFormat="1" applyFont="1" applyFill="1" applyAlignment="1"/>
    <xf numFmtId="164" fontId="0" fillId="0" borderId="0" xfId="0" applyNumberFormat="1" applyFont="1" applyFill="1" applyAlignment="1"/>
    <xf numFmtId="0" fontId="0" fillId="0" borderId="0" xfId="0" applyFont="1" applyFill="1" applyAlignment="1">
      <alignment horizontal="left"/>
    </xf>
    <xf numFmtId="0" fontId="0" fillId="22" borderId="2" xfId="0" applyFont="1" applyFill="1" applyBorder="1" applyAlignment="1"/>
    <xf numFmtId="0" fontId="0" fillId="25" borderId="0" xfId="0" applyFont="1" applyFill="1"/>
    <xf numFmtId="164" fontId="0" fillId="9" borderId="0" xfId="0" applyNumberFormat="1" applyFont="1" applyFill="1"/>
    <xf numFmtId="1" fontId="0" fillId="9" borderId="0" xfId="0" applyNumberFormat="1" applyFont="1" applyFill="1"/>
    <xf numFmtId="0" fontId="4" fillId="0" borderId="0" xfId="0" applyFont="1" applyFill="1" applyBorder="1" applyAlignment="1"/>
    <xf numFmtId="164" fontId="0" fillId="0" borderId="0" xfId="0" applyNumberFormat="1" applyFont="1" applyFill="1"/>
    <xf numFmtId="164" fontId="0" fillId="20" borderId="0" xfId="0" applyNumberFormat="1" applyFont="1" applyFill="1" applyAlignment="1"/>
    <xf numFmtId="0" fontId="4" fillId="20" borderId="0" xfId="0" applyFont="1" applyFill="1" applyAlignment="1"/>
    <xf numFmtId="1" fontId="0" fillId="20" borderId="0" xfId="0" applyNumberFormat="1" applyFont="1" applyFill="1"/>
    <xf numFmtId="1" fontId="0" fillId="20" borderId="0" xfId="0" applyNumberFormat="1" applyFont="1" applyFill="1" applyAlignment="1"/>
    <xf numFmtId="0" fontId="8" fillId="0" borderId="0" xfId="0" applyFont="1" applyFill="1" applyBorder="1"/>
    <xf numFmtId="0" fontId="7" fillId="0" borderId="0" xfId="0" applyFont="1" applyFill="1" applyBorder="1" applyAlignment="1"/>
    <xf numFmtId="0" fontId="0" fillId="0" borderId="2" xfId="0" applyFont="1" applyFill="1" applyBorder="1" applyAlignment="1"/>
    <xf numFmtId="0" fontId="0" fillId="18" borderId="5" xfId="0" applyFont="1" applyFill="1" applyBorder="1"/>
    <xf numFmtId="0" fontId="0" fillId="7" borderId="5" xfId="0" applyFont="1" applyFill="1" applyBorder="1"/>
    <xf numFmtId="0" fontId="0" fillId="0" borderId="5" xfId="0" applyFont="1" applyFill="1" applyBorder="1"/>
    <xf numFmtId="0" fontId="0" fillId="0" borderId="5" xfId="0" applyFont="1" applyFill="1" applyBorder="1" applyAlignment="1"/>
    <xf numFmtId="0" fontId="8" fillId="7" borderId="2" xfId="0" applyFont="1" applyFill="1" applyBorder="1"/>
    <xf numFmtId="0" fontId="8" fillId="20" borderId="2" xfId="0" applyFont="1" applyFill="1" applyBorder="1"/>
    <xf numFmtId="0" fontId="8" fillId="20" borderId="2" xfId="0" applyFont="1" applyFill="1" applyBorder="1" applyAlignment="1"/>
    <xf numFmtId="0" fontId="0" fillId="4" borderId="1" xfId="0" applyFont="1" applyFill="1" applyBorder="1" applyAlignment="1"/>
    <xf numFmtId="0" fontId="0" fillId="4" borderId="1" xfId="0" applyFont="1" applyFill="1" applyBorder="1" applyAlignment="1">
      <alignment wrapText="1"/>
    </xf>
    <xf numFmtId="0" fontId="0" fillId="0" borderId="2" xfId="0" applyFont="1" applyBorder="1"/>
    <xf numFmtId="0" fontId="0" fillId="11" borderId="0" xfId="0" applyFont="1" applyFill="1" applyBorder="1"/>
    <xf numFmtId="0" fontId="1" fillId="8" borderId="0" xfId="0" applyFont="1" applyFill="1" applyBorder="1"/>
    <xf numFmtId="14" fontId="0" fillId="0" borderId="1" xfId="0" applyNumberFormat="1" applyFont="1" applyFill="1" applyBorder="1" applyAlignment="1"/>
    <xf numFmtId="0" fontId="0" fillId="0" borderId="4" xfId="0" applyFont="1" applyFill="1" applyBorder="1" applyAlignment="1"/>
    <xf numFmtId="0" fontId="0" fillId="0" borderId="0" xfId="0" applyNumberFormat="1" applyFont="1" applyAlignment="1"/>
    <xf numFmtId="0" fontId="0" fillId="0" borderId="0" xfId="0" applyNumberFormat="1" applyFont="1"/>
    <xf numFmtId="0" fontId="0" fillId="0" borderId="0" xfId="0" applyNumberFormat="1" applyFont="1" applyFill="1"/>
    <xf numFmtId="0" fontId="0" fillId="0" borderId="1" xfId="0" applyNumberFormat="1" applyFont="1" applyFill="1" applyBorder="1"/>
    <xf numFmtId="0" fontId="1" fillId="0" borderId="0" xfId="0" applyFont="1" applyFill="1" applyBorder="1"/>
    <xf numFmtId="14" fontId="0" fillId="12" borderId="1" xfId="0" applyNumberFormat="1" applyFont="1" applyFill="1" applyBorder="1"/>
    <xf numFmtId="0" fontId="0" fillId="0" borderId="0" xfId="0" applyNumberFormat="1" applyFont="1" applyFill="1" applyBorder="1"/>
    <xf numFmtId="14" fontId="0" fillId="20" borderId="0" xfId="0" applyNumberFormat="1" applyFont="1" applyFill="1"/>
    <xf numFmtId="0" fontId="0" fillId="20" borderId="0" xfId="0" applyFont="1" applyFill="1" applyBorder="1"/>
    <xf numFmtId="0" fontId="0" fillId="20" borderId="0" xfId="0" applyFont="1" applyFill="1"/>
    <xf numFmtId="0" fontId="0" fillId="20" borderId="0" xfId="0" applyFont="1" applyFill="1" applyBorder="1" applyAlignment="1"/>
    <xf numFmtId="14" fontId="0" fillId="20" borderId="0" xfId="0" applyNumberFormat="1" applyFont="1" applyFill="1" applyBorder="1"/>
    <xf numFmtId="0" fontId="0" fillId="9" borderId="0" xfId="0" applyFont="1" applyFill="1"/>
    <xf numFmtId="14" fontId="0" fillId="11" borderId="0" xfId="0" applyNumberFormat="1" applyFont="1" applyFill="1" applyBorder="1"/>
    <xf numFmtId="0" fontId="0" fillId="20" borderId="0" xfId="0" applyNumberFormat="1" applyFont="1" applyFill="1" applyBorder="1"/>
    <xf numFmtId="0" fontId="0" fillId="20" borderId="1" xfId="0" applyFont="1" applyFill="1" applyBorder="1"/>
    <xf numFmtId="14" fontId="0" fillId="20" borderId="1" xfId="0" applyNumberFormat="1" applyFont="1" applyFill="1" applyBorder="1"/>
    <xf numFmtId="0" fontId="0" fillId="20" borderId="1" xfId="0" applyNumberFormat="1" applyFont="1" applyFill="1" applyBorder="1"/>
    <xf numFmtId="0" fontId="0" fillId="7" borderId="1" xfId="0" applyFont="1" applyFill="1" applyBorder="1" applyAlignment="1"/>
    <xf numFmtId="0" fontId="0" fillId="22" borderId="1" xfId="0" applyFont="1" applyFill="1" applyBorder="1" applyAlignment="1"/>
    <xf numFmtId="0" fontId="0" fillId="20" borderId="4" xfId="0" applyFont="1" applyFill="1" applyBorder="1" applyAlignment="1"/>
    <xf numFmtId="0" fontId="0" fillId="20" borderId="4" xfId="0" applyFont="1" applyFill="1" applyBorder="1"/>
  </cellXfs>
  <cellStyles count="3662">
    <cellStyle name="Followed Hyperlink" xfId="68" builtinId="9" hidden="1"/>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66" builtinId="9" hidden="1"/>
    <cellStyle name="Followed Hyperlink" xfId="24" builtinId="9" hidden="1"/>
    <cellStyle name="Followed Hyperlink" xfId="26" builtinId="9" hidden="1"/>
    <cellStyle name="Followed Hyperlink" xfId="28" builtinId="9" hidden="1"/>
    <cellStyle name="Followed Hyperlink" xfId="32" builtinId="9" hidden="1"/>
    <cellStyle name="Followed Hyperlink" xfId="34" builtinId="9" hidden="1"/>
    <cellStyle name="Followed Hyperlink" xfId="36" builtinId="9" hidden="1"/>
    <cellStyle name="Followed Hyperlink" xfId="40" builtinId="9" hidden="1"/>
    <cellStyle name="Followed Hyperlink" xfId="42" builtinId="9" hidden="1"/>
    <cellStyle name="Followed Hyperlink" xfId="44" builtinId="9" hidden="1"/>
    <cellStyle name="Followed Hyperlink" xfId="48" builtinId="9" hidden="1"/>
    <cellStyle name="Followed Hyperlink" xfId="50" builtinId="9" hidden="1"/>
    <cellStyle name="Followed Hyperlink" xfId="52" builtinId="9" hidden="1"/>
    <cellStyle name="Followed Hyperlink" xfId="56" builtinId="9" hidden="1"/>
    <cellStyle name="Followed Hyperlink" xfId="58" builtinId="9" hidden="1"/>
    <cellStyle name="Followed Hyperlink" xfId="60" builtinId="9" hidden="1"/>
    <cellStyle name="Followed Hyperlink" xfId="64" builtinId="9" hidden="1"/>
    <cellStyle name="Followed Hyperlink" xfId="62" builtinId="9" hidden="1"/>
    <cellStyle name="Followed Hyperlink" xfId="54" builtinId="9" hidden="1"/>
    <cellStyle name="Followed Hyperlink" xfId="46" builtinId="9" hidden="1"/>
    <cellStyle name="Followed Hyperlink" xfId="38" builtinId="9" hidden="1"/>
    <cellStyle name="Followed Hyperlink" xfId="30" builtinId="9" hidden="1"/>
    <cellStyle name="Followed Hyperlink" xfId="22" builtinId="9" hidden="1"/>
    <cellStyle name="Followed Hyperlink" xfId="10" builtinId="9" hidden="1"/>
    <cellStyle name="Followed Hyperlink" xfId="12" builtinId="9" hidden="1"/>
    <cellStyle name="Followed Hyperlink" xfId="16" builtinId="9" hidden="1"/>
    <cellStyle name="Followed Hyperlink" xfId="18" builtinId="9" hidden="1"/>
    <cellStyle name="Followed Hyperlink" xfId="20" builtinId="9" hidden="1"/>
    <cellStyle name="Followed Hyperlink" xfId="14" builtinId="9" hidden="1"/>
    <cellStyle name="Followed Hyperlink" xfId="6" builtinId="9" hidden="1"/>
    <cellStyle name="Followed Hyperlink" xfId="8" builtinId="9" hidden="1"/>
    <cellStyle name="Followed Hyperlink" xfId="4" builtinId="9" hidden="1"/>
    <cellStyle name="Followed Hyperlink" xfId="2"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5" builtinId="9" hidden="1"/>
    <cellStyle name="Followed Hyperlink" xfId="2237"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Hyperlink" xfId="83" builtinId="8" hidden="1"/>
    <cellStyle name="Hyperlink" xfId="85" builtinId="8" hidden="1"/>
    <cellStyle name="Hyperlink" xfId="89" builtinId="8" hidden="1"/>
    <cellStyle name="Hyperlink" xfId="91" builtinId="8" hidden="1"/>
    <cellStyle name="Hyperlink" xfId="93" builtinId="8" hidden="1"/>
    <cellStyle name="Hyperlink" xfId="97" builtinId="8" hidden="1"/>
    <cellStyle name="Hyperlink" xfId="99" builtinId="8" hidden="1"/>
    <cellStyle name="Hyperlink" xfId="101" builtinId="8" hidden="1"/>
    <cellStyle name="Hyperlink" xfId="105" builtinId="8" hidden="1"/>
    <cellStyle name="Hyperlink" xfId="107" builtinId="8" hidden="1"/>
    <cellStyle name="Hyperlink" xfId="109" builtinId="8" hidden="1"/>
    <cellStyle name="Hyperlink" xfId="113" builtinId="8" hidden="1"/>
    <cellStyle name="Hyperlink" xfId="115" builtinId="8" hidden="1"/>
    <cellStyle name="Hyperlink" xfId="117" builtinId="8" hidden="1"/>
    <cellStyle name="Hyperlink" xfId="121" builtinId="8" hidden="1"/>
    <cellStyle name="Hyperlink" xfId="123" builtinId="8" hidden="1"/>
    <cellStyle name="Hyperlink" xfId="125" builtinId="8" hidden="1"/>
    <cellStyle name="Hyperlink" xfId="129" builtinId="8" hidden="1"/>
    <cellStyle name="Hyperlink" xfId="131" builtinId="8" hidden="1"/>
    <cellStyle name="Hyperlink" xfId="133" builtinId="8" hidden="1"/>
    <cellStyle name="Hyperlink" xfId="137" builtinId="8" hidden="1"/>
    <cellStyle name="Hyperlink" xfId="139" builtinId="8" hidden="1"/>
    <cellStyle name="Hyperlink" xfId="141" builtinId="8" hidden="1"/>
    <cellStyle name="Hyperlink" xfId="145" builtinId="8" hidden="1"/>
    <cellStyle name="Hyperlink" xfId="147" builtinId="8" hidden="1"/>
    <cellStyle name="Hyperlink" xfId="149" builtinId="8" hidden="1"/>
    <cellStyle name="Hyperlink" xfId="153" builtinId="8" hidden="1"/>
    <cellStyle name="Hyperlink" xfId="155" builtinId="8" hidden="1"/>
    <cellStyle name="Hyperlink" xfId="157" builtinId="8" hidden="1"/>
    <cellStyle name="Hyperlink" xfId="161" builtinId="8" hidden="1"/>
    <cellStyle name="Hyperlink" xfId="163" builtinId="8" hidden="1"/>
    <cellStyle name="Hyperlink" xfId="165" builtinId="8" hidden="1"/>
    <cellStyle name="Hyperlink" xfId="169" builtinId="8" hidden="1"/>
    <cellStyle name="Hyperlink" xfId="167" builtinId="8" hidden="1"/>
    <cellStyle name="Hyperlink" xfId="159" builtinId="8" hidden="1"/>
    <cellStyle name="Hyperlink" xfId="151" builtinId="8" hidden="1"/>
    <cellStyle name="Hyperlink" xfId="143" builtinId="8" hidden="1"/>
    <cellStyle name="Hyperlink" xfId="135" builtinId="8" hidden="1"/>
    <cellStyle name="Hyperlink" xfId="127" builtinId="8" hidden="1"/>
    <cellStyle name="Hyperlink" xfId="119" builtinId="8" hidden="1"/>
    <cellStyle name="Hyperlink" xfId="111" builtinId="8" hidden="1"/>
    <cellStyle name="Hyperlink" xfId="103" builtinId="8" hidden="1"/>
    <cellStyle name="Hyperlink" xfId="95" builtinId="8" hidden="1"/>
    <cellStyle name="Hyperlink" xfId="87" builtinId="8" hidden="1"/>
    <cellStyle name="Hyperlink" xfId="35" builtinId="8" hidden="1"/>
    <cellStyle name="Hyperlink" xfId="37"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71" builtinId="8" hidden="1"/>
    <cellStyle name="Hyperlink" xfId="55" builtinId="8" hidden="1"/>
    <cellStyle name="Hyperlink" xfId="39"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9" builtinId="8" hidden="1"/>
    <cellStyle name="Hyperlink" xfId="11" builtinId="8" hidden="1"/>
    <cellStyle name="Hyperlink" xfId="13" builtinId="8" hidden="1"/>
    <cellStyle name="Hyperlink" xfId="15" builtinId="8" hidden="1"/>
    <cellStyle name="Hyperlink" xfId="7" builtinId="8" hidden="1"/>
    <cellStyle name="Hyperlink" xfId="3" builtinId="8" hidden="1"/>
    <cellStyle name="Hyperlink" xfId="5" builtinId="8" hidden="1"/>
    <cellStyle name="Hyperlink" xfId="1"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34" builtinId="8" hidden="1"/>
    <cellStyle name="Hyperlink" xfId="2236" builtinId="8" hidden="1"/>
    <cellStyle name="Hyperlink" xfId="2238"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2"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Normal" xfId="0" builtinId="0"/>
  </cellStyles>
  <dxfs count="0"/>
  <tableStyles count="0" defaultTableStyle="TableStyleMedium9" defaultPivotStyle="PivotStyleMedium7"/>
  <colors>
    <mruColors>
      <color rgb="FF13FF00"/>
      <color rgb="FF8205FF"/>
      <color rgb="FFFF00FD"/>
      <color rgb="FFF4BA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00"/>
  <sheetViews>
    <sheetView workbookViewId="0">
      <pane ySplit="1" topLeftCell="A48" activePane="bottomLeft" state="frozen"/>
      <selection pane="bottomLeft" activeCell="A32" sqref="A32"/>
    </sheetView>
  </sheetViews>
  <sheetFormatPr baseColWidth="10" defaultColWidth="14.5" defaultRowHeight="15" customHeight="1" x14ac:dyDescent="0"/>
  <cols>
    <col min="1" max="1" width="9.1640625" customWidth="1"/>
    <col min="2" max="2" width="11.6640625" customWidth="1"/>
    <col min="3" max="3" width="11.33203125" customWidth="1"/>
    <col min="4" max="8" width="9.1640625" customWidth="1"/>
    <col min="9" max="9" width="11.33203125" customWidth="1"/>
    <col min="10" max="10" width="11.83203125" customWidth="1"/>
    <col min="11" max="17" width="9.1640625" customWidth="1"/>
    <col min="18" max="18" width="13.33203125" customWidth="1"/>
    <col min="19" max="27" width="9.1640625" customWidth="1"/>
    <col min="28" max="28" width="67.6640625" customWidth="1"/>
    <col min="29" max="30" width="9.1640625" customWidth="1"/>
  </cols>
  <sheetData>
    <row r="1" spans="1:30" s="1" customFormat="1" ht="31" customHeight="1">
      <c r="A1" s="1" t="s">
        <v>0</v>
      </c>
      <c r="B1" s="1" t="s">
        <v>1</v>
      </c>
      <c r="C1" s="1" t="s">
        <v>2</v>
      </c>
      <c r="D1" s="1" t="s">
        <v>3</v>
      </c>
      <c r="E1" s="1" t="s">
        <v>4</v>
      </c>
      <c r="F1" s="20" t="s">
        <v>5</v>
      </c>
      <c r="G1" s="1" t="s">
        <v>6</v>
      </c>
      <c r="H1" s="20" t="s">
        <v>7</v>
      </c>
      <c r="I1" s="1" t="s">
        <v>8</v>
      </c>
      <c r="J1" s="20" t="s">
        <v>9</v>
      </c>
      <c r="K1" s="20" t="s">
        <v>10</v>
      </c>
      <c r="L1" s="1" t="s">
        <v>11</v>
      </c>
      <c r="M1" s="1" t="s">
        <v>12</v>
      </c>
      <c r="N1" s="1" t="s">
        <v>13</v>
      </c>
      <c r="O1" s="20" t="s">
        <v>14</v>
      </c>
      <c r="P1" s="20" t="s">
        <v>15</v>
      </c>
      <c r="Q1" s="20" t="s">
        <v>16</v>
      </c>
      <c r="R1" s="1" t="s">
        <v>17</v>
      </c>
      <c r="S1" s="1" t="s">
        <v>18</v>
      </c>
      <c r="T1" s="1" t="s">
        <v>19</v>
      </c>
      <c r="V1" s="1" t="s">
        <v>20</v>
      </c>
      <c r="W1" s="1" t="s">
        <v>21</v>
      </c>
      <c r="X1" s="1" t="s">
        <v>22</v>
      </c>
      <c r="Z1" s="1" t="s">
        <v>23</v>
      </c>
      <c r="AA1" s="1" t="s">
        <v>24</v>
      </c>
      <c r="AB1" s="1" t="s">
        <v>25</v>
      </c>
      <c r="AC1" s="1" t="s">
        <v>26</v>
      </c>
      <c r="AD1" s="1" t="s">
        <v>27</v>
      </c>
    </row>
    <row r="2" spans="1:30" ht="14">
      <c r="A2" s="3" t="s">
        <v>28</v>
      </c>
      <c r="B2" s="3">
        <v>28612.526041666668</v>
      </c>
      <c r="C2" s="3">
        <v>47959.375</v>
      </c>
      <c r="D2" s="3"/>
      <c r="E2" s="3">
        <v>8</v>
      </c>
      <c r="F2" s="3">
        <v>8</v>
      </c>
      <c r="G2" s="5">
        <v>0.4145833333333333</v>
      </c>
      <c r="H2" s="5"/>
      <c r="I2" s="3">
        <f>28.4/3.3</f>
        <v>8.6060606060606055</v>
      </c>
      <c r="J2" s="3">
        <v>0.5</v>
      </c>
      <c r="K2" s="3"/>
      <c r="L2" s="3">
        <v>6.54</v>
      </c>
      <c r="M2" s="3">
        <v>3.87</v>
      </c>
      <c r="N2" s="3">
        <v>11.3</v>
      </c>
      <c r="O2" s="3">
        <v>9.3000000000000007</v>
      </c>
      <c r="P2" s="3"/>
      <c r="Q2" s="3"/>
      <c r="R2" s="3">
        <v>0.88013344873508303</v>
      </c>
      <c r="S2" s="3">
        <v>1.2807876698830662</v>
      </c>
      <c r="T2" s="3">
        <f>SUM(R2:S2)</f>
        <v>2.1609211186181492</v>
      </c>
      <c r="U2" s="3">
        <v>0.34156569491161365</v>
      </c>
      <c r="V2" s="3">
        <v>1.3623224521625825</v>
      </c>
      <c r="W2" s="3"/>
      <c r="X2" s="3"/>
      <c r="Y2" s="3"/>
      <c r="Z2" s="3"/>
      <c r="AA2" s="3"/>
      <c r="AB2" s="3" t="s">
        <v>29</v>
      </c>
      <c r="AC2" s="3"/>
      <c r="AD2" s="3"/>
    </row>
    <row r="3" spans="1:30" ht="14">
      <c r="A3" s="3" t="s">
        <v>28</v>
      </c>
      <c r="B3" s="3">
        <v>28612.526041666668</v>
      </c>
      <c r="C3" s="3">
        <v>47959.375</v>
      </c>
      <c r="D3" s="3"/>
      <c r="E3" s="3">
        <v>8</v>
      </c>
      <c r="F3" s="3">
        <v>8</v>
      </c>
      <c r="G3" s="5">
        <v>0.4145833333333333</v>
      </c>
      <c r="H3" s="5"/>
      <c r="I3" s="3">
        <v>8.6</v>
      </c>
      <c r="J3" s="3">
        <v>3.8</v>
      </c>
      <c r="K3" s="3"/>
      <c r="L3" s="3">
        <v>6.2</v>
      </c>
      <c r="M3" s="3">
        <v>3.5</v>
      </c>
      <c r="N3" s="3">
        <v>10.5</v>
      </c>
      <c r="O3" s="3">
        <v>13.5</v>
      </c>
      <c r="P3" s="3"/>
      <c r="Q3" s="3"/>
      <c r="R3" s="3"/>
      <c r="S3" s="3"/>
      <c r="T3" s="3"/>
      <c r="U3" s="3"/>
      <c r="V3" s="3"/>
      <c r="W3" s="3"/>
      <c r="X3" s="3"/>
      <c r="Y3" s="3"/>
      <c r="Z3" s="3"/>
      <c r="AA3" s="3"/>
      <c r="AB3" s="3"/>
      <c r="AC3" s="3"/>
      <c r="AD3" s="3"/>
    </row>
    <row r="4" spans="1:30" ht="14">
      <c r="A4" s="3" t="s">
        <v>28</v>
      </c>
      <c r="B4" s="3">
        <v>28612.526041666668</v>
      </c>
      <c r="C4" s="3">
        <v>47959.375</v>
      </c>
      <c r="D4" s="3"/>
      <c r="E4" s="3">
        <v>8</v>
      </c>
      <c r="F4" s="3">
        <v>8</v>
      </c>
      <c r="G4" s="5">
        <v>0.4145833333333333</v>
      </c>
      <c r="H4" s="5"/>
      <c r="I4" s="3">
        <v>8.6</v>
      </c>
      <c r="J4" s="3">
        <v>8.6999999999999993</v>
      </c>
      <c r="K4" s="3"/>
      <c r="L4" s="3">
        <v>6.2</v>
      </c>
      <c r="M4" s="3">
        <v>3.5</v>
      </c>
      <c r="N4" s="3">
        <v>7.18</v>
      </c>
      <c r="O4" s="3">
        <v>26.38</v>
      </c>
      <c r="P4" s="3"/>
      <c r="Q4" s="3"/>
      <c r="R4" s="3"/>
      <c r="S4" s="3"/>
      <c r="T4" s="3"/>
      <c r="U4" s="3"/>
      <c r="V4" s="3"/>
      <c r="W4" s="3"/>
      <c r="X4" s="3"/>
      <c r="Y4" s="3"/>
      <c r="Z4" s="3"/>
      <c r="AA4" s="3"/>
      <c r="AB4" s="3" t="s">
        <v>30</v>
      </c>
      <c r="AC4" s="3"/>
      <c r="AD4" s="3"/>
    </row>
    <row r="5" spans="1:30" ht="14">
      <c r="A5" s="3" t="s">
        <v>28</v>
      </c>
      <c r="B5" s="3">
        <v>28612.526041666668</v>
      </c>
      <c r="C5" s="3">
        <v>47959.375</v>
      </c>
      <c r="D5" s="3"/>
      <c r="E5" s="3">
        <v>5</v>
      </c>
      <c r="F5" s="3">
        <v>5</v>
      </c>
      <c r="G5" s="5">
        <v>0.53055555555555556</v>
      </c>
      <c r="H5" s="5"/>
      <c r="I5" s="3">
        <v>23.2</v>
      </c>
      <c r="J5" s="3">
        <v>1</v>
      </c>
      <c r="K5" s="3"/>
      <c r="L5" s="3">
        <v>8.7799999999999994</v>
      </c>
      <c r="M5" s="3">
        <v>4.3600000000000003</v>
      </c>
      <c r="N5" s="3">
        <v>12</v>
      </c>
      <c r="O5" s="3">
        <v>4.42</v>
      </c>
      <c r="P5" s="3"/>
      <c r="Q5" s="3"/>
      <c r="R5" s="3">
        <v>1.1100000000000001</v>
      </c>
      <c r="S5" s="3">
        <v>1.29</v>
      </c>
      <c r="T5" s="3">
        <f>SUM(R5:S5)</f>
        <v>2.4000000000000004</v>
      </c>
      <c r="U5" s="3"/>
      <c r="V5" s="7">
        <v>1.4080702445955524</v>
      </c>
      <c r="W5" s="3"/>
      <c r="X5" s="3"/>
      <c r="Y5" s="3"/>
      <c r="Z5" s="3"/>
      <c r="AA5" s="3"/>
      <c r="AB5" s="3"/>
      <c r="AC5" s="3"/>
      <c r="AD5" s="3"/>
    </row>
    <row r="6" spans="1:30" ht="14">
      <c r="A6" s="3" t="s">
        <v>28</v>
      </c>
      <c r="B6" s="3">
        <v>28612.526041666668</v>
      </c>
      <c r="C6" s="3">
        <v>47959.375</v>
      </c>
      <c r="D6" s="3"/>
      <c r="E6" s="3">
        <v>5</v>
      </c>
      <c r="F6" s="3">
        <v>5</v>
      </c>
      <c r="G6" s="5">
        <v>0.53055555555555556</v>
      </c>
      <c r="H6" s="5"/>
      <c r="I6" s="3">
        <v>23.2</v>
      </c>
      <c r="J6" s="3">
        <v>10</v>
      </c>
      <c r="K6" s="3"/>
      <c r="L6" s="3">
        <v>11.06</v>
      </c>
      <c r="M6" s="3">
        <v>1.7</v>
      </c>
      <c r="N6" s="3">
        <v>7</v>
      </c>
      <c r="O6" s="3">
        <v>31.32</v>
      </c>
      <c r="P6" s="3"/>
      <c r="Q6" s="3"/>
      <c r="R6" s="3"/>
      <c r="S6" s="3"/>
      <c r="T6" s="3"/>
      <c r="U6" s="3"/>
      <c r="V6" s="3"/>
      <c r="W6" s="3"/>
      <c r="X6" s="3"/>
      <c r="Y6" s="3"/>
      <c r="Z6" s="3"/>
      <c r="AA6" s="3"/>
      <c r="AB6" s="3"/>
      <c r="AC6" s="3"/>
      <c r="AD6" s="3"/>
    </row>
    <row r="7" spans="1:30" ht="14">
      <c r="A7" s="3" t="s">
        <v>28</v>
      </c>
      <c r="B7" s="3">
        <v>28612.526041666668</v>
      </c>
      <c r="C7" s="3">
        <v>47959.375</v>
      </c>
      <c r="D7" s="3"/>
      <c r="E7" s="3">
        <v>5</v>
      </c>
      <c r="F7" s="3">
        <v>5</v>
      </c>
      <c r="G7" s="5">
        <v>0.53055555555555556</v>
      </c>
      <c r="H7" s="5"/>
      <c r="I7" s="3">
        <v>23.2</v>
      </c>
      <c r="J7" s="3">
        <v>19.399999999999999</v>
      </c>
      <c r="K7" s="3"/>
      <c r="L7" s="3">
        <v>138.1</v>
      </c>
      <c r="M7" s="3">
        <v>7.7</v>
      </c>
      <c r="N7" s="3">
        <v>6.9</v>
      </c>
      <c r="O7" s="3">
        <v>31.7</v>
      </c>
      <c r="P7" s="3"/>
      <c r="Q7" s="3"/>
      <c r="R7" s="3"/>
      <c r="S7" s="3"/>
      <c r="T7" s="3"/>
      <c r="U7" s="3"/>
      <c r="V7" s="3"/>
      <c r="W7" s="3"/>
      <c r="X7" s="3"/>
      <c r="Y7" s="3"/>
      <c r="Z7" s="3"/>
      <c r="AA7" s="3"/>
      <c r="AB7" s="3"/>
      <c r="AC7" s="3"/>
      <c r="AD7" s="3"/>
    </row>
    <row r="8" spans="1:30" ht="14">
      <c r="A8" s="3" t="s">
        <v>28</v>
      </c>
      <c r="B8" s="3">
        <v>28612.526041666668</v>
      </c>
      <c r="C8" s="3">
        <v>47959.375</v>
      </c>
      <c r="D8" s="3"/>
      <c r="E8" s="3">
        <v>4</v>
      </c>
      <c r="F8" s="3">
        <v>4</v>
      </c>
      <c r="G8" s="5">
        <v>0.10416666666666667</v>
      </c>
      <c r="H8" s="5"/>
      <c r="I8" s="3">
        <v>10.5</v>
      </c>
      <c r="J8" s="3">
        <v>1</v>
      </c>
      <c r="K8" s="3"/>
      <c r="L8" s="3">
        <v>8.7799999999999994</v>
      </c>
      <c r="M8" s="3">
        <v>3.86</v>
      </c>
      <c r="N8" s="3">
        <v>11.2</v>
      </c>
      <c r="O8" s="3">
        <v>11</v>
      </c>
      <c r="P8" s="3"/>
      <c r="Q8" s="3"/>
      <c r="R8" s="3">
        <v>0.88760871902252347</v>
      </c>
      <c r="S8" s="3">
        <v>1.3168514053391054</v>
      </c>
      <c r="T8" s="3">
        <f>SUM(R8:S8)</f>
        <v>2.2044601243616286</v>
      </c>
      <c r="U8" s="3">
        <v>0.1494906424806402</v>
      </c>
      <c r="V8" s="3">
        <v>1.3569584602754861</v>
      </c>
      <c r="W8" s="3"/>
      <c r="X8" s="3"/>
      <c r="Y8" s="3"/>
      <c r="Z8" s="3"/>
      <c r="AA8" s="3"/>
      <c r="AB8" s="3"/>
      <c r="AC8" s="3"/>
      <c r="AD8" s="3"/>
    </row>
    <row r="9" spans="1:30" ht="14">
      <c r="A9" s="3" t="s">
        <v>28</v>
      </c>
      <c r="B9" s="3">
        <v>28612.526041666668</v>
      </c>
      <c r="C9" s="3">
        <v>47959.375</v>
      </c>
      <c r="D9" s="3"/>
      <c r="E9" s="3">
        <v>4</v>
      </c>
      <c r="F9" s="3">
        <v>4</v>
      </c>
      <c r="G9" s="5">
        <v>0.10416666666666667</v>
      </c>
      <c r="H9" s="5"/>
      <c r="I9" s="3">
        <v>10.5</v>
      </c>
      <c r="J9" s="3">
        <v>5.3</v>
      </c>
      <c r="K9" s="3"/>
      <c r="L9" s="3">
        <v>8.6999999999999993</v>
      </c>
      <c r="M9" s="3">
        <v>3.54</v>
      </c>
      <c r="N9" s="3">
        <v>9.9499999999999993</v>
      </c>
      <c r="O9" s="3">
        <v>15.9</v>
      </c>
      <c r="P9" s="3"/>
      <c r="Q9" s="3"/>
      <c r="R9" s="3"/>
      <c r="S9" s="3"/>
      <c r="T9" s="3"/>
      <c r="U9" s="3"/>
      <c r="V9" s="3"/>
      <c r="W9" s="3"/>
      <c r="X9" s="3"/>
      <c r="Y9" s="3"/>
      <c r="Z9" s="3"/>
      <c r="AA9" s="3"/>
      <c r="AB9" s="3"/>
      <c r="AC9" s="3"/>
      <c r="AD9" s="3"/>
    </row>
    <row r="10" spans="1:30" ht="14">
      <c r="A10" s="3" t="s">
        <v>28</v>
      </c>
      <c r="B10" s="3">
        <v>28612.526041666668</v>
      </c>
      <c r="C10" s="3">
        <v>47959.375</v>
      </c>
      <c r="D10" s="3"/>
      <c r="E10" s="3">
        <v>4</v>
      </c>
      <c r="F10" s="3">
        <v>4</v>
      </c>
      <c r="G10" s="5">
        <v>0.10416666666666667</v>
      </c>
      <c r="H10" s="5"/>
      <c r="I10" s="3">
        <v>10.5</v>
      </c>
      <c r="J10" s="3">
        <v>8.9499999999999993</v>
      </c>
      <c r="K10" s="3"/>
      <c r="L10" s="3">
        <v>27.7</v>
      </c>
      <c r="M10" s="3">
        <v>3.14</v>
      </c>
      <c r="N10" s="3">
        <v>7.56</v>
      </c>
      <c r="O10" s="3">
        <v>28.83</v>
      </c>
      <c r="P10" s="3"/>
      <c r="Q10" s="3"/>
      <c r="R10" s="3"/>
      <c r="S10" s="3"/>
      <c r="T10" s="3"/>
      <c r="U10" s="3"/>
      <c r="V10" s="3"/>
      <c r="W10" s="3"/>
      <c r="X10" s="3"/>
      <c r="Y10" s="3"/>
      <c r="Z10" s="3"/>
      <c r="AA10" s="3"/>
      <c r="AB10" s="3"/>
      <c r="AC10" s="3"/>
      <c r="AD10" s="3"/>
    </row>
    <row r="11" spans="1:30" ht="14">
      <c r="A11" s="3" t="s">
        <v>28</v>
      </c>
      <c r="B11" s="3">
        <v>28612.526041666668</v>
      </c>
      <c r="C11" s="3">
        <v>47959.375</v>
      </c>
      <c r="D11" s="3"/>
      <c r="E11" s="3">
        <v>2</v>
      </c>
      <c r="F11" s="3">
        <v>2</v>
      </c>
      <c r="G11" s="5">
        <v>0.19444444444444445</v>
      </c>
      <c r="H11" s="5"/>
      <c r="I11" s="3">
        <v>10.5</v>
      </c>
      <c r="J11" s="3">
        <v>0.84</v>
      </c>
      <c r="K11" s="3"/>
      <c r="L11" s="3">
        <v>11.66</v>
      </c>
      <c r="M11" s="3">
        <v>5.18</v>
      </c>
      <c r="N11" s="3">
        <v>11.7</v>
      </c>
      <c r="O11" s="3">
        <v>0.02</v>
      </c>
      <c r="P11" s="3"/>
      <c r="Q11" s="3"/>
      <c r="R11" s="3">
        <v>1.2255839748415838</v>
      </c>
      <c r="S11" s="3">
        <v>1.3659596966560008</v>
      </c>
      <c r="T11" s="3">
        <f>SUM(R11:S11)</f>
        <v>2.5915436714975844</v>
      </c>
      <c r="U11" s="3">
        <v>0.11607135166037909</v>
      </c>
      <c r="V11" s="3">
        <v>1.41566163502438</v>
      </c>
      <c r="W11" s="3"/>
      <c r="X11" s="3"/>
      <c r="Y11" s="3"/>
      <c r="Z11" s="3"/>
      <c r="AA11" s="3"/>
      <c r="AB11" s="3"/>
      <c r="AC11" s="3"/>
      <c r="AD11" s="3"/>
    </row>
    <row r="12" spans="1:30" ht="14">
      <c r="A12" s="3" t="s">
        <v>28</v>
      </c>
      <c r="B12" s="3">
        <v>28612.526041666668</v>
      </c>
      <c r="C12" s="3">
        <v>47959.375</v>
      </c>
      <c r="D12" s="3"/>
      <c r="E12" s="3">
        <v>2</v>
      </c>
      <c r="F12" s="3">
        <v>2</v>
      </c>
      <c r="G12" s="5">
        <v>0.19444444444444445</v>
      </c>
      <c r="H12" s="5"/>
      <c r="I12" s="3">
        <v>10.5</v>
      </c>
      <c r="J12" s="3">
        <v>4.5999999999999996</v>
      </c>
      <c r="K12" s="3"/>
      <c r="L12" s="3">
        <v>19.52</v>
      </c>
      <c r="M12" s="3">
        <v>5.23</v>
      </c>
      <c r="N12" s="3">
        <v>11.67</v>
      </c>
      <c r="O12" s="3">
        <v>0.02</v>
      </c>
      <c r="P12" s="3"/>
      <c r="Q12" s="3"/>
      <c r="R12" s="3"/>
      <c r="S12" s="3"/>
      <c r="T12" s="3"/>
      <c r="U12" s="3"/>
      <c r="V12" s="3"/>
      <c r="W12" s="3"/>
      <c r="X12" s="3"/>
      <c r="Y12" s="3"/>
      <c r="Z12" s="3"/>
      <c r="AA12" s="3"/>
      <c r="AB12" s="3"/>
      <c r="AC12" s="3"/>
      <c r="AD12" s="3"/>
    </row>
    <row r="13" spans="1:30" ht="14">
      <c r="A13" s="3" t="s">
        <v>28</v>
      </c>
      <c r="B13" s="3">
        <v>28612.526041666668</v>
      </c>
      <c r="C13" s="3">
        <v>47959.375</v>
      </c>
      <c r="D13" s="3"/>
      <c r="E13" s="3">
        <v>2</v>
      </c>
      <c r="F13" s="3">
        <v>2</v>
      </c>
      <c r="G13" s="5">
        <v>0.19444444444444445</v>
      </c>
      <c r="H13" s="5"/>
      <c r="I13" s="3">
        <v>10.5</v>
      </c>
      <c r="J13" s="3">
        <v>9.0399999999999991</v>
      </c>
      <c r="K13" s="3"/>
      <c r="L13" s="3">
        <v>34.92</v>
      </c>
      <c r="M13" s="3">
        <v>5.43</v>
      </c>
      <c r="N13" s="3">
        <v>11.6</v>
      </c>
      <c r="O13" s="3">
        <v>0.02</v>
      </c>
      <c r="P13" s="3"/>
      <c r="Q13" s="3"/>
      <c r="R13" s="3"/>
      <c r="S13" s="3"/>
      <c r="T13" s="3"/>
      <c r="U13" s="3"/>
      <c r="V13" s="3"/>
      <c r="W13" s="3"/>
      <c r="X13" s="3"/>
      <c r="Y13" s="3"/>
      <c r="Z13" s="3"/>
      <c r="AA13" s="3"/>
      <c r="AB13" s="3"/>
      <c r="AC13" s="3"/>
      <c r="AD13" s="3"/>
    </row>
    <row r="14" spans="1:30" ht="14">
      <c r="A14" s="3" t="s">
        <v>31</v>
      </c>
      <c r="B14" s="3">
        <v>19317.447916666668</v>
      </c>
      <c r="C14" s="3">
        <v>12172.569444444445</v>
      </c>
      <c r="D14" s="3"/>
      <c r="E14" s="3">
        <v>8</v>
      </c>
      <c r="F14" s="3">
        <v>8</v>
      </c>
      <c r="G14" s="5">
        <v>0.3840277777777778</v>
      </c>
      <c r="H14" s="5"/>
      <c r="I14" s="3">
        <v>10.5</v>
      </c>
      <c r="J14" s="3">
        <v>0.56999999999999995</v>
      </c>
      <c r="K14" s="3"/>
      <c r="L14" s="3">
        <v>4.91</v>
      </c>
      <c r="M14" s="3">
        <v>2.2000000000000002</v>
      </c>
      <c r="N14" s="3">
        <v>12.5</v>
      </c>
      <c r="O14" s="3">
        <v>24.5</v>
      </c>
      <c r="P14" s="3"/>
      <c r="Q14" s="3"/>
      <c r="R14" s="3">
        <v>1.4625720644828011</v>
      </c>
      <c r="S14" s="3">
        <v>0.74471859587428879</v>
      </c>
      <c r="T14" s="3">
        <f>SUM(R14:S14)</f>
        <v>2.2072906603570899</v>
      </c>
      <c r="U14" s="3">
        <v>7.4671092041140221E-3</v>
      </c>
      <c r="V14" s="3">
        <v>1.5610385005065857</v>
      </c>
      <c r="W14" s="3"/>
      <c r="X14" s="3"/>
      <c r="Y14" s="3"/>
      <c r="Z14" s="3"/>
      <c r="AA14" s="3"/>
      <c r="AB14" s="3" t="s">
        <v>32</v>
      </c>
      <c r="AC14" s="3"/>
      <c r="AD14" s="3"/>
    </row>
    <row r="15" spans="1:30" ht="14">
      <c r="A15" s="3" t="s">
        <v>31</v>
      </c>
      <c r="B15" s="3">
        <v>19317.447916666668</v>
      </c>
      <c r="C15" s="3">
        <v>12172.569444444445</v>
      </c>
      <c r="D15" s="3"/>
      <c r="E15" s="3">
        <v>8</v>
      </c>
      <c r="F15" s="3">
        <v>8</v>
      </c>
      <c r="G15" s="5">
        <v>0.3840277777777778</v>
      </c>
      <c r="H15" s="5"/>
      <c r="I15" s="3">
        <v>10.5</v>
      </c>
      <c r="J15" s="3">
        <v>4.8</v>
      </c>
      <c r="K15" s="3"/>
      <c r="L15" s="3">
        <v>5.2</v>
      </c>
      <c r="M15" s="3">
        <v>2.75</v>
      </c>
      <c r="N15" s="3">
        <v>11.2</v>
      </c>
      <c r="O15" s="3">
        <v>27</v>
      </c>
      <c r="P15" s="3"/>
      <c r="Q15" s="3"/>
      <c r="R15" s="3"/>
      <c r="S15" s="3"/>
      <c r="T15" s="3"/>
      <c r="U15" s="3"/>
      <c r="V15" s="3"/>
      <c r="W15" s="3"/>
      <c r="X15" s="3"/>
      <c r="Y15" s="3"/>
      <c r="Z15" s="3"/>
      <c r="AA15" s="3"/>
      <c r="AB15" s="3"/>
      <c r="AC15" s="3"/>
      <c r="AD15" s="3"/>
    </row>
    <row r="16" spans="1:30" ht="14">
      <c r="A16" s="3" t="s">
        <v>31</v>
      </c>
      <c r="B16" s="3">
        <v>19317.447916666668</v>
      </c>
      <c r="C16" s="3">
        <v>12172.569444444445</v>
      </c>
      <c r="D16" s="3"/>
      <c r="E16" s="3">
        <v>8</v>
      </c>
      <c r="F16" s="3">
        <v>8</v>
      </c>
      <c r="G16" s="5">
        <v>0.3840277777777778</v>
      </c>
      <c r="H16" s="5"/>
      <c r="I16" s="3">
        <v>10.5</v>
      </c>
      <c r="J16" s="3">
        <v>9.6</v>
      </c>
      <c r="K16" s="3"/>
      <c r="L16" s="3">
        <v>18.7</v>
      </c>
      <c r="M16" s="3">
        <v>3.7</v>
      </c>
      <c r="N16" s="3">
        <v>9.9</v>
      </c>
      <c r="O16" s="3">
        <v>30.2</v>
      </c>
      <c r="P16" s="3"/>
      <c r="Q16" s="3"/>
      <c r="R16" s="3"/>
      <c r="S16" s="3"/>
      <c r="T16" s="3"/>
      <c r="U16" s="3"/>
      <c r="V16" s="3"/>
      <c r="W16" s="3"/>
      <c r="X16" s="3"/>
      <c r="Y16" s="3"/>
      <c r="Z16" s="3"/>
      <c r="AA16" s="3"/>
      <c r="AB16" s="3"/>
      <c r="AC16" s="3"/>
      <c r="AD16" s="3"/>
    </row>
    <row r="17" spans="1:30" ht="14">
      <c r="A17" s="3" t="s">
        <v>31</v>
      </c>
      <c r="B17" s="3">
        <v>19317.447916666668</v>
      </c>
      <c r="C17" s="3">
        <v>12172.569444444445</v>
      </c>
      <c r="D17" s="3"/>
      <c r="E17" s="3">
        <v>5</v>
      </c>
      <c r="F17" s="3">
        <v>5</v>
      </c>
      <c r="G17" s="5">
        <v>0.44097222222222227</v>
      </c>
      <c r="H17" s="5"/>
      <c r="I17" s="3">
        <v>22</v>
      </c>
      <c r="J17" s="3">
        <v>0.79600000000000004</v>
      </c>
      <c r="K17" s="3"/>
      <c r="L17" s="3">
        <v>4.5999999999999996</v>
      </c>
      <c r="M17" s="3">
        <v>3.3</v>
      </c>
      <c r="N17" s="3">
        <v>14.5</v>
      </c>
      <c r="O17" s="3">
        <v>20.2</v>
      </c>
      <c r="P17" s="3"/>
      <c r="Q17" s="3"/>
      <c r="R17" s="3">
        <v>1.4</v>
      </c>
      <c r="S17" s="3">
        <v>0.88</v>
      </c>
      <c r="T17" s="3">
        <f>SUM(R17:S17)</f>
        <v>2.2799999999999998</v>
      </c>
      <c r="U17" s="3"/>
      <c r="V17" s="3"/>
      <c r="W17" s="3"/>
      <c r="X17" s="3"/>
      <c r="Y17" s="3"/>
      <c r="Z17" s="3"/>
      <c r="AA17" s="3"/>
      <c r="AB17" s="3"/>
      <c r="AC17" s="3"/>
      <c r="AD17" s="3"/>
    </row>
    <row r="18" spans="1:30" ht="14">
      <c r="A18" s="3" t="s">
        <v>31</v>
      </c>
      <c r="B18" s="3">
        <v>19317.447916666668</v>
      </c>
      <c r="C18" s="3">
        <v>12172.569444444445</v>
      </c>
      <c r="D18" s="3"/>
      <c r="E18" s="3">
        <v>5</v>
      </c>
      <c r="F18" s="3">
        <v>5</v>
      </c>
      <c r="G18" s="5">
        <v>0.44097222222222227</v>
      </c>
      <c r="H18" s="5"/>
      <c r="I18" s="3">
        <v>22</v>
      </c>
      <c r="J18" s="3">
        <v>10.3</v>
      </c>
      <c r="K18" s="3"/>
      <c r="L18" s="3">
        <v>13.5</v>
      </c>
      <c r="M18" s="3">
        <v>3.12</v>
      </c>
      <c r="N18" s="3">
        <v>11.1</v>
      </c>
      <c r="O18" s="3">
        <v>27.8</v>
      </c>
      <c r="P18" s="3"/>
      <c r="Q18" s="3"/>
      <c r="R18" s="3"/>
      <c r="S18" s="3"/>
      <c r="T18" s="3"/>
      <c r="U18" s="3"/>
      <c r="V18" s="3"/>
      <c r="W18" s="3"/>
      <c r="X18" s="3"/>
      <c r="Y18" s="3"/>
      <c r="Z18" s="3"/>
      <c r="AA18" s="3"/>
      <c r="AB18" s="3"/>
      <c r="AC18" s="3"/>
      <c r="AD18" s="3"/>
    </row>
    <row r="19" spans="1:30" ht="14">
      <c r="A19" s="3" t="s">
        <v>31</v>
      </c>
      <c r="B19" s="3">
        <v>19317.447916666668</v>
      </c>
      <c r="C19" s="3">
        <v>12172.569444444445</v>
      </c>
      <c r="D19" s="3"/>
      <c r="E19" s="3">
        <v>5</v>
      </c>
      <c r="F19" s="3">
        <v>5</v>
      </c>
      <c r="G19" s="5">
        <v>0.44097222222222227</v>
      </c>
      <c r="H19" s="5"/>
      <c r="I19" s="3">
        <v>22</v>
      </c>
      <c r="J19" s="3">
        <v>20.7</v>
      </c>
      <c r="K19" s="3"/>
      <c r="L19" s="3">
        <v>320</v>
      </c>
      <c r="M19" s="3">
        <v>11.3</v>
      </c>
      <c r="N19" s="3">
        <v>9.6</v>
      </c>
      <c r="O19" s="3">
        <v>30.8</v>
      </c>
      <c r="P19" s="3"/>
      <c r="Q19" s="3"/>
      <c r="R19" s="3"/>
      <c r="S19" s="3"/>
      <c r="T19" s="3"/>
      <c r="U19" s="3"/>
      <c r="V19" s="3"/>
      <c r="W19" s="3"/>
      <c r="X19" s="3"/>
      <c r="Y19" s="3"/>
      <c r="Z19" s="3"/>
      <c r="AA19" s="3"/>
      <c r="AB19" s="3"/>
      <c r="AC19" s="3"/>
      <c r="AD19" s="3"/>
    </row>
    <row r="20" spans="1:30" ht="14">
      <c r="A20" s="3" t="s">
        <v>31</v>
      </c>
      <c r="B20" s="3">
        <v>19317.447916666668</v>
      </c>
      <c r="C20" s="3">
        <v>12172.569444444445</v>
      </c>
      <c r="D20" s="3"/>
      <c r="E20" s="3">
        <v>4</v>
      </c>
      <c r="F20" s="3">
        <v>4</v>
      </c>
      <c r="G20" s="5">
        <v>0.49583333333333335</v>
      </c>
      <c r="H20" s="5"/>
      <c r="I20" s="3">
        <f>34.5/3.3</f>
        <v>10.454545454545455</v>
      </c>
      <c r="J20" s="3">
        <v>0.83</v>
      </c>
      <c r="K20" s="3"/>
      <c r="L20" s="3">
        <v>12.77</v>
      </c>
      <c r="M20" s="3">
        <v>3.18</v>
      </c>
      <c r="N20" s="3">
        <v>13.6</v>
      </c>
      <c r="O20" s="3">
        <v>22.6</v>
      </c>
      <c r="P20" s="3"/>
      <c r="Q20" s="3"/>
      <c r="R20" s="3">
        <v>1.75</v>
      </c>
      <c r="S20" s="3">
        <v>1.32</v>
      </c>
      <c r="T20" s="3">
        <f>SUM(R20:S20)</f>
        <v>3.0700000000000003</v>
      </c>
      <c r="U20" s="3"/>
      <c r="V20" s="3"/>
      <c r="W20" s="3"/>
      <c r="X20" s="3"/>
      <c r="Y20" s="3"/>
      <c r="Z20" s="3"/>
      <c r="AA20" s="3"/>
      <c r="AB20" s="3"/>
      <c r="AC20" s="3"/>
      <c r="AD20" s="3"/>
    </row>
    <row r="21" spans="1:30" ht="14">
      <c r="A21" s="3" t="s">
        <v>31</v>
      </c>
      <c r="B21" s="3">
        <v>19317.447916666668</v>
      </c>
      <c r="C21" s="3">
        <v>12172.569444444445</v>
      </c>
      <c r="D21" s="3"/>
      <c r="E21" s="3">
        <v>4</v>
      </c>
      <c r="F21" s="3">
        <v>4</v>
      </c>
      <c r="G21" s="5">
        <v>0.49583333333333335</v>
      </c>
      <c r="H21" s="5"/>
      <c r="I21" s="3">
        <v>10.5</v>
      </c>
      <c r="J21" s="3">
        <v>4.8499999999999996</v>
      </c>
      <c r="K21" s="3"/>
      <c r="L21" s="3">
        <v>31.9</v>
      </c>
      <c r="M21" s="3">
        <v>3.72</v>
      </c>
      <c r="N21" s="3">
        <v>11.8</v>
      </c>
      <c r="O21" s="3">
        <v>25.8</v>
      </c>
      <c r="P21" s="3"/>
      <c r="Q21" s="3"/>
      <c r="R21" s="3"/>
      <c r="S21" s="3"/>
      <c r="T21" s="3"/>
      <c r="U21" s="3"/>
      <c r="V21" s="3"/>
      <c r="W21" s="3"/>
      <c r="X21" s="3"/>
      <c r="Y21" s="3"/>
      <c r="Z21" s="3"/>
      <c r="AA21" s="3"/>
      <c r="AB21" s="3"/>
      <c r="AC21" s="3"/>
      <c r="AD21" s="3"/>
    </row>
    <row r="22" spans="1:30" ht="14">
      <c r="A22" s="3" t="s">
        <v>31</v>
      </c>
      <c r="B22" s="3">
        <v>19317.447916666701</v>
      </c>
      <c r="C22" s="3">
        <v>12172.5694444444</v>
      </c>
      <c r="D22" s="3"/>
      <c r="E22" s="3">
        <v>4</v>
      </c>
      <c r="F22" s="3">
        <v>4</v>
      </c>
      <c r="G22" s="5">
        <v>0.49583333333333335</v>
      </c>
      <c r="H22" s="5"/>
      <c r="I22" s="3">
        <v>10.5</v>
      </c>
      <c r="J22" s="3">
        <v>9.25</v>
      </c>
      <c r="K22" s="3"/>
      <c r="L22" s="3">
        <v>47.9</v>
      </c>
      <c r="M22" s="3">
        <v>4.63</v>
      </c>
      <c r="N22" s="3">
        <v>11.4</v>
      </c>
      <c r="O22" s="3">
        <v>26.8</v>
      </c>
      <c r="P22" s="3"/>
      <c r="Q22" s="3"/>
      <c r="R22" s="3"/>
      <c r="S22" s="3"/>
      <c r="T22" s="3"/>
      <c r="U22" s="3"/>
      <c r="V22" s="3"/>
      <c r="W22" s="3"/>
      <c r="X22" s="3"/>
      <c r="Y22" s="3"/>
      <c r="Z22" s="3"/>
      <c r="AA22" s="3"/>
      <c r="AB22" s="3"/>
      <c r="AC22" s="3"/>
      <c r="AD22" s="3"/>
    </row>
    <row r="23" spans="1:30" ht="14">
      <c r="A23" s="3" t="s">
        <v>31</v>
      </c>
      <c r="B23" s="3">
        <v>19317.447916666701</v>
      </c>
      <c r="C23" s="3">
        <v>12172.5694444444</v>
      </c>
      <c r="D23" s="3"/>
      <c r="E23" s="3">
        <v>2</v>
      </c>
      <c r="F23" s="3">
        <v>2</v>
      </c>
      <c r="G23" s="5">
        <v>6.1111111111111116E-2</v>
      </c>
      <c r="H23" s="5"/>
      <c r="I23" s="3">
        <f t="shared" ref="I23:I24" si="0">38.4/3.3</f>
        <v>11.636363636363637</v>
      </c>
      <c r="J23" s="3">
        <v>0.5</v>
      </c>
      <c r="K23" s="3"/>
      <c r="L23" s="3">
        <v>6.3</v>
      </c>
      <c r="M23" s="3">
        <v>3.5</v>
      </c>
      <c r="N23" s="3">
        <v>19.100000000000001</v>
      </c>
      <c r="O23" s="3">
        <v>6.3</v>
      </c>
      <c r="P23" s="3"/>
      <c r="Q23" s="3"/>
      <c r="R23" s="3">
        <v>0.99</v>
      </c>
      <c r="S23" s="3">
        <v>0.24</v>
      </c>
      <c r="T23" s="3">
        <f>SUM(R23:S23)</f>
        <v>1.23</v>
      </c>
      <c r="U23" s="3"/>
      <c r="V23" s="3"/>
      <c r="W23" s="3"/>
      <c r="X23" s="3"/>
      <c r="Y23" s="3"/>
      <c r="Z23" s="3"/>
      <c r="AA23" s="3"/>
      <c r="AB23" s="3"/>
      <c r="AC23" s="3"/>
      <c r="AD23" s="3"/>
    </row>
    <row r="24" spans="1:30" ht="14">
      <c r="A24" s="3" t="s">
        <v>31</v>
      </c>
      <c r="B24" s="3">
        <v>19317.447916666701</v>
      </c>
      <c r="C24" s="3">
        <v>12172.5694444444</v>
      </c>
      <c r="D24" s="3"/>
      <c r="E24" s="3">
        <v>2</v>
      </c>
      <c r="F24" s="3">
        <v>2</v>
      </c>
      <c r="G24" s="5">
        <v>6.1111111111111116E-2</v>
      </c>
      <c r="H24" s="5"/>
      <c r="I24" s="3">
        <f t="shared" si="0"/>
        <v>11.636363636363637</v>
      </c>
      <c r="J24" s="3">
        <v>6</v>
      </c>
      <c r="K24" s="3"/>
      <c r="L24" s="3">
        <v>10.5</v>
      </c>
      <c r="M24" s="3">
        <v>3.8</v>
      </c>
      <c r="N24" s="3">
        <v>17.3</v>
      </c>
      <c r="O24" s="3">
        <v>11.5</v>
      </c>
      <c r="P24" s="3"/>
      <c r="Q24" s="3"/>
      <c r="R24" s="3"/>
      <c r="S24" s="3"/>
      <c r="T24" s="3"/>
      <c r="U24" s="3"/>
      <c r="V24" s="3"/>
      <c r="W24" s="3"/>
      <c r="X24" s="3"/>
      <c r="Y24" s="3"/>
      <c r="Z24" s="3"/>
      <c r="AA24" s="3"/>
      <c r="AB24" s="3"/>
      <c r="AC24" s="3"/>
      <c r="AD24" s="3"/>
    </row>
    <row r="25" spans="1:30" ht="14">
      <c r="A25" s="3" t="s">
        <v>31</v>
      </c>
      <c r="B25" s="3">
        <v>19317.447916666701</v>
      </c>
      <c r="C25" s="3">
        <v>12172.5694444444</v>
      </c>
      <c r="D25" s="3"/>
      <c r="E25" s="3">
        <v>2</v>
      </c>
      <c r="F25" s="3">
        <v>2</v>
      </c>
      <c r="G25" s="5">
        <v>6.1111111111111116E-2</v>
      </c>
      <c r="H25" s="5"/>
      <c r="I25" s="3">
        <v>11.6</v>
      </c>
      <c r="J25" s="3">
        <v>12.2</v>
      </c>
      <c r="K25" s="3"/>
      <c r="L25" s="3">
        <v>10.65</v>
      </c>
      <c r="M25" s="3">
        <v>3.2</v>
      </c>
      <c r="N25" s="3">
        <v>14.3</v>
      </c>
      <c r="O25" s="3">
        <v>19.7</v>
      </c>
      <c r="P25" s="3"/>
      <c r="Q25" s="3"/>
      <c r="R25" s="3"/>
      <c r="S25" s="3"/>
      <c r="T25" s="3"/>
      <c r="U25" s="3"/>
      <c r="V25" s="3"/>
      <c r="W25" s="3"/>
      <c r="X25" s="3"/>
      <c r="Y25" s="3"/>
      <c r="Z25" s="3"/>
      <c r="AA25" s="3"/>
      <c r="AB25" s="3"/>
      <c r="AC25" s="3"/>
      <c r="AD25" s="3"/>
    </row>
    <row r="26" spans="1:30" ht="14">
      <c r="A26" s="3" t="s">
        <v>33</v>
      </c>
      <c r="B26" s="3">
        <v>11782.5390625</v>
      </c>
      <c r="C26" s="3">
        <v>12266.666666666666</v>
      </c>
      <c r="D26" s="3"/>
      <c r="E26" s="3">
        <v>8</v>
      </c>
      <c r="F26" s="3">
        <v>8</v>
      </c>
      <c r="G26" s="5">
        <v>0.36319444444444443</v>
      </c>
      <c r="H26" s="5"/>
      <c r="I26" s="3">
        <f t="shared" ref="I26:I28" si="1">45/3.3</f>
        <v>13.636363636363637</v>
      </c>
      <c r="J26" s="3">
        <v>1</v>
      </c>
      <c r="K26" s="3"/>
      <c r="L26" s="3">
        <v>5.9</v>
      </c>
      <c r="M26" s="3">
        <v>3.2</v>
      </c>
      <c r="N26" s="3">
        <v>16.899999999999999</v>
      </c>
      <c r="O26" s="3">
        <v>20.100000000000001</v>
      </c>
      <c r="P26" s="3"/>
      <c r="Q26" s="3"/>
      <c r="R26" s="3">
        <v>2.17</v>
      </c>
      <c r="S26" s="3">
        <v>1.39</v>
      </c>
      <c r="T26" s="3">
        <f>SUM(R26:S26)</f>
        <v>3.5599999999999996</v>
      </c>
      <c r="U26" s="3"/>
      <c r="V26" s="3"/>
      <c r="W26" s="3"/>
      <c r="X26" s="3"/>
      <c r="Y26" s="3"/>
      <c r="Z26" s="3"/>
      <c r="AA26" s="3"/>
      <c r="AB26" s="3"/>
      <c r="AC26" s="3"/>
      <c r="AD26" s="3"/>
    </row>
    <row r="27" spans="1:30" ht="14">
      <c r="A27" s="3" t="s">
        <v>33</v>
      </c>
      <c r="B27" s="3">
        <v>11782.5390625</v>
      </c>
      <c r="C27" s="3">
        <v>12266.666666666666</v>
      </c>
      <c r="D27" s="3"/>
      <c r="E27" s="3">
        <v>8</v>
      </c>
      <c r="F27" s="3">
        <v>8</v>
      </c>
      <c r="G27" s="5">
        <v>0.36319444444444443</v>
      </c>
      <c r="H27" s="5"/>
      <c r="I27" s="3">
        <f t="shared" si="1"/>
        <v>13.636363636363637</v>
      </c>
      <c r="J27" s="3">
        <v>5.9</v>
      </c>
      <c r="K27" s="3"/>
      <c r="L27" s="3">
        <v>5.8</v>
      </c>
      <c r="M27" s="3">
        <v>3.6</v>
      </c>
      <c r="N27" s="3">
        <v>13.9</v>
      </c>
      <c r="O27" s="3">
        <v>26.8</v>
      </c>
      <c r="P27" s="3"/>
      <c r="Q27" s="3"/>
      <c r="R27" s="3"/>
      <c r="S27" s="3"/>
      <c r="T27" s="3"/>
      <c r="U27" s="3"/>
      <c r="V27" s="3"/>
      <c r="W27" s="3"/>
      <c r="X27" s="3"/>
      <c r="Y27" s="3"/>
      <c r="Z27" s="3"/>
      <c r="AA27" s="3"/>
      <c r="AB27" s="3"/>
      <c r="AC27" s="3"/>
      <c r="AD27" s="3"/>
    </row>
    <row r="28" spans="1:30" ht="14">
      <c r="A28" s="3" t="s">
        <v>33</v>
      </c>
      <c r="B28" s="3">
        <v>11782.5390625</v>
      </c>
      <c r="C28" s="3">
        <v>12266.666666666666</v>
      </c>
      <c r="D28" s="3"/>
      <c r="E28" s="3">
        <v>8</v>
      </c>
      <c r="F28" s="3">
        <v>8</v>
      </c>
      <c r="G28" s="5">
        <v>0.36319444444444443</v>
      </c>
      <c r="H28" s="5"/>
      <c r="I28" s="3">
        <f t="shared" si="1"/>
        <v>13.636363636363637</v>
      </c>
      <c r="J28" s="3">
        <v>12.3</v>
      </c>
      <c r="K28" s="3"/>
      <c r="L28" s="3">
        <v>64</v>
      </c>
      <c r="M28" s="3">
        <v>12.7</v>
      </c>
      <c r="N28" s="3">
        <v>11.8</v>
      </c>
      <c r="O28" s="3">
        <v>30.7</v>
      </c>
      <c r="P28" s="3"/>
      <c r="Q28" s="3"/>
      <c r="R28" s="3"/>
      <c r="S28" s="3"/>
      <c r="T28" s="3"/>
      <c r="U28" s="3"/>
      <c r="V28" s="3"/>
      <c r="W28" s="3"/>
      <c r="X28" s="3"/>
      <c r="Y28" s="3"/>
      <c r="Z28" s="3"/>
      <c r="AA28" s="3"/>
      <c r="AB28" s="3"/>
      <c r="AC28" s="3"/>
      <c r="AD28" s="3"/>
    </row>
    <row r="29" spans="1:30" ht="14">
      <c r="A29" s="3" t="s">
        <v>33</v>
      </c>
      <c r="B29" s="3">
        <v>11782.5390625</v>
      </c>
      <c r="C29" s="3">
        <v>12266.666666666666</v>
      </c>
      <c r="D29" s="3"/>
      <c r="E29" s="3">
        <v>5</v>
      </c>
      <c r="F29" s="3">
        <v>5</v>
      </c>
      <c r="G29" s="5">
        <v>0.41111111111111115</v>
      </c>
      <c r="H29" s="5"/>
      <c r="I29" s="3">
        <f t="shared" ref="I29:I31" si="2">69/3.3</f>
        <v>20.90909090909091</v>
      </c>
      <c r="J29" s="3">
        <v>1.1000000000000001</v>
      </c>
      <c r="K29" s="3"/>
      <c r="L29" s="3">
        <v>7.6</v>
      </c>
      <c r="M29" s="3">
        <v>4.3</v>
      </c>
      <c r="N29" s="3">
        <v>18.7</v>
      </c>
      <c r="O29" s="3">
        <v>15.2</v>
      </c>
      <c r="P29" s="3"/>
      <c r="Q29" s="3"/>
      <c r="R29" s="3">
        <v>2.19</v>
      </c>
      <c r="S29" s="3">
        <v>1.38</v>
      </c>
      <c r="T29" s="3">
        <f>SUM(R29:S29)</f>
        <v>3.57</v>
      </c>
      <c r="U29" s="3"/>
      <c r="V29" s="3"/>
      <c r="W29" s="3"/>
      <c r="X29" s="3"/>
      <c r="Y29" s="3"/>
      <c r="Z29" s="3"/>
      <c r="AA29" s="3"/>
      <c r="AB29" s="3"/>
      <c r="AC29" s="3"/>
      <c r="AD29" s="3"/>
    </row>
    <row r="30" spans="1:30" ht="14">
      <c r="A30" s="3" t="s">
        <v>33</v>
      </c>
      <c r="B30" s="3">
        <v>11782.5390625</v>
      </c>
      <c r="C30" s="3">
        <v>12266.666666666666</v>
      </c>
      <c r="D30" s="3"/>
      <c r="E30" s="3">
        <v>5</v>
      </c>
      <c r="F30" s="3">
        <v>5</v>
      </c>
      <c r="G30" s="5">
        <v>0.41111111111111115</v>
      </c>
      <c r="H30" s="5"/>
      <c r="I30" s="3">
        <f t="shared" si="2"/>
        <v>20.90909090909091</v>
      </c>
      <c r="J30" s="3">
        <v>9.6</v>
      </c>
      <c r="K30" s="3"/>
      <c r="L30" s="3">
        <v>8.8000000000000007</v>
      </c>
      <c r="M30" s="3">
        <v>3.7</v>
      </c>
      <c r="N30" s="3">
        <v>15</v>
      </c>
      <c r="O30" s="3">
        <v>24.1</v>
      </c>
      <c r="P30" s="3"/>
      <c r="Q30" s="3"/>
      <c r="R30" s="3"/>
      <c r="S30" s="3"/>
      <c r="T30" s="3"/>
      <c r="U30" s="3"/>
      <c r="V30" s="3"/>
      <c r="W30" s="3"/>
      <c r="X30" s="3"/>
      <c r="Y30" s="3"/>
      <c r="Z30" s="3"/>
      <c r="AA30" s="3"/>
      <c r="AB30" s="3"/>
      <c r="AC30" s="3"/>
      <c r="AD30" s="3"/>
    </row>
    <row r="31" spans="1:30" ht="14">
      <c r="A31" s="3" t="s">
        <v>33</v>
      </c>
      <c r="B31" s="3">
        <v>11782.5390625</v>
      </c>
      <c r="C31" s="3">
        <v>12266.666666666666</v>
      </c>
      <c r="D31" s="3"/>
      <c r="E31" s="3">
        <v>5</v>
      </c>
      <c r="F31" s="3">
        <v>5</v>
      </c>
      <c r="G31" s="5">
        <v>0.41111111111111115</v>
      </c>
      <c r="H31" s="5"/>
      <c r="I31" s="3">
        <f t="shared" si="2"/>
        <v>20.90909090909091</v>
      </c>
      <c r="J31" s="3">
        <v>20.6</v>
      </c>
      <c r="K31" s="3"/>
      <c r="L31" s="3">
        <v>208</v>
      </c>
      <c r="M31" s="3">
        <v>16</v>
      </c>
      <c r="N31" s="3">
        <v>12.2</v>
      </c>
      <c r="O31" s="3">
        <v>30</v>
      </c>
      <c r="P31" s="3"/>
      <c r="Q31" s="3"/>
      <c r="R31" s="3"/>
      <c r="S31" s="3"/>
      <c r="T31" s="3"/>
      <c r="U31" s="3"/>
      <c r="V31" s="3"/>
      <c r="W31" s="3"/>
      <c r="X31" s="3"/>
      <c r="Y31" s="3"/>
      <c r="Z31" s="3"/>
      <c r="AA31" s="3"/>
      <c r="AB31" s="3"/>
      <c r="AC31" s="3"/>
      <c r="AD31" s="3"/>
    </row>
    <row r="32" spans="1:30" ht="14">
      <c r="A32" s="3" t="s">
        <v>33</v>
      </c>
      <c r="B32" s="3">
        <v>11782.5390625</v>
      </c>
      <c r="C32" s="3">
        <v>12266.666666666666</v>
      </c>
      <c r="D32" s="3"/>
      <c r="E32" s="3">
        <v>4</v>
      </c>
      <c r="F32" s="3">
        <v>4</v>
      </c>
      <c r="G32" s="5">
        <v>0.45833333333333331</v>
      </c>
      <c r="H32" s="5"/>
      <c r="I32" s="3">
        <f t="shared" ref="I32:I34" si="3">34/3.3</f>
        <v>10.303030303030303</v>
      </c>
      <c r="J32" s="3">
        <v>0.65</v>
      </c>
      <c r="K32" s="3"/>
      <c r="L32" s="3">
        <v>20.6</v>
      </c>
      <c r="M32" s="3">
        <v>4</v>
      </c>
      <c r="N32" s="3">
        <v>21.1</v>
      </c>
      <c r="O32" s="3">
        <v>16.399999999999999</v>
      </c>
      <c r="P32" s="3"/>
      <c r="Q32" s="3"/>
      <c r="R32" s="3">
        <v>1.77</v>
      </c>
      <c r="S32" s="3">
        <v>1.71</v>
      </c>
      <c r="T32" s="3">
        <f>SUM(R32:S32)</f>
        <v>3.48</v>
      </c>
      <c r="U32" s="3"/>
      <c r="V32" s="3"/>
      <c r="W32" s="3"/>
      <c r="X32" s="3"/>
      <c r="Y32" s="3"/>
      <c r="Z32" s="3"/>
      <c r="AA32" s="3"/>
      <c r="AB32" s="3"/>
      <c r="AC32" s="3"/>
      <c r="AD32" s="3"/>
    </row>
    <row r="33" spans="1:30" ht="14">
      <c r="A33" s="3" t="s">
        <v>33</v>
      </c>
      <c r="B33" s="3">
        <v>11782.5390625</v>
      </c>
      <c r="C33" s="3">
        <v>12266.666666666666</v>
      </c>
      <c r="D33" s="3"/>
      <c r="E33" s="3">
        <v>4</v>
      </c>
      <c r="F33" s="3">
        <v>4</v>
      </c>
      <c r="G33" s="5">
        <v>0.45833333333333331</v>
      </c>
      <c r="H33" s="5"/>
      <c r="I33" s="3">
        <f t="shared" si="3"/>
        <v>10.303030303030303</v>
      </c>
      <c r="J33" s="3">
        <v>4.4000000000000004</v>
      </c>
      <c r="K33" s="3"/>
      <c r="L33" s="3">
        <v>108.6</v>
      </c>
      <c r="M33" s="3">
        <v>10.7</v>
      </c>
      <c r="N33" s="3">
        <v>12.9</v>
      </c>
      <c r="O33" s="3">
        <v>28.5</v>
      </c>
      <c r="P33" s="3"/>
      <c r="Q33" s="3"/>
      <c r="R33" s="3"/>
      <c r="S33" s="3"/>
      <c r="T33" s="3"/>
      <c r="U33" s="3"/>
      <c r="V33" s="3"/>
      <c r="W33" s="3"/>
      <c r="X33" s="3"/>
      <c r="Y33" s="3"/>
      <c r="Z33" s="3"/>
      <c r="AA33" s="3"/>
      <c r="AB33" s="3"/>
      <c r="AC33" s="3"/>
      <c r="AD33" s="3"/>
    </row>
    <row r="34" spans="1:30" ht="14">
      <c r="A34" s="3" t="s">
        <v>33</v>
      </c>
      <c r="B34" s="3">
        <v>11782.5390625</v>
      </c>
      <c r="C34" s="3">
        <v>12266.666666666666</v>
      </c>
      <c r="D34" s="3"/>
      <c r="E34" s="3">
        <v>4</v>
      </c>
      <c r="F34" s="3">
        <v>4</v>
      </c>
      <c r="G34" s="5">
        <v>0.45833333333333331</v>
      </c>
      <c r="H34" s="5"/>
      <c r="I34" s="3">
        <f t="shared" si="3"/>
        <v>10.303030303030303</v>
      </c>
      <c r="J34" s="3">
        <v>9.5</v>
      </c>
      <c r="K34" s="3"/>
      <c r="L34" s="3">
        <v>196.2</v>
      </c>
      <c r="M34" s="3">
        <v>13.1</v>
      </c>
      <c r="N34" s="3">
        <v>12.3</v>
      </c>
      <c r="O34" s="3">
        <v>29.7</v>
      </c>
      <c r="P34" s="3"/>
      <c r="Q34" s="3"/>
      <c r="R34" s="3"/>
      <c r="S34" s="3"/>
      <c r="T34" s="3"/>
      <c r="U34" s="3"/>
      <c r="V34" s="3"/>
      <c r="W34" s="3"/>
      <c r="X34" s="3"/>
      <c r="Y34" s="3"/>
      <c r="Z34" s="3"/>
      <c r="AA34" s="3"/>
      <c r="AB34" s="3"/>
      <c r="AC34" s="3"/>
      <c r="AD34" s="3"/>
    </row>
    <row r="35" spans="1:30" ht="14">
      <c r="A35" s="3" t="s">
        <v>33</v>
      </c>
      <c r="B35" s="3">
        <v>11782.5390625</v>
      </c>
      <c r="C35" s="3">
        <v>12266.666666666666</v>
      </c>
      <c r="D35" s="3"/>
      <c r="E35" s="3">
        <v>2</v>
      </c>
      <c r="F35" s="3">
        <v>2</v>
      </c>
      <c r="G35" s="5">
        <v>5.2777777777777778E-2</v>
      </c>
      <c r="H35" s="5"/>
      <c r="I35" s="3">
        <v>12.12</v>
      </c>
      <c r="J35" s="3">
        <v>0.45</v>
      </c>
      <c r="K35" s="3"/>
      <c r="L35" s="3">
        <v>9.6</v>
      </c>
      <c r="M35" s="3">
        <v>4.3</v>
      </c>
      <c r="N35" s="3">
        <v>21.1</v>
      </c>
      <c r="O35" s="3">
        <v>9.1</v>
      </c>
      <c r="P35" s="3"/>
      <c r="Q35" s="3"/>
      <c r="R35" s="3">
        <v>1.77</v>
      </c>
      <c r="S35" s="3">
        <v>0.11</v>
      </c>
      <c r="T35" s="3">
        <f>SUM(R35:S35)</f>
        <v>1.8800000000000001</v>
      </c>
      <c r="U35" s="3"/>
      <c r="V35" s="3"/>
      <c r="W35" s="3"/>
      <c r="X35" s="3"/>
      <c r="Y35" s="3"/>
      <c r="Z35" s="3"/>
      <c r="AA35" s="3"/>
      <c r="AB35" s="3"/>
      <c r="AC35" s="3"/>
      <c r="AD35" s="3"/>
    </row>
    <row r="36" spans="1:30" ht="14">
      <c r="A36" s="3" t="s">
        <v>33</v>
      </c>
      <c r="B36" s="3">
        <v>11782.5390625</v>
      </c>
      <c r="C36" s="3">
        <v>12266.666666666666</v>
      </c>
      <c r="D36" s="3"/>
      <c r="E36" s="3">
        <v>2</v>
      </c>
      <c r="F36" s="3">
        <v>2</v>
      </c>
      <c r="G36" s="5">
        <v>5.2777777777777778E-2</v>
      </c>
      <c r="H36" s="5"/>
      <c r="I36" s="3">
        <v>12.12</v>
      </c>
      <c r="J36" s="3">
        <v>5.7</v>
      </c>
      <c r="K36" s="3"/>
      <c r="L36" s="3">
        <v>20.7</v>
      </c>
      <c r="M36" s="3">
        <v>4.2</v>
      </c>
      <c r="N36" s="3">
        <v>18</v>
      </c>
      <c r="O36" s="3">
        <v>17.399999999999999</v>
      </c>
      <c r="P36" s="3"/>
      <c r="Q36" s="3"/>
      <c r="R36" s="3"/>
      <c r="S36" s="3"/>
      <c r="T36" s="3"/>
      <c r="U36" s="3"/>
      <c r="V36" s="3"/>
      <c r="W36" s="3"/>
      <c r="X36" s="3"/>
      <c r="Y36" s="3"/>
      <c r="Z36" s="3"/>
      <c r="AA36" s="3"/>
      <c r="AB36" s="3"/>
      <c r="AC36" s="3"/>
      <c r="AD36" s="3"/>
    </row>
    <row r="37" spans="1:30" ht="14">
      <c r="A37" s="3" t="s">
        <v>33</v>
      </c>
      <c r="B37" s="3">
        <v>11782.5390625</v>
      </c>
      <c r="C37" s="3">
        <v>12266.666666666666</v>
      </c>
      <c r="D37" s="3"/>
      <c r="E37" s="3">
        <v>2</v>
      </c>
      <c r="F37" s="3">
        <v>2</v>
      </c>
      <c r="G37" s="5">
        <v>5.2777777777777778E-2</v>
      </c>
      <c r="H37" s="5"/>
      <c r="I37" s="3">
        <v>12.12</v>
      </c>
      <c r="J37" s="3">
        <v>11.7</v>
      </c>
      <c r="K37" s="3"/>
      <c r="L37" s="3">
        <v>57.5</v>
      </c>
      <c r="M37" s="3">
        <v>5.5</v>
      </c>
      <c r="N37" s="3">
        <v>17.3</v>
      </c>
      <c r="O37" s="3">
        <v>18.7</v>
      </c>
      <c r="P37" s="3"/>
      <c r="Q37" s="3"/>
      <c r="R37" s="3"/>
      <c r="S37" s="3"/>
      <c r="T37" s="3"/>
      <c r="U37" s="3"/>
      <c r="V37" s="3"/>
      <c r="W37" s="3"/>
      <c r="X37" s="3"/>
      <c r="Y37" s="3"/>
      <c r="Z37" s="3"/>
      <c r="AA37" s="3"/>
      <c r="AB37" s="3"/>
      <c r="AC37" s="3"/>
      <c r="AD37" s="3"/>
    </row>
    <row r="38" spans="1:30" ht="14">
      <c r="A38" s="3" t="s">
        <v>34</v>
      </c>
      <c r="B38" s="3">
        <v>8190.807291666667</v>
      </c>
      <c r="C38" s="3">
        <v>7726.875</v>
      </c>
      <c r="D38" s="3"/>
      <c r="E38" s="3">
        <v>8</v>
      </c>
      <c r="F38" s="3">
        <v>8</v>
      </c>
      <c r="G38" s="5">
        <v>0.45833333333333331</v>
      </c>
      <c r="H38" s="5"/>
      <c r="I38" s="3">
        <v>10.24</v>
      </c>
      <c r="J38" s="3">
        <v>0.67</v>
      </c>
      <c r="K38" s="3"/>
      <c r="L38" s="3">
        <v>2.6</v>
      </c>
      <c r="M38" s="3">
        <v>3.22</v>
      </c>
      <c r="N38" s="3">
        <v>17.899999999999999</v>
      </c>
      <c r="O38" s="3">
        <v>21.1</v>
      </c>
      <c r="P38" s="3"/>
      <c r="Q38" s="3"/>
      <c r="R38" s="3">
        <v>2.67</v>
      </c>
      <c r="S38" s="3">
        <v>0.74</v>
      </c>
      <c r="T38" s="3">
        <f>SUM(R38:S38)</f>
        <v>3.41</v>
      </c>
      <c r="U38" s="3"/>
      <c r="V38" s="3"/>
      <c r="W38" s="3"/>
      <c r="X38" s="3"/>
      <c r="Y38" s="3"/>
      <c r="Z38" s="3"/>
      <c r="AA38" s="3"/>
      <c r="AB38" s="3"/>
      <c r="AC38" s="3"/>
      <c r="AD38" s="3"/>
    </row>
    <row r="39" spans="1:30" ht="14">
      <c r="A39" s="3" t="s">
        <v>34</v>
      </c>
      <c r="B39" s="3">
        <v>8190.807291666667</v>
      </c>
      <c r="C39" s="3">
        <v>7726.875</v>
      </c>
      <c r="D39" s="3"/>
      <c r="E39" s="3">
        <v>8</v>
      </c>
      <c r="F39" s="3">
        <v>8</v>
      </c>
      <c r="G39" s="5">
        <v>0.45833333333333331</v>
      </c>
      <c r="H39" s="5"/>
      <c r="I39" s="3">
        <v>10.24</v>
      </c>
      <c r="J39" s="3">
        <f>14.8/3.3</f>
        <v>4.4848484848484853</v>
      </c>
      <c r="K39" s="3"/>
      <c r="L39" s="3">
        <v>3.9</v>
      </c>
      <c r="M39" s="3">
        <v>5.4</v>
      </c>
      <c r="N39" s="3">
        <v>14.9</v>
      </c>
      <c r="O39" s="3">
        <v>26.7</v>
      </c>
      <c r="P39" s="3"/>
      <c r="Q39" s="3"/>
      <c r="R39" s="3"/>
      <c r="S39" s="3"/>
      <c r="T39" s="3"/>
      <c r="U39" s="3"/>
      <c r="V39" s="3"/>
      <c r="W39" s="3"/>
      <c r="X39" s="3"/>
      <c r="Y39" s="3"/>
      <c r="Z39" s="3"/>
      <c r="AA39" s="3"/>
      <c r="AB39" s="3"/>
      <c r="AC39" s="3"/>
      <c r="AD39" s="3"/>
    </row>
    <row r="40" spans="1:30" ht="14">
      <c r="A40" s="3" t="s">
        <v>34</v>
      </c>
      <c r="B40" s="3">
        <v>8190.807291666667</v>
      </c>
      <c r="C40" s="3">
        <v>7726.875</v>
      </c>
      <c r="D40" s="3"/>
      <c r="E40" s="3">
        <v>8</v>
      </c>
      <c r="F40" s="3">
        <v>8</v>
      </c>
      <c r="G40" s="5">
        <v>0.45833333333333331</v>
      </c>
      <c r="H40" s="5"/>
      <c r="I40" s="3">
        <v>10.24</v>
      </c>
      <c r="J40" s="3">
        <f>31.4/3.3</f>
        <v>9.5151515151515156</v>
      </c>
      <c r="K40" s="3"/>
      <c r="L40" s="3">
        <v>3.3</v>
      </c>
      <c r="M40" s="3">
        <v>7.5</v>
      </c>
      <c r="N40" s="3">
        <v>13</v>
      </c>
      <c r="O40" s="3">
        <v>31.4</v>
      </c>
      <c r="P40" s="3"/>
      <c r="Q40" s="3"/>
      <c r="R40" s="3"/>
      <c r="S40" s="3"/>
      <c r="T40" s="3"/>
      <c r="U40" s="3"/>
      <c r="V40" s="3"/>
      <c r="W40" s="3"/>
      <c r="X40" s="3"/>
      <c r="Y40" s="3"/>
      <c r="Z40" s="3"/>
      <c r="AA40" s="3"/>
      <c r="AB40" s="3"/>
      <c r="AC40" s="3"/>
      <c r="AD40" s="3"/>
    </row>
    <row r="41" spans="1:30" ht="14">
      <c r="A41" s="3" t="s">
        <v>34</v>
      </c>
      <c r="B41" s="3">
        <v>8190.807291666667</v>
      </c>
      <c r="C41" s="3">
        <v>7726.875</v>
      </c>
      <c r="D41" s="3"/>
      <c r="E41" s="3">
        <v>5</v>
      </c>
      <c r="F41" s="3">
        <v>5</v>
      </c>
      <c r="G41" s="5">
        <v>0.49305555555555558</v>
      </c>
      <c r="H41" s="5"/>
      <c r="I41" s="3">
        <v>12.91</v>
      </c>
      <c r="J41" s="3">
        <v>0.41</v>
      </c>
      <c r="K41" s="3"/>
      <c r="L41" s="3">
        <v>2.7</v>
      </c>
      <c r="M41" s="3">
        <v>4.0999999999999996</v>
      </c>
      <c r="N41" s="3">
        <v>19</v>
      </c>
      <c r="O41" s="3">
        <v>15.6</v>
      </c>
      <c r="P41" s="3"/>
      <c r="Q41" s="3"/>
      <c r="R41" s="3">
        <v>2.4500000000000002</v>
      </c>
      <c r="S41" s="3">
        <v>0.45</v>
      </c>
      <c r="T41" s="3">
        <f>SUM(R41:S41)</f>
        <v>2.9000000000000004</v>
      </c>
      <c r="U41" s="3"/>
      <c r="V41" s="3"/>
      <c r="W41" s="3"/>
      <c r="X41" s="3"/>
      <c r="Y41" s="3"/>
      <c r="Z41" s="3"/>
      <c r="AA41" s="3"/>
      <c r="AB41" s="3"/>
      <c r="AC41" s="3"/>
      <c r="AD41" s="3"/>
    </row>
    <row r="42" spans="1:30" ht="14">
      <c r="A42" s="3" t="s">
        <v>34</v>
      </c>
      <c r="B42" s="3">
        <v>8190.807291666667</v>
      </c>
      <c r="C42" s="3">
        <v>7726.875</v>
      </c>
      <c r="D42" s="3"/>
      <c r="E42" s="3">
        <v>5</v>
      </c>
      <c r="F42" s="3">
        <v>5</v>
      </c>
      <c r="G42" s="5">
        <v>0.49305555555555558</v>
      </c>
      <c r="H42" s="5"/>
      <c r="I42" s="3">
        <v>12.91</v>
      </c>
      <c r="J42" s="3">
        <f>20/3.3</f>
        <v>6.0606060606060606</v>
      </c>
      <c r="K42" s="3"/>
      <c r="L42" s="3">
        <v>4.5</v>
      </c>
      <c r="M42" s="3">
        <v>4.5999999999999996</v>
      </c>
      <c r="N42" s="3">
        <v>14.3</v>
      </c>
      <c r="O42" s="3">
        <v>27.9</v>
      </c>
      <c r="P42" s="3"/>
      <c r="Q42" s="3"/>
      <c r="R42" s="3"/>
      <c r="S42" s="3"/>
      <c r="T42" s="3"/>
      <c r="U42" s="3"/>
      <c r="V42" s="3"/>
      <c r="W42" s="3"/>
      <c r="X42" s="3"/>
      <c r="Y42" s="3"/>
      <c r="Z42" s="3"/>
      <c r="AA42" s="3"/>
      <c r="AB42" s="3"/>
      <c r="AC42" s="3"/>
      <c r="AD42" s="3"/>
    </row>
    <row r="43" spans="1:30" ht="14">
      <c r="A43" s="3" t="s">
        <v>34</v>
      </c>
      <c r="B43" s="3">
        <v>8190.807291666667</v>
      </c>
      <c r="C43" s="3">
        <v>7726.875</v>
      </c>
      <c r="D43" s="3"/>
      <c r="E43" s="3">
        <v>5</v>
      </c>
      <c r="F43" s="3">
        <v>5</v>
      </c>
      <c r="G43" s="5">
        <v>0.49305555555555558</v>
      </c>
      <c r="H43" s="5"/>
      <c r="I43" s="3">
        <v>12.91</v>
      </c>
      <c r="J43" s="3">
        <f>42/3.3</f>
        <v>12.727272727272728</v>
      </c>
      <c r="K43" s="3"/>
      <c r="L43" s="3">
        <v>11.8</v>
      </c>
      <c r="M43" s="3">
        <v>6.8</v>
      </c>
      <c r="N43" s="3">
        <v>12.45</v>
      </c>
      <c r="O43" s="3">
        <v>32</v>
      </c>
      <c r="P43" s="3"/>
      <c r="Q43" s="3"/>
      <c r="R43" s="3"/>
      <c r="S43" s="3"/>
      <c r="T43" s="3"/>
      <c r="U43" s="3"/>
      <c r="V43" s="3"/>
      <c r="W43" s="3"/>
      <c r="X43" s="3"/>
      <c r="Y43" s="3"/>
      <c r="Z43" s="3"/>
      <c r="AA43" s="3"/>
      <c r="AB43" s="3"/>
      <c r="AC43" s="3"/>
      <c r="AD43" s="3"/>
    </row>
    <row r="44" spans="1:30" ht="14">
      <c r="A44" s="7" t="s">
        <v>34</v>
      </c>
      <c r="B44" s="7">
        <v>8190.807291666667</v>
      </c>
      <c r="C44" s="7">
        <v>7726.875</v>
      </c>
      <c r="D44" s="7"/>
      <c r="E44" s="7">
        <v>4</v>
      </c>
      <c r="F44" s="7">
        <v>4</v>
      </c>
      <c r="G44" s="11">
        <v>5.4166666666666669E-2</v>
      </c>
      <c r="H44" s="11"/>
      <c r="I44" s="7">
        <f t="shared" ref="I44:I46" si="4">24.3/3.3</f>
        <v>7.3636363636363642</v>
      </c>
      <c r="J44" s="7">
        <f>1/3.3</f>
        <v>0.30303030303030304</v>
      </c>
      <c r="K44" s="7"/>
      <c r="L44" s="7">
        <v>2.5</v>
      </c>
      <c r="M44" s="7">
        <v>5.3</v>
      </c>
      <c r="N44" s="7">
        <v>19.7</v>
      </c>
      <c r="O44" s="7">
        <v>13.2</v>
      </c>
      <c r="P44" s="7"/>
      <c r="Q44" s="7"/>
      <c r="R44" s="7">
        <v>1.91</v>
      </c>
      <c r="S44" s="7">
        <v>0.87</v>
      </c>
      <c r="T44" s="3">
        <f>SUM(R44:S44)</f>
        <v>2.78</v>
      </c>
      <c r="U44" s="7"/>
      <c r="V44" s="7"/>
      <c r="W44" s="7"/>
      <c r="X44" s="7"/>
      <c r="Y44" s="7"/>
      <c r="Z44" s="7"/>
      <c r="AA44" s="7"/>
      <c r="AB44" s="7"/>
      <c r="AC44" s="7"/>
      <c r="AD44" s="7"/>
    </row>
    <row r="45" spans="1:30" ht="14">
      <c r="A45" s="7" t="s">
        <v>34</v>
      </c>
      <c r="B45" s="7">
        <v>8190.807291666667</v>
      </c>
      <c r="C45" s="7">
        <v>7726.875</v>
      </c>
      <c r="D45" s="7"/>
      <c r="E45" s="7">
        <v>4</v>
      </c>
      <c r="F45" s="7">
        <v>4</v>
      </c>
      <c r="G45" s="11">
        <v>5.4166666666666669E-2</v>
      </c>
      <c r="H45" s="11"/>
      <c r="I45" s="7">
        <f t="shared" si="4"/>
        <v>7.3636363636363642</v>
      </c>
      <c r="J45" s="7">
        <f>14/3.3</f>
        <v>4.2424242424242422</v>
      </c>
      <c r="K45" s="7"/>
      <c r="L45" s="7">
        <v>10.7</v>
      </c>
      <c r="M45" s="7">
        <v>4.8</v>
      </c>
      <c r="N45" s="7">
        <v>14.5</v>
      </c>
      <c r="O45" s="7">
        <v>27.5</v>
      </c>
      <c r="P45" s="7"/>
      <c r="Q45" s="7"/>
      <c r="R45" s="7"/>
      <c r="S45" s="7"/>
      <c r="T45" s="3"/>
      <c r="U45" s="7"/>
      <c r="V45" s="7"/>
      <c r="W45" s="7"/>
      <c r="X45" s="7"/>
      <c r="Y45" s="7"/>
      <c r="Z45" s="7"/>
      <c r="AA45" s="7"/>
      <c r="AB45" s="7"/>
      <c r="AC45" s="7"/>
      <c r="AD45" s="7"/>
    </row>
    <row r="46" spans="1:30" ht="14">
      <c r="A46" s="7" t="s">
        <v>34</v>
      </c>
      <c r="B46" s="7">
        <v>8190.8072916666697</v>
      </c>
      <c r="C46" s="7">
        <v>7726.875</v>
      </c>
      <c r="D46" s="7"/>
      <c r="E46" s="7">
        <v>4</v>
      </c>
      <c r="F46" s="7">
        <v>4</v>
      </c>
      <c r="G46" s="11">
        <v>5.4166666666666669E-2</v>
      </c>
      <c r="H46" s="11"/>
      <c r="I46" s="7">
        <f t="shared" si="4"/>
        <v>7.3636363636363642</v>
      </c>
      <c r="J46" s="7">
        <f>25.5/3.3</f>
        <v>7.7272727272727275</v>
      </c>
      <c r="K46" s="7"/>
      <c r="L46" s="7">
        <v>53</v>
      </c>
      <c r="M46" s="7">
        <v>5.9</v>
      </c>
      <c r="N46" s="7">
        <v>14.3</v>
      </c>
      <c r="O46" s="7">
        <v>27.9</v>
      </c>
      <c r="P46" s="7"/>
      <c r="Q46" s="7"/>
      <c r="R46" s="7"/>
      <c r="S46" s="7"/>
      <c r="T46" s="3"/>
      <c r="U46" s="7"/>
      <c r="V46" s="7"/>
      <c r="W46" s="7"/>
      <c r="X46" s="7"/>
      <c r="Y46" s="7"/>
      <c r="Z46" s="7"/>
      <c r="AA46" s="7"/>
      <c r="AB46" s="7"/>
      <c r="AC46" s="7"/>
      <c r="AD46" s="7"/>
    </row>
    <row r="47" spans="1:30" ht="14">
      <c r="A47" s="3" t="s">
        <v>34</v>
      </c>
      <c r="B47" s="3">
        <v>8190.8072916666697</v>
      </c>
      <c r="C47" s="3">
        <v>7726.875</v>
      </c>
      <c r="D47" s="3"/>
      <c r="E47" s="3">
        <v>2</v>
      </c>
      <c r="F47" s="3">
        <v>2</v>
      </c>
      <c r="G47" s="5">
        <v>0.10347222222222223</v>
      </c>
      <c r="H47" s="5"/>
      <c r="I47" s="3">
        <f t="shared" ref="I47:I49" si="5">28.6/3.3</f>
        <v>8.6666666666666679</v>
      </c>
      <c r="J47" s="3">
        <f>0.7/3.3</f>
        <v>0.21212121212121213</v>
      </c>
      <c r="K47" s="3"/>
      <c r="L47" s="3">
        <v>4.2</v>
      </c>
      <c r="M47" s="3">
        <v>4.7</v>
      </c>
      <c r="N47" s="3">
        <v>23.3</v>
      </c>
      <c r="O47" s="3">
        <v>4.4000000000000004</v>
      </c>
      <c r="P47" s="3"/>
      <c r="Q47" s="3"/>
      <c r="R47" s="3">
        <v>1.67</v>
      </c>
      <c r="S47" s="3">
        <v>1.25</v>
      </c>
      <c r="T47" s="3">
        <f>SUM(R47:S47)</f>
        <v>2.92</v>
      </c>
      <c r="U47" s="3"/>
      <c r="V47" s="3"/>
      <c r="W47" s="3"/>
      <c r="X47" s="3"/>
      <c r="Y47" s="3"/>
      <c r="Z47" s="3"/>
      <c r="AA47" s="3"/>
      <c r="AB47" s="3"/>
      <c r="AC47" s="3"/>
      <c r="AD47" s="3"/>
    </row>
    <row r="48" spans="1:30" ht="14">
      <c r="A48" s="3" t="s">
        <v>34</v>
      </c>
      <c r="B48" s="3">
        <v>8190.8072916666697</v>
      </c>
      <c r="C48" s="3">
        <v>7726.875</v>
      </c>
      <c r="D48" s="3"/>
      <c r="E48" s="3">
        <v>2</v>
      </c>
      <c r="F48" s="3">
        <v>2</v>
      </c>
      <c r="G48" s="5">
        <v>0.10347222222222223</v>
      </c>
      <c r="H48" s="5"/>
      <c r="I48" s="3">
        <f t="shared" si="5"/>
        <v>8.6666666666666679</v>
      </c>
      <c r="J48" s="3">
        <f>15/3.3</f>
        <v>4.5454545454545459</v>
      </c>
      <c r="K48" s="3"/>
      <c r="L48" s="3">
        <v>3.2</v>
      </c>
      <c r="M48" s="3">
        <v>4.9000000000000004</v>
      </c>
      <c r="N48" s="3">
        <v>21.3</v>
      </c>
      <c r="O48" s="3">
        <v>12</v>
      </c>
      <c r="P48" s="3"/>
      <c r="Q48" s="3"/>
      <c r="R48" s="3"/>
      <c r="S48" s="3"/>
      <c r="T48" s="3"/>
      <c r="U48" s="3"/>
      <c r="V48" s="3"/>
      <c r="W48" s="3"/>
      <c r="X48" s="3"/>
      <c r="Y48" s="3"/>
      <c r="Z48" s="3"/>
      <c r="AA48" s="3"/>
      <c r="AB48" s="3"/>
      <c r="AC48" s="3"/>
      <c r="AD48" s="3"/>
    </row>
    <row r="49" spans="1:30" ht="14">
      <c r="A49" s="3" t="s">
        <v>34</v>
      </c>
      <c r="B49" s="3">
        <v>8190.8072916666697</v>
      </c>
      <c r="C49" s="3">
        <v>7726.875</v>
      </c>
      <c r="D49" s="3"/>
      <c r="E49" s="3">
        <v>2</v>
      </c>
      <c r="F49" s="3">
        <v>2</v>
      </c>
      <c r="G49" s="5">
        <v>0.10347222222222223</v>
      </c>
      <c r="H49" s="5"/>
      <c r="I49" s="3">
        <f t="shared" si="5"/>
        <v>8.6666666666666679</v>
      </c>
      <c r="J49" s="3">
        <f>27/3.3</f>
        <v>8.1818181818181817</v>
      </c>
      <c r="K49" s="3"/>
      <c r="L49" s="3">
        <v>26.3</v>
      </c>
      <c r="M49" s="3">
        <v>3.9</v>
      </c>
      <c r="N49" s="3">
        <v>16</v>
      </c>
      <c r="O49" s="3">
        <v>20</v>
      </c>
      <c r="P49" s="3"/>
      <c r="Q49" s="3"/>
      <c r="R49" s="3"/>
      <c r="S49" s="3"/>
      <c r="T49" s="3"/>
      <c r="U49" s="3"/>
      <c r="V49" s="3"/>
      <c r="W49" s="3"/>
      <c r="X49" s="3"/>
      <c r="Y49" s="3"/>
      <c r="Z49" s="3"/>
      <c r="AA49" s="3"/>
      <c r="AB49" s="3"/>
      <c r="AC49" s="3"/>
      <c r="AD49" s="3"/>
    </row>
    <row r="50" spans="1:30" ht="14">
      <c r="A50" s="3" t="s">
        <v>35</v>
      </c>
      <c r="B50" s="3">
        <v>13613.541666666666</v>
      </c>
      <c r="C50" s="3">
        <v>13339.583333333299</v>
      </c>
      <c r="D50" s="3"/>
      <c r="E50" s="3">
        <v>8</v>
      </c>
      <c r="F50" s="3">
        <v>8</v>
      </c>
      <c r="G50" s="5">
        <v>0.42708333333333331</v>
      </c>
      <c r="H50" s="5"/>
      <c r="I50" s="3">
        <f t="shared" ref="I50:I52" si="6">30/3.3</f>
        <v>9.0909090909090917</v>
      </c>
      <c r="J50" s="3">
        <f>2/3.3</f>
        <v>0.60606060606060608</v>
      </c>
      <c r="K50" s="3"/>
      <c r="L50" s="3">
        <v>3.6</v>
      </c>
      <c r="M50" s="3">
        <v>4.3</v>
      </c>
      <c r="N50" s="3">
        <v>13.9</v>
      </c>
      <c r="O50" s="3">
        <v>21.2</v>
      </c>
      <c r="P50" s="3"/>
      <c r="Q50" s="3"/>
      <c r="R50" s="3">
        <v>2.3272973214285719</v>
      </c>
      <c r="S50" s="3">
        <v>0.77776774999999954</v>
      </c>
      <c r="T50" s="3">
        <f>SUM(R50:S50)</f>
        <v>3.1050650714285712</v>
      </c>
      <c r="U50" s="3"/>
      <c r="V50" s="3"/>
      <c r="W50" s="3"/>
      <c r="X50" s="3"/>
      <c r="Y50" s="3"/>
      <c r="Z50" s="3"/>
      <c r="AA50" s="3"/>
      <c r="AB50" s="3"/>
      <c r="AC50" s="3"/>
      <c r="AD50" s="3"/>
    </row>
    <row r="51" spans="1:30" ht="14">
      <c r="A51" s="3" t="s">
        <v>35</v>
      </c>
      <c r="B51" s="3">
        <v>13613.541666666666</v>
      </c>
      <c r="C51" s="3">
        <v>13339.583333333299</v>
      </c>
      <c r="D51" s="3"/>
      <c r="E51" s="3">
        <v>8</v>
      </c>
      <c r="F51" s="3">
        <v>8</v>
      </c>
      <c r="G51" s="5">
        <v>0.42708333333333331</v>
      </c>
      <c r="H51" s="5"/>
      <c r="I51" s="3">
        <f t="shared" si="6"/>
        <v>9.0909090909090917</v>
      </c>
      <c r="J51" s="3">
        <f>14.7/3.3</f>
        <v>4.4545454545454541</v>
      </c>
      <c r="K51" s="3"/>
      <c r="L51" s="3">
        <v>4.4000000000000004</v>
      </c>
      <c r="M51" s="3">
        <v>4.4000000000000004</v>
      </c>
      <c r="N51" s="3">
        <v>13.7</v>
      </c>
      <c r="O51" s="3">
        <v>26.3</v>
      </c>
      <c r="P51" s="3"/>
      <c r="Q51" s="3"/>
      <c r="R51" s="3"/>
      <c r="S51" s="3"/>
      <c r="T51" s="3"/>
      <c r="U51" s="3"/>
      <c r="V51" s="3"/>
      <c r="W51" s="3"/>
      <c r="X51" s="3"/>
      <c r="Y51" s="3"/>
      <c r="Z51" s="3"/>
      <c r="AA51" s="3"/>
      <c r="AB51" s="3"/>
      <c r="AC51" s="3"/>
      <c r="AD51" s="3"/>
    </row>
    <row r="52" spans="1:30" ht="14">
      <c r="A52" s="3" t="s">
        <v>35</v>
      </c>
      <c r="B52" s="3">
        <v>13613.541666666666</v>
      </c>
      <c r="C52" s="3">
        <v>13339.583333333299</v>
      </c>
      <c r="D52" s="3"/>
      <c r="E52" s="3">
        <v>8</v>
      </c>
      <c r="F52" s="3">
        <v>8</v>
      </c>
      <c r="G52" s="5">
        <v>0.42708333333333331</v>
      </c>
      <c r="H52" s="5"/>
      <c r="I52" s="3">
        <f t="shared" si="6"/>
        <v>9.0909090909090917</v>
      </c>
      <c r="J52" s="3">
        <v>9</v>
      </c>
      <c r="K52" s="3"/>
      <c r="L52" s="3">
        <v>18.899999999999999</v>
      </c>
      <c r="M52" s="3">
        <v>9.1999999999999993</v>
      </c>
      <c r="N52" s="3">
        <v>12.9</v>
      </c>
      <c r="O52" s="3">
        <v>32.799999999999997</v>
      </c>
      <c r="P52" s="3"/>
      <c r="Q52" s="3"/>
      <c r="R52" s="3"/>
      <c r="S52" s="3"/>
      <c r="T52" s="3"/>
      <c r="U52" s="3"/>
      <c r="V52" s="3"/>
      <c r="W52" s="3"/>
      <c r="X52" s="3"/>
      <c r="Y52" s="3"/>
      <c r="Z52" s="3"/>
      <c r="AA52" s="3"/>
      <c r="AB52" s="3"/>
      <c r="AC52" s="3"/>
      <c r="AD52" s="3"/>
    </row>
    <row r="53" spans="1:30" ht="14">
      <c r="A53" s="7" t="s">
        <v>35</v>
      </c>
      <c r="B53" s="7">
        <v>13613.541666666666</v>
      </c>
      <c r="C53" s="7">
        <v>13339.583333333299</v>
      </c>
      <c r="D53" s="7"/>
      <c r="E53" s="7">
        <v>5</v>
      </c>
      <c r="F53" s="7">
        <v>5</v>
      </c>
      <c r="G53" s="11">
        <v>0.47222222222222227</v>
      </c>
      <c r="H53" s="11"/>
      <c r="I53" s="7">
        <f t="shared" ref="I53:I55" si="7">68/3.3</f>
        <v>20.606060606060606</v>
      </c>
      <c r="J53" s="7">
        <f>1.7/3.3</f>
        <v>0.51515151515151514</v>
      </c>
      <c r="K53" s="7"/>
      <c r="L53" s="7">
        <v>3.1</v>
      </c>
      <c r="M53" s="7">
        <v>3.9</v>
      </c>
      <c r="N53" s="7">
        <v>15.1</v>
      </c>
      <c r="O53" s="7">
        <v>12.9</v>
      </c>
      <c r="P53" s="7"/>
      <c r="Q53" s="7"/>
      <c r="R53" s="7">
        <v>1.351333928571429</v>
      </c>
      <c r="S53" s="7">
        <v>0.75674700000000006</v>
      </c>
      <c r="T53" s="3">
        <f>SUM(R53:S53)</f>
        <v>2.1080809285714288</v>
      </c>
      <c r="U53" s="7"/>
      <c r="V53" s="7"/>
      <c r="W53" s="7"/>
      <c r="X53" s="7"/>
      <c r="Y53" s="7"/>
      <c r="Z53" s="7"/>
      <c r="AA53" s="7"/>
      <c r="AB53" s="7"/>
      <c r="AC53" s="7"/>
      <c r="AD53" s="7"/>
    </row>
    <row r="54" spans="1:30" ht="14">
      <c r="A54" s="7" t="s">
        <v>35</v>
      </c>
      <c r="B54" s="7">
        <v>13613.541666666666</v>
      </c>
      <c r="C54" s="7">
        <v>13339.583333333299</v>
      </c>
      <c r="D54" s="7"/>
      <c r="E54" s="7">
        <v>5</v>
      </c>
      <c r="F54" s="7">
        <v>5</v>
      </c>
      <c r="G54" s="11">
        <v>0.47222222222222227</v>
      </c>
      <c r="H54" s="11"/>
      <c r="I54" s="7">
        <f t="shared" si="7"/>
        <v>20.606060606060606</v>
      </c>
      <c r="J54" s="7">
        <f>36/3.3</f>
        <v>10.90909090909091</v>
      </c>
      <c r="K54" s="7"/>
      <c r="L54" s="7">
        <v>5.0999999999999996</v>
      </c>
      <c r="M54" s="7">
        <v>4.8</v>
      </c>
      <c r="N54" s="7">
        <v>13.1</v>
      </c>
      <c r="O54" s="7">
        <v>31.8</v>
      </c>
      <c r="P54" s="7"/>
      <c r="Q54" s="7"/>
      <c r="R54" s="7"/>
      <c r="S54" s="7"/>
      <c r="T54" s="3"/>
      <c r="U54" s="7"/>
      <c r="V54" s="7"/>
      <c r="W54" s="7"/>
      <c r="X54" s="7"/>
      <c r="Y54" s="7"/>
      <c r="Z54" s="7"/>
      <c r="AA54" s="7"/>
      <c r="AB54" s="7"/>
      <c r="AC54" s="7"/>
      <c r="AD54" s="7"/>
    </row>
    <row r="55" spans="1:30" ht="14">
      <c r="A55" s="7" t="s">
        <v>35</v>
      </c>
      <c r="B55" s="7">
        <v>13613.541666666666</v>
      </c>
      <c r="C55" s="7">
        <v>13339.583333333299</v>
      </c>
      <c r="D55" s="7"/>
      <c r="E55" s="7">
        <v>5</v>
      </c>
      <c r="F55" s="7">
        <v>5</v>
      </c>
      <c r="G55" s="11">
        <v>0.47222222222222227</v>
      </c>
      <c r="H55" s="11"/>
      <c r="I55" s="7">
        <f t="shared" si="7"/>
        <v>20.606060606060606</v>
      </c>
      <c r="J55" s="7">
        <f>64.9/3</f>
        <v>21.633333333333336</v>
      </c>
      <c r="K55" s="7"/>
      <c r="L55" s="7">
        <v>64.5</v>
      </c>
      <c r="M55" s="7">
        <v>9.4</v>
      </c>
      <c r="N55" s="7">
        <v>12.9</v>
      </c>
      <c r="O55" s="7">
        <v>32.9</v>
      </c>
      <c r="P55" s="7"/>
      <c r="Q55" s="7"/>
      <c r="R55" s="7"/>
      <c r="S55" s="7"/>
      <c r="T55" s="3"/>
      <c r="U55" s="7"/>
      <c r="V55" s="7"/>
      <c r="W55" s="7"/>
      <c r="X55" s="7"/>
      <c r="Y55" s="7"/>
      <c r="Z55" s="7"/>
      <c r="AA55" s="7"/>
      <c r="AB55" s="7"/>
      <c r="AC55" s="7"/>
      <c r="AD55" s="7"/>
    </row>
    <row r="56" spans="1:30" ht="14">
      <c r="A56" s="3" t="s">
        <v>35</v>
      </c>
      <c r="B56" s="3">
        <v>13613.541666666666</v>
      </c>
      <c r="C56" s="3">
        <v>13339.583333333299</v>
      </c>
      <c r="D56" s="3"/>
      <c r="E56" s="3">
        <v>4</v>
      </c>
      <c r="F56" s="3">
        <v>4</v>
      </c>
      <c r="G56" s="5">
        <v>0.5131944444444444</v>
      </c>
      <c r="H56" s="5"/>
      <c r="I56" s="3">
        <f t="shared" ref="I56:I58" si="8">26/3.3</f>
        <v>7.8787878787878789</v>
      </c>
      <c r="J56" s="3">
        <f>2.1/3.3</f>
        <v>0.63636363636363646</v>
      </c>
      <c r="K56" s="3"/>
      <c r="L56" s="3">
        <v>2.9</v>
      </c>
      <c r="M56" s="3">
        <v>4.3</v>
      </c>
      <c r="N56" s="3">
        <v>15.1</v>
      </c>
      <c r="O56" s="3">
        <v>12.3</v>
      </c>
      <c r="P56" s="3"/>
      <c r="Q56" s="3"/>
      <c r="R56" s="3">
        <v>1.337684090909091</v>
      </c>
      <c r="S56" s="3">
        <v>0.67430198051948032</v>
      </c>
      <c r="T56" s="3">
        <f>SUM(R56:S56)</f>
        <v>2.0119860714285713</v>
      </c>
      <c r="U56" s="3"/>
      <c r="V56" s="3"/>
      <c r="W56" s="3"/>
      <c r="X56" s="3"/>
      <c r="Y56" s="3"/>
      <c r="Z56" s="3"/>
      <c r="AA56" s="3"/>
      <c r="AB56" s="3" t="s">
        <v>36</v>
      </c>
      <c r="AC56" s="3"/>
      <c r="AD56" s="3"/>
    </row>
    <row r="57" spans="1:30" ht="14">
      <c r="A57" s="3" t="s">
        <v>35</v>
      </c>
      <c r="B57" s="3">
        <v>13613.541666666666</v>
      </c>
      <c r="C57" s="3">
        <v>13339.583333333299</v>
      </c>
      <c r="D57" s="3"/>
      <c r="E57" s="3">
        <v>4</v>
      </c>
      <c r="F57" s="3">
        <v>4</v>
      </c>
      <c r="G57" s="5">
        <v>0.5131944444444444</v>
      </c>
      <c r="H57" s="5"/>
      <c r="I57" s="3">
        <f t="shared" si="8"/>
        <v>7.8787878787878789</v>
      </c>
      <c r="J57" s="3">
        <f>14.2/3.3</f>
        <v>4.3030303030303028</v>
      </c>
      <c r="K57" s="3"/>
      <c r="L57" s="3">
        <v>20.9</v>
      </c>
      <c r="M57" s="3">
        <v>7.9</v>
      </c>
      <c r="N57" s="3">
        <v>13.1</v>
      </c>
      <c r="O57" s="3">
        <v>31.9</v>
      </c>
      <c r="P57" s="3"/>
      <c r="Q57" s="3"/>
      <c r="R57" s="3"/>
      <c r="S57" s="3"/>
      <c r="T57" s="3"/>
      <c r="U57" s="3"/>
      <c r="V57" s="3"/>
      <c r="W57" s="3"/>
      <c r="X57" s="3"/>
      <c r="Y57" s="3"/>
      <c r="Z57" s="3"/>
      <c r="AA57" s="3"/>
      <c r="AB57" s="3"/>
      <c r="AC57" s="3"/>
      <c r="AD57" s="3"/>
    </row>
    <row r="58" spans="1:30" ht="14">
      <c r="A58" s="3" t="s">
        <v>35</v>
      </c>
      <c r="B58" s="3">
        <v>13613.541666666666</v>
      </c>
      <c r="C58" s="3">
        <v>13339.583333333299</v>
      </c>
      <c r="D58" s="3"/>
      <c r="E58" s="3">
        <v>4</v>
      </c>
      <c r="F58" s="3">
        <v>4</v>
      </c>
      <c r="G58" s="5">
        <v>0.5131944444444444</v>
      </c>
      <c r="H58" s="5"/>
      <c r="I58" s="3">
        <f t="shared" si="8"/>
        <v>7.8787878787878789</v>
      </c>
      <c r="J58" s="3">
        <v>7.8</v>
      </c>
      <c r="K58" s="3"/>
      <c r="L58" s="3">
        <v>77.5</v>
      </c>
      <c r="M58" s="3">
        <v>10.9</v>
      </c>
      <c r="N58" s="3">
        <v>13</v>
      </c>
      <c r="O58" s="3">
        <v>32.4</v>
      </c>
      <c r="P58" s="3"/>
      <c r="Q58" s="3"/>
      <c r="R58" s="3"/>
      <c r="S58" s="3"/>
      <c r="T58" s="3"/>
      <c r="U58" s="3"/>
      <c r="V58" s="3"/>
      <c r="W58" s="3"/>
      <c r="X58" s="3"/>
      <c r="Y58" s="3"/>
      <c r="Z58" s="3"/>
      <c r="AA58" s="3"/>
      <c r="AB58" s="3"/>
      <c r="AC58" s="3"/>
      <c r="AD58" s="3"/>
    </row>
    <row r="59" spans="1:30" ht="14">
      <c r="A59" s="3" t="s">
        <v>35</v>
      </c>
      <c r="B59" s="3">
        <v>13613.541666666666</v>
      </c>
      <c r="C59" s="3">
        <v>13339.583333333299</v>
      </c>
      <c r="D59" s="3"/>
      <c r="E59" s="3">
        <v>2</v>
      </c>
      <c r="F59" s="3">
        <v>2</v>
      </c>
      <c r="G59" s="5">
        <v>8.4722222222222213E-2</v>
      </c>
      <c r="H59" s="5"/>
      <c r="I59" s="3">
        <f t="shared" ref="I59:I61" si="9">35/3.3</f>
        <v>10.606060606060607</v>
      </c>
      <c r="J59" s="3">
        <f>1.7/3.3</f>
        <v>0.51515151515151514</v>
      </c>
      <c r="K59" s="3"/>
      <c r="L59" s="3">
        <v>3</v>
      </c>
      <c r="M59" s="3">
        <v>3.9</v>
      </c>
      <c r="N59" s="3">
        <v>16</v>
      </c>
      <c r="O59" s="3">
        <v>4.7</v>
      </c>
      <c r="P59" s="3"/>
      <c r="Q59" s="3"/>
      <c r="R59" s="3">
        <v>0.76439090909090912</v>
      </c>
      <c r="S59" s="3">
        <v>0.64099637662337638</v>
      </c>
      <c r="T59" s="3">
        <f>SUM(R59:S59)</f>
        <v>1.4053872857142855</v>
      </c>
      <c r="U59" s="3"/>
      <c r="V59" s="3"/>
      <c r="W59" s="3"/>
      <c r="X59" s="3"/>
      <c r="Y59" s="3"/>
      <c r="Z59" s="3"/>
      <c r="AA59" s="3"/>
      <c r="AB59" s="3"/>
      <c r="AC59" s="3"/>
      <c r="AD59" s="3"/>
    </row>
    <row r="60" spans="1:30" ht="14">
      <c r="A60" s="3" t="s">
        <v>35</v>
      </c>
      <c r="B60" s="3">
        <v>13613.541666666666</v>
      </c>
      <c r="C60" s="3">
        <v>13339.583333333299</v>
      </c>
      <c r="D60" s="3"/>
      <c r="E60" s="3">
        <v>2</v>
      </c>
      <c r="F60" s="3">
        <v>2</v>
      </c>
      <c r="G60" s="5">
        <v>8.4722222222222213E-2</v>
      </c>
      <c r="H60" s="5"/>
      <c r="I60" s="3">
        <f t="shared" si="9"/>
        <v>10.606060606060607</v>
      </c>
      <c r="J60" s="3">
        <f>16.8/3.3</f>
        <v>5.0909090909090917</v>
      </c>
      <c r="K60" s="3"/>
      <c r="L60" s="3">
        <v>6.1</v>
      </c>
      <c r="M60" s="3">
        <v>4.2</v>
      </c>
      <c r="N60" s="3">
        <v>15.3</v>
      </c>
      <c r="O60" s="3">
        <v>10.1</v>
      </c>
      <c r="P60" s="3"/>
      <c r="Q60" s="3"/>
      <c r="R60" s="3"/>
      <c r="S60" s="3"/>
      <c r="T60" s="3"/>
      <c r="U60" s="3"/>
      <c r="V60" s="3"/>
      <c r="W60" s="3"/>
      <c r="X60" s="3"/>
      <c r="Y60" s="3"/>
      <c r="Z60" s="3"/>
      <c r="AA60" s="3"/>
      <c r="AB60" s="3"/>
      <c r="AC60" s="3"/>
      <c r="AD60" s="3"/>
    </row>
    <row r="61" spans="1:30" ht="14">
      <c r="A61" s="3" t="s">
        <v>35</v>
      </c>
      <c r="B61" s="3">
        <v>13613.541666666666</v>
      </c>
      <c r="C61" s="3">
        <v>13339.583333333299</v>
      </c>
      <c r="D61" s="3"/>
      <c r="E61" s="3">
        <v>2</v>
      </c>
      <c r="F61" s="3">
        <v>2</v>
      </c>
      <c r="G61" s="5">
        <v>8.4722222222222213E-2</v>
      </c>
      <c r="H61" s="5"/>
      <c r="I61" s="3">
        <f t="shared" si="9"/>
        <v>10.606060606060607</v>
      </c>
      <c r="J61" s="3">
        <f>32.7/3.3</f>
        <v>9.9090909090909101</v>
      </c>
      <c r="K61" s="3"/>
      <c r="L61" s="3">
        <v>85.9</v>
      </c>
      <c r="M61" s="3">
        <v>3.3</v>
      </c>
      <c r="N61" s="3">
        <v>14.8</v>
      </c>
      <c r="O61" s="3">
        <v>11.8</v>
      </c>
      <c r="P61" s="3"/>
      <c r="Q61" s="3"/>
      <c r="R61" s="3"/>
      <c r="S61" s="3"/>
      <c r="T61" s="3"/>
      <c r="U61" s="3"/>
      <c r="V61" s="3"/>
      <c r="W61" s="3"/>
      <c r="X61" s="3"/>
      <c r="Y61" s="3"/>
      <c r="Z61" s="3"/>
      <c r="AA61" s="3"/>
      <c r="AB61" s="3"/>
      <c r="AC61" s="3"/>
      <c r="AD61" s="3"/>
    </row>
    <row r="62" spans="1:30" ht="14">
      <c r="A62" s="3" t="s">
        <v>37</v>
      </c>
      <c r="B62" s="3">
        <v>6460.8984375</v>
      </c>
      <c r="C62" s="3">
        <v>6075.6944444444443</v>
      </c>
      <c r="D62" s="3"/>
      <c r="E62" s="3">
        <v>8</v>
      </c>
      <c r="F62" s="3">
        <v>8</v>
      </c>
      <c r="G62" s="5">
        <v>0.40763888888888888</v>
      </c>
      <c r="H62" s="5"/>
      <c r="I62" s="3">
        <v>11.2</v>
      </c>
      <c r="J62" s="3">
        <v>0.33</v>
      </c>
      <c r="K62" s="3"/>
      <c r="L62" s="3">
        <v>3.8</v>
      </c>
      <c r="M62" s="3">
        <v>2.7</v>
      </c>
      <c r="N62" s="3">
        <v>12.9</v>
      </c>
      <c r="O62" s="3">
        <v>24.9</v>
      </c>
      <c r="P62" s="3"/>
      <c r="Q62" s="3"/>
      <c r="R62" s="3">
        <v>1.4810073863636366</v>
      </c>
      <c r="S62" s="3">
        <v>1.1195596850649345</v>
      </c>
      <c r="T62" s="3">
        <f>SUM(R62:S62)</f>
        <v>2.6005670714285714</v>
      </c>
      <c r="U62" s="3"/>
      <c r="V62" s="3"/>
      <c r="W62" s="3"/>
      <c r="X62" s="3"/>
      <c r="Y62" s="3"/>
      <c r="Z62" s="3"/>
      <c r="AA62" s="3"/>
      <c r="AB62" s="3"/>
      <c r="AC62" s="3"/>
      <c r="AD62" s="3"/>
    </row>
    <row r="63" spans="1:30" ht="14">
      <c r="A63" s="3" t="s">
        <v>37</v>
      </c>
      <c r="B63" s="3">
        <v>6460.8984375</v>
      </c>
      <c r="C63" s="3">
        <v>6075.6944444444443</v>
      </c>
      <c r="D63" s="3"/>
      <c r="E63" s="3">
        <v>8</v>
      </c>
      <c r="F63" s="3">
        <v>8</v>
      </c>
      <c r="G63" s="5">
        <v>0.40763888888888888</v>
      </c>
      <c r="H63" s="5"/>
      <c r="I63" s="3">
        <v>11.2</v>
      </c>
      <c r="J63" s="3">
        <v>6.03</v>
      </c>
      <c r="K63" s="3"/>
      <c r="L63" s="3">
        <v>4.3</v>
      </c>
      <c r="M63" s="3">
        <v>2.5</v>
      </c>
      <c r="N63" s="3">
        <v>12.8</v>
      </c>
      <c r="O63" s="3">
        <v>27.6</v>
      </c>
      <c r="P63" s="3"/>
      <c r="Q63" s="3"/>
      <c r="R63" s="3"/>
      <c r="S63" s="3"/>
      <c r="T63" s="3"/>
      <c r="U63" s="3"/>
      <c r="V63" s="3"/>
      <c r="W63" s="3"/>
      <c r="X63" s="3"/>
      <c r="Y63" s="3"/>
      <c r="Z63" s="3"/>
      <c r="AA63" s="3"/>
      <c r="AB63" s="3"/>
      <c r="AC63" s="3"/>
      <c r="AD63" s="3"/>
    </row>
    <row r="64" spans="1:30" ht="14">
      <c r="A64" s="3" t="s">
        <v>37</v>
      </c>
      <c r="B64" s="3">
        <v>6460.8984375</v>
      </c>
      <c r="C64" s="3">
        <v>6075.6944444444443</v>
      </c>
      <c r="D64" s="3"/>
      <c r="E64" s="3">
        <v>8</v>
      </c>
      <c r="F64" s="3">
        <v>8</v>
      </c>
      <c r="G64" s="5">
        <v>0.40763888888888888</v>
      </c>
      <c r="H64" s="5"/>
      <c r="I64" s="3">
        <v>11.2</v>
      </c>
      <c r="J64" s="3">
        <v>10.15</v>
      </c>
      <c r="K64" s="3"/>
      <c r="L64" s="3">
        <v>28.4</v>
      </c>
      <c r="M64" s="3">
        <v>2.9</v>
      </c>
      <c r="N64" s="3">
        <v>12.8</v>
      </c>
      <c r="O64" s="3">
        <v>31.8</v>
      </c>
      <c r="P64" s="3"/>
      <c r="Q64" s="3"/>
      <c r="R64" s="3"/>
      <c r="S64" s="3"/>
      <c r="T64" s="3"/>
      <c r="U64" s="3"/>
      <c r="V64" s="3"/>
      <c r="W64" s="3"/>
      <c r="X64" s="3"/>
      <c r="Y64" s="3"/>
      <c r="Z64" s="3"/>
      <c r="AA64" s="3"/>
      <c r="AB64" s="3"/>
      <c r="AC64" s="3"/>
      <c r="AD64" s="3"/>
    </row>
    <row r="65" spans="1:30" ht="14">
      <c r="A65" s="3" t="s">
        <v>37</v>
      </c>
      <c r="B65" s="3">
        <v>6460.8984375</v>
      </c>
      <c r="C65" s="3">
        <v>6075.6944444444443</v>
      </c>
      <c r="D65" s="3"/>
      <c r="E65" s="3">
        <v>5</v>
      </c>
      <c r="F65" s="3">
        <v>5</v>
      </c>
      <c r="G65" s="5">
        <v>0.45347222222222222</v>
      </c>
      <c r="H65" s="5"/>
      <c r="I65" s="3">
        <v>20.9</v>
      </c>
      <c r="J65" s="3">
        <v>0.45</v>
      </c>
      <c r="K65" s="3"/>
      <c r="L65" s="3">
        <v>4</v>
      </c>
      <c r="M65" s="3">
        <v>2.8</v>
      </c>
      <c r="N65" s="3">
        <v>13.2</v>
      </c>
      <c r="O65" s="3">
        <v>17.2</v>
      </c>
      <c r="P65" s="3"/>
      <c r="Q65" s="3"/>
      <c r="R65" s="3">
        <v>1.1192866883116883</v>
      </c>
      <c r="S65" s="3">
        <v>0.94074681168831165</v>
      </c>
      <c r="T65" s="3">
        <f>SUM(R65:S65)</f>
        <v>2.0600334999999999</v>
      </c>
      <c r="U65" s="3"/>
      <c r="V65" s="3"/>
      <c r="W65" s="3"/>
      <c r="X65" s="3"/>
      <c r="Y65" s="3"/>
      <c r="Z65" s="3"/>
      <c r="AA65" s="3"/>
      <c r="AB65" s="3"/>
      <c r="AC65" s="3"/>
      <c r="AD65" s="3"/>
    </row>
    <row r="66" spans="1:30" ht="14">
      <c r="A66" s="3" t="s">
        <v>37</v>
      </c>
      <c r="B66" s="3">
        <v>6460.8984375</v>
      </c>
      <c r="C66" s="3">
        <v>6075.6944444444443</v>
      </c>
      <c r="D66" s="3"/>
      <c r="E66" s="3">
        <v>5</v>
      </c>
      <c r="F66" s="3">
        <v>5</v>
      </c>
      <c r="G66" s="5">
        <v>0.45347222222222222</v>
      </c>
      <c r="H66" s="5"/>
      <c r="I66" s="3">
        <v>20.9</v>
      </c>
      <c r="J66" s="3">
        <v>12.12</v>
      </c>
      <c r="K66" s="3"/>
      <c r="L66" s="3">
        <v>3.7</v>
      </c>
      <c r="M66" s="3">
        <v>2.2999999999999998</v>
      </c>
      <c r="N66" s="3">
        <v>12.8</v>
      </c>
      <c r="O66" s="3">
        <v>29.7</v>
      </c>
      <c r="P66" s="3"/>
      <c r="Q66" s="3"/>
      <c r="R66" s="3"/>
      <c r="S66" s="3"/>
      <c r="T66" s="3"/>
      <c r="U66" s="3"/>
      <c r="V66" s="3"/>
      <c r="W66" s="3"/>
      <c r="X66" s="3"/>
      <c r="Y66" s="3"/>
      <c r="Z66" s="3"/>
      <c r="AA66" s="3"/>
      <c r="AB66" s="3"/>
      <c r="AC66" s="3"/>
      <c r="AD66" s="3"/>
    </row>
    <row r="67" spans="1:30" ht="14">
      <c r="A67" s="3" t="s">
        <v>37</v>
      </c>
      <c r="B67" s="3">
        <v>6460.8984375</v>
      </c>
      <c r="C67" s="3">
        <v>6075.6944444444443</v>
      </c>
      <c r="D67" s="3"/>
      <c r="E67" s="3">
        <v>5</v>
      </c>
      <c r="F67" s="3">
        <v>5</v>
      </c>
      <c r="G67" s="5">
        <v>0.45347222222222222</v>
      </c>
      <c r="H67" s="5"/>
      <c r="I67" s="3">
        <v>20.9</v>
      </c>
      <c r="J67" s="3">
        <v>20.3</v>
      </c>
      <c r="K67" s="3"/>
      <c r="L67" s="3">
        <v>21.6</v>
      </c>
      <c r="M67" s="3">
        <v>2.6</v>
      </c>
      <c r="N67" s="3">
        <v>12.8</v>
      </c>
      <c r="O67" s="3">
        <v>31.7</v>
      </c>
      <c r="P67" s="3"/>
      <c r="Q67" s="3"/>
      <c r="R67" s="3"/>
      <c r="S67" s="3"/>
      <c r="T67" s="3"/>
      <c r="U67" s="3"/>
      <c r="V67" s="3"/>
      <c r="W67" s="3"/>
      <c r="X67" s="3"/>
      <c r="Y67" s="3"/>
      <c r="Z67" s="3"/>
      <c r="AA67" s="3"/>
      <c r="AB67" s="3"/>
      <c r="AC67" s="3"/>
      <c r="AD67" s="3"/>
    </row>
    <row r="68" spans="1:30" ht="14">
      <c r="A68" s="3" t="s">
        <v>37</v>
      </c>
      <c r="B68" s="3">
        <v>6460.8984375</v>
      </c>
      <c r="C68" s="3">
        <v>6075.6944444444443</v>
      </c>
      <c r="D68" s="3"/>
      <c r="E68" s="3">
        <v>4</v>
      </c>
      <c r="F68" s="3">
        <v>4</v>
      </c>
      <c r="G68" s="5">
        <v>0.5</v>
      </c>
      <c r="H68" s="5"/>
      <c r="I68" s="3">
        <v>9.1</v>
      </c>
      <c r="J68" s="3">
        <v>0.16969696969696973</v>
      </c>
      <c r="K68" s="3"/>
      <c r="L68" s="3">
        <v>4.76</v>
      </c>
      <c r="M68" s="3">
        <v>2.31</v>
      </c>
      <c r="N68" s="3">
        <v>13</v>
      </c>
      <c r="O68" s="3">
        <v>23.6</v>
      </c>
      <c r="P68" s="3"/>
      <c r="Q68" s="3"/>
      <c r="R68" s="3">
        <v>1.0988119318181819</v>
      </c>
      <c r="S68" s="3">
        <v>1.0392986396103896</v>
      </c>
      <c r="T68" s="3">
        <f>SUM(R68:S68)</f>
        <v>2.1381105714285713</v>
      </c>
      <c r="U68" s="3"/>
      <c r="V68" s="3"/>
      <c r="W68" s="3"/>
      <c r="X68" s="3"/>
      <c r="Y68" s="3"/>
      <c r="Z68" s="3"/>
      <c r="AA68" s="3"/>
      <c r="AB68" s="3"/>
      <c r="AC68" s="3"/>
      <c r="AD68" s="3"/>
    </row>
    <row r="69" spans="1:30" ht="14">
      <c r="A69" s="3" t="s">
        <v>37</v>
      </c>
      <c r="B69" s="3">
        <v>6460.8984375</v>
      </c>
      <c r="C69" s="3">
        <v>6075.6944444444443</v>
      </c>
      <c r="D69" s="3"/>
      <c r="E69" s="3">
        <v>4</v>
      </c>
      <c r="F69" s="3">
        <v>4</v>
      </c>
      <c r="G69" s="5">
        <v>0.5</v>
      </c>
      <c r="H69" s="5"/>
      <c r="I69" s="3">
        <v>9.1</v>
      </c>
      <c r="J69" s="3">
        <v>4.3939393939393945</v>
      </c>
      <c r="K69" s="3"/>
      <c r="L69" s="3">
        <v>20.3</v>
      </c>
      <c r="M69" s="3">
        <v>2.7</v>
      </c>
      <c r="N69" s="3">
        <v>12.9</v>
      </c>
      <c r="O69" s="3">
        <v>30.8</v>
      </c>
      <c r="P69" s="3"/>
      <c r="Q69" s="3"/>
      <c r="R69" s="3"/>
      <c r="S69" s="3"/>
      <c r="T69" s="3"/>
      <c r="U69" s="3"/>
      <c r="V69" s="3"/>
      <c r="W69" s="3"/>
      <c r="X69" s="3"/>
      <c r="Y69" s="3"/>
      <c r="Z69" s="3"/>
      <c r="AA69" s="3"/>
      <c r="AB69" s="3"/>
      <c r="AC69" s="3"/>
      <c r="AD69" s="3"/>
    </row>
    <row r="70" spans="1:30" ht="14">
      <c r="A70" s="3" t="s">
        <v>37</v>
      </c>
      <c r="B70" s="3">
        <v>6460.8984375</v>
      </c>
      <c r="C70" s="3">
        <v>6075.6944444444443</v>
      </c>
      <c r="D70" s="3"/>
      <c r="E70" s="3">
        <v>4</v>
      </c>
      <c r="F70" s="3">
        <v>4</v>
      </c>
      <c r="G70" s="5">
        <v>0.5</v>
      </c>
      <c r="H70" s="5"/>
      <c r="I70" s="3">
        <v>9.1</v>
      </c>
      <c r="J70" s="3">
        <v>9.2424242424242422</v>
      </c>
      <c r="K70" s="3"/>
      <c r="L70" s="3">
        <v>71</v>
      </c>
      <c r="M70" s="3">
        <v>3.8</v>
      </c>
      <c r="N70" s="3">
        <v>12.8</v>
      </c>
      <c r="O70" s="3">
        <v>31.3</v>
      </c>
      <c r="P70" s="3"/>
      <c r="Q70" s="3"/>
      <c r="R70" s="3"/>
      <c r="S70" s="3"/>
      <c r="T70" s="3"/>
      <c r="U70" s="3"/>
      <c r="V70" s="3"/>
      <c r="W70" s="3"/>
      <c r="X70" s="3"/>
      <c r="Y70" s="3"/>
      <c r="Z70" s="3"/>
      <c r="AA70" s="3"/>
      <c r="AB70" s="3"/>
      <c r="AC70" s="3"/>
      <c r="AD70" s="3"/>
    </row>
    <row r="71" spans="1:30" ht="14">
      <c r="A71" s="3" t="s">
        <v>37</v>
      </c>
      <c r="B71" s="3">
        <v>6460.8984375</v>
      </c>
      <c r="C71" s="3">
        <v>6075.6944444444443</v>
      </c>
      <c r="D71" s="3"/>
      <c r="E71" s="3">
        <v>2</v>
      </c>
      <c r="F71" s="3">
        <v>2</v>
      </c>
      <c r="G71" s="5">
        <v>6.25E-2</v>
      </c>
      <c r="H71" s="5"/>
      <c r="I71" s="3">
        <v>12.12</v>
      </c>
      <c r="J71" s="3">
        <v>0.3</v>
      </c>
      <c r="K71" s="3"/>
      <c r="L71" s="3">
        <v>4.7</v>
      </c>
      <c r="M71" s="3">
        <v>3.5</v>
      </c>
      <c r="N71" s="3">
        <v>13.7</v>
      </c>
      <c r="O71" s="3">
        <v>10.9</v>
      </c>
      <c r="P71" s="3"/>
      <c r="Q71" s="3"/>
      <c r="R71" s="3">
        <v>2.757267207792208</v>
      </c>
      <c r="S71" s="3">
        <v>1.296734577922078</v>
      </c>
      <c r="T71" s="3">
        <f>SUM(R71:S71)</f>
        <v>4.054001785714286</v>
      </c>
      <c r="U71" s="3"/>
      <c r="V71" s="3"/>
      <c r="W71" s="3"/>
      <c r="X71" s="3"/>
      <c r="Y71" s="3"/>
      <c r="Z71" s="3"/>
      <c r="AA71" s="3"/>
      <c r="AB71" s="3"/>
      <c r="AC71" s="3"/>
      <c r="AD71" s="3"/>
    </row>
    <row r="72" spans="1:30" ht="14">
      <c r="A72" s="3" t="s">
        <v>37</v>
      </c>
      <c r="B72" s="3">
        <v>6460.8984375</v>
      </c>
      <c r="C72" s="3">
        <v>6075.6944444444443</v>
      </c>
      <c r="D72" s="3"/>
      <c r="E72" s="3">
        <v>2</v>
      </c>
      <c r="F72" s="3">
        <v>2</v>
      </c>
      <c r="G72" s="5">
        <v>6.25E-2</v>
      </c>
      <c r="H72" s="5"/>
      <c r="I72" s="3">
        <v>12.12</v>
      </c>
      <c r="J72" s="3">
        <v>4.3600000000000003</v>
      </c>
      <c r="K72" s="3"/>
      <c r="L72" s="3">
        <v>5.6</v>
      </c>
      <c r="M72" s="3">
        <v>2.6</v>
      </c>
      <c r="N72" s="3">
        <v>13.4</v>
      </c>
      <c r="O72" s="3">
        <v>12.7</v>
      </c>
      <c r="P72" s="3"/>
      <c r="Q72" s="3"/>
      <c r="R72" s="3"/>
      <c r="S72" s="3"/>
      <c r="T72" s="3"/>
      <c r="U72" s="3"/>
      <c r="V72" s="3"/>
      <c r="W72" s="3"/>
      <c r="X72" s="3"/>
      <c r="Y72" s="3"/>
      <c r="Z72" s="3"/>
      <c r="AA72" s="3"/>
      <c r="AB72" s="3"/>
      <c r="AC72" s="3"/>
      <c r="AD72" s="3"/>
    </row>
    <row r="73" spans="1:30" ht="14">
      <c r="A73" s="3" t="s">
        <v>37</v>
      </c>
      <c r="B73" s="3">
        <v>6460.8984375</v>
      </c>
      <c r="C73" s="3">
        <v>6075.6944444444443</v>
      </c>
      <c r="D73" s="3"/>
      <c r="E73" s="3">
        <v>2</v>
      </c>
      <c r="F73" s="3">
        <v>2</v>
      </c>
      <c r="G73" s="5">
        <v>6.25E-2</v>
      </c>
      <c r="H73" s="5"/>
      <c r="I73" s="3">
        <v>12.12</v>
      </c>
      <c r="J73" s="3">
        <v>9.64</v>
      </c>
      <c r="K73" s="3"/>
      <c r="L73" s="3">
        <v>20.5</v>
      </c>
      <c r="M73" s="3">
        <v>3.36</v>
      </c>
      <c r="N73" s="3">
        <v>13.2</v>
      </c>
      <c r="O73" s="3">
        <v>17.899999999999999</v>
      </c>
      <c r="P73" s="3"/>
      <c r="Q73" s="3"/>
      <c r="R73" s="3"/>
      <c r="S73" s="3"/>
      <c r="T73" s="3"/>
      <c r="U73" s="3"/>
      <c r="V73" s="3"/>
      <c r="W73" s="3"/>
      <c r="X73" s="3"/>
      <c r="Y73" s="3"/>
      <c r="Z73" s="3"/>
      <c r="AA73" s="3"/>
      <c r="AB73" s="3"/>
      <c r="AC73" s="3"/>
      <c r="AD73" s="3"/>
    </row>
    <row r="74" spans="1:30" ht="14">
      <c r="A74" s="3" t="s">
        <v>38</v>
      </c>
      <c r="B74" s="3">
        <v>9183.3808290155448</v>
      </c>
      <c r="C74" s="3">
        <v>8923.8888888888887</v>
      </c>
      <c r="D74" s="3"/>
      <c r="E74" s="3">
        <v>8</v>
      </c>
      <c r="F74" s="3">
        <v>8</v>
      </c>
      <c r="G74" s="5">
        <v>0.39374999999999999</v>
      </c>
      <c r="H74" s="5"/>
      <c r="I74" s="3">
        <v>8.6</v>
      </c>
      <c r="J74" s="3">
        <v>0.21</v>
      </c>
      <c r="K74" s="3"/>
      <c r="L74" s="3">
        <v>5.3</v>
      </c>
      <c r="M74" s="3">
        <v>3.3</v>
      </c>
      <c r="N74" s="3">
        <v>9.9</v>
      </c>
      <c r="O74" s="3">
        <v>23.2</v>
      </c>
      <c r="P74" s="3"/>
      <c r="Q74" s="3"/>
      <c r="R74" s="3">
        <v>1.1534112824675327</v>
      </c>
      <c r="S74" s="3">
        <v>1.9396419318181817</v>
      </c>
      <c r="T74" s="3">
        <f>SUM(R74:S74)</f>
        <v>3.0930532142857143</v>
      </c>
      <c r="U74" s="3"/>
      <c r="V74" s="3"/>
      <c r="W74" s="3"/>
      <c r="X74" s="3"/>
      <c r="Y74" s="3"/>
      <c r="Z74" s="3"/>
      <c r="AA74" s="3"/>
      <c r="AB74" s="3"/>
      <c r="AC74" s="3"/>
      <c r="AD74" s="3"/>
    </row>
    <row r="75" spans="1:30" ht="14">
      <c r="A75" s="3" t="s">
        <v>38</v>
      </c>
      <c r="B75" s="3">
        <v>9183.3808290155448</v>
      </c>
      <c r="C75" s="3">
        <v>8923.8888888888887</v>
      </c>
      <c r="D75" s="3"/>
      <c r="E75" s="3">
        <v>8</v>
      </c>
      <c r="F75" s="3">
        <v>8</v>
      </c>
      <c r="G75" s="5">
        <v>0.39374999999999999</v>
      </c>
      <c r="H75" s="5"/>
      <c r="I75" s="3">
        <v>8.6</v>
      </c>
      <c r="J75" s="3">
        <v>4.4000000000000004</v>
      </c>
      <c r="K75" s="3"/>
      <c r="L75" s="3">
        <v>5.6</v>
      </c>
      <c r="M75" s="3">
        <v>3.2</v>
      </c>
      <c r="N75" s="3">
        <v>10.4</v>
      </c>
      <c r="O75" s="3">
        <v>25.8</v>
      </c>
      <c r="P75" s="3"/>
      <c r="Q75" s="3"/>
      <c r="R75" s="3"/>
      <c r="S75" s="3"/>
      <c r="T75" s="3"/>
      <c r="U75" s="3"/>
      <c r="V75" s="3"/>
      <c r="W75" s="3"/>
      <c r="X75" s="3"/>
      <c r="Y75" s="3"/>
      <c r="Z75" s="3"/>
      <c r="AA75" s="3"/>
      <c r="AB75" s="3"/>
      <c r="AC75" s="3"/>
      <c r="AD75" s="3"/>
    </row>
    <row r="76" spans="1:30" ht="14">
      <c r="A76" s="3" t="s">
        <v>38</v>
      </c>
      <c r="B76" s="3">
        <v>9183.3808290155448</v>
      </c>
      <c r="C76" s="3">
        <v>8923.8888888888887</v>
      </c>
      <c r="D76" s="3"/>
      <c r="E76" s="3">
        <v>8</v>
      </c>
      <c r="F76" s="3">
        <v>8</v>
      </c>
      <c r="G76" s="5">
        <v>0.39374999999999999</v>
      </c>
      <c r="H76" s="5"/>
      <c r="I76" s="3">
        <v>8.6</v>
      </c>
      <c r="J76" s="3">
        <f>26.7/3.3</f>
        <v>8.0909090909090917</v>
      </c>
      <c r="K76" s="3"/>
      <c r="L76" s="3">
        <v>4.9000000000000004</v>
      </c>
      <c r="M76" s="3">
        <v>2.7</v>
      </c>
      <c r="N76" s="3">
        <v>11</v>
      </c>
      <c r="O76" s="3">
        <v>30</v>
      </c>
      <c r="P76" s="3"/>
      <c r="Q76" s="3"/>
      <c r="R76" s="3"/>
      <c r="S76" s="3"/>
      <c r="T76" s="3"/>
      <c r="U76" s="3"/>
      <c r="V76" s="3"/>
      <c r="W76" s="3"/>
      <c r="X76" s="3"/>
      <c r="Y76" s="3"/>
      <c r="Z76" s="3"/>
      <c r="AA76" s="3"/>
      <c r="AB76" s="3" t="s">
        <v>39</v>
      </c>
      <c r="AC76" s="3"/>
      <c r="AD76" s="3"/>
    </row>
    <row r="77" spans="1:30" ht="14">
      <c r="A77" s="3" t="s">
        <v>38</v>
      </c>
      <c r="B77" s="3">
        <v>9183.3808290155448</v>
      </c>
      <c r="C77" s="3">
        <v>8923.8888888888887</v>
      </c>
      <c r="D77" s="3"/>
      <c r="E77" s="3">
        <v>5</v>
      </c>
      <c r="F77" s="3">
        <v>5</v>
      </c>
      <c r="G77" s="5">
        <v>0.43888888888888888</v>
      </c>
      <c r="H77" s="5"/>
      <c r="I77" s="3">
        <v>19.2</v>
      </c>
      <c r="J77" s="3">
        <v>0.36</v>
      </c>
      <c r="K77" s="3"/>
      <c r="L77" s="3">
        <v>4.9000000000000004</v>
      </c>
      <c r="M77" s="3">
        <v>3.2</v>
      </c>
      <c r="N77" s="3">
        <v>8.9</v>
      </c>
      <c r="O77" s="3">
        <v>15.7</v>
      </c>
      <c r="P77" s="3"/>
      <c r="Q77" s="3"/>
      <c r="R77" s="3">
        <v>1.378633603896104</v>
      </c>
      <c r="S77" s="3">
        <v>1.3180283246753244</v>
      </c>
      <c r="T77" s="3">
        <f>SUM(R77:S77)</f>
        <v>2.6966619285714284</v>
      </c>
      <c r="U77" s="3"/>
      <c r="V77" s="3"/>
      <c r="W77" s="3"/>
      <c r="X77" s="3"/>
      <c r="Y77" s="3"/>
      <c r="Z77" s="3"/>
      <c r="AA77" s="3"/>
      <c r="AB77" s="3"/>
      <c r="AC77" s="3"/>
      <c r="AD77" s="3"/>
    </row>
    <row r="78" spans="1:30" ht="14">
      <c r="A78" s="3" t="s">
        <v>38</v>
      </c>
      <c r="B78" s="3">
        <v>9183.3808290155448</v>
      </c>
      <c r="C78" s="3">
        <v>8923.8888888888887</v>
      </c>
      <c r="D78" s="3"/>
      <c r="E78" s="3">
        <v>5</v>
      </c>
      <c r="F78" s="3">
        <v>5</v>
      </c>
      <c r="G78" s="5">
        <v>0.43888888888888888</v>
      </c>
      <c r="H78" s="5"/>
      <c r="I78" s="3">
        <v>19.2</v>
      </c>
      <c r="J78" s="3">
        <v>9.9</v>
      </c>
      <c r="K78" s="3"/>
      <c r="L78" s="3">
        <v>6</v>
      </c>
      <c r="M78" s="3">
        <v>3.4</v>
      </c>
      <c r="N78" s="3">
        <v>10.7</v>
      </c>
      <c r="O78" s="3">
        <v>27.9</v>
      </c>
      <c r="P78" s="3"/>
      <c r="Q78" s="3"/>
      <c r="R78" s="3"/>
      <c r="S78" s="3"/>
      <c r="T78" s="3"/>
      <c r="U78" s="3"/>
      <c r="V78" s="3"/>
      <c r="W78" s="3"/>
      <c r="X78" s="3"/>
      <c r="Y78" s="3"/>
      <c r="Z78" s="3"/>
      <c r="AA78" s="3"/>
      <c r="AB78" s="3"/>
      <c r="AC78" s="3"/>
      <c r="AD78" s="3"/>
    </row>
    <row r="79" spans="1:30" ht="14">
      <c r="A79" s="3" t="s">
        <v>38</v>
      </c>
      <c r="B79" s="3">
        <v>9183.3808290155448</v>
      </c>
      <c r="C79" s="3">
        <v>8923.8888888888887</v>
      </c>
      <c r="D79" s="3"/>
      <c r="E79" s="3">
        <v>5</v>
      </c>
      <c r="F79" s="3">
        <v>5</v>
      </c>
      <c r="G79" s="5">
        <v>0.43888888888888888</v>
      </c>
      <c r="H79" s="5"/>
      <c r="I79" s="3">
        <v>19.2</v>
      </c>
      <c r="J79" s="3">
        <v>18.2</v>
      </c>
      <c r="K79" s="3"/>
      <c r="L79" s="3">
        <v>42</v>
      </c>
      <c r="M79" s="3">
        <v>6.4</v>
      </c>
      <c r="N79" s="3">
        <v>11.3</v>
      </c>
      <c r="O79" s="3">
        <v>31.7</v>
      </c>
      <c r="P79" s="3"/>
      <c r="Q79" s="3"/>
      <c r="R79" s="3"/>
      <c r="S79" s="3"/>
      <c r="T79" s="3"/>
      <c r="U79" s="3"/>
      <c r="V79" s="3"/>
      <c r="W79" s="3"/>
      <c r="X79" s="3"/>
      <c r="Y79" s="3"/>
      <c r="Z79" s="3"/>
      <c r="AA79" s="3"/>
      <c r="AB79" s="3"/>
      <c r="AC79" s="3"/>
      <c r="AD79" s="3"/>
    </row>
    <row r="80" spans="1:30" ht="14">
      <c r="A80" s="3" t="s">
        <v>38</v>
      </c>
      <c r="B80" s="3">
        <v>9183.3808290155448</v>
      </c>
      <c r="C80" s="3">
        <v>8923.8888888888887</v>
      </c>
      <c r="D80" s="3"/>
      <c r="E80" s="3">
        <v>4</v>
      </c>
      <c r="F80" s="3">
        <v>4</v>
      </c>
      <c r="G80" s="5">
        <v>0.48472222222222222</v>
      </c>
      <c r="H80" s="5"/>
      <c r="I80" s="3">
        <v>10</v>
      </c>
      <c r="J80" s="3">
        <v>0.15</v>
      </c>
      <c r="K80" s="3"/>
      <c r="L80" s="3">
        <v>8</v>
      </c>
      <c r="M80" s="3">
        <v>3.6</v>
      </c>
      <c r="N80" s="3">
        <v>9.6999999999999993</v>
      </c>
      <c r="O80" s="3">
        <v>21</v>
      </c>
      <c r="P80" s="3"/>
      <c r="Q80" s="3"/>
      <c r="R80" s="3">
        <v>1.0442125811688312</v>
      </c>
      <c r="S80" s="3">
        <v>1.2980995616883118</v>
      </c>
      <c r="T80" s="3">
        <f>SUM(R80:S80)</f>
        <v>2.3423121428571427</v>
      </c>
      <c r="U80" s="3"/>
      <c r="V80" s="3"/>
      <c r="W80" s="3"/>
      <c r="X80" s="3"/>
      <c r="Y80" s="3"/>
      <c r="Z80" s="3"/>
      <c r="AA80" s="3"/>
      <c r="AB80" s="3"/>
      <c r="AC80" s="3"/>
      <c r="AD80" s="3"/>
    </row>
    <row r="81" spans="1:30" ht="14">
      <c r="A81" s="3" t="s">
        <v>38</v>
      </c>
      <c r="B81" s="3">
        <v>9183.3808290155448</v>
      </c>
      <c r="C81" s="3">
        <v>8923.8888888888887</v>
      </c>
      <c r="D81" s="3"/>
      <c r="E81" s="3">
        <v>4</v>
      </c>
      <c r="F81" s="3">
        <v>4</v>
      </c>
      <c r="G81" s="5">
        <v>0.48472222222222222</v>
      </c>
      <c r="H81" s="5"/>
      <c r="I81" s="3">
        <v>10</v>
      </c>
      <c r="J81" s="3">
        <v>4.8</v>
      </c>
      <c r="K81" s="3"/>
      <c r="L81" s="3">
        <v>69</v>
      </c>
      <c r="M81" s="3">
        <v>5.7</v>
      </c>
      <c r="N81" s="3">
        <v>11.1</v>
      </c>
      <c r="O81" s="3">
        <v>30.7</v>
      </c>
      <c r="P81" s="3"/>
      <c r="Q81" s="3"/>
      <c r="R81" s="3"/>
      <c r="S81" s="3"/>
      <c r="T81" s="3"/>
      <c r="U81" s="3"/>
      <c r="V81" s="3"/>
      <c r="W81" s="3"/>
      <c r="X81" s="3"/>
      <c r="Y81" s="3"/>
      <c r="Z81" s="3"/>
      <c r="AA81" s="3"/>
      <c r="AB81" s="3"/>
      <c r="AC81" s="3"/>
      <c r="AD81" s="3"/>
    </row>
    <row r="82" spans="1:30" ht="14">
      <c r="A82" s="3" t="s">
        <v>38</v>
      </c>
      <c r="B82" s="3">
        <v>9183.3808290155448</v>
      </c>
      <c r="C82" s="3">
        <v>8923.8888888888887</v>
      </c>
      <c r="D82" s="3"/>
      <c r="E82" s="3">
        <v>4</v>
      </c>
      <c r="F82" s="3">
        <v>4</v>
      </c>
      <c r="G82" s="5">
        <v>0.48472222222222222</v>
      </c>
      <c r="H82" s="5"/>
      <c r="I82" s="3">
        <v>10</v>
      </c>
      <c r="J82" s="3">
        <v>8.42</v>
      </c>
      <c r="K82" s="3"/>
      <c r="L82" s="3">
        <v>132.9</v>
      </c>
      <c r="M82" s="3">
        <v>11.3</v>
      </c>
      <c r="N82" s="3">
        <v>11.2</v>
      </c>
      <c r="O82" s="3">
        <v>31.2</v>
      </c>
      <c r="P82" s="3"/>
      <c r="Q82" s="3"/>
      <c r="R82" s="3"/>
      <c r="S82" s="3"/>
      <c r="T82" s="3"/>
      <c r="U82" s="3"/>
      <c r="V82" s="3"/>
      <c r="W82" s="3"/>
      <c r="X82" s="3"/>
      <c r="Y82" s="3"/>
      <c r="Z82" s="3"/>
      <c r="AA82" s="3"/>
      <c r="AB82" s="3"/>
      <c r="AC82" s="3"/>
      <c r="AD82" s="3"/>
    </row>
    <row r="83" spans="1:30" ht="14">
      <c r="A83" s="3" t="s">
        <v>38</v>
      </c>
      <c r="B83" s="3">
        <v>9183.3808290155448</v>
      </c>
      <c r="C83" s="3">
        <v>8923.8888888888887</v>
      </c>
      <c r="D83" s="3"/>
      <c r="E83" s="3">
        <v>2</v>
      </c>
      <c r="F83" s="3">
        <v>2</v>
      </c>
      <c r="G83" s="5">
        <v>5.9027777777777783E-2</v>
      </c>
      <c r="H83" s="5"/>
      <c r="I83" s="3">
        <v>11.2</v>
      </c>
      <c r="J83" s="3">
        <f>0.6/3.3</f>
        <v>0.18181818181818182</v>
      </c>
      <c r="K83" s="3"/>
      <c r="L83" s="3">
        <v>9.5</v>
      </c>
      <c r="M83" s="3">
        <v>3.6</v>
      </c>
      <c r="N83" s="3">
        <v>8.1999999999999993</v>
      </c>
      <c r="O83" s="3">
        <v>10.4</v>
      </c>
      <c r="P83" s="3"/>
      <c r="Q83" s="3"/>
      <c r="R83" s="3">
        <v>1.5151319805194809</v>
      </c>
      <c r="S83" s="3">
        <v>1.0253758051948054</v>
      </c>
      <c r="T83" s="3">
        <f>SUM(R83:S83)</f>
        <v>2.5405077857142864</v>
      </c>
      <c r="U83" s="3"/>
      <c r="V83" s="3"/>
      <c r="W83" s="3"/>
      <c r="X83" s="3"/>
      <c r="Y83" s="3"/>
      <c r="Z83" s="3"/>
      <c r="AA83" s="3"/>
      <c r="AB83" s="3"/>
      <c r="AC83" s="3"/>
      <c r="AD83" s="3"/>
    </row>
    <row r="84" spans="1:30" ht="14">
      <c r="A84" s="3" t="s">
        <v>38</v>
      </c>
      <c r="B84" s="3">
        <v>9183.3808290155448</v>
      </c>
      <c r="C84" s="3">
        <v>8923.8888888888887</v>
      </c>
      <c r="D84" s="3"/>
      <c r="E84" s="3">
        <v>2</v>
      </c>
      <c r="F84" s="3">
        <v>2</v>
      </c>
      <c r="G84" s="5">
        <v>5.9027777777777783E-2</v>
      </c>
      <c r="H84" s="5"/>
      <c r="I84" s="3">
        <v>11.2</v>
      </c>
      <c r="J84" s="3">
        <v>5.8</v>
      </c>
      <c r="K84" s="3"/>
      <c r="L84" s="3">
        <v>48.9</v>
      </c>
      <c r="M84" s="3">
        <v>4.4000000000000004</v>
      </c>
      <c r="N84" s="3">
        <v>8.8000000000000007</v>
      </c>
      <c r="O84" s="3">
        <v>14.7</v>
      </c>
      <c r="P84" s="3"/>
      <c r="Q84" s="3"/>
      <c r="R84" s="3"/>
      <c r="S84" s="3"/>
      <c r="T84" s="3"/>
      <c r="U84" s="3"/>
      <c r="V84" s="3"/>
      <c r="W84" s="3"/>
      <c r="X84" s="3"/>
      <c r="Y84" s="3"/>
      <c r="Z84" s="3"/>
      <c r="AA84" s="3"/>
      <c r="AB84" s="3"/>
      <c r="AC84" s="3"/>
      <c r="AD84" s="3"/>
    </row>
    <row r="85" spans="1:30" ht="14">
      <c r="A85" s="3" t="s">
        <v>38</v>
      </c>
      <c r="B85" s="3">
        <v>9183.3808290155448</v>
      </c>
      <c r="C85" s="3">
        <v>8923.8888888888887</v>
      </c>
      <c r="D85" s="3"/>
      <c r="E85" s="3">
        <v>2</v>
      </c>
      <c r="F85" s="3">
        <v>2</v>
      </c>
      <c r="G85" s="5">
        <v>5.9027777777777783E-2</v>
      </c>
      <c r="H85" s="5"/>
      <c r="I85" s="3">
        <v>11.2</v>
      </c>
      <c r="J85" s="3">
        <v>9.9</v>
      </c>
      <c r="K85" s="3"/>
      <c r="L85" s="3">
        <v>102.9</v>
      </c>
      <c r="M85" s="3">
        <v>5.7</v>
      </c>
      <c r="N85" s="3">
        <v>8.8000000000000007</v>
      </c>
      <c r="O85" s="3">
        <v>14.7</v>
      </c>
      <c r="P85" s="3"/>
      <c r="Q85" s="3"/>
      <c r="R85" s="3"/>
      <c r="S85" s="3"/>
      <c r="T85" s="3"/>
      <c r="U85" s="3"/>
      <c r="V85" s="3"/>
      <c r="W85" s="3"/>
      <c r="X85" s="3"/>
      <c r="Y85" s="3"/>
      <c r="Z85" s="3"/>
      <c r="AA85" s="3"/>
      <c r="AB85" s="3"/>
      <c r="AC85" s="3"/>
      <c r="AD85" s="3"/>
    </row>
    <row r="86" spans="1:30" ht="14">
      <c r="A86" s="3" t="s">
        <v>40</v>
      </c>
      <c r="B86" s="3">
        <v>49560.677083333336</v>
      </c>
      <c r="C86" s="3">
        <v>44708.808290155437</v>
      </c>
      <c r="D86" s="3"/>
      <c r="E86" s="3">
        <v>8</v>
      </c>
      <c r="F86" s="3">
        <v>8</v>
      </c>
      <c r="G86" s="5">
        <v>0.39999999999999997</v>
      </c>
      <c r="H86" s="5"/>
      <c r="I86" s="3">
        <f t="shared" ref="I86:I88" si="10">31.5/3.3</f>
        <v>9.5454545454545467</v>
      </c>
      <c r="J86" s="3">
        <v>0.3</v>
      </c>
      <c r="K86" s="3">
        <v>11</v>
      </c>
      <c r="L86" s="3">
        <v>4.3</v>
      </c>
      <c r="M86" s="3">
        <v>2.1</v>
      </c>
      <c r="N86" s="3">
        <v>6</v>
      </c>
      <c r="O86" s="3">
        <v>12.4</v>
      </c>
      <c r="P86" s="3"/>
      <c r="Q86" s="3">
        <f t="shared" ref="Q86" si="11">4/3.3</f>
        <v>1.2121212121212122</v>
      </c>
      <c r="R86" s="3"/>
      <c r="S86" s="3"/>
      <c r="T86" s="3"/>
      <c r="U86" s="3"/>
      <c r="V86" s="3"/>
      <c r="W86" s="3"/>
      <c r="X86" s="3"/>
      <c r="Z86" s="3"/>
      <c r="AA86" s="3"/>
      <c r="AB86" s="3"/>
      <c r="AC86" s="3"/>
      <c r="AD86" s="3"/>
    </row>
    <row r="87" spans="1:30" ht="14">
      <c r="A87" s="3" t="s">
        <v>40</v>
      </c>
      <c r="B87" s="3">
        <v>49560.677083333336</v>
      </c>
      <c r="C87" s="3">
        <v>44708.808290155437</v>
      </c>
      <c r="D87" s="3"/>
      <c r="E87" s="3">
        <v>8</v>
      </c>
      <c r="F87" s="3">
        <v>8</v>
      </c>
      <c r="G87" s="5">
        <v>0.39999999999999997</v>
      </c>
      <c r="H87" s="5"/>
      <c r="I87" s="3">
        <f t="shared" si="10"/>
        <v>9.5454545454545467</v>
      </c>
      <c r="J87" s="3">
        <v>4.7</v>
      </c>
      <c r="K87" s="3">
        <v>10.6</v>
      </c>
      <c r="L87" s="3">
        <v>6.4</v>
      </c>
      <c r="M87" s="3">
        <v>2.2000000000000002</v>
      </c>
      <c r="N87" s="3">
        <v>4.9000000000000004</v>
      </c>
      <c r="O87" s="3">
        <v>19.5</v>
      </c>
      <c r="P87" s="3"/>
      <c r="Q87" s="3"/>
      <c r="R87" s="3"/>
      <c r="S87" s="3"/>
      <c r="T87" s="3"/>
      <c r="U87" s="3"/>
      <c r="V87" s="3"/>
      <c r="W87" s="3"/>
      <c r="X87" s="3"/>
      <c r="Z87" s="3"/>
      <c r="AA87" s="3"/>
      <c r="AB87" s="3"/>
      <c r="AC87" s="3"/>
      <c r="AD87" s="3"/>
    </row>
    <row r="88" spans="1:30" ht="14">
      <c r="A88" s="3" t="s">
        <v>40</v>
      </c>
      <c r="B88" s="3">
        <v>49560.677083333336</v>
      </c>
      <c r="C88" s="3">
        <v>44708.808290155437</v>
      </c>
      <c r="D88" s="3"/>
      <c r="E88" s="3">
        <v>8</v>
      </c>
      <c r="F88" s="3">
        <v>8</v>
      </c>
      <c r="G88" s="5">
        <v>0.39999999999999997</v>
      </c>
      <c r="H88" s="5"/>
      <c r="I88" s="3">
        <f t="shared" si="10"/>
        <v>9.5454545454545467</v>
      </c>
      <c r="J88" s="3">
        <v>8.9</v>
      </c>
      <c r="K88" s="3">
        <v>10</v>
      </c>
      <c r="L88" s="3">
        <v>87.7</v>
      </c>
      <c r="M88" s="3">
        <v>3.75</v>
      </c>
      <c r="N88" s="3">
        <v>3.8</v>
      </c>
      <c r="O88" s="3">
        <v>30.3</v>
      </c>
      <c r="P88" s="3"/>
      <c r="Q88" s="3"/>
      <c r="R88" s="3"/>
      <c r="S88" s="3"/>
      <c r="T88" s="3"/>
      <c r="U88" s="3"/>
      <c r="V88" s="3"/>
      <c r="W88" s="3"/>
      <c r="X88" s="3"/>
      <c r="Z88" s="3"/>
      <c r="AA88" s="3"/>
      <c r="AB88" s="3"/>
      <c r="AC88" s="3"/>
      <c r="AD88" s="3"/>
    </row>
    <row r="89" spans="1:30" ht="14">
      <c r="A89" s="3" t="s">
        <v>40</v>
      </c>
      <c r="B89" s="3">
        <v>49560.677083333299</v>
      </c>
      <c r="C89" s="3">
        <v>44708.808290155401</v>
      </c>
      <c r="D89" s="3"/>
      <c r="E89" s="3">
        <v>6</v>
      </c>
      <c r="F89" s="3">
        <v>6</v>
      </c>
      <c r="G89" s="5">
        <v>0.43055555555555558</v>
      </c>
      <c r="H89" s="5"/>
      <c r="I89" s="3">
        <f t="shared" ref="I89:I91" si="12">36/3.3</f>
        <v>10.90909090909091</v>
      </c>
      <c r="J89" s="3">
        <f>1/3.3</f>
        <v>0.30303030303030304</v>
      </c>
      <c r="K89" s="3">
        <v>11.4</v>
      </c>
      <c r="L89" s="3">
        <v>4.8</v>
      </c>
      <c r="M89" s="3">
        <v>2.6</v>
      </c>
      <c r="N89" s="3">
        <v>6.5</v>
      </c>
      <c r="O89" s="3">
        <v>5.9</v>
      </c>
      <c r="P89" s="3"/>
      <c r="Q89" s="3"/>
      <c r="R89" s="3"/>
      <c r="S89" s="3"/>
      <c r="T89" s="3"/>
      <c r="U89" s="3"/>
      <c r="V89" s="3"/>
      <c r="W89" s="3"/>
      <c r="X89" s="3"/>
      <c r="Z89" s="3"/>
      <c r="AA89" s="3"/>
      <c r="AB89" s="3"/>
      <c r="AC89" s="3"/>
      <c r="AD89" s="3"/>
    </row>
    <row r="90" spans="1:30" ht="14">
      <c r="A90" s="3" t="s">
        <v>40</v>
      </c>
      <c r="B90" s="3">
        <v>49560.677083333299</v>
      </c>
      <c r="C90" s="3">
        <v>44708.808290155401</v>
      </c>
      <c r="D90" s="3"/>
      <c r="E90" s="3">
        <v>6</v>
      </c>
      <c r="F90" s="3">
        <v>6</v>
      </c>
      <c r="G90" s="5">
        <v>0.43055555555555558</v>
      </c>
      <c r="H90" s="5"/>
      <c r="I90" s="3">
        <f t="shared" si="12"/>
        <v>10.90909090909091</v>
      </c>
      <c r="J90" s="3">
        <f>19.9/3.3</f>
        <v>6.0303030303030303</v>
      </c>
      <c r="K90" s="3">
        <v>10.6</v>
      </c>
      <c r="L90" s="3">
        <v>5.2</v>
      </c>
      <c r="M90" s="3">
        <v>2.6</v>
      </c>
      <c r="N90" s="3">
        <v>4.8</v>
      </c>
      <c r="O90" s="3">
        <v>19.899999999999999</v>
      </c>
      <c r="P90" s="3"/>
      <c r="Q90" s="3"/>
      <c r="R90" s="3"/>
      <c r="S90" s="3"/>
      <c r="T90" s="3"/>
      <c r="U90" s="3"/>
      <c r="V90" s="3"/>
      <c r="W90" s="3"/>
      <c r="X90" s="3"/>
      <c r="Z90" s="3"/>
      <c r="AA90" s="3"/>
      <c r="AB90" s="3"/>
      <c r="AC90" s="3"/>
      <c r="AD90" s="3"/>
    </row>
    <row r="91" spans="1:30" ht="14">
      <c r="A91" s="3" t="s">
        <v>40</v>
      </c>
      <c r="B91" s="3">
        <v>49560.677083333299</v>
      </c>
      <c r="C91" s="3">
        <v>44708.808290155401</v>
      </c>
      <c r="D91" s="3"/>
      <c r="E91" s="3">
        <v>6</v>
      </c>
      <c r="F91" s="3">
        <v>6</v>
      </c>
      <c r="G91" s="5">
        <v>0.43055555555555558</v>
      </c>
      <c r="H91" s="5"/>
      <c r="I91" s="3">
        <f t="shared" si="12"/>
        <v>10.90909090909091</v>
      </c>
      <c r="J91" s="3">
        <f>33/3.3</f>
        <v>10</v>
      </c>
      <c r="K91" s="3">
        <v>9.8000000000000007</v>
      </c>
      <c r="L91" s="3">
        <v>35</v>
      </c>
      <c r="M91" s="3">
        <v>2.2000000000000002</v>
      </c>
      <c r="N91" s="3">
        <v>3.8</v>
      </c>
      <c r="O91" s="3">
        <v>29.3</v>
      </c>
      <c r="P91" s="3"/>
      <c r="Q91" s="3"/>
      <c r="R91" s="3"/>
      <c r="S91" s="3"/>
      <c r="T91" s="3"/>
      <c r="U91" s="3"/>
      <c r="V91" s="3"/>
      <c r="W91" s="3"/>
      <c r="X91" s="3"/>
      <c r="Z91" s="3"/>
      <c r="AA91" s="3"/>
      <c r="AB91" s="3"/>
      <c r="AC91" s="3"/>
      <c r="AD91" s="3"/>
    </row>
    <row r="92" spans="1:30" ht="14">
      <c r="A92" s="3" t="s">
        <v>40</v>
      </c>
      <c r="B92" s="3">
        <v>49560.677083333336</v>
      </c>
      <c r="C92" s="3">
        <v>44708.808290155437</v>
      </c>
      <c r="D92" s="3"/>
      <c r="E92" s="3">
        <v>5</v>
      </c>
      <c r="F92" s="3">
        <v>5</v>
      </c>
      <c r="G92" s="5">
        <v>0.4513888888888889</v>
      </c>
      <c r="H92" s="5"/>
      <c r="I92" s="3">
        <f t="shared" ref="I92:I94" si="13">48.8/3.3</f>
        <v>14.787878787878787</v>
      </c>
      <c r="J92" s="3">
        <v>0.30299999999999999</v>
      </c>
      <c r="K92" s="3">
        <v>11.4</v>
      </c>
      <c r="L92" s="3">
        <v>4.7</v>
      </c>
      <c r="M92" s="3">
        <v>2.5</v>
      </c>
      <c r="N92" s="3">
        <v>7</v>
      </c>
      <c r="O92" s="3">
        <v>4.3</v>
      </c>
      <c r="P92" s="3"/>
      <c r="Q92" s="3">
        <f t="shared" ref="Q92" si="14">3.5/3.3</f>
        <v>1.0606060606060606</v>
      </c>
      <c r="R92" s="3"/>
      <c r="S92" s="3"/>
      <c r="T92" s="3"/>
      <c r="U92" s="3"/>
      <c r="V92" s="3"/>
      <c r="W92" s="3"/>
      <c r="X92" s="3"/>
      <c r="Z92" s="3"/>
      <c r="AA92" s="3"/>
      <c r="AB92" s="3"/>
      <c r="AC92" s="3"/>
      <c r="AD92" s="3"/>
    </row>
    <row r="93" spans="1:30" ht="14">
      <c r="A93" s="3" t="s">
        <v>40</v>
      </c>
      <c r="B93" s="3">
        <v>49560.677083333336</v>
      </c>
      <c r="C93" s="3">
        <v>44708.808290155437</v>
      </c>
      <c r="D93" s="3"/>
      <c r="E93" s="3">
        <v>5</v>
      </c>
      <c r="F93" s="3">
        <v>5</v>
      </c>
      <c r="G93" s="5">
        <v>0.4513888888888889</v>
      </c>
      <c r="H93" s="5"/>
      <c r="I93" s="3">
        <f t="shared" si="13"/>
        <v>14.787878787878787</v>
      </c>
      <c r="J93" s="3">
        <f>22.3/3.3</f>
        <v>6.7575757575757578</v>
      </c>
      <c r="K93" s="3">
        <v>10.6</v>
      </c>
      <c r="L93" s="3">
        <v>10.7</v>
      </c>
      <c r="M93" s="3">
        <v>2.4</v>
      </c>
      <c r="N93" s="3">
        <v>4.9000000000000004</v>
      </c>
      <c r="O93" s="3">
        <v>19</v>
      </c>
      <c r="P93" s="3"/>
      <c r="Q93" s="3"/>
      <c r="R93" s="3"/>
      <c r="S93" s="3"/>
      <c r="T93" s="3"/>
      <c r="U93" s="3"/>
      <c r="V93" s="3"/>
      <c r="W93" s="3"/>
      <c r="X93" s="3"/>
      <c r="Z93" s="3"/>
      <c r="AA93" s="3"/>
      <c r="AB93" s="3"/>
      <c r="AC93" s="3"/>
      <c r="AD93" s="3"/>
    </row>
    <row r="94" spans="1:30" ht="14">
      <c r="A94" s="3" t="s">
        <v>40</v>
      </c>
      <c r="B94" s="3">
        <v>49560.677083333336</v>
      </c>
      <c r="C94" s="3">
        <v>44708.808290155437</v>
      </c>
      <c r="D94" s="3"/>
      <c r="E94" s="3">
        <v>5</v>
      </c>
      <c r="F94" s="3">
        <v>5</v>
      </c>
      <c r="G94" s="5">
        <v>0.4513888888888889</v>
      </c>
      <c r="H94" s="5"/>
      <c r="I94" s="3">
        <f t="shared" si="13"/>
        <v>14.787878787878787</v>
      </c>
      <c r="J94" s="3">
        <f>43.4/3.3</f>
        <v>13.151515151515152</v>
      </c>
      <c r="K94" s="3">
        <v>10.6</v>
      </c>
      <c r="L94" s="3">
        <v>200</v>
      </c>
      <c r="M94" s="3">
        <v>11.5</v>
      </c>
      <c r="N94" s="3">
        <v>3.8</v>
      </c>
      <c r="O94" s="3">
        <v>29.4</v>
      </c>
      <c r="P94" s="3"/>
      <c r="Q94" s="3"/>
      <c r="R94" s="3"/>
      <c r="S94" s="3"/>
      <c r="T94" s="3"/>
      <c r="U94" s="3"/>
      <c r="V94" s="3"/>
      <c r="W94" s="3"/>
      <c r="X94" s="3"/>
      <c r="Z94" s="3"/>
      <c r="AA94" s="3"/>
      <c r="AB94" s="3"/>
      <c r="AC94" s="3"/>
      <c r="AD94" s="3"/>
    </row>
    <row r="95" spans="1:30" ht="14">
      <c r="A95" s="3" t="s">
        <v>40</v>
      </c>
      <c r="B95" s="3">
        <v>49560.677083333299</v>
      </c>
      <c r="C95" s="3">
        <v>44708.808290155401</v>
      </c>
      <c r="D95" s="3"/>
      <c r="E95" s="3">
        <v>4.5</v>
      </c>
      <c r="F95" s="3">
        <v>4.5</v>
      </c>
      <c r="G95" s="5">
        <v>0.49236111111111108</v>
      </c>
      <c r="H95" s="5"/>
      <c r="I95" s="3">
        <f t="shared" ref="I95:I97" si="15">77.8/3.3</f>
        <v>23.575757575757578</v>
      </c>
      <c r="J95" s="3">
        <f>0.4/3.3</f>
        <v>0.12121212121212123</v>
      </c>
      <c r="K95" s="3">
        <v>9.8000000000000007</v>
      </c>
      <c r="L95" s="3">
        <v>4.4000000000000004</v>
      </c>
      <c r="M95" s="3">
        <v>2.5</v>
      </c>
      <c r="N95" s="3">
        <v>6.8</v>
      </c>
      <c r="O95" s="3">
        <v>5.8</v>
      </c>
      <c r="P95" s="3"/>
      <c r="Q95" s="3"/>
      <c r="R95" s="3"/>
      <c r="S95" s="3"/>
      <c r="T95" s="3"/>
      <c r="U95" s="3"/>
      <c r="V95" s="3"/>
      <c r="W95" s="3"/>
      <c r="X95" s="3"/>
      <c r="Z95" s="3"/>
      <c r="AA95" s="3"/>
      <c r="AB95" s="3"/>
      <c r="AC95" s="3"/>
      <c r="AD95" s="3"/>
    </row>
    <row r="96" spans="1:30" ht="14">
      <c r="A96" s="3" t="s">
        <v>40</v>
      </c>
      <c r="B96" s="3">
        <v>49560.677083333299</v>
      </c>
      <c r="C96" s="3">
        <v>44708.808290155401</v>
      </c>
      <c r="D96" s="3"/>
      <c r="E96" s="3">
        <v>4.5</v>
      </c>
      <c r="F96" s="3">
        <v>4.5</v>
      </c>
      <c r="G96" s="5">
        <v>0.49236111111111108</v>
      </c>
      <c r="H96" s="5"/>
      <c r="I96" s="3">
        <f t="shared" si="15"/>
        <v>23.575757575757578</v>
      </c>
      <c r="J96" s="3">
        <f>41.5/3.3</f>
        <v>12.575757575757576</v>
      </c>
      <c r="K96" s="3">
        <v>10</v>
      </c>
      <c r="L96" s="3">
        <v>13</v>
      </c>
      <c r="M96" s="3">
        <v>1.9</v>
      </c>
      <c r="N96" s="3">
        <v>3.9</v>
      </c>
      <c r="O96" s="3">
        <v>28.3</v>
      </c>
      <c r="P96" s="3"/>
      <c r="Q96" s="3"/>
      <c r="R96" s="3"/>
      <c r="S96" s="3"/>
      <c r="T96" s="3"/>
      <c r="U96" s="3"/>
      <c r="V96" s="3"/>
      <c r="W96" s="3"/>
      <c r="X96" s="3"/>
      <c r="Z96" s="3"/>
      <c r="AA96" s="3"/>
      <c r="AB96" s="3"/>
      <c r="AC96" s="3"/>
      <c r="AD96" s="3"/>
    </row>
    <row r="97" spans="1:30" ht="14">
      <c r="A97" s="3" t="s">
        <v>40</v>
      </c>
      <c r="B97" s="3">
        <v>49560.677083333299</v>
      </c>
      <c r="C97" s="3">
        <v>44708.808290155401</v>
      </c>
      <c r="D97" s="3"/>
      <c r="E97" s="3">
        <v>4.5</v>
      </c>
      <c r="F97" s="3">
        <v>4.5</v>
      </c>
      <c r="G97" s="5">
        <v>0.49236111111111108</v>
      </c>
      <c r="H97" s="5"/>
      <c r="I97" s="3">
        <f t="shared" si="15"/>
        <v>23.575757575757578</v>
      </c>
      <c r="J97" s="3">
        <f>64.4/3.3</f>
        <v>19.515151515151519</v>
      </c>
      <c r="K97" s="3">
        <v>9.9</v>
      </c>
      <c r="L97" s="3">
        <v>700</v>
      </c>
      <c r="M97" s="3">
        <v>12.7</v>
      </c>
      <c r="N97" s="3">
        <v>3.8</v>
      </c>
      <c r="O97" s="3">
        <v>29.9</v>
      </c>
      <c r="P97" s="3"/>
      <c r="Q97" s="3"/>
      <c r="R97" s="3"/>
      <c r="S97" s="3"/>
      <c r="T97" s="3"/>
      <c r="U97" s="3"/>
      <c r="V97" s="3"/>
      <c r="W97" s="3"/>
      <c r="X97" s="3"/>
      <c r="Z97" s="3"/>
      <c r="AA97" s="3"/>
      <c r="AB97" s="3"/>
      <c r="AC97" s="3"/>
      <c r="AD97" s="3"/>
    </row>
    <row r="98" spans="1:30" ht="14">
      <c r="A98" s="3" t="s">
        <v>40</v>
      </c>
      <c r="B98" s="3">
        <v>49560.677083333198</v>
      </c>
      <c r="C98" s="3">
        <v>44708.808290155299</v>
      </c>
      <c r="D98" s="3"/>
      <c r="E98" s="3">
        <v>4</v>
      </c>
      <c r="F98" s="3">
        <v>4</v>
      </c>
      <c r="G98" s="5">
        <v>0.51041666666666663</v>
      </c>
      <c r="H98" s="5"/>
      <c r="I98" s="3">
        <f t="shared" ref="I98:I100" si="16">31.7/3.3</f>
        <v>9.6060606060606055</v>
      </c>
      <c r="J98" s="3">
        <f>1.8/3.3</f>
        <v>0.54545454545454553</v>
      </c>
      <c r="K98" s="3">
        <v>10.9</v>
      </c>
      <c r="L98" s="3">
        <v>11.5</v>
      </c>
      <c r="M98" s="3">
        <v>2.5</v>
      </c>
      <c r="N98" s="3">
        <v>5.9</v>
      </c>
      <c r="O98" s="3">
        <v>11.5</v>
      </c>
      <c r="P98" s="3"/>
      <c r="Q98" s="3">
        <f t="shared" ref="Q98" si="17">4/3.3</f>
        <v>1.2121212121212122</v>
      </c>
      <c r="R98" s="3"/>
      <c r="S98" s="3"/>
      <c r="T98" s="3"/>
      <c r="U98" s="3"/>
      <c r="V98" s="3"/>
      <c r="W98" s="3"/>
      <c r="X98" s="3"/>
      <c r="Z98" s="3"/>
      <c r="AA98" s="3"/>
      <c r="AB98" s="3"/>
      <c r="AC98" s="3"/>
      <c r="AD98" s="3"/>
    </row>
    <row r="99" spans="1:30" ht="14">
      <c r="A99" s="3" t="s">
        <v>40</v>
      </c>
      <c r="B99" s="3">
        <v>49560.677083333198</v>
      </c>
      <c r="C99" s="3">
        <v>44708.808290155299</v>
      </c>
      <c r="D99" s="3"/>
      <c r="E99" s="3">
        <v>4</v>
      </c>
      <c r="F99" s="3">
        <v>4</v>
      </c>
      <c r="G99" s="5">
        <v>0.51041666666666663</v>
      </c>
      <c r="H99" s="5"/>
      <c r="I99" s="3">
        <f t="shared" si="16"/>
        <v>9.6060606060606055</v>
      </c>
      <c r="J99" s="3">
        <f>16.2/3.3</f>
        <v>4.9090909090909092</v>
      </c>
      <c r="K99" s="3">
        <v>10</v>
      </c>
      <c r="L99" s="3">
        <v>178</v>
      </c>
      <c r="M99" s="3">
        <v>4.7</v>
      </c>
      <c r="N99" s="3">
        <v>3.8</v>
      </c>
      <c r="O99" s="3">
        <v>29.5</v>
      </c>
      <c r="P99" s="3"/>
      <c r="Q99" s="3"/>
      <c r="R99" s="3"/>
      <c r="S99" s="3"/>
      <c r="T99" s="3"/>
      <c r="U99" s="3"/>
      <c r="V99" s="3"/>
      <c r="W99" s="3"/>
      <c r="X99" s="3"/>
      <c r="Z99" s="3"/>
      <c r="AA99" s="3"/>
      <c r="AB99" s="3"/>
      <c r="AC99" s="3"/>
      <c r="AD99" s="3"/>
    </row>
    <row r="100" spans="1:30" ht="14">
      <c r="A100" s="3" t="s">
        <v>40</v>
      </c>
      <c r="B100" s="3">
        <v>49560.677083333103</v>
      </c>
      <c r="C100" s="3">
        <v>44708.808290155197</v>
      </c>
      <c r="D100" s="3"/>
      <c r="E100" s="3">
        <v>4</v>
      </c>
      <c r="F100" s="3">
        <v>4</v>
      </c>
      <c r="G100" s="5">
        <v>0.51041666666666663</v>
      </c>
      <c r="H100" s="5"/>
      <c r="I100" s="3">
        <f t="shared" si="16"/>
        <v>9.6060606060606055</v>
      </c>
      <c r="J100" s="3">
        <f>33/3.3</f>
        <v>10</v>
      </c>
      <c r="K100" s="3">
        <v>9.9</v>
      </c>
      <c r="L100" s="3">
        <v>73.2</v>
      </c>
      <c r="M100" s="3">
        <v>3.9</v>
      </c>
      <c r="N100" s="3">
        <v>3.8</v>
      </c>
      <c r="O100" s="3">
        <v>30</v>
      </c>
      <c r="P100" s="3"/>
      <c r="Q100" s="3"/>
      <c r="R100" s="3"/>
      <c r="S100" s="3"/>
      <c r="T100" s="3"/>
      <c r="U100" s="3"/>
      <c r="V100" s="3"/>
      <c r="W100" s="3"/>
      <c r="X100" s="3"/>
      <c r="Z100" s="3"/>
      <c r="AA100" s="3"/>
      <c r="AB100" s="3"/>
      <c r="AC100" s="3"/>
      <c r="AD100" s="3"/>
    </row>
    <row r="101" spans="1:30" ht="14">
      <c r="A101" s="3" t="s">
        <v>40</v>
      </c>
      <c r="B101" s="3">
        <v>49560.677083333299</v>
      </c>
      <c r="C101" s="3">
        <v>44708.808290155401</v>
      </c>
      <c r="D101" s="3"/>
      <c r="E101" s="3">
        <v>3.5</v>
      </c>
      <c r="F101" s="3">
        <v>3.5</v>
      </c>
      <c r="G101" s="5">
        <v>0.49236111111111108</v>
      </c>
      <c r="H101" s="5"/>
      <c r="I101" s="3">
        <f t="shared" ref="I101:I103" si="18">27/3.3</f>
        <v>8.1818181818181817</v>
      </c>
      <c r="J101" s="3">
        <f>0.4/3.3</f>
        <v>0.12121212121212123</v>
      </c>
      <c r="K101" s="3">
        <v>11.2</v>
      </c>
      <c r="L101" s="3">
        <v>3.8</v>
      </c>
      <c r="M101" s="3">
        <v>2.4</v>
      </c>
      <c r="N101" s="3">
        <v>7.1</v>
      </c>
      <c r="O101" s="3">
        <v>7.1</v>
      </c>
      <c r="P101" s="3"/>
      <c r="Q101" s="3"/>
      <c r="R101" s="3"/>
      <c r="S101" s="3"/>
      <c r="T101" s="3"/>
      <c r="U101" s="3"/>
      <c r="V101" s="3"/>
      <c r="W101" s="3"/>
      <c r="X101" s="3"/>
      <c r="Z101" s="3"/>
      <c r="AA101" s="3"/>
      <c r="AB101" s="3"/>
      <c r="AC101" s="3"/>
      <c r="AD101" s="3"/>
    </row>
    <row r="102" spans="1:30" ht="14">
      <c r="A102" s="3" t="s">
        <v>40</v>
      </c>
      <c r="B102" s="3">
        <v>49560.677083333299</v>
      </c>
      <c r="C102" s="3">
        <v>44708.808290155401</v>
      </c>
      <c r="D102" s="3"/>
      <c r="E102" s="3">
        <v>3.5</v>
      </c>
      <c r="F102" s="3">
        <v>3.5</v>
      </c>
      <c r="G102" s="5">
        <v>0.49236111111111108</v>
      </c>
      <c r="H102" s="5"/>
      <c r="I102" s="3">
        <f t="shared" si="18"/>
        <v>8.1818181818181817</v>
      </c>
      <c r="J102" s="3">
        <f>20.5/3.3</f>
        <v>6.2121212121212128</v>
      </c>
      <c r="K102" s="3">
        <v>10.4</v>
      </c>
      <c r="L102" s="3">
        <v>10.6</v>
      </c>
      <c r="M102" s="3">
        <v>2.2000000000000002</v>
      </c>
      <c r="N102" s="3">
        <v>4.5</v>
      </c>
      <c r="O102" s="3">
        <v>23.6</v>
      </c>
      <c r="P102" s="3"/>
      <c r="Q102" s="3"/>
      <c r="R102" s="3"/>
      <c r="S102" s="3"/>
      <c r="T102" s="3"/>
      <c r="U102" s="3"/>
      <c r="V102" s="3"/>
      <c r="W102" s="3"/>
      <c r="X102" s="3"/>
      <c r="Z102" s="3"/>
      <c r="AA102" s="3"/>
      <c r="AB102" s="3"/>
      <c r="AC102" s="3"/>
      <c r="AD102" s="3"/>
    </row>
    <row r="103" spans="1:30" ht="14">
      <c r="A103" s="3" t="s">
        <v>40</v>
      </c>
      <c r="B103" s="3">
        <v>49560.677083333299</v>
      </c>
      <c r="C103" s="3">
        <v>44708.808290155401</v>
      </c>
      <c r="D103" s="3"/>
      <c r="E103" s="3">
        <v>3.5</v>
      </c>
      <c r="F103" s="3">
        <v>3.5</v>
      </c>
      <c r="G103" s="5">
        <v>0.49236111111111108</v>
      </c>
      <c r="H103" s="5"/>
      <c r="I103" s="3">
        <f t="shared" si="18"/>
        <v>8.1818181818181817</v>
      </c>
      <c r="J103" s="3">
        <f>25.4/3.3</f>
        <v>7.6969696969696972</v>
      </c>
      <c r="K103" s="3">
        <v>10.4</v>
      </c>
      <c r="L103" s="3">
        <v>18.5</v>
      </c>
      <c r="M103" s="3">
        <v>2.6</v>
      </c>
      <c r="N103" s="3">
        <v>4.4000000000000004</v>
      </c>
      <c r="O103" s="3">
        <v>23.6</v>
      </c>
      <c r="P103" s="3"/>
      <c r="Q103" s="3"/>
      <c r="R103" s="3"/>
      <c r="S103" s="3"/>
      <c r="T103" s="3"/>
      <c r="U103" s="3"/>
      <c r="V103" s="3"/>
      <c r="W103" s="3"/>
      <c r="X103" s="3"/>
      <c r="Z103" s="3"/>
      <c r="AA103" s="3"/>
      <c r="AB103" s="3"/>
      <c r="AC103" s="3"/>
      <c r="AD103" s="3"/>
    </row>
    <row r="104" spans="1:30" ht="14">
      <c r="A104" s="3" t="s">
        <v>40</v>
      </c>
      <c r="B104" s="3">
        <v>49560.677083333299</v>
      </c>
      <c r="C104" s="3">
        <v>44708.808290155401</v>
      </c>
      <c r="D104" s="3"/>
      <c r="E104" s="3">
        <v>2.5</v>
      </c>
      <c r="F104" s="3">
        <v>2.5</v>
      </c>
      <c r="G104" s="5">
        <v>4.9305555555555554E-2</v>
      </c>
      <c r="H104" s="5"/>
      <c r="I104" s="3">
        <f t="shared" ref="I104:I106" si="19">33.8/3.3</f>
        <v>10.242424242424242</v>
      </c>
      <c r="J104" s="3">
        <f>0.6/3.3</f>
        <v>0.18181818181818182</v>
      </c>
      <c r="K104" s="3">
        <v>11.7</v>
      </c>
      <c r="L104" s="3">
        <v>4.9000000000000004</v>
      </c>
      <c r="M104" s="3">
        <v>3.1</v>
      </c>
      <c r="N104" s="3">
        <v>7.6</v>
      </c>
      <c r="O104" s="3">
        <v>0.5</v>
      </c>
      <c r="P104" s="3"/>
      <c r="Q104" s="3">
        <f t="shared" ref="Q104" si="20">4/3.3</f>
        <v>1.2121212121212122</v>
      </c>
      <c r="R104" s="3"/>
      <c r="S104" s="3"/>
      <c r="T104" s="3"/>
      <c r="U104" s="3"/>
      <c r="V104" s="3"/>
      <c r="W104" s="3"/>
      <c r="X104" s="3"/>
      <c r="Z104" s="3"/>
      <c r="AA104" s="3"/>
      <c r="AB104" s="3"/>
      <c r="AC104" s="3"/>
      <c r="AD104" s="3"/>
    </row>
    <row r="105" spans="1:30" ht="14">
      <c r="A105" s="3" t="s">
        <v>40</v>
      </c>
      <c r="B105" s="3">
        <v>49560.677083333299</v>
      </c>
      <c r="C105" s="3">
        <v>44708.808290155401</v>
      </c>
      <c r="D105" s="3"/>
      <c r="E105" s="3">
        <v>2.5</v>
      </c>
      <c r="F105" s="3">
        <v>2.5</v>
      </c>
      <c r="G105" s="5">
        <v>4.9305555555555554E-2</v>
      </c>
      <c r="H105" s="5"/>
      <c r="I105" s="3">
        <f t="shared" si="19"/>
        <v>10.242424242424242</v>
      </c>
      <c r="J105" s="3">
        <f>16.5/3.3</f>
        <v>5</v>
      </c>
      <c r="K105" s="3">
        <v>11.4</v>
      </c>
      <c r="L105" s="3">
        <v>9</v>
      </c>
      <c r="M105" s="3">
        <v>3.1</v>
      </c>
      <c r="N105" s="3">
        <v>6.9</v>
      </c>
      <c r="O105" s="3">
        <v>3</v>
      </c>
      <c r="P105" s="3"/>
      <c r="Q105" s="3"/>
      <c r="R105" s="3"/>
      <c r="S105" s="3"/>
      <c r="T105" s="3"/>
      <c r="U105" s="3"/>
      <c r="V105" s="3"/>
      <c r="W105" s="3"/>
      <c r="X105" s="3"/>
      <c r="Z105" s="3"/>
      <c r="AA105" s="3"/>
      <c r="AB105" s="3"/>
      <c r="AC105" s="3"/>
      <c r="AD105" s="3"/>
    </row>
    <row r="106" spans="1:30" ht="14">
      <c r="A106" s="3" t="s">
        <v>40</v>
      </c>
      <c r="B106" s="3">
        <v>49560.677083333299</v>
      </c>
      <c r="C106" s="3">
        <v>44708.808290155401</v>
      </c>
      <c r="D106" s="3"/>
      <c r="E106" s="3">
        <v>2.5</v>
      </c>
      <c r="F106" s="3">
        <v>2.5</v>
      </c>
      <c r="G106" s="5">
        <v>4.9305555555555554E-2</v>
      </c>
      <c r="H106" s="5"/>
      <c r="I106" s="3">
        <f t="shared" si="19"/>
        <v>10.242424242424242</v>
      </c>
      <c r="J106" s="3">
        <f>30/3.3</f>
        <v>9.0909090909090917</v>
      </c>
      <c r="K106" s="3">
        <v>10.5</v>
      </c>
      <c r="L106" s="3">
        <v>167</v>
      </c>
      <c r="M106" s="3">
        <v>5.4</v>
      </c>
      <c r="N106" s="3">
        <v>5</v>
      </c>
      <c r="O106" s="3">
        <v>18.8</v>
      </c>
      <c r="P106" s="3"/>
      <c r="Q106" s="3"/>
      <c r="R106" s="3"/>
      <c r="S106" s="3"/>
      <c r="T106" s="3"/>
      <c r="U106" s="3"/>
      <c r="V106" s="3"/>
      <c r="W106" s="3"/>
      <c r="X106" s="3"/>
      <c r="Z106" s="3"/>
      <c r="AA106" s="3"/>
      <c r="AB106" s="3"/>
      <c r="AC106" s="3"/>
      <c r="AD106" s="3"/>
    </row>
    <row r="107" spans="1:30" ht="14">
      <c r="A107" s="3" t="s">
        <v>40</v>
      </c>
      <c r="B107" s="3">
        <v>49560.677083333336</v>
      </c>
      <c r="C107" s="3">
        <v>44708.808290155437</v>
      </c>
      <c r="D107" s="3"/>
      <c r="E107" s="3">
        <v>2</v>
      </c>
      <c r="F107" s="3">
        <v>2</v>
      </c>
      <c r="G107" s="5">
        <v>8.0555555555555561E-2</v>
      </c>
      <c r="H107" s="5"/>
      <c r="I107" s="3">
        <f t="shared" ref="I107:I109" si="21">36.3/3.3</f>
        <v>11</v>
      </c>
      <c r="J107" s="3">
        <f>0.7/3.3</f>
        <v>0.21212121212121213</v>
      </c>
      <c r="K107" s="3">
        <v>11.7</v>
      </c>
      <c r="L107" s="3">
        <v>2.2999999999999998</v>
      </c>
      <c r="M107" s="3">
        <v>3.2</v>
      </c>
      <c r="N107" s="3">
        <v>7.4</v>
      </c>
      <c r="O107" s="3">
        <v>0.03</v>
      </c>
      <c r="P107" s="3"/>
      <c r="Q107" s="3">
        <f t="shared" ref="Q107:Q110" si="22">6/3.3</f>
        <v>1.8181818181818183</v>
      </c>
      <c r="R107" s="3"/>
      <c r="S107" s="3"/>
      <c r="T107" s="3"/>
      <c r="U107" s="3"/>
      <c r="V107" s="3"/>
      <c r="W107" s="3"/>
      <c r="X107" s="3"/>
      <c r="Z107" s="3"/>
      <c r="AA107" s="3"/>
      <c r="AB107" s="3"/>
      <c r="AC107" s="3"/>
      <c r="AD107" s="3"/>
    </row>
    <row r="108" spans="1:30" ht="14">
      <c r="A108" s="3" t="s">
        <v>40</v>
      </c>
      <c r="B108" s="3">
        <v>49560.677083333336</v>
      </c>
      <c r="C108" s="3">
        <v>44708.808290155437</v>
      </c>
      <c r="D108" s="3"/>
      <c r="E108" s="3">
        <v>2</v>
      </c>
      <c r="F108" s="3">
        <v>2</v>
      </c>
      <c r="G108" s="5">
        <v>8.0555555555555561E-2</v>
      </c>
      <c r="H108" s="5"/>
      <c r="I108" s="3">
        <f t="shared" si="21"/>
        <v>11</v>
      </c>
      <c r="J108" s="3">
        <f>17.9/3.3</f>
        <v>5.4242424242424239</v>
      </c>
      <c r="K108" s="3">
        <v>11.7</v>
      </c>
      <c r="L108" s="3">
        <v>2.7</v>
      </c>
      <c r="M108" s="3">
        <v>3.4</v>
      </c>
      <c r="N108" s="3">
        <v>7.3</v>
      </c>
      <c r="O108" s="3">
        <v>0.03</v>
      </c>
      <c r="P108" s="3"/>
      <c r="Q108" s="3"/>
      <c r="R108" s="3"/>
      <c r="S108" s="3"/>
      <c r="T108" s="3"/>
      <c r="U108" s="3"/>
      <c r="V108" s="3"/>
      <c r="W108" s="3"/>
      <c r="X108" s="3"/>
      <c r="Z108" s="3"/>
      <c r="AA108" s="3"/>
      <c r="AB108" s="3"/>
      <c r="AC108" s="3"/>
      <c r="AD108" s="3"/>
    </row>
    <row r="109" spans="1:30" ht="14">
      <c r="A109" s="3" t="s">
        <v>40</v>
      </c>
      <c r="B109" s="3">
        <v>49560.677083333336</v>
      </c>
      <c r="C109" s="3">
        <v>44708.808290155437</v>
      </c>
      <c r="D109" s="3"/>
      <c r="E109" s="3">
        <v>2</v>
      </c>
      <c r="F109" s="3">
        <v>2</v>
      </c>
      <c r="G109" s="5">
        <v>8.0555555555555561E-2</v>
      </c>
      <c r="H109" s="5"/>
      <c r="I109" s="3">
        <f t="shared" si="21"/>
        <v>11</v>
      </c>
      <c r="J109" s="3">
        <f>35.5/3.3</f>
        <v>10.757575757575758</v>
      </c>
      <c r="K109" s="3">
        <v>11.6</v>
      </c>
      <c r="L109" s="3">
        <v>8.4</v>
      </c>
      <c r="M109" s="3">
        <v>0.98</v>
      </c>
      <c r="N109" s="3">
        <v>7.3</v>
      </c>
      <c r="O109" s="3">
        <v>0.03</v>
      </c>
      <c r="P109" s="3"/>
      <c r="Q109" s="3"/>
      <c r="R109" s="3"/>
      <c r="S109" s="3"/>
      <c r="T109" s="3"/>
      <c r="U109" s="3"/>
      <c r="V109" s="3"/>
      <c r="W109" s="3"/>
      <c r="X109" s="3"/>
      <c r="Z109" s="3"/>
      <c r="AA109" s="3"/>
      <c r="AB109" s="3"/>
      <c r="AC109" s="3"/>
      <c r="AD109" s="3"/>
    </row>
    <row r="110" spans="1:30" ht="14">
      <c r="A110" s="3" t="s">
        <v>40</v>
      </c>
      <c r="B110" s="3">
        <v>49560.677083333299</v>
      </c>
      <c r="C110" s="3">
        <v>44708.808290155401</v>
      </c>
      <c r="D110" s="3"/>
      <c r="E110" s="3">
        <v>1</v>
      </c>
      <c r="F110" s="3">
        <v>1</v>
      </c>
      <c r="G110" s="5">
        <v>0.11805555555555557</v>
      </c>
      <c r="H110" s="5"/>
      <c r="I110" s="3">
        <f t="shared" ref="I110:I112" si="23">49.2/3.3</f>
        <v>14.90909090909091</v>
      </c>
      <c r="J110" s="3">
        <f>1.5/3.3</f>
        <v>0.45454545454545459</v>
      </c>
      <c r="K110" s="3">
        <v>11.7</v>
      </c>
      <c r="L110" s="3">
        <v>1.9</v>
      </c>
      <c r="M110" s="3">
        <v>3.4</v>
      </c>
      <c r="N110" s="3">
        <v>7.2</v>
      </c>
      <c r="O110" s="3">
        <v>0.02</v>
      </c>
      <c r="P110" s="3"/>
      <c r="Q110" s="3">
        <f t="shared" si="22"/>
        <v>1.8181818181818183</v>
      </c>
      <c r="R110" s="3"/>
      <c r="S110" s="3"/>
      <c r="T110" s="3"/>
      <c r="U110" s="3"/>
      <c r="V110" s="3"/>
      <c r="W110" s="3"/>
      <c r="X110" s="3"/>
      <c r="Z110" s="3"/>
      <c r="AA110" s="3"/>
      <c r="AB110" s="3"/>
      <c r="AC110" s="3"/>
      <c r="AD110" s="3"/>
    </row>
    <row r="111" spans="1:30" ht="14">
      <c r="A111" s="3" t="s">
        <v>40</v>
      </c>
      <c r="B111" s="3">
        <v>49560.677083333299</v>
      </c>
      <c r="C111" s="3">
        <v>44708.808290155401</v>
      </c>
      <c r="D111" s="3"/>
      <c r="E111" s="3">
        <v>1</v>
      </c>
      <c r="F111" s="3">
        <v>1</v>
      </c>
      <c r="G111" s="5">
        <v>0.11805555555555557</v>
      </c>
      <c r="H111" s="5"/>
      <c r="I111" s="3">
        <f t="shared" si="23"/>
        <v>14.90909090909091</v>
      </c>
      <c r="J111" s="3">
        <f>16.5/3.3</f>
        <v>5</v>
      </c>
      <c r="K111" s="3">
        <v>11.7</v>
      </c>
      <c r="L111" s="3">
        <v>2.1</v>
      </c>
      <c r="M111" s="3">
        <v>3.6</v>
      </c>
      <c r="N111" s="3">
        <v>7.2</v>
      </c>
      <c r="O111" s="3">
        <v>0.02</v>
      </c>
      <c r="P111" s="3"/>
      <c r="Q111" s="3"/>
      <c r="R111" s="3"/>
      <c r="S111" s="3"/>
      <c r="T111" s="3"/>
      <c r="U111" s="3"/>
      <c r="V111" s="3"/>
      <c r="W111" s="3"/>
      <c r="X111" s="3"/>
      <c r="Z111" s="3"/>
      <c r="AA111" s="3"/>
      <c r="AB111" s="3"/>
      <c r="AC111" s="3"/>
      <c r="AD111" s="3"/>
    </row>
    <row r="112" spans="1:30" ht="14">
      <c r="A112" s="3" t="s">
        <v>40</v>
      </c>
      <c r="B112" s="3">
        <v>49560.677083333299</v>
      </c>
      <c r="C112" s="3">
        <v>44708.808290155401</v>
      </c>
      <c r="D112" s="3"/>
      <c r="E112" s="3">
        <v>1</v>
      </c>
      <c r="F112" s="3">
        <v>1</v>
      </c>
      <c r="G112" s="5">
        <v>0.11805555555555557</v>
      </c>
      <c r="H112" s="5"/>
      <c r="I112" s="3">
        <f t="shared" si="23"/>
        <v>14.90909090909091</v>
      </c>
      <c r="J112" s="3">
        <f>30.5/3.3</f>
        <v>9.2424242424242422</v>
      </c>
      <c r="K112" s="3">
        <v>11.6</v>
      </c>
      <c r="L112" s="3">
        <v>2.1</v>
      </c>
      <c r="M112" s="3">
        <v>3.6</v>
      </c>
      <c r="N112" s="3">
        <v>7.2</v>
      </c>
      <c r="O112" s="3">
        <v>0.02</v>
      </c>
      <c r="P112" s="3"/>
      <c r="Q112" s="3"/>
      <c r="R112" s="3"/>
      <c r="S112" s="3"/>
      <c r="T112" s="3"/>
      <c r="U112" s="3"/>
      <c r="V112" s="3"/>
      <c r="W112" s="3"/>
      <c r="X112" s="3"/>
      <c r="Z112" s="3"/>
      <c r="AA112" s="3"/>
      <c r="AB112" s="3"/>
      <c r="AC112" s="3"/>
      <c r="AD112" s="3"/>
    </row>
    <row r="113" spans="1:30" ht="14">
      <c r="A113" s="3" t="s">
        <v>41</v>
      </c>
      <c r="B113" s="3">
        <v>16664.557291666668</v>
      </c>
      <c r="C113" s="3">
        <v>13057.916666666666</v>
      </c>
      <c r="D113" s="3"/>
      <c r="E113" s="3">
        <v>8</v>
      </c>
      <c r="F113" s="3">
        <v>8</v>
      </c>
      <c r="G113" s="5">
        <v>0.34097222222222223</v>
      </c>
      <c r="H113" s="5"/>
      <c r="I113" s="3">
        <f t="shared" ref="I113:I115" si="24">36.1/3.3</f>
        <v>10.939393939393941</v>
      </c>
      <c r="J113" s="3">
        <v>1.95</v>
      </c>
      <c r="K113" s="3">
        <v>9.1999999999999993</v>
      </c>
      <c r="L113" s="3">
        <v>3.7890476190476181</v>
      </c>
      <c r="M113" s="3">
        <v>2.528</v>
      </c>
      <c r="N113" s="3">
        <v>10.7</v>
      </c>
      <c r="O113" s="3">
        <v>20.978000000000002</v>
      </c>
      <c r="P113" s="3"/>
      <c r="Q113" s="3">
        <f t="shared" ref="Q113" si="25">5/3.3</f>
        <v>1.5151515151515151</v>
      </c>
      <c r="R113" s="3"/>
      <c r="S113" s="3"/>
      <c r="T113" s="3"/>
      <c r="U113" s="3"/>
      <c r="V113" s="3"/>
      <c r="W113" s="3"/>
      <c r="X113" s="3"/>
      <c r="Z113" s="3"/>
      <c r="AA113" s="3"/>
      <c r="AB113" s="3"/>
      <c r="AC113" s="3"/>
      <c r="AD113" s="3"/>
    </row>
    <row r="114" spans="1:30" ht="14">
      <c r="A114" s="3" t="s">
        <v>41</v>
      </c>
      <c r="B114" s="3">
        <v>16664.557291666668</v>
      </c>
      <c r="C114" s="3">
        <v>13057.916666666666</v>
      </c>
      <c r="D114" s="3"/>
      <c r="E114" s="3">
        <v>8</v>
      </c>
      <c r="F114" s="3">
        <v>8</v>
      </c>
      <c r="G114" s="5">
        <v>0.34097222222222223</v>
      </c>
      <c r="H114" s="5"/>
      <c r="I114" s="3">
        <f t="shared" si="24"/>
        <v>10.939393939393941</v>
      </c>
      <c r="J114" s="3">
        <v>5.58</v>
      </c>
      <c r="K114" s="3">
        <v>9.2458823529411749</v>
      </c>
      <c r="L114" s="3">
        <v>4.0752941176470578</v>
      </c>
      <c r="M114" s="3">
        <v>2.2108823529411765</v>
      </c>
      <c r="N114" s="3">
        <v>9.23</v>
      </c>
      <c r="O114" s="3">
        <v>22.870588235294115</v>
      </c>
      <c r="P114" s="3"/>
      <c r="Q114" s="3"/>
      <c r="R114" s="3"/>
      <c r="S114" s="3"/>
      <c r="T114" s="3"/>
      <c r="U114" s="3"/>
      <c r="V114" s="3"/>
      <c r="W114" s="3"/>
      <c r="X114" s="3"/>
      <c r="Z114" s="3"/>
      <c r="AA114" s="3"/>
      <c r="AB114" s="3"/>
      <c r="AC114" s="3"/>
      <c r="AD114" s="3"/>
    </row>
    <row r="115" spans="1:30" ht="14">
      <c r="A115" s="3" t="s">
        <v>41</v>
      </c>
      <c r="B115" s="3">
        <v>16664.557291666668</v>
      </c>
      <c r="C115" s="3">
        <v>13057.916666666666</v>
      </c>
      <c r="D115" s="3"/>
      <c r="E115" s="3">
        <v>8</v>
      </c>
      <c r="F115" s="3">
        <v>8</v>
      </c>
      <c r="G115" s="5">
        <v>0.34097222222222223</v>
      </c>
      <c r="H115" s="5"/>
      <c r="I115" s="3">
        <f t="shared" si="24"/>
        <v>10.939393939393941</v>
      </c>
      <c r="J115" s="3">
        <v>10.088323529411767</v>
      </c>
      <c r="K115" s="3">
        <v>9.3417647058823494</v>
      </c>
      <c r="L115" s="3">
        <v>6.0847058823529414</v>
      </c>
      <c r="M115" s="3">
        <v>2.3135294117647058</v>
      </c>
      <c r="N115" s="3">
        <v>6.7517647058823531</v>
      </c>
      <c r="O115" s="3">
        <v>29.967058823529413</v>
      </c>
      <c r="P115" s="3"/>
      <c r="Q115" s="3"/>
      <c r="R115" s="3"/>
      <c r="S115" s="3"/>
      <c r="T115" s="3"/>
      <c r="U115" s="3"/>
      <c r="V115" s="3"/>
      <c r="W115" s="3"/>
      <c r="X115" s="3"/>
      <c r="Z115" s="3"/>
      <c r="AA115" s="3"/>
      <c r="AB115" s="3"/>
      <c r="AC115" s="3"/>
      <c r="AD115" s="3"/>
    </row>
    <row r="116" spans="1:30" ht="14">
      <c r="A116" s="3" t="s">
        <v>41</v>
      </c>
      <c r="B116" s="3">
        <v>16664.557291666668</v>
      </c>
      <c r="C116" s="3">
        <v>13057.916666666666</v>
      </c>
      <c r="D116" s="3"/>
      <c r="E116" s="3">
        <v>6</v>
      </c>
      <c r="F116" s="3">
        <v>6</v>
      </c>
      <c r="G116" s="5">
        <v>0.38680555555555557</v>
      </c>
      <c r="H116" s="5"/>
      <c r="I116" s="3">
        <f t="shared" ref="I116:I118" si="26">63/3.3</f>
        <v>19.090909090909093</v>
      </c>
      <c r="J116" s="3">
        <f>2.3/3.3</f>
        <v>0.69696969696969691</v>
      </c>
      <c r="K116" s="3">
        <v>9.3000000000000007</v>
      </c>
      <c r="L116" s="3">
        <v>3.5</v>
      </c>
      <c r="M116" s="3">
        <v>1.9</v>
      </c>
      <c r="N116" s="3">
        <v>11.5</v>
      </c>
      <c r="O116" s="3">
        <v>14.6</v>
      </c>
      <c r="P116" s="3"/>
      <c r="Q116" s="3"/>
      <c r="R116" s="3"/>
      <c r="S116" s="3"/>
      <c r="T116" s="3"/>
      <c r="U116" s="3"/>
      <c r="V116" s="3"/>
      <c r="W116" s="3"/>
      <c r="X116" s="3"/>
      <c r="Z116" s="3"/>
      <c r="AA116" s="3"/>
      <c r="AB116" s="3"/>
      <c r="AC116" s="3"/>
      <c r="AD116" s="3"/>
    </row>
    <row r="117" spans="1:30" ht="14">
      <c r="A117" s="3" t="s">
        <v>41</v>
      </c>
      <c r="B117" s="3">
        <v>16664.557291666668</v>
      </c>
      <c r="C117" s="3">
        <v>13057.916666666666</v>
      </c>
      <c r="D117" s="3"/>
      <c r="E117" s="3">
        <v>6</v>
      </c>
      <c r="F117" s="3">
        <v>6</v>
      </c>
      <c r="G117" s="5">
        <v>0.38680555555555557</v>
      </c>
      <c r="H117" s="5"/>
      <c r="I117" s="3">
        <f t="shared" si="26"/>
        <v>19.090909090909093</v>
      </c>
      <c r="J117" s="3">
        <f>30.7/3.3</f>
        <v>9.3030303030303028</v>
      </c>
      <c r="K117" s="3">
        <v>9.3000000000000007</v>
      </c>
      <c r="L117" s="3">
        <v>4.9000000000000004</v>
      </c>
      <c r="M117" s="3">
        <v>2.2999999999999998</v>
      </c>
      <c r="N117" s="3">
        <v>8.3000000000000007</v>
      </c>
      <c r="O117" s="3">
        <v>25.1</v>
      </c>
      <c r="P117" s="3"/>
      <c r="Q117" s="3"/>
      <c r="R117" s="3"/>
      <c r="S117" s="3"/>
      <c r="T117" s="3"/>
      <c r="U117" s="3"/>
      <c r="V117" s="3"/>
      <c r="W117" s="3"/>
      <c r="X117" s="3"/>
      <c r="Z117" s="3"/>
      <c r="AA117" s="3"/>
      <c r="AB117" s="3"/>
      <c r="AC117" s="3"/>
      <c r="AD117" s="3"/>
    </row>
    <row r="118" spans="1:30" ht="14">
      <c r="A118" s="3" t="s">
        <v>41</v>
      </c>
      <c r="B118" s="3">
        <v>16664.557291666668</v>
      </c>
      <c r="C118" s="3">
        <v>13057.916666666666</v>
      </c>
      <c r="D118" s="3"/>
      <c r="E118" s="3">
        <v>6</v>
      </c>
      <c r="F118" s="3">
        <v>6</v>
      </c>
      <c r="G118" s="5">
        <v>0.38680555555555557</v>
      </c>
      <c r="H118" s="5"/>
      <c r="I118" s="3">
        <f t="shared" si="26"/>
        <v>19.090909090909093</v>
      </c>
      <c r="J118" s="3">
        <f>61.9/3.3</f>
        <v>18.757575757575758</v>
      </c>
      <c r="K118" s="3">
        <v>9.3000000000000007</v>
      </c>
      <c r="L118" s="3">
        <v>9.6</v>
      </c>
      <c r="M118" s="3">
        <v>2.5</v>
      </c>
      <c r="N118" s="3">
        <v>6.7</v>
      </c>
      <c r="O118" s="3">
        <v>29.9</v>
      </c>
      <c r="P118" s="3"/>
      <c r="Q118" s="3"/>
      <c r="R118" s="3"/>
      <c r="S118" s="3"/>
      <c r="T118" s="3"/>
      <c r="U118" s="3"/>
      <c r="V118" s="3"/>
      <c r="W118" s="3"/>
      <c r="X118" s="3"/>
      <c r="Z118" s="3"/>
      <c r="AA118" s="3"/>
      <c r="AB118" s="3"/>
      <c r="AC118" s="3"/>
      <c r="AD118" s="3"/>
    </row>
    <row r="119" spans="1:30" ht="14">
      <c r="A119" s="3" t="s">
        <v>41</v>
      </c>
      <c r="B119" s="3">
        <v>16664.557291666668</v>
      </c>
      <c r="C119" s="3">
        <v>13057.916666666666</v>
      </c>
      <c r="D119" s="3"/>
      <c r="E119" s="3">
        <v>5</v>
      </c>
      <c r="F119" s="3">
        <v>5</v>
      </c>
      <c r="G119" s="5">
        <v>0.3972222222222222</v>
      </c>
      <c r="H119" s="5"/>
      <c r="I119" s="3">
        <f t="shared" ref="I119:I121" si="27">55.4/3.3</f>
        <v>16.787878787878789</v>
      </c>
      <c r="J119" s="3">
        <f>2.2/3.3</f>
        <v>0.66666666666666674</v>
      </c>
      <c r="K119" s="3">
        <v>9.3000000000000007</v>
      </c>
      <c r="L119" s="3">
        <v>3.3</v>
      </c>
      <c r="M119" s="3">
        <v>2.4</v>
      </c>
      <c r="N119" s="3">
        <v>12.4</v>
      </c>
      <c r="O119" s="3">
        <v>12.3</v>
      </c>
      <c r="P119" s="3"/>
      <c r="Q119" s="3">
        <f t="shared" ref="Q119" si="28">4/3.3</f>
        <v>1.2121212121212122</v>
      </c>
      <c r="R119" s="3"/>
      <c r="S119" s="3"/>
      <c r="T119" s="3"/>
      <c r="U119" s="3"/>
      <c r="V119" s="3"/>
      <c r="W119" s="3"/>
      <c r="X119" s="3"/>
      <c r="Z119" s="3"/>
      <c r="AA119" s="3"/>
      <c r="AB119" s="3"/>
      <c r="AC119" s="3"/>
      <c r="AD119" s="3"/>
    </row>
    <row r="120" spans="1:30" ht="14">
      <c r="A120" s="3" t="s">
        <v>41</v>
      </c>
      <c r="B120" s="3">
        <v>16664.557291666668</v>
      </c>
      <c r="C120" s="3">
        <v>13057.916666666666</v>
      </c>
      <c r="D120" s="3"/>
      <c r="E120" s="3">
        <v>5</v>
      </c>
      <c r="F120" s="3">
        <v>5</v>
      </c>
      <c r="G120" s="5">
        <v>0.3972222222222222</v>
      </c>
      <c r="H120" s="5"/>
      <c r="I120" s="3">
        <f t="shared" si="27"/>
        <v>16.787878787878789</v>
      </c>
      <c r="J120" s="3">
        <f>26.7/3.3</f>
        <v>8.0909090909090917</v>
      </c>
      <c r="K120" s="3">
        <v>9.3000000000000007</v>
      </c>
      <c r="L120" s="3">
        <v>3.5</v>
      </c>
      <c r="M120" s="3">
        <v>2</v>
      </c>
      <c r="N120" s="3">
        <v>9.1</v>
      </c>
      <c r="O120" s="3">
        <v>23.1</v>
      </c>
      <c r="P120" s="3"/>
      <c r="Q120" s="3"/>
      <c r="R120" s="3"/>
      <c r="S120" s="3"/>
      <c r="T120" s="3"/>
      <c r="U120" s="3"/>
      <c r="V120" s="3"/>
      <c r="W120" s="3"/>
      <c r="X120" s="3"/>
      <c r="Z120" s="3"/>
      <c r="AA120" s="3"/>
      <c r="AB120" s="3"/>
      <c r="AC120" s="3"/>
      <c r="AD120" s="3"/>
    </row>
    <row r="121" spans="1:30" ht="14">
      <c r="A121" s="3" t="s">
        <v>41</v>
      </c>
      <c r="B121" s="3">
        <v>16664.557291666668</v>
      </c>
      <c r="C121" s="3">
        <v>13057.916666666666</v>
      </c>
      <c r="D121" s="3"/>
      <c r="E121" s="3">
        <v>5</v>
      </c>
      <c r="F121" s="3">
        <v>5</v>
      </c>
      <c r="G121" s="5">
        <v>0.3972222222222222</v>
      </c>
      <c r="H121" s="5"/>
      <c r="I121" s="3">
        <f t="shared" si="27"/>
        <v>16.787878787878789</v>
      </c>
      <c r="J121" s="3">
        <f>50/3.3</f>
        <v>15.151515151515152</v>
      </c>
      <c r="K121" s="3"/>
      <c r="L121" s="3"/>
      <c r="M121" s="3"/>
      <c r="N121" s="3"/>
      <c r="O121" s="3"/>
      <c r="P121" s="3"/>
      <c r="Q121" s="3"/>
      <c r="R121" s="3"/>
      <c r="S121" s="3"/>
      <c r="T121" s="3"/>
      <c r="U121" s="3"/>
      <c r="V121" s="3"/>
      <c r="W121" s="3"/>
      <c r="X121" s="3"/>
      <c r="Z121" s="3"/>
      <c r="AA121" s="3"/>
      <c r="AB121" s="3"/>
      <c r="AC121" s="3"/>
      <c r="AD121" s="3"/>
    </row>
    <row r="122" spans="1:30" ht="14">
      <c r="A122" s="3" t="s">
        <v>41</v>
      </c>
      <c r="B122" s="3">
        <v>16664.557291666668</v>
      </c>
      <c r="C122" s="3">
        <v>13057.916666666666</v>
      </c>
      <c r="D122" s="3"/>
      <c r="E122" s="3">
        <v>5</v>
      </c>
      <c r="F122" s="3">
        <v>4.5</v>
      </c>
      <c r="G122" s="5">
        <v>0.43333333333333335</v>
      </c>
      <c r="H122" s="5"/>
      <c r="I122" s="3">
        <f t="shared" ref="I122:I124" si="29">62/3.3</f>
        <v>18.787878787878789</v>
      </c>
      <c r="J122" s="3">
        <v>1.28</v>
      </c>
      <c r="K122" s="3">
        <v>9.2858974358974375</v>
      </c>
      <c r="L122" s="3">
        <v>3.0325641025641024</v>
      </c>
      <c r="M122" s="3">
        <v>2.4748717948717953</v>
      </c>
      <c r="N122" s="3">
        <v>12.276641025641029</v>
      </c>
      <c r="O122" s="3">
        <v>13.42230769230769</v>
      </c>
      <c r="P122" s="3"/>
      <c r="Q122" s="3"/>
      <c r="R122" s="3"/>
      <c r="S122" s="3"/>
      <c r="T122" s="3"/>
      <c r="U122" s="3"/>
      <c r="V122" s="3"/>
      <c r="W122" s="3"/>
      <c r="X122" s="3"/>
      <c r="Z122" s="3"/>
      <c r="AA122" s="3"/>
      <c r="AB122" s="3"/>
      <c r="AC122" s="3"/>
      <c r="AD122" s="3"/>
    </row>
    <row r="123" spans="1:30" ht="14">
      <c r="A123" s="3" t="s">
        <v>41</v>
      </c>
      <c r="B123" s="3">
        <v>16664.557291666668</v>
      </c>
      <c r="C123" s="3">
        <v>13057.916666666666</v>
      </c>
      <c r="D123" s="3"/>
      <c r="E123" s="3">
        <v>5</v>
      </c>
      <c r="F123" s="3">
        <v>4.5</v>
      </c>
      <c r="G123" s="5">
        <v>0.43333333333333335</v>
      </c>
      <c r="H123" s="5"/>
      <c r="I123" s="3">
        <f t="shared" si="29"/>
        <v>18.787878787878789</v>
      </c>
      <c r="J123" s="3">
        <v>11.54</v>
      </c>
      <c r="K123" s="3">
        <v>9.0884615384615373</v>
      </c>
      <c r="L123" s="3">
        <v>6.58346153846154</v>
      </c>
      <c r="M123" s="3">
        <v>2.2623076923076919</v>
      </c>
      <c r="N123" s="3">
        <v>8.8406538461538453</v>
      </c>
      <c r="O123" s="3">
        <v>24.465769230769226</v>
      </c>
      <c r="P123" s="3"/>
      <c r="Q123" s="3"/>
      <c r="R123" s="3"/>
      <c r="S123" s="3"/>
      <c r="T123" s="3"/>
      <c r="U123" s="3"/>
      <c r="V123" s="3"/>
      <c r="W123" s="3"/>
      <c r="X123" s="3"/>
      <c r="Z123" s="3"/>
      <c r="AA123" s="3"/>
      <c r="AB123" s="3"/>
      <c r="AC123" s="3"/>
      <c r="AD123" s="3"/>
    </row>
    <row r="124" spans="1:30" ht="14">
      <c r="A124" s="3" t="s">
        <v>41</v>
      </c>
      <c r="B124" s="3">
        <v>16664.557291666668</v>
      </c>
      <c r="C124" s="3">
        <v>13057.916666666666</v>
      </c>
      <c r="D124" s="3"/>
      <c r="E124" s="3">
        <v>5</v>
      </c>
      <c r="F124" s="3">
        <v>4.5</v>
      </c>
      <c r="G124" s="5">
        <v>0.43333333333333335</v>
      </c>
      <c r="H124" s="5"/>
      <c r="I124" s="3">
        <f t="shared" si="29"/>
        <v>18.787878787878789</v>
      </c>
      <c r="J124" s="3">
        <v>16.48</v>
      </c>
      <c r="K124" s="3">
        <v>9.2316129032258072</v>
      </c>
      <c r="L124" s="3">
        <v>32.309677419354834</v>
      </c>
      <c r="M124" s="3">
        <v>2.4832258064516126</v>
      </c>
      <c r="N124" s="3">
        <v>8.4252580645161306</v>
      </c>
      <c r="O124" s="3">
        <v>25.323225806451621</v>
      </c>
      <c r="P124" s="3"/>
      <c r="Q124" s="3"/>
      <c r="R124" s="3"/>
      <c r="S124" s="3"/>
      <c r="T124" s="3"/>
      <c r="U124" s="3"/>
      <c r="V124" s="3"/>
      <c r="W124" s="3"/>
      <c r="X124" s="3"/>
      <c r="Z124" s="3"/>
      <c r="AA124" s="3"/>
      <c r="AB124" s="3"/>
      <c r="AC124" s="3"/>
      <c r="AD124" s="3"/>
    </row>
    <row r="125" spans="1:30" ht="14">
      <c r="A125" s="3" t="s">
        <v>41</v>
      </c>
      <c r="B125" s="3">
        <v>16664.557291666668</v>
      </c>
      <c r="C125" s="3">
        <v>13057.916666666666</v>
      </c>
      <c r="D125" s="3"/>
      <c r="E125" s="3">
        <v>4</v>
      </c>
      <c r="F125" s="3">
        <v>4</v>
      </c>
      <c r="G125" s="5">
        <v>0.44444444444444442</v>
      </c>
      <c r="H125" s="5"/>
      <c r="I125" s="3">
        <f t="shared" ref="I125:I127" si="30">35.2/3.3</f>
        <v>10.666666666666668</v>
      </c>
      <c r="J125" s="3">
        <v>0.61799999999999999</v>
      </c>
      <c r="K125" s="3">
        <v>9.3511764705882392</v>
      </c>
      <c r="L125" s="3">
        <v>14.101176470588234</v>
      </c>
      <c r="M125" s="3">
        <v>2.4373529411764712</v>
      </c>
      <c r="N125" s="3">
        <v>10.225205882352938</v>
      </c>
      <c r="O125" s="3">
        <v>19.665588235294116</v>
      </c>
      <c r="P125" s="3"/>
      <c r="Q125" s="3"/>
      <c r="R125" s="3"/>
      <c r="S125" s="3"/>
      <c r="T125" s="3"/>
      <c r="U125" s="3"/>
      <c r="V125" s="3"/>
      <c r="W125" s="3"/>
      <c r="X125" s="3"/>
      <c r="Z125" s="3"/>
      <c r="AA125" s="3"/>
      <c r="AB125" s="3"/>
      <c r="AC125" s="3"/>
      <c r="AD125" s="3"/>
    </row>
    <row r="126" spans="1:30" ht="14">
      <c r="A126" s="3" t="s">
        <v>41</v>
      </c>
      <c r="B126" s="3">
        <v>16664.557291666668</v>
      </c>
      <c r="C126" s="3">
        <v>13057.916666666666</v>
      </c>
      <c r="D126" s="3"/>
      <c r="E126" s="3">
        <v>4</v>
      </c>
      <c r="F126" s="3">
        <v>4</v>
      </c>
      <c r="G126" s="5">
        <v>0.44444444444444442</v>
      </c>
      <c r="H126" s="5"/>
      <c r="I126" s="3">
        <f t="shared" si="30"/>
        <v>10.666666666666668</v>
      </c>
      <c r="J126" s="3">
        <v>4.822285714285715</v>
      </c>
      <c r="K126" s="3">
        <v>9.3228571428571421</v>
      </c>
      <c r="L126" s="3">
        <v>29.959642857142853</v>
      </c>
      <c r="M126" s="3">
        <v>2.6332142857142857</v>
      </c>
      <c r="N126" s="3">
        <v>7.8671428571428548</v>
      </c>
      <c r="O126" s="3">
        <v>26.639285714285716</v>
      </c>
      <c r="P126" s="3"/>
      <c r="Q126" s="3"/>
      <c r="R126" s="3"/>
      <c r="S126" s="3"/>
      <c r="T126" s="3"/>
      <c r="U126" s="3"/>
      <c r="V126" s="3"/>
      <c r="W126" s="3"/>
      <c r="X126" s="3"/>
      <c r="Z126" s="3"/>
      <c r="AA126" s="3"/>
      <c r="AB126" s="3"/>
      <c r="AC126" s="3"/>
      <c r="AD126" s="3"/>
    </row>
    <row r="127" spans="1:30" ht="14">
      <c r="A127" s="3" t="s">
        <v>41</v>
      </c>
      <c r="B127" s="3">
        <v>16664.557291666668</v>
      </c>
      <c r="C127" s="3">
        <v>13057.916666666666</v>
      </c>
      <c r="D127" s="3"/>
      <c r="E127" s="3">
        <v>4</v>
      </c>
      <c r="F127" s="3">
        <v>4</v>
      </c>
      <c r="G127" s="5">
        <v>0.44444444444444442</v>
      </c>
      <c r="H127" s="5"/>
      <c r="I127" s="3">
        <f t="shared" si="30"/>
        <v>10.666666666666668</v>
      </c>
      <c r="J127" s="3">
        <v>10.57175</v>
      </c>
      <c r="K127" s="3">
        <v>9.343333333333339</v>
      </c>
      <c r="L127" s="3">
        <v>19.146111111111107</v>
      </c>
      <c r="M127" s="3">
        <v>2.7611111111111111</v>
      </c>
      <c r="N127" s="3">
        <v>6.8734999999999982</v>
      </c>
      <c r="O127" s="3">
        <v>29.464166666666685</v>
      </c>
      <c r="P127" s="3"/>
      <c r="Q127" s="3"/>
      <c r="R127" s="3"/>
      <c r="S127" s="3"/>
      <c r="T127" s="3"/>
      <c r="U127" s="3"/>
      <c r="V127" s="3"/>
      <c r="W127" s="3"/>
      <c r="X127" s="3"/>
      <c r="Z127" s="3"/>
      <c r="AA127" s="3"/>
      <c r="AB127" s="3"/>
      <c r="AC127" s="3"/>
      <c r="AD127" s="3"/>
    </row>
    <row r="128" spans="1:30" ht="14">
      <c r="A128" s="3" t="s">
        <v>41</v>
      </c>
      <c r="B128" s="3">
        <v>16664.557291666668</v>
      </c>
      <c r="C128" s="3">
        <v>13057.916666666666</v>
      </c>
      <c r="D128" s="3"/>
      <c r="E128" s="3">
        <v>4</v>
      </c>
      <c r="F128" s="3">
        <v>3.5</v>
      </c>
      <c r="G128" s="5">
        <v>0.47222222222222227</v>
      </c>
      <c r="H128" s="5"/>
      <c r="I128" s="3">
        <f t="shared" ref="I128:I130" si="31">22/3.3</f>
        <v>6.666666666666667</v>
      </c>
      <c r="J128" s="3">
        <v>1.2168823529411763</v>
      </c>
      <c r="K128" s="3">
        <v>9.231470588235295</v>
      </c>
      <c r="L128" s="3">
        <v>4.5320588235294119</v>
      </c>
      <c r="M128" s="3">
        <v>2.0582352941176469</v>
      </c>
      <c r="N128" s="3">
        <v>10.878500000000001</v>
      </c>
      <c r="O128" s="3">
        <v>18.440000000000001</v>
      </c>
      <c r="P128" s="3"/>
      <c r="Q128" s="3">
        <f t="shared" ref="Q128" si="32">4/3.3</f>
        <v>1.2121212121212122</v>
      </c>
      <c r="R128" s="3"/>
      <c r="S128" s="3"/>
      <c r="T128" s="3"/>
      <c r="U128" s="3"/>
      <c r="V128" s="3"/>
      <c r="W128" s="3"/>
      <c r="X128" s="3"/>
      <c r="Z128" s="3"/>
      <c r="AA128" s="3"/>
      <c r="AB128" s="3"/>
      <c r="AC128" s="3"/>
      <c r="AD128" s="3"/>
    </row>
    <row r="129" spans="1:30" ht="14">
      <c r="A129" s="3" t="s">
        <v>41</v>
      </c>
      <c r="B129" s="3">
        <v>16664.557291666668</v>
      </c>
      <c r="C129" s="3">
        <v>13057.916666666666</v>
      </c>
      <c r="D129" s="3"/>
      <c r="E129" s="3">
        <v>4</v>
      </c>
      <c r="F129" s="3">
        <v>3.5</v>
      </c>
      <c r="G129" s="5">
        <v>0.47222222222222227</v>
      </c>
      <c r="H129" s="5"/>
      <c r="I129" s="3">
        <f t="shared" si="31"/>
        <v>6.666666666666667</v>
      </c>
      <c r="J129" s="3">
        <v>3.5422903225806448</v>
      </c>
      <c r="K129" s="3">
        <v>9.2306451612903242</v>
      </c>
      <c r="L129" s="3">
        <v>6.854516129032258</v>
      </c>
      <c r="M129" s="3">
        <v>2.1951612903225799</v>
      </c>
      <c r="N129" s="3">
        <v>9.6706774193548402</v>
      </c>
      <c r="O129" s="3">
        <v>21.423548387096769</v>
      </c>
      <c r="P129" s="3"/>
      <c r="Q129" s="3"/>
      <c r="R129" s="3"/>
      <c r="S129" s="3"/>
      <c r="T129" s="3"/>
      <c r="U129" s="3"/>
      <c r="V129" s="3"/>
      <c r="W129" s="3"/>
      <c r="X129" s="3"/>
      <c r="Z129" s="3"/>
      <c r="AA129" s="3"/>
      <c r="AB129" s="3"/>
      <c r="AC129" s="3"/>
      <c r="AD129" s="3"/>
    </row>
    <row r="130" spans="1:30" ht="14">
      <c r="A130" s="3" t="s">
        <v>41</v>
      </c>
      <c r="B130" s="3">
        <v>16664.557291666668</v>
      </c>
      <c r="C130" s="3">
        <v>13057.916666666666</v>
      </c>
      <c r="D130" s="3"/>
      <c r="E130" s="3">
        <v>4</v>
      </c>
      <c r="F130" s="3">
        <v>3.5</v>
      </c>
      <c r="G130" s="5">
        <v>0.47222222222222227</v>
      </c>
      <c r="H130" s="5"/>
      <c r="I130" s="3">
        <f t="shared" si="31"/>
        <v>6.666666666666667</v>
      </c>
      <c r="J130" s="3">
        <v>6.5021666666666667</v>
      </c>
      <c r="K130" s="3">
        <v>9.3288888888888888</v>
      </c>
      <c r="L130" s="3">
        <v>14.16277777777778</v>
      </c>
      <c r="M130" s="3">
        <v>2.3477777777777771</v>
      </c>
      <c r="N130" s="3">
        <v>7.8597500000000009</v>
      </c>
      <c r="O130" s="3">
        <v>26.668611111111126</v>
      </c>
      <c r="P130" s="3"/>
      <c r="Q130" s="3"/>
      <c r="R130" s="3"/>
      <c r="S130" s="3"/>
      <c r="T130" s="3"/>
      <c r="U130" s="3"/>
      <c r="V130" s="3"/>
      <c r="W130" s="3"/>
      <c r="X130" s="3"/>
      <c r="Z130" s="3"/>
      <c r="AA130" s="3"/>
      <c r="AB130" s="3"/>
      <c r="AC130" s="3"/>
      <c r="AD130" s="3"/>
    </row>
    <row r="131" spans="1:30" ht="14">
      <c r="A131" s="3" t="s">
        <v>41</v>
      </c>
      <c r="B131" s="3">
        <v>16664.557291666668</v>
      </c>
      <c r="C131" s="3">
        <v>13057.916666666666</v>
      </c>
      <c r="D131" s="3"/>
      <c r="E131" s="3">
        <v>2</v>
      </c>
      <c r="F131" s="3">
        <v>2</v>
      </c>
      <c r="G131" s="5">
        <v>0.49652777777777773</v>
      </c>
      <c r="H131" s="5"/>
      <c r="I131" s="3">
        <f t="shared" ref="I131:I133" si="33">38.8/3.3</f>
        <v>11.757575757575758</v>
      </c>
      <c r="J131" s="3">
        <v>0.7845000000000002</v>
      </c>
      <c r="K131" s="3">
        <v>9.3152631578947336</v>
      </c>
      <c r="L131" s="3">
        <v>4.7289473684210535</v>
      </c>
      <c r="M131" s="3">
        <v>2.8176315789473683</v>
      </c>
      <c r="N131" s="3">
        <v>14.760184210526317</v>
      </c>
      <c r="O131" s="3">
        <v>6.9471052631578933</v>
      </c>
      <c r="P131" s="3"/>
      <c r="Q131" s="3">
        <f t="shared" ref="Q131" si="34">3/3.3</f>
        <v>0.90909090909090917</v>
      </c>
      <c r="R131" s="3"/>
      <c r="S131" s="3"/>
      <c r="T131" s="3"/>
      <c r="U131" s="3"/>
      <c r="V131" s="3"/>
      <c r="W131" s="3"/>
      <c r="X131" s="3"/>
      <c r="Z131" s="3"/>
      <c r="AA131" s="3"/>
      <c r="AB131" s="3"/>
      <c r="AC131" s="3"/>
      <c r="AD131" s="3"/>
    </row>
    <row r="132" spans="1:30" ht="14">
      <c r="A132" s="3" t="s">
        <v>41</v>
      </c>
      <c r="B132" s="3">
        <v>16664.557291666668</v>
      </c>
      <c r="C132" s="3">
        <v>13057.916666666666</v>
      </c>
      <c r="D132" s="3"/>
      <c r="E132" s="3">
        <v>2</v>
      </c>
      <c r="F132" s="3">
        <v>2</v>
      </c>
      <c r="G132" s="5">
        <v>0.49652777777777773</v>
      </c>
      <c r="H132" s="5"/>
      <c r="I132" s="3">
        <f t="shared" si="33"/>
        <v>11.757575757575758</v>
      </c>
      <c r="J132" s="3">
        <v>6.5734705882352946</v>
      </c>
      <c r="K132" s="3">
        <v>9.1479411764705851</v>
      </c>
      <c r="L132" s="3">
        <v>14.363823529411764</v>
      </c>
      <c r="M132" s="3">
        <v>3.1373529411764705</v>
      </c>
      <c r="N132" s="3">
        <v>12.89494117647059</v>
      </c>
      <c r="O132" s="3">
        <v>10.136176470588234</v>
      </c>
      <c r="P132" s="3"/>
      <c r="Q132" s="3"/>
      <c r="R132" s="3"/>
      <c r="S132" s="3"/>
      <c r="T132" s="3"/>
      <c r="U132" s="3"/>
      <c r="V132" s="3"/>
      <c r="W132" s="3"/>
      <c r="X132" s="3"/>
      <c r="Z132" s="3"/>
      <c r="AA132" s="3"/>
      <c r="AB132" s="3"/>
      <c r="AC132" s="3"/>
      <c r="AD132" s="3"/>
    </row>
    <row r="133" spans="1:30" ht="14">
      <c r="A133" s="3" t="s">
        <v>41</v>
      </c>
      <c r="B133" s="3">
        <v>16664.557291666668</v>
      </c>
      <c r="C133" s="3">
        <v>13057.916666666666</v>
      </c>
      <c r="D133" s="3"/>
      <c r="E133" s="3">
        <v>2</v>
      </c>
      <c r="F133" s="3">
        <v>2</v>
      </c>
      <c r="G133" s="5">
        <v>0.49652777777777773</v>
      </c>
      <c r="H133" s="5"/>
      <c r="I133" s="3">
        <f t="shared" si="33"/>
        <v>11.757575757575758</v>
      </c>
      <c r="J133" s="3">
        <v>11.059717948717946</v>
      </c>
      <c r="K133" s="3">
        <v>9.1046153846153857</v>
      </c>
      <c r="L133" s="3">
        <v>23.374102564102564</v>
      </c>
      <c r="M133" s="3">
        <v>3.3889743589743602</v>
      </c>
      <c r="N133" s="3">
        <v>12.824769230769231</v>
      </c>
      <c r="O133" s="3">
        <v>10.281025641025638</v>
      </c>
      <c r="P133" s="3"/>
      <c r="Q133" s="3"/>
      <c r="R133" s="3"/>
      <c r="S133" s="3"/>
      <c r="T133" s="3"/>
      <c r="U133" s="3"/>
      <c r="V133" s="3"/>
      <c r="W133" s="3"/>
      <c r="X133" s="3"/>
      <c r="Z133" s="3"/>
      <c r="AA133" s="3"/>
      <c r="AB133" s="3"/>
      <c r="AC133" s="3"/>
      <c r="AD133" s="3"/>
    </row>
    <row r="134" spans="1:30" ht="14">
      <c r="A134" s="3" t="s">
        <v>42</v>
      </c>
      <c r="B134" s="3"/>
      <c r="C134" s="3"/>
      <c r="D134" s="3"/>
      <c r="E134" s="3">
        <v>8</v>
      </c>
      <c r="F134" s="3">
        <v>8</v>
      </c>
      <c r="G134" s="5">
        <v>0.32777777777777778</v>
      </c>
      <c r="H134" s="5"/>
      <c r="I134" s="3">
        <f t="shared" ref="I134:I136" si="35">34/3.3</f>
        <v>10.303030303030303</v>
      </c>
      <c r="J134">
        <v>0.83320588235294113</v>
      </c>
      <c r="K134" s="3">
        <v>8.6247058823529397</v>
      </c>
      <c r="L134" s="3">
        <v>4.1411764705882348</v>
      </c>
      <c r="M134" s="3">
        <v>3.1632352941176474</v>
      </c>
      <c r="N134" s="3">
        <v>12.213117647058821</v>
      </c>
      <c r="O134" s="3">
        <v>23.354411764705883</v>
      </c>
      <c r="P134" s="3"/>
      <c r="Q134" s="3">
        <f t="shared" ref="Q134" si="36">5/3.3</f>
        <v>1.5151515151515151</v>
      </c>
      <c r="R134" s="3"/>
      <c r="S134" s="3"/>
      <c r="T134" s="3"/>
      <c r="U134" s="3"/>
      <c r="V134" s="3"/>
      <c r="W134" s="3"/>
      <c r="X134" s="3"/>
      <c r="Z134" s="3"/>
      <c r="AA134" s="3"/>
      <c r="AB134" s="3"/>
      <c r="AC134" s="3"/>
      <c r="AD134" s="3"/>
    </row>
    <row r="135" spans="1:30" ht="14">
      <c r="A135" s="3" t="s">
        <v>42</v>
      </c>
      <c r="B135" s="3"/>
      <c r="C135" s="3"/>
      <c r="D135" s="3"/>
      <c r="E135" s="3">
        <v>8</v>
      </c>
      <c r="F135" s="3">
        <v>8</v>
      </c>
      <c r="G135" s="5">
        <v>0.32777777777777778</v>
      </c>
      <c r="H135" s="5"/>
      <c r="I135" s="3">
        <f t="shared" si="35"/>
        <v>10.303030303030303</v>
      </c>
      <c r="J135" s="3">
        <v>4.9065135135135129</v>
      </c>
      <c r="K135" s="3">
        <v>8.7086486486486514</v>
      </c>
      <c r="L135" s="3">
        <v>2.7416216216216216</v>
      </c>
      <c r="M135" s="14">
        <v>3.1402702702702712</v>
      </c>
      <c r="N135" s="3">
        <v>10.917918918918918</v>
      </c>
      <c r="O135" s="3">
        <v>26.971891891891893</v>
      </c>
      <c r="P135" s="3"/>
      <c r="Q135" s="3"/>
      <c r="R135" s="3"/>
      <c r="S135" s="3"/>
      <c r="T135" s="3"/>
      <c r="U135" s="3"/>
      <c r="V135" s="3"/>
      <c r="W135" s="3"/>
      <c r="X135" s="3"/>
      <c r="Z135" s="3"/>
      <c r="AA135" s="3"/>
      <c r="AB135" s="3"/>
      <c r="AC135" s="3"/>
      <c r="AD135" s="3"/>
    </row>
    <row r="136" spans="1:30" ht="14">
      <c r="A136" s="3" t="s">
        <v>42</v>
      </c>
      <c r="B136" s="3"/>
      <c r="C136" s="3"/>
      <c r="D136" s="3"/>
      <c r="E136" s="3">
        <v>8</v>
      </c>
      <c r="F136" s="3">
        <v>8</v>
      </c>
      <c r="G136" s="5">
        <v>0.32777777777777778</v>
      </c>
      <c r="H136" s="5"/>
      <c r="I136" s="3">
        <f t="shared" si="35"/>
        <v>10.303030303030303</v>
      </c>
      <c r="J136" s="3">
        <v>9.965886363636363</v>
      </c>
      <c r="K136" s="3">
        <v>8.9270454545454623</v>
      </c>
      <c r="L136" s="3">
        <v>17.356136363636367</v>
      </c>
      <c r="M136" s="3">
        <v>3.483636363636363</v>
      </c>
      <c r="N136" s="3">
        <v>9.0911818181818163</v>
      </c>
      <c r="O136" s="3">
        <v>31.505909090909086</v>
      </c>
      <c r="P136" s="3"/>
      <c r="Q136" s="3"/>
      <c r="R136" s="3"/>
      <c r="S136" s="3"/>
      <c r="T136" s="3"/>
      <c r="U136" s="3"/>
      <c r="V136" s="3"/>
      <c r="W136" s="3"/>
      <c r="X136" s="3"/>
      <c r="Z136" s="3"/>
      <c r="AA136" s="3"/>
      <c r="AB136" s="3"/>
      <c r="AC136" s="3"/>
      <c r="AD136" s="3"/>
    </row>
    <row r="137" spans="1:30" ht="14">
      <c r="A137" s="3" t="s">
        <v>42</v>
      </c>
      <c r="B137" s="3"/>
      <c r="C137" s="3"/>
      <c r="D137" s="3"/>
      <c r="E137" s="3">
        <v>5</v>
      </c>
      <c r="F137" s="3">
        <v>5</v>
      </c>
      <c r="G137" s="5">
        <v>0.3743055555555555</v>
      </c>
      <c r="H137" s="5"/>
      <c r="I137" s="3">
        <f t="shared" ref="I137:I139" si="37">48/3.3</f>
        <v>14.545454545454547</v>
      </c>
      <c r="J137" s="3">
        <v>0.52942857142857147</v>
      </c>
      <c r="K137" s="3">
        <v>8.4725714285714329</v>
      </c>
      <c r="L137" s="3">
        <v>4.1797142857142866</v>
      </c>
      <c r="M137" s="3">
        <v>3.2128571428571431</v>
      </c>
      <c r="N137" s="3">
        <v>15.393542857142856</v>
      </c>
      <c r="O137" s="3">
        <v>14.292571428571428</v>
      </c>
      <c r="P137" s="3"/>
      <c r="Q137" s="3">
        <f t="shared" ref="Q137" si="38">5.5/3.3</f>
        <v>1.6666666666666667</v>
      </c>
      <c r="R137" s="3"/>
      <c r="S137" s="3"/>
      <c r="T137" s="3"/>
      <c r="U137" s="3"/>
      <c r="V137" s="3"/>
      <c r="W137" s="3"/>
      <c r="X137" s="3"/>
      <c r="Z137" s="3"/>
      <c r="AA137" s="3"/>
      <c r="AB137" s="3"/>
      <c r="AC137" s="3"/>
      <c r="AD137" s="3"/>
    </row>
    <row r="138" spans="1:30" ht="14">
      <c r="A138" s="3" t="s">
        <v>42</v>
      </c>
      <c r="B138" s="3"/>
      <c r="C138" s="3"/>
      <c r="D138" s="3"/>
      <c r="E138" s="3">
        <v>5</v>
      </c>
      <c r="F138" s="3">
        <v>5</v>
      </c>
      <c r="G138" s="5">
        <v>0.3743055555555555</v>
      </c>
      <c r="H138" s="5"/>
      <c r="I138" s="3">
        <f t="shared" si="37"/>
        <v>14.545454545454547</v>
      </c>
      <c r="J138" s="3">
        <v>8.0363999999999987</v>
      </c>
      <c r="K138" s="3">
        <v>8.6651999999999934</v>
      </c>
      <c r="L138" s="3">
        <v>5.1272000000000002</v>
      </c>
      <c r="M138" s="3">
        <v>2.8151999999999999</v>
      </c>
      <c r="N138" s="3">
        <v>10.966080000000002</v>
      </c>
      <c r="O138" s="3">
        <v>26.721600000000002</v>
      </c>
      <c r="P138" s="3"/>
      <c r="Q138" s="3"/>
      <c r="R138" s="3"/>
      <c r="S138" s="3"/>
      <c r="T138" s="3"/>
      <c r="U138" s="3"/>
      <c r="V138" s="3"/>
      <c r="W138" s="3"/>
      <c r="X138" s="3"/>
      <c r="Z138" s="3"/>
      <c r="AA138" s="3"/>
      <c r="AB138" s="3"/>
      <c r="AC138" s="3"/>
      <c r="AD138" s="3"/>
    </row>
    <row r="139" spans="1:30" ht="14">
      <c r="A139" s="3" t="s">
        <v>42</v>
      </c>
      <c r="B139" s="3"/>
      <c r="C139" s="3"/>
      <c r="D139" s="3"/>
      <c r="E139" s="3">
        <v>5</v>
      </c>
      <c r="F139" s="3">
        <v>5</v>
      </c>
      <c r="G139" s="5">
        <v>0.3743055555555555</v>
      </c>
      <c r="H139" s="5"/>
      <c r="I139" s="3">
        <f t="shared" si="37"/>
        <v>14.545454545454547</v>
      </c>
      <c r="J139" s="3">
        <v>15.205499999999995</v>
      </c>
      <c r="K139" s="3">
        <v>8.8020833333333357</v>
      </c>
      <c r="L139" s="3">
        <v>28.397500000000004</v>
      </c>
      <c r="M139" s="3">
        <v>3.0254166666666662</v>
      </c>
      <c r="N139" s="3">
        <v>9.3765833333333344</v>
      </c>
      <c r="O139" s="3">
        <v>30.742499999999993</v>
      </c>
      <c r="P139" s="3"/>
      <c r="Q139" s="3"/>
      <c r="R139" s="3"/>
      <c r="S139" s="3"/>
      <c r="T139" s="3"/>
      <c r="U139" s="3"/>
      <c r="V139" s="3"/>
      <c r="W139" s="3"/>
      <c r="X139" s="3"/>
      <c r="Z139" s="3"/>
      <c r="AA139" s="3"/>
      <c r="AB139" s="3"/>
      <c r="AC139" s="3"/>
      <c r="AD139" s="3"/>
    </row>
    <row r="140" spans="1:30" ht="14">
      <c r="A140" s="3" t="s">
        <v>42</v>
      </c>
      <c r="B140" s="3"/>
      <c r="C140" s="3"/>
      <c r="D140" s="3"/>
      <c r="E140" s="3">
        <v>4.5</v>
      </c>
      <c r="F140" s="3">
        <v>4.5</v>
      </c>
      <c r="G140" s="5">
        <v>0.41944444444444445</v>
      </c>
      <c r="H140" s="5"/>
      <c r="I140" s="3">
        <f t="shared" ref="I140:I142" si="39">46/3.3</f>
        <v>13.939393939393939</v>
      </c>
      <c r="J140" s="3">
        <f>4.1/3.3</f>
        <v>1.2424242424242424</v>
      </c>
      <c r="K140" s="3">
        <v>8.5</v>
      </c>
      <c r="L140" s="3">
        <v>3.4</v>
      </c>
      <c r="M140" s="3">
        <v>4.0999999999999996</v>
      </c>
      <c r="N140" s="3">
        <v>15.4</v>
      </c>
      <c r="O140" s="3">
        <v>14.9</v>
      </c>
      <c r="P140" s="3"/>
      <c r="Q140" s="3"/>
      <c r="R140" s="3"/>
      <c r="S140" s="3"/>
      <c r="T140" s="3"/>
      <c r="U140" s="3"/>
      <c r="V140" s="3"/>
      <c r="W140" s="3"/>
      <c r="X140" s="3"/>
      <c r="Z140" s="3"/>
      <c r="AA140" s="3"/>
      <c r="AB140" s="3"/>
      <c r="AC140" s="3"/>
      <c r="AD140" s="3"/>
    </row>
    <row r="141" spans="1:30" ht="14">
      <c r="A141" s="3" t="s">
        <v>42</v>
      </c>
      <c r="B141" s="3"/>
      <c r="C141" s="3"/>
      <c r="D141" s="3"/>
      <c r="E141" s="3">
        <v>4.5</v>
      </c>
      <c r="F141" s="3">
        <v>4.5</v>
      </c>
      <c r="G141" s="5">
        <v>0.41944444444444445</v>
      </c>
      <c r="H141" s="5"/>
      <c r="I141" s="3">
        <f t="shared" si="39"/>
        <v>13.939393939393939</v>
      </c>
      <c r="J141" s="3">
        <f>25/3.3</f>
        <v>7.5757575757575761</v>
      </c>
      <c r="K141" s="3">
        <v>8.8000000000000007</v>
      </c>
      <c r="L141" s="3">
        <v>42</v>
      </c>
      <c r="M141" s="3">
        <v>2.9</v>
      </c>
      <c r="N141" s="3">
        <v>9.9</v>
      </c>
      <c r="O141" s="3">
        <v>29.6</v>
      </c>
      <c r="P141" s="3"/>
      <c r="Q141" s="3"/>
      <c r="R141" s="3"/>
      <c r="S141" s="3"/>
      <c r="T141" s="3"/>
      <c r="U141" s="3"/>
      <c r="V141" s="3"/>
      <c r="W141" s="3"/>
      <c r="X141" s="3"/>
      <c r="Z141" s="3"/>
      <c r="AA141" s="3"/>
      <c r="AB141" s="3"/>
      <c r="AC141" s="3"/>
      <c r="AD141" s="3"/>
    </row>
    <row r="142" spans="1:30" ht="14">
      <c r="A142" s="3" t="s">
        <v>42</v>
      </c>
      <c r="B142" s="3"/>
      <c r="C142" s="3"/>
      <c r="D142" s="3"/>
      <c r="E142" s="3">
        <v>4.5</v>
      </c>
      <c r="F142" s="3">
        <v>4.5</v>
      </c>
      <c r="G142" s="5">
        <v>0.41944444444444445</v>
      </c>
      <c r="H142" s="5"/>
      <c r="I142" s="3">
        <f t="shared" si="39"/>
        <v>13.939393939393939</v>
      </c>
      <c r="J142" s="3">
        <f>46/3.3</f>
        <v>13.939393939393939</v>
      </c>
      <c r="K142" s="3">
        <v>8.8000000000000007</v>
      </c>
      <c r="L142" s="3">
        <v>115</v>
      </c>
      <c r="M142" s="3">
        <v>4.7</v>
      </c>
      <c r="N142" s="3">
        <v>9.5</v>
      </c>
      <c r="O142" s="3">
        <v>30.5</v>
      </c>
      <c r="P142" s="3"/>
      <c r="Q142" s="3"/>
      <c r="R142" s="3"/>
      <c r="S142" s="3"/>
      <c r="T142" s="3"/>
      <c r="U142" s="3"/>
      <c r="V142" s="3"/>
      <c r="W142" s="3"/>
      <c r="X142" s="3"/>
      <c r="Z142" s="3"/>
      <c r="AA142" s="3"/>
      <c r="AB142" s="3"/>
      <c r="AC142" s="3"/>
      <c r="AD142" s="3"/>
    </row>
    <row r="143" spans="1:30" ht="14">
      <c r="A143" s="3" t="s">
        <v>42</v>
      </c>
      <c r="B143" s="3"/>
      <c r="C143" s="3"/>
      <c r="D143" s="3"/>
      <c r="E143" s="3">
        <v>4</v>
      </c>
      <c r="F143" s="3">
        <v>4</v>
      </c>
      <c r="G143" s="5">
        <v>0.4375</v>
      </c>
      <c r="H143" s="5"/>
      <c r="I143" s="3">
        <f t="shared" ref="I143:I145" si="40">34.51/3.3</f>
        <v>10.457575757575757</v>
      </c>
      <c r="J143" s="3">
        <v>0.62972727272727269</v>
      </c>
      <c r="K143" s="3">
        <v>8.5985454545454516</v>
      </c>
      <c r="L143" s="3">
        <v>4.9052727272727275</v>
      </c>
      <c r="M143" s="3">
        <v>3.1634545454545444</v>
      </c>
      <c r="N143" s="3">
        <v>13.996272727272732</v>
      </c>
      <c r="O143" s="3">
        <v>18.818727272727273</v>
      </c>
      <c r="P143" s="3"/>
      <c r="Q143" s="3">
        <f t="shared" ref="Q143" si="41">5/3.3</f>
        <v>1.5151515151515151</v>
      </c>
      <c r="R143" s="3"/>
      <c r="S143" s="3"/>
      <c r="T143" s="3"/>
      <c r="U143" s="3"/>
      <c r="V143" s="3"/>
      <c r="W143" s="3"/>
      <c r="X143" s="3"/>
      <c r="Z143" s="3"/>
      <c r="AA143" s="3"/>
      <c r="AB143" s="3"/>
      <c r="AC143" s="3"/>
      <c r="AD143" s="3"/>
    </row>
    <row r="144" spans="1:30" ht="14">
      <c r="A144" s="3" t="s">
        <v>42</v>
      </c>
      <c r="B144" s="3"/>
      <c r="C144" s="3"/>
      <c r="D144" s="3"/>
      <c r="E144" s="3">
        <v>4</v>
      </c>
      <c r="F144" s="3">
        <v>4</v>
      </c>
      <c r="G144" s="5">
        <v>0.4375</v>
      </c>
      <c r="H144" s="5"/>
      <c r="I144" s="3">
        <f t="shared" si="40"/>
        <v>10.457575757575757</v>
      </c>
      <c r="J144" s="3">
        <v>4.7820000000000009</v>
      </c>
      <c r="K144" s="3">
        <v>8.7929411764705883</v>
      </c>
      <c r="L144" s="3">
        <v>14.299999999999999</v>
      </c>
      <c r="M144" s="3">
        <v>3.4502941176470596</v>
      </c>
      <c r="N144" s="3">
        <v>9.6403529411764666</v>
      </c>
      <c r="O144" s="3">
        <v>30.062647058823529</v>
      </c>
      <c r="P144" s="3"/>
      <c r="Q144" s="3"/>
      <c r="R144" s="3"/>
      <c r="S144" s="3"/>
      <c r="T144" s="3"/>
      <c r="U144" s="3"/>
      <c r="V144" s="3"/>
      <c r="W144" s="3"/>
      <c r="X144" s="3"/>
      <c r="Z144" s="3"/>
      <c r="AA144" s="3"/>
      <c r="AB144" s="3"/>
      <c r="AC144" s="3"/>
      <c r="AD144" s="3"/>
    </row>
    <row r="145" spans="1:30" ht="14">
      <c r="A145" s="3" t="s">
        <v>42</v>
      </c>
      <c r="B145" s="3"/>
      <c r="C145" s="3"/>
      <c r="D145" s="3"/>
      <c r="E145" s="3">
        <v>4</v>
      </c>
      <c r="F145" s="3">
        <v>4</v>
      </c>
      <c r="G145" s="5">
        <v>0.4375</v>
      </c>
      <c r="H145" s="5"/>
      <c r="I145" s="3">
        <f t="shared" si="40"/>
        <v>10.457575757575757</v>
      </c>
      <c r="J145" s="3">
        <v>8.2415882352941168</v>
      </c>
      <c r="K145" s="3">
        <v>8.8444117647058782</v>
      </c>
      <c r="L145" s="3">
        <v>16.615294117647053</v>
      </c>
      <c r="M145" s="3">
        <v>3.251176470588236</v>
      </c>
      <c r="N145" s="3">
        <v>9.4530294117647031</v>
      </c>
      <c r="O145" s="3">
        <v>30.519117647058813</v>
      </c>
      <c r="P145" s="3"/>
      <c r="Q145" s="3"/>
      <c r="R145" s="3"/>
      <c r="S145" s="3"/>
      <c r="T145" s="3"/>
      <c r="U145" s="3"/>
      <c r="V145" s="3"/>
      <c r="W145" s="3"/>
      <c r="X145" s="3"/>
      <c r="Z145" s="3"/>
      <c r="AA145" s="3"/>
      <c r="AB145" s="3"/>
      <c r="AC145" s="3"/>
      <c r="AD145" s="3"/>
    </row>
    <row r="146" spans="1:30" ht="14">
      <c r="A146" s="3" t="s">
        <v>42</v>
      </c>
      <c r="B146" s="3"/>
      <c r="C146" s="3"/>
      <c r="D146" s="3"/>
      <c r="E146" s="3">
        <v>3</v>
      </c>
      <c r="F146" s="3" t="s">
        <v>43</v>
      </c>
      <c r="G146" s="5">
        <v>0.47152777777777777</v>
      </c>
      <c r="H146" s="5"/>
      <c r="I146" s="3">
        <f t="shared" ref="I146:I148" si="42">33.8/3.3</f>
        <v>10.242424242424242</v>
      </c>
      <c r="J146" s="3">
        <v>0.51177142857142854</v>
      </c>
      <c r="K146" s="3">
        <v>8.5608571428571416</v>
      </c>
      <c r="L146" s="3">
        <v>3.5382857142857143</v>
      </c>
      <c r="M146" s="3">
        <v>3.427428571428571</v>
      </c>
      <c r="N146" s="3">
        <v>15.146342857142855</v>
      </c>
      <c r="O146" s="3">
        <v>16.855142857142852</v>
      </c>
      <c r="P146" s="3"/>
      <c r="Q146" s="3"/>
      <c r="R146" s="3"/>
      <c r="S146" s="3"/>
      <c r="T146" s="3"/>
      <c r="U146" s="3"/>
      <c r="V146" s="3"/>
      <c r="W146" s="3"/>
      <c r="X146" s="3"/>
      <c r="Z146" s="3"/>
      <c r="AA146" s="3"/>
      <c r="AB146" s="3"/>
      <c r="AC146" s="3"/>
      <c r="AD146" s="3"/>
    </row>
    <row r="147" spans="1:30" ht="14">
      <c r="A147" s="3" t="s">
        <v>42</v>
      </c>
      <c r="B147" s="3"/>
      <c r="C147" s="3"/>
      <c r="D147" s="3"/>
      <c r="E147" s="3">
        <v>3</v>
      </c>
      <c r="F147" s="3" t="s">
        <v>43</v>
      </c>
      <c r="G147" s="5">
        <v>0.47152777777777777</v>
      </c>
      <c r="H147" s="5"/>
      <c r="I147" s="3">
        <f t="shared" si="42"/>
        <v>10.242424242424242</v>
      </c>
      <c r="J147" s="3">
        <v>5.0648292682926845</v>
      </c>
      <c r="K147" s="3">
        <v>8.5782926829268309</v>
      </c>
      <c r="L147" s="3">
        <v>6.2087804878048782</v>
      </c>
      <c r="M147" s="3">
        <v>2.9590243902439024</v>
      </c>
      <c r="N147" s="3">
        <v>12.607560975609758</v>
      </c>
      <c r="O147" s="3">
        <v>22.747317073170723</v>
      </c>
      <c r="P147" s="3"/>
      <c r="Q147" s="3"/>
      <c r="R147" s="3"/>
      <c r="S147" s="3"/>
      <c r="T147" s="3"/>
      <c r="U147" s="3"/>
      <c r="V147" s="3"/>
      <c r="W147" s="3"/>
      <c r="X147" s="3"/>
      <c r="Z147" s="3"/>
      <c r="AA147" s="3"/>
      <c r="AB147" s="3"/>
      <c r="AC147" s="3"/>
      <c r="AD147" s="3"/>
    </row>
    <row r="148" spans="1:30" ht="14">
      <c r="A148" s="3" t="s">
        <v>42</v>
      </c>
      <c r="B148" s="3"/>
      <c r="C148" s="3"/>
      <c r="D148" s="3"/>
      <c r="E148" s="3">
        <v>3</v>
      </c>
      <c r="F148" s="3" t="s">
        <v>43</v>
      </c>
      <c r="G148" s="5">
        <v>0.47152777777777777</v>
      </c>
      <c r="H148" s="5"/>
      <c r="I148" s="3">
        <f t="shared" si="42"/>
        <v>10.242424242424242</v>
      </c>
      <c r="J148" s="3">
        <v>9.7509411764705867</v>
      </c>
      <c r="K148" s="3">
        <v>8.5617647058823501</v>
      </c>
      <c r="L148" s="3">
        <v>20.84</v>
      </c>
      <c r="M148" s="3">
        <v>3.1967647058823534</v>
      </c>
      <c r="N148" s="3">
        <v>11.711411764705884</v>
      </c>
      <c r="O148" s="3">
        <v>24.739411764705878</v>
      </c>
      <c r="P148" s="3"/>
      <c r="Q148" s="3"/>
      <c r="R148" s="3"/>
      <c r="S148" s="3"/>
      <c r="T148" s="3"/>
      <c r="U148" s="3"/>
      <c r="V148" s="3"/>
      <c r="W148" s="3"/>
      <c r="X148" s="3"/>
      <c r="Z148" s="3"/>
      <c r="AA148" s="3"/>
      <c r="AB148" s="3"/>
      <c r="AC148" s="3"/>
      <c r="AD148" s="3"/>
    </row>
    <row r="149" spans="1:30" ht="14">
      <c r="A149" s="3" t="s">
        <v>42</v>
      </c>
      <c r="B149" s="3"/>
      <c r="C149" s="3"/>
      <c r="D149" s="3"/>
      <c r="E149" s="3">
        <v>2</v>
      </c>
      <c r="F149" s="3" t="s">
        <v>44</v>
      </c>
      <c r="G149" s="5">
        <v>0.51388888888888895</v>
      </c>
      <c r="H149" s="5"/>
      <c r="I149" s="3">
        <f t="shared" ref="I149:I151" si="43">38/3.3</f>
        <v>11.515151515151516</v>
      </c>
      <c r="J149" s="3">
        <v>0.81955882352941201</v>
      </c>
      <c r="K149" s="3">
        <v>8.3535294117647076</v>
      </c>
      <c r="L149" s="3">
        <v>2.8661764705882349</v>
      </c>
      <c r="M149" s="3">
        <v>2.9364705882352942</v>
      </c>
      <c r="N149" s="3">
        <v>19.277058823529408</v>
      </c>
      <c r="O149" s="3">
        <v>4.0738235294117642</v>
      </c>
      <c r="P149" s="3"/>
      <c r="Q149" s="3"/>
      <c r="R149" s="3"/>
      <c r="S149" s="3"/>
      <c r="T149" s="3"/>
      <c r="U149" s="3"/>
      <c r="V149" s="3"/>
      <c r="W149" s="3"/>
      <c r="X149" s="3"/>
      <c r="Z149" s="3"/>
      <c r="AA149" s="3"/>
      <c r="AB149" s="3"/>
      <c r="AC149" s="3"/>
      <c r="AD149" s="3"/>
    </row>
    <row r="150" spans="1:30" ht="14">
      <c r="A150" s="3" t="s">
        <v>42</v>
      </c>
      <c r="B150" s="3"/>
      <c r="C150" s="3"/>
      <c r="D150" s="3"/>
      <c r="E150" s="3">
        <v>2</v>
      </c>
      <c r="F150" s="3" t="s">
        <v>44</v>
      </c>
      <c r="G150" s="5">
        <v>0.51388888888888895</v>
      </c>
      <c r="H150" s="5"/>
      <c r="I150" s="3">
        <f t="shared" si="43"/>
        <v>11.515151515151516</v>
      </c>
      <c r="J150" s="3">
        <v>4.4381764705882363</v>
      </c>
      <c r="K150" s="3">
        <v>8.2202941176470592</v>
      </c>
      <c r="L150" s="3">
        <v>4.4514705882352938</v>
      </c>
      <c r="M150" s="3">
        <v>2.9491176470588236</v>
      </c>
      <c r="N150" s="3">
        <v>16.858558823529414</v>
      </c>
      <c r="O150" s="3">
        <v>10.20676470588235</v>
      </c>
      <c r="P150" s="3"/>
      <c r="Q150" s="3"/>
      <c r="R150" s="3"/>
      <c r="S150" s="3"/>
      <c r="T150" s="3"/>
      <c r="U150" s="3"/>
      <c r="V150" s="3"/>
      <c r="W150" s="3"/>
      <c r="X150" s="3"/>
      <c r="Z150" s="3"/>
      <c r="AA150" s="3"/>
      <c r="AB150" s="3"/>
      <c r="AC150" s="3"/>
      <c r="AD150" s="3"/>
    </row>
    <row r="151" spans="1:30" ht="14">
      <c r="A151" s="3" t="s">
        <v>42</v>
      </c>
      <c r="B151" s="3"/>
      <c r="C151" s="3"/>
      <c r="D151" s="3"/>
      <c r="E151" s="3">
        <v>2</v>
      </c>
      <c r="F151" s="3" t="s">
        <v>44</v>
      </c>
      <c r="G151" s="5">
        <v>0.51388888888888895</v>
      </c>
      <c r="H151" s="5"/>
      <c r="I151" s="3">
        <f t="shared" si="43"/>
        <v>11.515151515151516</v>
      </c>
      <c r="J151" s="3">
        <v>9.4189487179487195</v>
      </c>
      <c r="K151" s="3">
        <v>8.2589743589743598</v>
      </c>
      <c r="L151" s="3">
        <v>8.8353846153846138</v>
      </c>
      <c r="M151" s="3">
        <v>2.9066666666666663</v>
      </c>
      <c r="N151" s="3">
        <v>14.368538461538463</v>
      </c>
      <c r="O151" s="3">
        <v>17.168717948717951</v>
      </c>
      <c r="P151" s="3"/>
      <c r="Q151" s="3"/>
      <c r="R151" s="3"/>
      <c r="S151" s="3"/>
      <c r="T151" s="3"/>
      <c r="U151" s="3"/>
      <c r="V151" s="3"/>
      <c r="W151" s="3"/>
      <c r="X151" s="3"/>
      <c r="Z151" s="3"/>
      <c r="AA151" s="3"/>
      <c r="AB151" s="3"/>
      <c r="AC151" s="3"/>
      <c r="AD151" s="3"/>
    </row>
    <row r="152" spans="1:30" ht="14">
      <c r="A152" s="3" t="s">
        <v>42</v>
      </c>
      <c r="B152" s="3"/>
      <c r="C152" s="3"/>
      <c r="D152" s="3"/>
      <c r="E152" s="3">
        <v>1</v>
      </c>
      <c r="F152" s="3">
        <v>1</v>
      </c>
      <c r="G152" s="5">
        <v>6.458333333333334E-2</v>
      </c>
      <c r="H152" s="5"/>
      <c r="I152" s="3">
        <v>13.3</v>
      </c>
      <c r="J152" s="3">
        <v>0.58735294117647063</v>
      </c>
      <c r="K152" s="3">
        <v>8.3747058823529432</v>
      </c>
      <c r="L152" s="3">
        <v>3.1285294117647058</v>
      </c>
      <c r="M152" s="3">
        <v>2.9776470588235298</v>
      </c>
      <c r="N152" s="3">
        <v>19.774970588235291</v>
      </c>
      <c r="O152" s="3">
        <v>2.1867647058823523</v>
      </c>
      <c r="P152" s="3"/>
      <c r="Q152" s="3"/>
      <c r="R152" s="3"/>
      <c r="S152" s="3"/>
      <c r="T152" s="3"/>
      <c r="U152" s="3"/>
      <c r="V152" s="3"/>
      <c r="W152" s="3"/>
      <c r="X152" s="3"/>
      <c r="Z152" s="3"/>
      <c r="AA152" s="3"/>
      <c r="AB152" s="3"/>
      <c r="AC152" s="3"/>
      <c r="AD152" s="3"/>
    </row>
    <row r="153" spans="1:30" ht="14">
      <c r="A153" s="3" t="s">
        <v>42</v>
      </c>
      <c r="B153" s="3"/>
      <c r="C153" s="3"/>
      <c r="D153" s="3"/>
      <c r="E153" s="3">
        <v>1</v>
      </c>
      <c r="F153" s="3">
        <v>1</v>
      </c>
      <c r="G153" s="5">
        <v>6.458333333333334E-2</v>
      </c>
      <c r="H153" s="5"/>
      <c r="I153" s="3">
        <v>13.3</v>
      </c>
      <c r="J153" s="3">
        <v>6.9386052631578936</v>
      </c>
      <c r="K153" s="3">
        <v>8.1618421052631582</v>
      </c>
      <c r="L153" s="3">
        <v>6.0028947368421051</v>
      </c>
      <c r="M153" s="3">
        <v>2.9455263157894733</v>
      </c>
      <c r="N153" s="3">
        <v>16.698578947368421</v>
      </c>
      <c r="O153" s="3">
        <v>9.9849999999999959</v>
      </c>
      <c r="P153" s="3"/>
      <c r="Q153" s="3"/>
      <c r="R153" s="3"/>
      <c r="S153" s="3"/>
      <c r="T153" s="3"/>
      <c r="U153" s="3"/>
      <c r="V153" s="3"/>
      <c r="W153" s="3"/>
      <c r="X153" s="3"/>
      <c r="Z153" s="3"/>
      <c r="AA153" s="3"/>
      <c r="AB153" s="3"/>
      <c r="AC153" s="3"/>
      <c r="AD153" s="3"/>
    </row>
    <row r="154" spans="1:30" ht="14">
      <c r="A154" s="3" t="s">
        <v>42</v>
      </c>
      <c r="B154" s="3"/>
      <c r="C154" s="3"/>
      <c r="D154" s="3"/>
      <c r="E154" s="3">
        <v>1</v>
      </c>
      <c r="F154" s="3">
        <v>1</v>
      </c>
      <c r="G154" s="5">
        <v>6.458333333333334E-2</v>
      </c>
      <c r="H154" s="5"/>
      <c r="I154" s="3">
        <v>13.3</v>
      </c>
      <c r="J154" s="3">
        <v>11.750000000000002</v>
      </c>
      <c r="K154" s="3">
        <v>8.1617241379310368</v>
      </c>
      <c r="L154" s="3">
        <v>7.6110344827586198</v>
      </c>
      <c r="M154" s="3">
        <v>2.9941379310344827</v>
      </c>
      <c r="N154" s="3">
        <v>15.555758620689653</v>
      </c>
      <c r="O154" s="3">
        <v>13.265517241379314</v>
      </c>
      <c r="P154" s="3"/>
      <c r="Q154" s="3"/>
      <c r="R154" s="3"/>
      <c r="S154" s="3"/>
      <c r="T154" s="3"/>
      <c r="U154" s="3"/>
      <c r="V154" s="3"/>
      <c r="W154" s="3"/>
      <c r="X154" s="3"/>
      <c r="Z154" s="3"/>
      <c r="AA154" s="3"/>
      <c r="AB154" s="3"/>
      <c r="AC154" s="3"/>
      <c r="AD154" s="3"/>
    </row>
    <row r="155" spans="1:30" ht="14">
      <c r="A155" s="3" t="s">
        <v>45</v>
      </c>
      <c r="B155" s="3"/>
      <c r="C155" s="3"/>
      <c r="D155" s="3"/>
      <c r="E155" s="3">
        <v>8</v>
      </c>
      <c r="F155" s="3">
        <v>8</v>
      </c>
      <c r="G155" s="5">
        <v>0.4236111111111111</v>
      </c>
      <c r="H155" s="5"/>
      <c r="I155" s="3">
        <f t="shared" ref="I155:I157" si="44">25/3.3</f>
        <v>7.5757575757575761</v>
      </c>
      <c r="J155" s="3">
        <f>1/3.3</f>
        <v>0.30303030303030304</v>
      </c>
      <c r="K155" s="3">
        <v>7.5</v>
      </c>
      <c r="L155" s="3">
        <v>2.17</v>
      </c>
      <c r="M155" s="3">
        <v>3.09</v>
      </c>
      <c r="N155" s="3">
        <v>16.7</v>
      </c>
      <c r="O155" s="3">
        <v>20.66</v>
      </c>
      <c r="P155" s="3"/>
      <c r="Q155" s="3">
        <f t="shared" ref="Q155" si="45">5.5/3.3</f>
        <v>1.6666666666666667</v>
      </c>
      <c r="R155" s="3"/>
      <c r="S155" s="3"/>
      <c r="T155" s="3"/>
      <c r="U155" s="3"/>
      <c r="V155" s="3"/>
      <c r="W155" s="3"/>
      <c r="X155" s="3"/>
      <c r="Z155" s="3"/>
      <c r="AA155" s="3"/>
      <c r="AB155" s="3"/>
      <c r="AC155" s="3"/>
      <c r="AD155" s="3"/>
    </row>
    <row r="156" spans="1:30" ht="14">
      <c r="A156" s="3" t="s">
        <v>45</v>
      </c>
      <c r="B156" s="3"/>
      <c r="C156" s="3"/>
      <c r="D156" s="3"/>
      <c r="E156" s="3">
        <v>8</v>
      </c>
      <c r="F156" s="3">
        <v>8</v>
      </c>
      <c r="G156" s="5">
        <v>0.4236111111111111</v>
      </c>
      <c r="H156" s="5"/>
      <c r="I156" s="3">
        <f t="shared" si="44"/>
        <v>7.5757575757575761</v>
      </c>
      <c r="J156" s="3">
        <f>J157/2</f>
        <v>3.6363636363636367</v>
      </c>
      <c r="K156" s="3">
        <v>7.26</v>
      </c>
      <c r="L156" s="3">
        <v>4.0999999999999996</v>
      </c>
      <c r="M156" s="3">
        <v>5.04</v>
      </c>
      <c r="N156" s="3">
        <v>14.6</v>
      </c>
      <c r="O156" s="3">
        <v>25.5</v>
      </c>
      <c r="P156" s="3"/>
      <c r="Q156" s="3"/>
      <c r="R156" s="3"/>
      <c r="S156" s="3"/>
      <c r="T156" s="3"/>
      <c r="U156" s="3"/>
      <c r="V156" s="3"/>
      <c r="W156" s="3"/>
      <c r="X156" s="3"/>
      <c r="Z156" s="3"/>
      <c r="AA156" s="3"/>
      <c r="AB156" s="3"/>
      <c r="AC156" s="3"/>
      <c r="AD156" s="3"/>
    </row>
    <row r="157" spans="1:30" ht="14">
      <c r="A157" s="3" t="s">
        <v>45</v>
      </c>
      <c r="B157" s="3"/>
      <c r="C157" s="3"/>
      <c r="D157" s="3"/>
      <c r="E157" s="3">
        <v>8</v>
      </c>
      <c r="F157" s="3">
        <v>8</v>
      </c>
      <c r="G157" s="5">
        <v>0.4236111111111111</v>
      </c>
      <c r="H157" s="5"/>
      <c r="I157" s="3">
        <f t="shared" si="44"/>
        <v>7.5757575757575761</v>
      </c>
      <c r="J157" s="3">
        <f>24/3.3</f>
        <v>7.2727272727272734</v>
      </c>
      <c r="K157" s="3">
        <v>7.3</v>
      </c>
      <c r="L157" s="3">
        <v>38</v>
      </c>
      <c r="M157" s="3">
        <v>5.7</v>
      </c>
      <c r="N157" s="3">
        <v>11.3</v>
      </c>
      <c r="O157" s="3">
        <v>31.5</v>
      </c>
      <c r="P157" s="3"/>
      <c r="Q157" s="3"/>
      <c r="R157" s="3"/>
      <c r="S157" s="3"/>
      <c r="T157" s="3"/>
      <c r="U157" s="3"/>
      <c r="V157" s="3"/>
      <c r="W157" s="3"/>
      <c r="X157" s="3"/>
      <c r="Z157" s="3"/>
      <c r="AA157" s="3"/>
      <c r="AB157" s="3"/>
      <c r="AC157" s="3"/>
      <c r="AD157" s="3"/>
    </row>
    <row r="158" spans="1:30" ht="14">
      <c r="A158" s="3" t="s">
        <v>45</v>
      </c>
      <c r="B158" s="3"/>
      <c r="C158" s="3"/>
      <c r="D158" s="3"/>
      <c r="E158" s="3">
        <v>6</v>
      </c>
      <c r="F158" s="3">
        <v>6</v>
      </c>
      <c r="G158" s="5">
        <v>0.46111111111111108</v>
      </c>
      <c r="H158" s="5"/>
      <c r="I158" s="3">
        <f t="shared" ref="I158:I160" si="46">32/3.3</f>
        <v>9.6969696969696972</v>
      </c>
      <c r="J158" s="3">
        <f>2/3.3</f>
        <v>0.60606060606060608</v>
      </c>
      <c r="K158" s="3">
        <v>7.4</v>
      </c>
      <c r="L158" s="3">
        <v>2.2999999999999998</v>
      </c>
      <c r="M158" s="3">
        <v>4.3600000000000003</v>
      </c>
      <c r="N158" s="3">
        <v>15.9</v>
      </c>
      <c r="O158" s="3">
        <v>22.9</v>
      </c>
      <c r="P158" s="3"/>
      <c r="Q158" s="3"/>
      <c r="R158" s="3"/>
      <c r="S158" s="3"/>
      <c r="T158" s="3"/>
      <c r="U158" s="3"/>
      <c r="V158" s="3"/>
      <c r="W158" s="3"/>
      <c r="X158" s="3"/>
      <c r="Z158" s="3"/>
      <c r="AA158" s="3"/>
      <c r="AB158" s="3" t="s">
        <v>46</v>
      </c>
      <c r="AC158" s="3"/>
      <c r="AD158" s="3"/>
    </row>
    <row r="159" spans="1:30" ht="14">
      <c r="A159" s="3" t="s">
        <v>45</v>
      </c>
      <c r="B159" s="3"/>
      <c r="C159" s="3"/>
      <c r="D159" s="3"/>
      <c r="E159" s="3">
        <v>6</v>
      </c>
      <c r="F159" s="3">
        <v>6</v>
      </c>
      <c r="G159" s="5">
        <v>0.46111111111111108</v>
      </c>
      <c r="H159" s="5"/>
      <c r="I159" s="3">
        <f t="shared" si="46"/>
        <v>9.6969696969696972</v>
      </c>
      <c r="J159" s="3">
        <f>18/3.3</f>
        <v>5.454545454545455</v>
      </c>
      <c r="K159" s="3">
        <v>7.2</v>
      </c>
      <c r="L159" s="3">
        <v>4</v>
      </c>
      <c r="M159" s="3">
        <v>5.34</v>
      </c>
      <c r="N159" s="3">
        <v>14</v>
      </c>
      <c r="O159" s="3">
        <v>25.7</v>
      </c>
      <c r="P159" s="3"/>
      <c r="Q159" s="3"/>
      <c r="R159" s="3"/>
      <c r="S159" s="3"/>
      <c r="T159" s="3"/>
      <c r="U159" s="3"/>
      <c r="V159" s="3"/>
      <c r="W159" s="3"/>
      <c r="X159" s="3"/>
      <c r="Z159" s="3"/>
      <c r="AA159" s="3"/>
      <c r="AB159" s="3" t="s">
        <v>47</v>
      </c>
      <c r="AC159" s="3"/>
      <c r="AD159" s="3"/>
    </row>
    <row r="160" spans="1:30" ht="14">
      <c r="A160" s="3" t="s">
        <v>45</v>
      </c>
      <c r="B160" s="3"/>
      <c r="C160" s="3"/>
      <c r="D160" s="3"/>
      <c r="E160" s="3">
        <v>6</v>
      </c>
      <c r="F160" s="3">
        <v>6</v>
      </c>
      <c r="G160" s="5">
        <v>0.46111111111111108</v>
      </c>
      <c r="H160" s="5"/>
      <c r="I160" s="3">
        <f t="shared" si="46"/>
        <v>9.6969696969696972</v>
      </c>
      <c r="J160" s="3">
        <f>29/3.3</f>
        <v>8.787878787878789</v>
      </c>
      <c r="K160" s="3">
        <v>7.2</v>
      </c>
      <c r="L160" s="3">
        <v>6.3</v>
      </c>
      <c r="M160" s="3">
        <v>5.88</v>
      </c>
      <c r="N160" s="3">
        <v>13.6</v>
      </c>
      <c r="O160" s="3">
        <v>27.2</v>
      </c>
      <c r="P160" s="3"/>
      <c r="Q160" s="3"/>
      <c r="R160" s="3"/>
      <c r="S160" s="3"/>
      <c r="T160" s="3"/>
      <c r="U160" s="3"/>
      <c r="V160" s="3"/>
      <c r="W160" s="3"/>
      <c r="X160" s="3"/>
      <c r="Z160" s="3"/>
      <c r="AA160" s="3"/>
      <c r="AB160" s="3"/>
      <c r="AC160" s="3"/>
      <c r="AD160" s="3"/>
    </row>
    <row r="161" spans="1:30" ht="14">
      <c r="A161" s="3" t="s">
        <v>45</v>
      </c>
      <c r="B161" s="3"/>
      <c r="C161" s="3"/>
      <c r="D161" s="3"/>
      <c r="E161" s="3">
        <v>5</v>
      </c>
      <c r="F161" s="3">
        <v>5</v>
      </c>
      <c r="G161" s="5">
        <v>0.4694444444444445</v>
      </c>
      <c r="H161" s="5"/>
      <c r="I161" s="3">
        <f t="shared" ref="I161:I163" si="47">31.6/3.3</f>
        <v>9.5757575757575761</v>
      </c>
      <c r="J161" s="3">
        <f>0.5/3.3</f>
        <v>0.15151515151515152</v>
      </c>
      <c r="K161" s="3">
        <v>7.48</v>
      </c>
      <c r="L161" s="3">
        <v>2.17</v>
      </c>
      <c r="M161" s="3">
        <v>3.52</v>
      </c>
      <c r="N161" s="3">
        <v>19</v>
      </c>
      <c r="O161" s="3">
        <v>15</v>
      </c>
      <c r="P161" s="3"/>
      <c r="Q161" s="3">
        <f t="shared" ref="Q161" si="48">6/3.3</f>
        <v>1.8181818181818183</v>
      </c>
      <c r="R161" s="3"/>
      <c r="S161" s="3"/>
      <c r="T161" s="3"/>
      <c r="U161" s="3"/>
      <c r="V161" s="3"/>
      <c r="W161" s="3"/>
      <c r="X161" s="3"/>
      <c r="Z161" s="3"/>
      <c r="AA161" s="3"/>
      <c r="AB161" s="3"/>
      <c r="AC161" s="3"/>
      <c r="AD161" s="3"/>
    </row>
    <row r="162" spans="1:30" ht="14">
      <c r="A162" s="3" t="s">
        <v>45</v>
      </c>
      <c r="B162" s="3"/>
      <c r="C162" s="3"/>
      <c r="D162" s="3"/>
      <c r="E162" s="3">
        <v>5</v>
      </c>
      <c r="F162" s="3">
        <v>5</v>
      </c>
      <c r="G162" s="5">
        <v>0.4694444444444445</v>
      </c>
      <c r="H162" s="5"/>
      <c r="I162" s="3">
        <f t="shared" si="47"/>
        <v>9.5757575757575761</v>
      </c>
      <c r="J162" s="3">
        <f>19.2/3.3</f>
        <v>5.8181818181818183</v>
      </c>
      <c r="K162" s="3">
        <v>7.23</v>
      </c>
      <c r="L162" s="3">
        <v>4.8499999999999996</v>
      </c>
      <c r="M162" s="3">
        <v>6.55</v>
      </c>
      <c r="N162" s="3">
        <v>14.1</v>
      </c>
      <c r="O162" s="3">
        <v>25.6</v>
      </c>
      <c r="P162" s="3"/>
      <c r="Q162" s="3"/>
      <c r="R162" s="3"/>
      <c r="S162" s="3"/>
      <c r="T162" s="3"/>
      <c r="U162" s="3"/>
      <c r="V162" s="3"/>
      <c r="W162" s="3"/>
      <c r="X162" s="3"/>
      <c r="Z162" s="3"/>
      <c r="AA162" s="3"/>
      <c r="AB162" s="3"/>
      <c r="AC162" s="3"/>
      <c r="AD162" s="3"/>
    </row>
    <row r="163" spans="1:30" ht="14">
      <c r="A163" s="3" t="s">
        <v>45</v>
      </c>
      <c r="B163" s="3"/>
      <c r="C163" s="3"/>
      <c r="D163" s="3"/>
      <c r="E163" s="3">
        <v>5</v>
      </c>
      <c r="F163" s="3">
        <v>5</v>
      </c>
      <c r="G163" s="5">
        <v>0.4694444444444445</v>
      </c>
      <c r="H163" s="5"/>
      <c r="I163" s="3">
        <f t="shared" si="47"/>
        <v>9.5757575757575761</v>
      </c>
      <c r="J163" s="3">
        <f>31/3.3</f>
        <v>9.3939393939393945</v>
      </c>
      <c r="K163" s="3">
        <v>7.2</v>
      </c>
      <c r="L163" s="3">
        <v>10.9</v>
      </c>
      <c r="M163" s="3">
        <v>6.55</v>
      </c>
      <c r="N163" s="3">
        <v>14</v>
      </c>
      <c r="O163" s="3">
        <v>25.86</v>
      </c>
      <c r="P163" s="3"/>
      <c r="Q163" s="3"/>
      <c r="R163" s="3"/>
      <c r="S163" s="3"/>
      <c r="T163" s="3"/>
      <c r="U163" s="3"/>
      <c r="V163" s="3"/>
      <c r="W163" s="3"/>
      <c r="X163" s="3"/>
      <c r="Z163" s="3"/>
      <c r="AA163" s="3"/>
      <c r="AB163" s="3"/>
      <c r="AC163" s="3"/>
      <c r="AD163" s="3"/>
    </row>
    <row r="164" spans="1:30" ht="14">
      <c r="A164" s="3" t="s">
        <v>45</v>
      </c>
      <c r="B164" s="3"/>
      <c r="C164" s="3"/>
      <c r="D164" s="3"/>
      <c r="E164" s="3">
        <v>4</v>
      </c>
      <c r="F164" s="3">
        <v>4</v>
      </c>
      <c r="G164" s="5">
        <v>0.5</v>
      </c>
      <c r="H164" s="5"/>
      <c r="I164" s="3">
        <f t="shared" ref="I164:I166" si="49">29/3.3</f>
        <v>8.787878787878789</v>
      </c>
      <c r="J164" s="3">
        <f>3/3.3</f>
        <v>0.90909090909090917</v>
      </c>
      <c r="K164" s="3">
        <v>7.24</v>
      </c>
      <c r="L164" s="3">
        <v>3.65</v>
      </c>
      <c r="M164" s="3">
        <v>4.07</v>
      </c>
      <c r="N164" s="3">
        <v>16.3</v>
      </c>
      <c r="O164" s="3">
        <v>21.2</v>
      </c>
      <c r="P164" s="3"/>
      <c r="Q164" s="3">
        <f t="shared" ref="Q164" si="50">4.5/3.3</f>
        <v>1.3636363636363638</v>
      </c>
      <c r="R164" s="3"/>
      <c r="S164" s="3"/>
      <c r="T164" s="3"/>
      <c r="U164" s="3"/>
      <c r="V164" s="3"/>
      <c r="W164" s="3"/>
      <c r="X164" s="3"/>
      <c r="Z164" s="3"/>
      <c r="AA164" s="3"/>
      <c r="AB164" s="3"/>
      <c r="AC164" s="3"/>
      <c r="AD164" s="3"/>
    </row>
    <row r="165" spans="1:30" ht="14">
      <c r="A165" s="3" t="s">
        <v>45</v>
      </c>
      <c r="B165" s="3"/>
      <c r="C165" s="3"/>
      <c r="D165" s="3"/>
      <c r="E165" s="3">
        <v>4</v>
      </c>
      <c r="F165" s="3">
        <v>4</v>
      </c>
      <c r="G165" s="5">
        <v>0.5</v>
      </c>
      <c r="H165" s="5"/>
      <c r="I165" s="3">
        <f t="shared" si="49"/>
        <v>8.787878787878789</v>
      </c>
      <c r="J165" s="3">
        <f>14.8/3.3</f>
        <v>4.4848484848484853</v>
      </c>
      <c r="K165" s="3">
        <v>7.2</v>
      </c>
      <c r="L165" s="3">
        <v>18.7</v>
      </c>
      <c r="M165" s="3">
        <v>12.9</v>
      </c>
      <c r="N165" s="3">
        <v>12.6</v>
      </c>
      <c r="O165" s="3">
        <v>29.1</v>
      </c>
      <c r="P165" s="3"/>
      <c r="Q165" s="3"/>
      <c r="R165" s="3"/>
      <c r="S165" s="3"/>
      <c r="T165" s="3"/>
      <c r="U165" s="3"/>
      <c r="V165" s="3"/>
      <c r="W165" s="3"/>
      <c r="X165" s="3"/>
      <c r="Z165" s="3"/>
      <c r="AA165" s="3"/>
      <c r="AB165" s="3"/>
      <c r="AC165" s="3"/>
      <c r="AD165" s="3"/>
    </row>
    <row r="166" spans="1:30" ht="14">
      <c r="A166" s="3" t="s">
        <v>45</v>
      </c>
      <c r="B166" s="3"/>
      <c r="C166" s="3"/>
      <c r="D166" s="3"/>
      <c r="E166" s="3">
        <v>4</v>
      </c>
      <c r="F166" s="3">
        <v>4</v>
      </c>
      <c r="G166" s="5">
        <v>0.5</v>
      </c>
      <c r="H166" s="5"/>
      <c r="I166" s="3">
        <f t="shared" si="49"/>
        <v>8.787878787878789</v>
      </c>
      <c r="J166" s="3">
        <f>25.3/3.3</f>
        <v>7.666666666666667</v>
      </c>
      <c r="K166" s="3">
        <v>7.2</v>
      </c>
      <c r="L166" s="3">
        <v>87</v>
      </c>
      <c r="M166" s="3">
        <v>6.8</v>
      </c>
      <c r="N166" s="3">
        <v>11.7</v>
      </c>
      <c r="O166" s="3">
        <v>30.7</v>
      </c>
      <c r="P166" s="3"/>
      <c r="Q166" s="3"/>
      <c r="R166" s="3"/>
      <c r="S166" s="3"/>
      <c r="T166" s="3"/>
      <c r="U166" s="3"/>
      <c r="V166" s="3"/>
      <c r="W166" s="3"/>
      <c r="X166" s="3"/>
      <c r="Z166" s="3"/>
      <c r="AA166" s="3"/>
      <c r="AB166" s="3"/>
      <c r="AC166" s="3"/>
      <c r="AD166" s="3"/>
    </row>
    <row r="167" spans="1:30" ht="14">
      <c r="A167" s="3" t="s">
        <v>45</v>
      </c>
      <c r="B167" s="3"/>
      <c r="C167" s="3"/>
      <c r="D167" s="3"/>
      <c r="E167" s="3">
        <v>2.5</v>
      </c>
      <c r="F167" s="3">
        <v>2.5</v>
      </c>
      <c r="G167" s="5">
        <v>5.347222222222222E-2</v>
      </c>
      <c r="H167" s="5"/>
      <c r="I167" s="3">
        <f t="shared" ref="I167:I169" si="51">32.9/3.3</f>
        <v>9.9696969696969706</v>
      </c>
      <c r="J167" s="3">
        <f>2.9/3.3</f>
        <v>0.87878787878787878</v>
      </c>
      <c r="K167" s="3">
        <v>7.5</v>
      </c>
      <c r="L167" s="3">
        <v>2.98</v>
      </c>
      <c r="M167" s="3">
        <v>4.4000000000000004</v>
      </c>
      <c r="N167" s="3">
        <v>20.9</v>
      </c>
      <c r="O167" s="3">
        <v>10.96</v>
      </c>
      <c r="P167" s="3"/>
      <c r="Q167" s="3"/>
      <c r="R167" s="3"/>
      <c r="S167" s="3"/>
      <c r="T167" s="3"/>
      <c r="U167" s="3"/>
      <c r="V167" s="3"/>
      <c r="W167" s="3"/>
      <c r="X167" s="3"/>
      <c r="Z167" s="3"/>
      <c r="AA167" s="3"/>
      <c r="AB167" s="3"/>
      <c r="AC167" s="3"/>
      <c r="AD167" s="3"/>
    </row>
    <row r="168" spans="1:30" ht="14">
      <c r="A168" s="3" t="s">
        <v>45</v>
      </c>
      <c r="B168" s="3"/>
      <c r="C168" s="3"/>
      <c r="D168" s="3"/>
      <c r="E168" s="3">
        <v>2.5</v>
      </c>
      <c r="F168" s="3">
        <v>2.5</v>
      </c>
      <c r="G168" s="5">
        <v>5.347222222222222E-2</v>
      </c>
      <c r="H168" s="5"/>
      <c r="I168" s="3">
        <f t="shared" si="51"/>
        <v>9.9696969696969706</v>
      </c>
      <c r="J168" s="3">
        <f>15.66/3.3</f>
        <v>4.745454545454546</v>
      </c>
      <c r="K168" s="3">
        <v>7.32</v>
      </c>
      <c r="L168" s="3">
        <v>5.56</v>
      </c>
      <c r="M168" s="3">
        <v>5.18</v>
      </c>
      <c r="N168" s="3">
        <v>19.579999999999998</v>
      </c>
      <c r="O168" s="3">
        <v>13.85</v>
      </c>
      <c r="P168" s="3"/>
      <c r="Q168" s="3"/>
      <c r="R168" s="3"/>
      <c r="S168" s="3"/>
      <c r="T168" s="3"/>
      <c r="U168" s="3"/>
      <c r="V168" s="3"/>
      <c r="W168" s="3"/>
      <c r="X168" s="3"/>
      <c r="Z168" s="3"/>
      <c r="AA168" s="3"/>
      <c r="AB168" s="3"/>
      <c r="AC168" s="3"/>
      <c r="AD168" s="3"/>
    </row>
    <row r="169" spans="1:30" ht="14">
      <c r="A169" s="3" t="s">
        <v>45</v>
      </c>
      <c r="B169" s="3"/>
      <c r="C169" s="3"/>
      <c r="D169" s="3"/>
      <c r="E169" s="3">
        <v>2.5</v>
      </c>
      <c r="F169" s="3">
        <v>2.5</v>
      </c>
      <c r="G169" s="5">
        <v>5.347222222222222E-2</v>
      </c>
      <c r="H169" s="5"/>
      <c r="I169" s="3">
        <f t="shared" si="51"/>
        <v>9.9696969696969706</v>
      </c>
      <c r="J169" s="3">
        <f>28.49/3.3</f>
        <v>8.6333333333333329</v>
      </c>
      <c r="K169" s="3">
        <v>7</v>
      </c>
      <c r="L169" s="3">
        <v>44.65</v>
      </c>
      <c r="M169" s="3">
        <v>11.6</v>
      </c>
      <c r="N169" s="3">
        <v>17.100000000000001</v>
      </c>
      <c r="O169" s="3">
        <v>18.3</v>
      </c>
      <c r="P169" s="3"/>
      <c r="Q169" s="3"/>
      <c r="R169" s="3"/>
      <c r="S169" s="3"/>
      <c r="T169" s="3"/>
      <c r="U169" s="3"/>
      <c r="V169" s="3"/>
      <c r="W169" s="3"/>
      <c r="X169" s="3"/>
      <c r="Z169" s="3"/>
      <c r="AA169" s="3"/>
      <c r="AB169" s="3"/>
      <c r="AC169" s="3"/>
      <c r="AD169" s="3"/>
    </row>
    <row r="170" spans="1:30" ht="14">
      <c r="A170" s="3" t="s">
        <v>45</v>
      </c>
      <c r="B170" s="3"/>
      <c r="C170" s="3"/>
      <c r="D170" s="3"/>
      <c r="E170" s="3">
        <v>2</v>
      </c>
      <c r="F170" s="3">
        <v>2</v>
      </c>
      <c r="G170" s="5">
        <v>8.6111111111111124E-2</v>
      </c>
      <c r="H170" s="5"/>
      <c r="I170" s="3">
        <f t="shared" ref="I170:I172" si="52">41/3.3</f>
        <v>12.424242424242426</v>
      </c>
      <c r="J170" s="3">
        <f>2.2/3.3</f>
        <v>0.66666666666666674</v>
      </c>
      <c r="K170" s="3">
        <v>7.6</v>
      </c>
      <c r="L170" s="3">
        <v>3.7</v>
      </c>
      <c r="M170" s="3">
        <v>4.3</v>
      </c>
      <c r="N170" s="3">
        <v>22.3</v>
      </c>
      <c r="O170" s="3">
        <v>7.3</v>
      </c>
      <c r="P170" s="3"/>
      <c r="Q170" s="3"/>
      <c r="R170" s="3"/>
      <c r="S170" s="3"/>
      <c r="T170" s="3"/>
      <c r="U170" s="3"/>
      <c r="V170" s="3"/>
      <c r="W170" s="3"/>
      <c r="X170" s="3"/>
      <c r="Z170" s="3"/>
      <c r="AA170" s="3"/>
      <c r="AB170" s="3"/>
      <c r="AC170" s="3"/>
      <c r="AD170" s="3"/>
    </row>
    <row r="171" spans="1:30" ht="14">
      <c r="A171" s="3" t="s">
        <v>45</v>
      </c>
      <c r="B171" s="3"/>
      <c r="C171" s="3"/>
      <c r="D171" s="3"/>
      <c r="E171" s="3">
        <v>2</v>
      </c>
      <c r="F171" s="3">
        <v>2</v>
      </c>
      <c r="G171" s="5">
        <v>8.6111111111111124E-2</v>
      </c>
      <c r="H171" s="5"/>
      <c r="I171" s="3">
        <f t="shared" si="52"/>
        <v>12.424242424242426</v>
      </c>
      <c r="J171" s="3">
        <f>20.3/3.3</f>
        <v>6.1515151515151523</v>
      </c>
      <c r="K171" s="3">
        <v>7</v>
      </c>
      <c r="L171" s="3">
        <v>8.3000000000000007</v>
      </c>
      <c r="M171" s="3">
        <v>6.9</v>
      </c>
      <c r="N171" s="3">
        <v>18.399999999999999</v>
      </c>
      <c r="O171" s="3">
        <v>15</v>
      </c>
      <c r="P171" s="3"/>
      <c r="Q171" s="3"/>
      <c r="R171" s="3"/>
      <c r="S171" s="3"/>
      <c r="T171" s="3"/>
      <c r="U171" s="3"/>
      <c r="V171" s="3"/>
      <c r="W171" s="3"/>
      <c r="X171" s="3"/>
      <c r="Z171" s="3"/>
      <c r="AA171" s="3"/>
      <c r="AB171" s="3"/>
      <c r="AC171" s="3"/>
      <c r="AD171" s="3"/>
    </row>
    <row r="172" spans="1:30" ht="14">
      <c r="A172" s="3" t="s">
        <v>45</v>
      </c>
      <c r="B172" s="3"/>
      <c r="C172" s="3"/>
      <c r="D172" s="3"/>
      <c r="E172" s="3">
        <v>2</v>
      </c>
      <c r="F172" s="3">
        <v>2</v>
      </c>
      <c r="G172" s="5">
        <v>8.6111111111111124E-2</v>
      </c>
      <c r="H172" s="5"/>
      <c r="I172" s="3">
        <f t="shared" si="52"/>
        <v>12.424242424242426</v>
      </c>
      <c r="J172" s="3">
        <f>38.9/3.3</f>
        <v>11.787878787878789</v>
      </c>
      <c r="K172" s="3">
        <v>6.9</v>
      </c>
      <c r="L172" s="3">
        <v>15.3</v>
      </c>
      <c r="M172" s="3">
        <v>2.7</v>
      </c>
      <c r="N172" s="3">
        <v>18.2</v>
      </c>
      <c r="O172" s="3">
        <v>15.5</v>
      </c>
      <c r="P172" s="3"/>
      <c r="Q172" s="3"/>
      <c r="R172" s="3"/>
      <c r="S172" s="3"/>
      <c r="T172" s="3"/>
      <c r="U172" s="3"/>
      <c r="V172" s="3"/>
      <c r="W172" s="3"/>
      <c r="X172" s="3"/>
      <c r="Z172" s="3"/>
      <c r="AA172" s="3"/>
      <c r="AB172" s="3"/>
      <c r="AC172" s="3"/>
      <c r="AD172" s="3"/>
    </row>
    <row r="173" spans="1:30" ht="14">
      <c r="A173" s="3" t="s">
        <v>45</v>
      </c>
      <c r="B173" s="3"/>
      <c r="C173" s="3"/>
      <c r="D173" s="3"/>
      <c r="E173" s="3">
        <v>1</v>
      </c>
      <c r="F173" s="3">
        <v>1</v>
      </c>
      <c r="G173" s="5">
        <v>0.10972222222222222</v>
      </c>
      <c r="H173" s="5"/>
      <c r="I173" s="3">
        <f t="shared" ref="I173:I175" si="53">55/3.3</f>
        <v>16.666666666666668</v>
      </c>
      <c r="J173" s="3">
        <f>1.9/3.3</f>
        <v>0.5757575757575758</v>
      </c>
      <c r="K173" s="3">
        <v>7.6</v>
      </c>
      <c r="L173" s="3">
        <v>3.8</v>
      </c>
      <c r="M173" s="3">
        <v>4.7</v>
      </c>
      <c r="N173" s="3">
        <v>22.3</v>
      </c>
      <c r="O173" s="3">
        <v>6.5</v>
      </c>
      <c r="P173" s="3"/>
      <c r="Q173" s="3"/>
      <c r="R173" s="3"/>
      <c r="S173" s="3"/>
      <c r="T173" s="3"/>
      <c r="U173" s="3"/>
      <c r="V173" s="3"/>
      <c r="W173" s="3"/>
      <c r="X173" s="3"/>
      <c r="Z173" s="3"/>
      <c r="AA173" s="3"/>
      <c r="AB173" s="3"/>
      <c r="AC173" s="3"/>
      <c r="AD173" s="3"/>
    </row>
    <row r="174" spans="1:30" ht="14">
      <c r="A174" s="3" t="s">
        <v>45</v>
      </c>
      <c r="B174" s="3"/>
      <c r="C174" s="3"/>
      <c r="D174" s="3"/>
      <c r="E174" s="3">
        <v>1</v>
      </c>
      <c r="F174" s="3">
        <v>1</v>
      </c>
      <c r="G174" s="5">
        <v>0.10972222222222222</v>
      </c>
      <c r="H174" s="5"/>
      <c r="I174" s="3">
        <f t="shared" si="53"/>
        <v>16.666666666666668</v>
      </c>
      <c r="J174" s="3">
        <f>26.8/3.3</f>
        <v>8.1212121212121211</v>
      </c>
      <c r="K174" s="3">
        <v>7</v>
      </c>
      <c r="L174" s="3">
        <v>10.6</v>
      </c>
      <c r="M174" s="3">
        <v>7.6</v>
      </c>
      <c r="N174" s="3">
        <v>18.7</v>
      </c>
      <c r="O174" s="3">
        <v>14</v>
      </c>
      <c r="P174" s="3"/>
      <c r="Q174" s="3"/>
      <c r="R174" s="3"/>
      <c r="S174" s="3"/>
      <c r="T174" s="3"/>
      <c r="U174" s="3"/>
      <c r="V174" s="3"/>
      <c r="W174" s="3"/>
      <c r="X174" s="3"/>
      <c r="Z174" s="3"/>
      <c r="AA174" s="3"/>
      <c r="AB174" s="3"/>
      <c r="AC174" s="3"/>
      <c r="AD174" s="3"/>
    </row>
    <row r="175" spans="1:30" ht="14">
      <c r="A175" s="3" t="s">
        <v>45</v>
      </c>
      <c r="B175" s="3"/>
      <c r="C175" s="3"/>
      <c r="D175" s="3"/>
      <c r="E175" s="3">
        <v>1</v>
      </c>
      <c r="F175" s="3">
        <v>1</v>
      </c>
      <c r="G175" s="5">
        <v>0.10972222222222222</v>
      </c>
      <c r="H175" s="5"/>
      <c r="I175" s="3">
        <f t="shared" si="53"/>
        <v>16.666666666666668</v>
      </c>
      <c r="J175" s="3">
        <f>53.3/3.3</f>
        <v>16.151515151515152</v>
      </c>
      <c r="K175" s="3">
        <v>6.9</v>
      </c>
      <c r="L175" s="3">
        <v>11.4</v>
      </c>
      <c r="M175" s="3">
        <v>8.6</v>
      </c>
      <c r="N175" s="3">
        <v>18.5</v>
      </c>
      <c r="O175" s="3">
        <v>14.8</v>
      </c>
      <c r="P175" s="3"/>
      <c r="Q175" s="3"/>
      <c r="R175" s="3"/>
      <c r="S175" s="3"/>
      <c r="T175" s="3"/>
      <c r="U175" s="3"/>
      <c r="V175" s="3"/>
      <c r="W175" s="3"/>
      <c r="X175" s="3"/>
      <c r="Z175" s="3"/>
      <c r="AA175" s="3"/>
      <c r="AB175" s="3"/>
      <c r="AC175" s="3"/>
      <c r="AD175" s="3"/>
    </row>
    <row r="176" spans="1:30" ht="14">
      <c r="A176" s="3" t="s">
        <v>48</v>
      </c>
      <c r="B176" s="3"/>
      <c r="C176" s="3"/>
      <c r="D176" s="3"/>
      <c r="E176" s="3">
        <v>2</v>
      </c>
      <c r="F176" s="3">
        <v>2</v>
      </c>
      <c r="G176" s="5">
        <v>0.52916666666666667</v>
      </c>
      <c r="H176" s="15">
        <v>38.4</v>
      </c>
      <c r="I176" s="3">
        <f>H176/3.3</f>
        <v>11.636363636363637</v>
      </c>
      <c r="J176" s="3">
        <f>1.871/3.3</f>
        <v>0.56696969696969701</v>
      </c>
      <c r="K176" s="3">
        <v>8.3000000000000007</v>
      </c>
      <c r="L176" s="3">
        <v>6.79</v>
      </c>
      <c r="M176" s="3">
        <v>2.95</v>
      </c>
      <c r="N176" s="3">
        <v>17.7</v>
      </c>
      <c r="O176" s="3">
        <v>12.12</v>
      </c>
      <c r="P176" s="16"/>
      <c r="Q176" s="16">
        <f t="shared" ref="Q176:Q181" si="54">3.5/3.3</f>
        <v>1.0606060606060606</v>
      </c>
      <c r="R176" s="3"/>
      <c r="S176" s="3"/>
      <c r="T176" s="3"/>
      <c r="U176" s="3"/>
      <c r="V176" s="3"/>
      <c r="W176" s="3"/>
      <c r="X176" s="3"/>
      <c r="Z176" s="3"/>
      <c r="AA176" s="3"/>
      <c r="AB176" s="3"/>
      <c r="AC176" s="17" t="s">
        <v>49</v>
      </c>
      <c r="AD176" s="17" t="s">
        <v>50</v>
      </c>
    </row>
    <row r="177" spans="1:30" ht="14">
      <c r="A177" s="3" t="s">
        <v>48</v>
      </c>
      <c r="B177" s="3"/>
      <c r="C177" s="3"/>
      <c r="D177" s="3"/>
      <c r="E177" s="3">
        <v>2</v>
      </c>
      <c r="F177" s="3">
        <v>2</v>
      </c>
      <c r="G177" s="5">
        <v>0.52916666666666667</v>
      </c>
      <c r="H177" s="15">
        <v>38.4</v>
      </c>
      <c r="I177" s="3">
        <f t="shared" ref="I177:I240" si="55">H177/3.3</f>
        <v>11.636363636363637</v>
      </c>
      <c r="J177" s="3">
        <f>18.268/3.3</f>
        <v>5.5357575757575761</v>
      </c>
      <c r="K177" s="3">
        <v>8.34</v>
      </c>
      <c r="L177" s="3">
        <v>12.75</v>
      </c>
      <c r="M177" s="3">
        <v>5.03</v>
      </c>
      <c r="N177" s="3">
        <v>15.44</v>
      </c>
      <c r="O177" s="3">
        <v>17.420000000000002</v>
      </c>
      <c r="P177" s="16"/>
      <c r="Q177" s="16">
        <f t="shared" si="54"/>
        <v>1.0606060606060606</v>
      </c>
      <c r="R177" s="3"/>
      <c r="S177" s="3"/>
      <c r="T177" s="3"/>
      <c r="U177" s="3"/>
      <c r="V177" s="3"/>
      <c r="W177" s="3"/>
      <c r="X177" s="3"/>
      <c r="Z177" s="3"/>
      <c r="AA177" s="3"/>
      <c r="AB177" s="3"/>
      <c r="AC177" s="17" t="s">
        <v>49</v>
      </c>
      <c r="AD177" s="17" t="s">
        <v>50</v>
      </c>
    </row>
    <row r="178" spans="1:30" ht="14">
      <c r="A178" s="3" t="s">
        <v>48</v>
      </c>
      <c r="B178" s="3"/>
      <c r="C178" s="3"/>
      <c r="D178" s="3"/>
      <c r="E178" s="3">
        <v>2</v>
      </c>
      <c r="F178" s="3">
        <v>2</v>
      </c>
      <c r="G178" s="5">
        <v>0.52916666666666667</v>
      </c>
      <c r="H178" s="15">
        <v>38.4</v>
      </c>
      <c r="I178" s="3">
        <f t="shared" si="55"/>
        <v>11.636363636363637</v>
      </c>
      <c r="J178" s="3">
        <f>33.528/3.3</f>
        <v>10.16</v>
      </c>
      <c r="K178" s="3">
        <v>8.3800000000000008</v>
      </c>
      <c r="L178" s="3">
        <v>25.7</v>
      </c>
      <c r="M178" s="3">
        <v>5.63</v>
      </c>
      <c r="N178" s="3">
        <v>15.048</v>
      </c>
      <c r="O178" s="3">
        <v>18.579999999999998</v>
      </c>
      <c r="P178" s="16"/>
      <c r="Q178" s="16">
        <f t="shared" si="54"/>
        <v>1.0606060606060606</v>
      </c>
      <c r="R178" s="3"/>
      <c r="S178" s="3"/>
      <c r="T178" s="3"/>
      <c r="U178" s="3"/>
      <c r="V178" s="3"/>
      <c r="W178" s="3"/>
      <c r="X178" s="3"/>
      <c r="Z178" s="3"/>
      <c r="AA178" s="3"/>
      <c r="AB178" s="3"/>
      <c r="AC178" s="17" t="s">
        <v>49</v>
      </c>
      <c r="AD178" s="17" t="s">
        <v>50</v>
      </c>
    </row>
    <row r="179" spans="1:30" ht="14">
      <c r="A179" s="3" t="s">
        <v>48</v>
      </c>
      <c r="B179" s="3"/>
      <c r="C179" s="3"/>
      <c r="D179" s="3"/>
      <c r="E179" s="3">
        <v>4</v>
      </c>
      <c r="F179" s="3"/>
      <c r="G179" s="5">
        <v>0.45277777777777778</v>
      </c>
      <c r="H179" s="15">
        <v>24</v>
      </c>
      <c r="I179" s="3">
        <f t="shared" si="55"/>
        <v>7.2727272727272734</v>
      </c>
      <c r="J179" s="3">
        <f>3.2/3.3</f>
        <v>0.96969696969696983</v>
      </c>
      <c r="K179" s="3">
        <v>8.6300000000000008</v>
      </c>
      <c r="L179" s="3">
        <v>7.22</v>
      </c>
      <c r="M179" s="3">
        <v>4.54</v>
      </c>
      <c r="N179" s="3">
        <v>14.6</v>
      </c>
      <c r="O179" s="3">
        <v>20.97</v>
      </c>
      <c r="P179" s="16"/>
      <c r="Q179" s="16">
        <f t="shared" si="54"/>
        <v>1.0606060606060606</v>
      </c>
      <c r="R179" s="3"/>
      <c r="S179" s="3"/>
      <c r="T179" s="3"/>
      <c r="U179" s="3"/>
      <c r="V179" s="3"/>
      <c r="W179" s="3"/>
      <c r="X179" s="3"/>
      <c r="Z179" s="3"/>
      <c r="AA179" s="3"/>
      <c r="AB179" s="3"/>
      <c r="AC179" s="17" t="s">
        <v>51</v>
      </c>
      <c r="AD179" s="17" t="s">
        <v>52</v>
      </c>
    </row>
    <row r="180" spans="1:30" ht="14">
      <c r="A180" s="3" t="s">
        <v>48</v>
      </c>
      <c r="B180" s="3"/>
      <c r="C180" s="3"/>
      <c r="D180" s="3"/>
      <c r="E180" s="3">
        <v>4</v>
      </c>
      <c r="F180" s="3"/>
      <c r="G180" s="5">
        <v>0.45277777777777778</v>
      </c>
      <c r="H180" s="15">
        <v>24</v>
      </c>
      <c r="I180" s="3">
        <f t="shared" si="55"/>
        <v>7.2727272727272734</v>
      </c>
      <c r="J180" s="3">
        <f>12.079/3.3</f>
        <v>3.6603030303030306</v>
      </c>
      <c r="K180" s="3">
        <v>8.7899999999999991</v>
      </c>
      <c r="L180" s="3">
        <v>34.24</v>
      </c>
      <c r="M180" s="3">
        <v>7.93</v>
      </c>
      <c r="N180" s="3">
        <v>11.36</v>
      </c>
      <c r="O180" s="3">
        <v>29.4</v>
      </c>
      <c r="P180" s="16"/>
      <c r="Q180" s="16">
        <f t="shared" si="54"/>
        <v>1.0606060606060606</v>
      </c>
      <c r="R180" s="3"/>
      <c r="S180" s="3"/>
      <c r="T180" s="3"/>
      <c r="U180" s="3"/>
      <c r="V180" s="3"/>
      <c r="W180" s="3"/>
      <c r="X180" s="3"/>
      <c r="Z180" s="3"/>
      <c r="AA180" s="3"/>
      <c r="AB180" s="3"/>
      <c r="AC180" s="3"/>
      <c r="AD180" s="3"/>
    </row>
    <row r="181" spans="1:30" ht="14">
      <c r="A181" s="3" t="s">
        <v>48</v>
      </c>
      <c r="B181" s="3"/>
      <c r="C181" s="3"/>
      <c r="D181" s="3"/>
      <c r="E181" s="3">
        <v>4</v>
      </c>
      <c r="F181" s="3"/>
      <c r="G181" s="5">
        <v>0.45277777777777778</v>
      </c>
      <c r="H181" s="15">
        <v>24</v>
      </c>
      <c r="I181" s="3">
        <f t="shared" si="55"/>
        <v>7.2727272727272734</v>
      </c>
      <c r="J181" s="3">
        <f>20.7/3.3</f>
        <v>6.2727272727272725</v>
      </c>
      <c r="K181" s="3">
        <v>8.9</v>
      </c>
      <c r="L181" s="3">
        <v>30.65</v>
      </c>
      <c r="M181" s="3">
        <v>9.0399999999999991</v>
      </c>
      <c r="N181" s="3">
        <v>10.95</v>
      </c>
      <c r="O181" s="3">
        <v>30.62</v>
      </c>
      <c r="P181" s="16"/>
      <c r="Q181" s="16">
        <f t="shared" si="54"/>
        <v>1.0606060606060606</v>
      </c>
      <c r="R181" s="3"/>
      <c r="S181" s="3"/>
      <c r="T181" s="3"/>
      <c r="U181" s="3"/>
      <c r="V181" s="3"/>
      <c r="W181" s="3"/>
      <c r="X181" s="3"/>
      <c r="Z181" s="3"/>
      <c r="AA181" s="3"/>
      <c r="AB181" s="3"/>
      <c r="AC181" s="3"/>
      <c r="AD181" s="3"/>
    </row>
    <row r="182" spans="1:30" ht="14">
      <c r="A182" s="3" t="s">
        <v>48</v>
      </c>
      <c r="B182" s="3"/>
      <c r="C182" s="3"/>
      <c r="D182" s="3"/>
      <c r="E182" s="3">
        <v>5</v>
      </c>
      <c r="F182" s="3"/>
      <c r="G182" s="5">
        <v>0.40138888888888885</v>
      </c>
      <c r="H182" s="15">
        <v>30.5</v>
      </c>
      <c r="I182" s="3">
        <f t="shared" si="55"/>
        <v>9.2424242424242422</v>
      </c>
      <c r="J182" s="3">
        <f>2.22/3.3</f>
        <v>0.67272727272727284</v>
      </c>
      <c r="K182" s="3">
        <v>8.52</v>
      </c>
      <c r="L182" s="3">
        <v>3.72</v>
      </c>
      <c r="M182" s="3">
        <v>4.13</v>
      </c>
      <c r="N182" s="3">
        <v>15.82</v>
      </c>
      <c r="O182" s="3">
        <v>17.46</v>
      </c>
      <c r="P182" s="16"/>
      <c r="Q182" s="16">
        <f>4.5/3.3</f>
        <v>1.3636363636363638</v>
      </c>
      <c r="R182" s="3"/>
      <c r="S182" s="3"/>
      <c r="T182" s="3"/>
      <c r="U182" s="3"/>
      <c r="V182" s="3"/>
      <c r="W182" s="3"/>
      <c r="X182" s="3"/>
      <c r="Z182" s="3"/>
      <c r="AA182" s="3"/>
      <c r="AB182" s="3"/>
      <c r="AC182" s="3" t="s">
        <v>53</v>
      </c>
      <c r="AD182" s="3" t="s">
        <v>54</v>
      </c>
    </row>
    <row r="183" spans="1:30" ht="14">
      <c r="A183" s="3" t="s">
        <v>48</v>
      </c>
      <c r="B183" s="3"/>
      <c r="C183" s="3"/>
      <c r="D183" s="3"/>
      <c r="E183" s="3">
        <v>5</v>
      </c>
      <c r="F183" s="3"/>
      <c r="G183" s="5">
        <v>0.40138888888888885</v>
      </c>
      <c r="H183" s="15">
        <v>30.5</v>
      </c>
      <c r="I183" s="3">
        <f t="shared" si="55"/>
        <v>9.2424242424242422</v>
      </c>
      <c r="J183" s="3">
        <f>19.183/3.3</f>
        <v>5.8130303030303034</v>
      </c>
      <c r="K183" s="3">
        <v>8.69</v>
      </c>
      <c r="L183" s="3">
        <v>3.82</v>
      </c>
      <c r="M183" s="3">
        <v>5.58</v>
      </c>
      <c r="N183" s="3">
        <v>12.942</v>
      </c>
      <c r="O183" s="3">
        <v>25.11</v>
      </c>
      <c r="P183" s="16"/>
      <c r="Q183" s="16">
        <f>4.5/3.3</f>
        <v>1.3636363636363638</v>
      </c>
      <c r="R183" s="3"/>
      <c r="S183" s="3"/>
      <c r="T183" s="3"/>
      <c r="U183" s="3"/>
      <c r="V183" s="3"/>
      <c r="W183" s="3"/>
      <c r="X183" s="3"/>
      <c r="Z183" s="3"/>
      <c r="AA183" s="3"/>
      <c r="AB183" s="3"/>
      <c r="AC183" s="3"/>
      <c r="AD183" s="3"/>
    </row>
    <row r="184" spans="1:30" ht="14">
      <c r="A184" s="3" t="s">
        <v>48</v>
      </c>
      <c r="B184" s="3"/>
      <c r="C184" s="3"/>
      <c r="D184" s="3"/>
      <c r="E184" s="3">
        <v>5</v>
      </c>
      <c r="F184" s="3"/>
      <c r="G184" s="5">
        <v>0.40138888888888885</v>
      </c>
      <c r="H184" s="15">
        <v>30.5</v>
      </c>
      <c r="I184" s="3">
        <f t="shared" si="55"/>
        <v>9.2424242424242422</v>
      </c>
      <c r="J184" s="3">
        <f>28.174/3.3</f>
        <v>8.5375757575757572</v>
      </c>
      <c r="K184" s="3">
        <v>8.8000000000000007</v>
      </c>
      <c r="L184" s="3">
        <v>8.9499999999999993</v>
      </c>
      <c r="M184" s="3">
        <v>7.3</v>
      </c>
      <c r="N184" s="3">
        <v>12.420999999999999</v>
      </c>
      <c r="O184" s="3">
        <v>26.66</v>
      </c>
      <c r="P184" s="16"/>
      <c r="Q184" s="16">
        <f>4.5/3.3</f>
        <v>1.3636363636363638</v>
      </c>
      <c r="R184" s="3"/>
      <c r="S184" s="3"/>
      <c r="T184" s="3"/>
      <c r="U184" s="3"/>
      <c r="V184" s="3"/>
      <c r="W184" s="3"/>
      <c r="X184" s="3"/>
      <c r="Z184" s="3"/>
      <c r="AA184" s="3"/>
      <c r="AB184" s="3"/>
      <c r="AC184" s="3"/>
      <c r="AD184" s="3"/>
    </row>
    <row r="185" spans="1:30" ht="14">
      <c r="A185" s="3" t="s">
        <v>48</v>
      </c>
      <c r="B185" s="3"/>
      <c r="C185" s="3"/>
      <c r="D185" s="3"/>
      <c r="E185" s="3">
        <v>8</v>
      </c>
      <c r="F185" s="3"/>
      <c r="G185" s="5">
        <v>0.35069444444444442</v>
      </c>
      <c r="H185" s="15">
        <v>35.5</v>
      </c>
      <c r="I185" s="3">
        <f t="shared" si="55"/>
        <v>10.757575757575758</v>
      </c>
      <c r="J185" s="3">
        <f>2.947/3.3</f>
        <v>0.89303030303030306</v>
      </c>
      <c r="K185" s="3">
        <v>8.81</v>
      </c>
      <c r="L185" s="3">
        <v>3.74</v>
      </c>
      <c r="M185" s="3">
        <v>4.0999999999999996</v>
      </c>
      <c r="N185" s="3">
        <v>13.563000000000001</v>
      </c>
      <c r="O185" s="3">
        <v>23.67</v>
      </c>
      <c r="P185" s="16"/>
      <c r="Q185" s="16">
        <f>5/3.3</f>
        <v>1.5151515151515151</v>
      </c>
      <c r="R185" s="3"/>
      <c r="S185" s="3"/>
      <c r="T185" s="3"/>
      <c r="U185" s="3"/>
      <c r="V185" s="3"/>
      <c r="W185" s="3"/>
      <c r="X185" s="3"/>
      <c r="Z185" s="3"/>
      <c r="AA185" s="3"/>
      <c r="AB185" s="3"/>
      <c r="AC185" s="17" t="s">
        <v>55</v>
      </c>
      <c r="AD185" s="17" t="s">
        <v>56</v>
      </c>
    </row>
    <row r="186" spans="1:30" ht="14">
      <c r="A186" s="3" t="s">
        <v>48</v>
      </c>
      <c r="B186" s="3"/>
      <c r="C186" s="3"/>
      <c r="D186" s="3"/>
      <c r="E186" s="3">
        <v>8</v>
      </c>
      <c r="F186" s="3"/>
      <c r="G186" s="5">
        <v>0.35069444444444442</v>
      </c>
      <c r="H186" s="15">
        <v>35.5</v>
      </c>
      <c r="I186" s="3">
        <f t="shared" si="55"/>
        <v>10.757575757575758</v>
      </c>
      <c r="J186" s="3">
        <f>17.784/3.3</f>
        <v>5.3890909090909087</v>
      </c>
      <c r="K186" s="3">
        <v>8.7200000000000006</v>
      </c>
      <c r="L186" s="3">
        <v>3.79</v>
      </c>
      <c r="M186" s="3">
        <v>6.78</v>
      </c>
      <c r="N186" s="3">
        <v>12.539</v>
      </c>
      <c r="O186" s="3">
        <v>27.78</v>
      </c>
      <c r="P186" s="16"/>
      <c r="Q186" s="16">
        <f>5/3.3</f>
        <v>1.5151515151515151</v>
      </c>
      <c r="R186" s="3"/>
      <c r="S186" s="3"/>
      <c r="T186" s="3"/>
      <c r="U186" s="3"/>
      <c r="V186" s="3"/>
      <c r="W186" s="3"/>
      <c r="X186" s="3"/>
      <c r="Z186" s="3"/>
      <c r="AA186" s="3"/>
      <c r="AB186" s="3"/>
      <c r="AC186" s="3"/>
      <c r="AD186" s="3"/>
    </row>
    <row r="187" spans="1:30" ht="14">
      <c r="A187" s="3" t="s">
        <v>48</v>
      </c>
      <c r="B187" s="3"/>
      <c r="C187" s="3"/>
      <c r="D187" s="3"/>
      <c r="E187" s="3">
        <v>8</v>
      </c>
      <c r="F187" s="3"/>
      <c r="G187" s="5">
        <v>0.35069444444444442</v>
      </c>
      <c r="H187" s="15">
        <v>35.5</v>
      </c>
      <c r="I187" s="3">
        <f t="shared" si="55"/>
        <v>10.757575757575758</v>
      </c>
      <c r="J187" s="3">
        <f>32.75/3.3</f>
        <v>9.9242424242424256</v>
      </c>
      <c r="K187" s="3">
        <v>8.9600000000000009</v>
      </c>
      <c r="L187" s="3">
        <v>11.61</v>
      </c>
      <c r="M187" s="3">
        <v>8.2100000000000009</v>
      </c>
      <c r="N187" s="3">
        <v>10.601000000000001</v>
      </c>
      <c r="O187" s="3">
        <v>31.55</v>
      </c>
      <c r="P187" s="16"/>
      <c r="Q187" s="16">
        <f>5/3.3</f>
        <v>1.5151515151515151</v>
      </c>
      <c r="R187" s="3"/>
      <c r="S187" s="3"/>
      <c r="T187" s="3"/>
      <c r="U187" s="3"/>
      <c r="V187" s="3"/>
      <c r="W187" s="3"/>
      <c r="X187" s="3"/>
      <c r="Z187" s="3"/>
      <c r="AA187" s="3"/>
      <c r="AB187" s="3"/>
      <c r="AC187" s="3"/>
      <c r="AD187" s="3"/>
    </row>
    <row r="188" spans="1:30" ht="14">
      <c r="A188" s="3" t="s">
        <v>57</v>
      </c>
      <c r="B188" s="3"/>
      <c r="C188" s="3"/>
      <c r="D188" s="3"/>
      <c r="E188" s="3">
        <v>2</v>
      </c>
      <c r="F188" s="3"/>
      <c r="G188" s="5">
        <v>0.47500000000000003</v>
      </c>
      <c r="H188" s="15">
        <v>32.6</v>
      </c>
      <c r="I188" s="3">
        <f t="shared" si="55"/>
        <v>9.8787878787878789</v>
      </c>
      <c r="J188" s="3">
        <f>1.7/3.3</f>
        <v>0.51515151515151514</v>
      </c>
      <c r="K188" s="3">
        <v>8</v>
      </c>
      <c r="L188" s="3">
        <v>6.19</v>
      </c>
      <c r="M188" s="3">
        <v>3.52</v>
      </c>
      <c r="N188" s="3">
        <v>19.95</v>
      </c>
      <c r="O188" s="3">
        <v>15.93</v>
      </c>
      <c r="P188" s="16"/>
      <c r="Q188" s="16">
        <f>3.5/3.3</f>
        <v>1.0606060606060606</v>
      </c>
      <c r="R188" s="3"/>
      <c r="S188" s="3"/>
      <c r="T188" s="3"/>
      <c r="U188" s="3"/>
      <c r="V188" s="3"/>
      <c r="W188" s="3"/>
      <c r="X188" s="3"/>
      <c r="Z188" s="3"/>
      <c r="AA188" s="3"/>
      <c r="AB188" s="17" t="s">
        <v>58</v>
      </c>
      <c r="AC188" s="17" t="s">
        <v>59</v>
      </c>
      <c r="AD188" s="3">
        <v>6850.0388999999996</v>
      </c>
    </row>
    <row r="189" spans="1:30" ht="14">
      <c r="A189" s="3" t="s">
        <v>57</v>
      </c>
      <c r="B189" s="3"/>
      <c r="C189" s="3"/>
      <c r="D189" s="3"/>
      <c r="E189" s="3">
        <v>2</v>
      </c>
      <c r="F189" s="3"/>
      <c r="G189" s="5">
        <v>0.47500000000000003</v>
      </c>
      <c r="H189" s="15">
        <v>32.6</v>
      </c>
      <c r="I189" s="3">
        <f t="shared" si="55"/>
        <v>9.8787878787878789</v>
      </c>
      <c r="J189" s="3">
        <f>18.2/3.3</f>
        <v>5.5151515151515156</v>
      </c>
      <c r="K189" s="3">
        <v>7.5</v>
      </c>
      <c r="L189" s="3">
        <v>9.3800000000000008</v>
      </c>
      <c r="M189" s="3">
        <v>2.86</v>
      </c>
      <c r="N189" s="3">
        <v>18.399999999999999</v>
      </c>
      <c r="O189" s="3">
        <v>18.95</v>
      </c>
      <c r="P189" s="16"/>
      <c r="Q189" s="16">
        <f>3.5/3.3</f>
        <v>1.0606060606060606</v>
      </c>
      <c r="R189" s="3"/>
      <c r="S189" s="3"/>
      <c r="T189" s="3"/>
      <c r="U189" s="3"/>
      <c r="V189" s="3"/>
      <c r="W189" s="3"/>
      <c r="X189" s="3"/>
      <c r="Z189" s="3"/>
      <c r="AA189" s="3"/>
      <c r="AB189" s="17" t="s">
        <v>60</v>
      </c>
      <c r="AC189" s="3"/>
      <c r="AD189" s="3"/>
    </row>
    <row r="190" spans="1:30" ht="14">
      <c r="A190" s="3" t="s">
        <v>57</v>
      </c>
      <c r="B190" s="3"/>
      <c r="C190" s="3"/>
      <c r="D190" s="3"/>
      <c r="E190" s="3">
        <v>2</v>
      </c>
      <c r="F190" s="3"/>
      <c r="G190" s="5">
        <v>0.47500000000000003</v>
      </c>
      <c r="H190" s="15">
        <v>32.6</v>
      </c>
      <c r="I190" s="3">
        <f t="shared" si="55"/>
        <v>9.8787878787878789</v>
      </c>
      <c r="J190" s="3">
        <f>30.97/3.3</f>
        <v>9.3848484848484848</v>
      </c>
      <c r="K190" s="3">
        <v>7.43</v>
      </c>
      <c r="L190" s="3">
        <v>13.77</v>
      </c>
      <c r="M190" s="3">
        <v>3.37</v>
      </c>
      <c r="N190" s="3">
        <v>18.3</v>
      </c>
      <c r="O190" s="3">
        <v>19.12</v>
      </c>
      <c r="P190" s="16"/>
      <c r="Q190" s="16">
        <f>3.5/3.3</f>
        <v>1.0606060606060606</v>
      </c>
      <c r="R190" s="3"/>
      <c r="S190" s="3"/>
      <c r="T190" s="3"/>
      <c r="U190" s="3"/>
      <c r="V190" s="3"/>
      <c r="W190" s="3"/>
      <c r="X190" s="3"/>
      <c r="Z190" s="3"/>
      <c r="AA190" s="3"/>
      <c r="AB190" s="3"/>
      <c r="AC190" s="3"/>
      <c r="AD190" s="3"/>
    </row>
    <row r="191" spans="1:30" ht="14">
      <c r="A191" s="3" t="s">
        <v>57</v>
      </c>
      <c r="B191" s="3"/>
      <c r="C191" s="3"/>
      <c r="D191" s="3"/>
      <c r="E191" s="3">
        <v>4</v>
      </c>
      <c r="F191" s="3"/>
      <c r="G191" s="5">
        <v>0.40277777777777773</v>
      </c>
      <c r="H191" s="15">
        <v>23.4</v>
      </c>
      <c r="I191" s="3">
        <f t="shared" si="55"/>
        <v>7.0909090909090908</v>
      </c>
      <c r="J191" s="3">
        <f>2.96/3.3</f>
        <v>0.89696969696969697</v>
      </c>
      <c r="K191" s="3">
        <v>7.9</v>
      </c>
      <c r="L191" s="3">
        <v>5.2</v>
      </c>
      <c r="M191" s="3">
        <v>3</v>
      </c>
      <c r="N191" s="3">
        <v>16.8</v>
      </c>
      <c r="O191" s="3">
        <v>22.96</v>
      </c>
      <c r="P191" s="16"/>
      <c r="Q191" s="16">
        <f>4/3.3</f>
        <v>1.2121212121212122</v>
      </c>
      <c r="R191" s="3"/>
      <c r="S191" s="3"/>
      <c r="T191" s="3"/>
      <c r="U191" s="3"/>
      <c r="V191" s="3"/>
      <c r="W191" s="3"/>
      <c r="X191" s="3"/>
      <c r="Z191" s="3"/>
      <c r="AA191" s="3"/>
      <c r="AB191" s="17" t="s">
        <v>61</v>
      </c>
      <c r="AC191" s="17" t="s">
        <v>62</v>
      </c>
      <c r="AD191" s="17" t="s">
        <v>63</v>
      </c>
    </row>
    <row r="192" spans="1:30" ht="14">
      <c r="A192" s="3" t="s">
        <v>57</v>
      </c>
      <c r="B192" s="3"/>
      <c r="C192" s="3"/>
      <c r="D192" s="3"/>
      <c r="E192" s="3">
        <v>4</v>
      </c>
      <c r="F192" s="3"/>
      <c r="G192" s="5">
        <v>0.40277777777777773</v>
      </c>
      <c r="H192" s="15">
        <v>23.4</v>
      </c>
      <c r="I192" s="3">
        <f t="shared" si="55"/>
        <v>7.0909090909090908</v>
      </c>
      <c r="J192" s="3">
        <f>12.36/3.3</f>
        <v>3.7454545454545456</v>
      </c>
      <c r="K192" s="3">
        <v>7.7</v>
      </c>
      <c r="L192" s="3">
        <v>16.5</v>
      </c>
      <c r="M192" s="3">
        <v>4.72</v>
      </c>
      <c r="N192" s="3">
        <v>12.8</v>
      </c>
      <c r="O192" s="3">
        <v>31.35</v>
      </c>
      <c r="P192" s="16"/>
      <c r="Q192" s="16">
        <f>4/3.3</f>
        <v>1.2121212121212122</v>
      </c>
      <c r="R192" s="3"/>
      <c r="S192" s="3"/>
      <c r="T192" s="3"/>
      <c r="U192" s="3"/>
      <c r="V192" s="3"/>
      <c r="W192" s="3"/>
      <c r="X192" s="3"/>
      <c r="Z192" s="3"/>
      <c r="AA192" s="3"/>
      <c r="AB192" s="3"/>
      <c r="AC192" s="3"/>
      <c r="AD192" s="3"/>
    </row>
    <row r="193" spans="1:30" ht="14">
      <c r="A193" s="3" t="s">
        <v>57</v>
      </c>
      <c r="B193" s="3"/>
      <c r="C193" s="3"/>
      <c r="D193" s="3"/>
      <c r="E193" s="3">
        <v>4</v>
      </c>
      <c r="F193" s="3"/>
      <c r="G193" s="5">
        <v>0.40277777777777773</v>
      </c>
      <c r="H193" s="15">
        <v>23.4</v>
      </c>
      <c r="I193" s="3">
        <f t="shared" si="55"/>
        <v>7.0909090909090908</v>
      </c>
      <c r="J193" s="3">
        <f>21.79/3.3</f>
        <v>6.6030303030303035</v>
      </c>
      <c r="K193" s="3">
        <v>7.74</v>
      </c>
      <c r="L193" s="3">
        <v>12.79</v>
      </c>
      <c r="M193" s="3">
        <v>4.5199999999999996</v>
      </c>
      <c r="N193" s="3">
        <v>12.7</v>
      </c>
      <c r="O193" s="3">
        <v>31.43</v>
      </c>
      <c r="P193" s="16"/>
      <c r="Q193" s="16">
        <f>4/3.3</f>
        <v>1.2121212121212122</v>
      </c>
      <c r="R193" s="3"/>
      <c r="S193" s="3"/>
      <c r="T193" s="3"/>
      <c r="U193" s="3"/>
      <c r="V193" s="3"/>
      <c r="W193" s="3"/>
      <c r="X193" s="3"/>
      <c r="Z193" s="3"/>
      <c r="AA193" s="3"/>
      <c r="AB193" s="3"/>
      <c r="AC193" s="3"/>
      <c r="AD193" s="3"/>
    </row>
    <row r="194" spans="1:30" ht="14">
      <c r="A194" s="3" t="s">
        <v>57</v>
      </c>
      <c r="B194" s="3"/>
      <c r="C194" s="3"/>
      <c r="D194" s="3"/>
      <c r="E194" s="3">
        <v>5</v>
      </c>
      <c r="F194" s="3"/>
      <c r="G194" s="5">
        <v>0.35416666666666669</v>
      </c>
      <c r="H194" s="15">
        <v>35.1</v>
      </c>
      <c r="I194" s="3">
        <f t="shared" si="55"/>
        <v>10.636363636363637</v>
      </c>
      <c r="J194" s="3">
        <f>2.3/3.3</f>
        <v>0.69696969696969691</v>
      </c>
      <c r="K194" s="3">
        <v>7.8</v>
      </c>
      <c r="L194" s="3">
        <v>2.94</v>
      </c>
      <c r="M194" s="3">
        <v>2.4</v>
      </c>
      <c r="N194" s="3">
        <v>17.600000000000001</v>
      </c>
      <c r="O194" s="3">
        <v>20.93</v>
      </c>
      <c r="P194" s="16"/>
      <c r="Q194" s="16">
        <f>5.5/3.3</f>
        <v>1.6666666666666667</v>
      </c>
      <c r="R194" s="3"/>
      <c r="S194" s="3"/>
      <c r="T194" s="3"/>
      <c r="U194" s="3"/>
      <c r="V194" s="3"/>
      <c r="W194" s="3"/>
      <c r="X194" s="3"/>
      <c r="Z194" s="3"/>
      <c r="AA194" s="3"/>
      <c r="AB194" s="3"/>
      <c r="AC194" s="3"/>
      <c r="AD194" s="3"/>
    </row>
    <row r="195" spans="1:30" ht="14">
      <c r="A195" s="3" t="s">
        <v>57</v>
      </c>
      <c r="B195" s="3"/>
      <c r="C195" s="3"/>
      <c r="D195" s="3"/>
      <c r="E195" s="3">
        <v>5</v>
      </c>
      <c r="F195" s="3"/>
      <c r="G195" s="5">
        <v>0.35416666666666669</v>
      </c>
      <c r="H195" s="15">
        <v>35.1</v>
      </c>
      <c r="I195" s="3">
        <f t="shared" si="55"/>
        <v>10.636363636363637</v>
      </c>
      <c r="J195" s="3">
        <f>18.3/3.3</f>
        <v>5.5454545454545459</v>
      </c>
      <c r="K195" s="3">
        <v>7.63</v>
      </c>
      <c r="L195" s="3">
        <v>2.99</v>
      </c>
      <c r="M195" s="3">
        <v>3.46</v>
      </c>
      <c r="N195" s="3">
        <v>15.2</v>
      </c>
      <c r="O195" s="3">
        <v>26.39</v>
      </c>
      <c r="P195" s="16"/>
      <c r="Q195" s="16">
        <f>5.5/3.3</f>
        <v>1.6666666666666667</v>
      </c>
      <c r="R195" s="3"/>
      <c r="S195" s="3"/>
      <c r="T195" s="3"/>
      <c r="U195" s="3"/>
      <c r="V195" s="3"/>
      <c r="W195" s="3"/>
      <c r="X195" s="3"/>
      <c r="Z195" s="3"/>
      <c r="AA195" s="3"/>
      <c r="AB195" s="3"/>
      <c r="AC195" s="3"/>
      <c r="AD195" s="3"/>
    </row>
    <row r="196" spans="1:30" ht="14">
      <c r="A196" s="3" t="s">
        <v>57</v>
      </c>
      <c r="B196" s="3"/>
      <c r="C196" s="3"/>
      <c r="D196" s="3"/>
      <c r="E196" s="3">
        <v>5</v>
      </c>
      <c r="F196" s="3"/>
      <c r="G196" s="5">
        <v>0.35416666666666669</v>
      </c>
      <c r="H196" s="15">
        <v>35.1</v>
      </c>
      <c r="I196" s="3">
        <f t="shared" si="55"/>
        <v>10.636363636363637</v>
      </c>
      <c r="J196" s="3">
        <f>35.8/3.3</f>
        <v>10.848484848484848</v>
      </c>
      <c r="K196" s="3">
        <v>7.68</v>
      </c>
      <c r="L196" s="3">
        <v>8.81</v>
      </c>
      <c r="M196" s="3">
        <v>4.1100000000000003</v>
      </c>
      <c r="N196" s="3">
        <v>13.9</v>
      </c>
      <c r="O196" s="3">
        <v>26.16</v>
      </c>
      <c r="P196" s="16"/>
      <c r="Q196" s="16">
        <f>5.5/3.3</f>
        <v>1.6666666666666667</v>
      </c>
      <c r="R196" s="3"/>
      <c r="S196" s="3"/>
      <c r="T196" s="3"/>
      <c r="U196" s="3"/>
      <c r="V196" s="3"/>
      <c r="W196" s="3"/>
      <c r="X196" s="3"/>
      <c r="Z196" s="3"/>
      <c r="AA196" s="3"/>
      <c r="AB196" s="3"/>
      <c r="AC196" s="3"/>
      <c r="AD196" s="3"/>
    </row>
    <row r="197" spans="1:30" ht="14">
      <c r="A197" s="3" t="s">
        <v>57</v>
      </c>
      <c r="B197" s="3"/>
      <c r="C197" s="3"/>
      <c r="D197" s="3"/>
      <c r="E197" s="3">
        <v>8</v>
      </c>
      <c r="F197" s="3"/>
      <c r="G197" s="5">
        <v>0.31805555555555554</v>
      </c>
      <c r="H197" s="15">
        <v>28</v>
      </c>
      <c r="I197" s="3">
        <f t="shared" si="55"/>
        <v>8.4848484848484844</v>
      </c>
      <c r="J197" s="3">
        <f>3.128/3.3</f>
        <v>0.94787878787878799</v>
      </c>
      <c r="K197" s="3">
        <v>7.78</v>
      </c>
      <c r="L197" s="3">
        <v>2.58</v>
      </c>
      <c r="M197" s="3">
        <v>2.2999999999999998</v>
      </c>
      <c r="N197" s="3">
        <v>15.808999999999999</v>
      </c>
      <c r="O197" s="3">
        <v>25.21</v>
      </c>
      <c r="P197" s="16"/>
      <c r="Q197" s="16">
        <f>7/3.3</f>
        <v>2.1212121212121211</v>
      </c>
      <c r="R197" s="3"/>
      <c r="S197" s="3"/>
      <c r="T197" s="3"/>
      <c r="U197" s="3"/>
      <c r="V197" s="3"/>
      <c r="W197" s="3"/>
      <c r="X197" s="3"/>
      <c r="Z197" s="3"/>
      <c r="AA197" s="3"/>
      <c r="AB197" s="17" t="s">
        <v>64</v>
      </c>
      <c r="AC197" s="17" t="s">
        <v>65</v>
      </c>
      <c r="AD197" s="17" t="s">
        <v>66</v>
      </c>
    </row>
    <row r="198" spans="1:30" ht="14">
      <c r="A198" s="3" t="s">
        <v>57</v>
      </c>
      <c r="B198" s="3"/>
      <c r="C198" s="3"/>
      <c r="D198" s="3"/>
      <c r="E198" s="3">
        <v>8</v>
      </c>
      <c r="F198" s="3"/>
      <c r="G198" s="5">
        <v>0.31805555555555554</v>
      </c>
      <c r="H198" s="15">
        <v>28</v>
      </c>
      <c r="I198" s="3">
        <f t="shared" si="55"/>
        <v>8.4848484848484844</v>
      </c>
      <c r="J198" s="3">
        <f>13.538/3.3</f>
        <v>4.1024242424242425</v>
      </c>
      <c r="K198" s="3">
        <v>7.78</v>
      </c>
      <c r="L198" s="3">
        <v>3.02</v>
      </c>
      <c r="M198" s="3">
        <v>3.55</v>
      </c>
      <c r="N198" s="3">
        <v>15.125999999999999</v>
      </c>
      <c r="O198" s="3">
        <v>27.42</v>
      </c>
      <c r="P198" s="16"/>
      <c r="Q198" s="16">
        <f>7/3.3</f>
        <v>2.1212121212121211</v>
      </c>
      <c r="R198" s="3"/>
      <c r="S198" s="3"/>
      <c r="T198" s="3"/>
      <c r="U198" s="3"/>
      <c r="V198" s="3"/>
      <c r="W198" s="3"/>
      <c r="X198" s="3"/>
      <c r="Z198" s="3"/>
      <c r="AA198" s="3"/>
      <c r="AB198" s="3"/>
      <c r="AC198" s="3"/>
      <c r="AD198" s="3"/>
    </row>
    <row r="199" spans="1:30" ht="14">
      <c r="A199" s="3" t="s">
        <v>57</v>
      </c>
      <c r="B199" s="3"/>
      <c r="C199" s="3"/>
      <c r="D199" s="3"/>
      <c r="E199" s="3">
        <v>8</v>
      </c>
      <c r="F199" s="3"/>
      <c r="G199" s="5">
        <v>0.31805555555555554</v>
      </c>
      <c r="H199" s="15">
        <v>28</v>
      </c>
      <c r="I199" s="3">
        <f t="shared" si="55"/>
        <v>8.4848484848484844</v>
      </c>
      <c r="J199" s="3">
        <f>26.835/3.3</f>
        <v>8.1318181818181827</v>
      </c>
      <c r="K199" s="3">
        <v>7.81</v>
      </c>
      <c r="L199" s="3">
        <v>2.91</v>
      </c>
      <c r="M199" s="3">
        <v>4.24</v>
      </c>
      <c r="N199" s="3">
        <v>13.657999999999999</v>
      </c>
      <c r="O199" s="3">
        <v>30.11</v>
      </c>
      <c r="P199" s="16"/>
      <c r="Q199" s="16">
        <f>7/3.3</f>
        <v>2.1212121212121211</v>
      </c>
      <c r="R199" s="3"/>
      <c r="S199" s="3"/>
      <c r="T199" s="3"/>
      <c r="U199" s="3"/>
      <c r="V199" s="3"/>
      <c r="W199" s="3"/>
      <c r="X199" s="3"/>
      <c r="Z199" s="3"/>
      <c r="AA199" s="3"/>
      <c r="AB199" s="3"/>
      <c r="AC199" s="3"/>
      <c r="AD199" s="3"/>
    </row>
    <row r="200" spans="1:30" ht="14">
      <c r="A200" s="3" t="s">
        <v>67</v>
      </c>
      <c r="B200" s="3"/>
      <c r="C200" s="3"/>
      <c r="D200" s="3"/>
      <c r="E200" s="3">
        <v>2</v>
      </c>
      <c r="F200" s="3"/>
      <c r="G200" s="5">
        <v>8.9583333333333334E-2</v>
      </c>
      <c r="H200" s="15">
        <v>37</v>
      </c>
      <c r="I200" s="3">
        <f t="shared" si="55"/>
        <v>11.212121212121213</v>
      </c>
      <c r="J200" s="3">
        <v>3.9</v>
      </c>
      <c r="K200" s="3">
        <v>9.3000000000000007</v>
      </c>
      <c r="L200" s="3">
        <v>3.9</v>
      </c>
      <c r="M200" s="3">
        <v>2.5</v>
      </c>
      <c r="N200" s="3">
        <v>16.8</v>
      </c>
      <c r="O200" s="3">
        <v>7.6</v>
      </c>
      <c r="P200" s="3">
        <v>4.5999999999999996</v>
      </c>
      <c r="Q200" s="3">
        <f>P200/3.3</f>
        <v>1.3939393939393938</v>
      </c>
      <c r="R200" s="3"/>
      <c r="S200" s="3"/>
      <c r="T200" s="3"/>
      <c r="U200" s="3"/>
      <c r="V200" s="3"/>
      <c r="W200" s="3"/>
      <c r="X200" s="3"/>
      <c r="Z200" s="3"/>
      <c r="AA200" s="3"/>
      <c r="AB200" s="3"/>
      <c r="AC200" s="3">
        <v>4438.46</v>
      </c>
      <c r="AD200" s="3">
        <v>6850.01</v>
      </c>
    </row>
    <row r="201" spans="1:30" ht="14">
      <c r="A201" s="3" t="s">
        <v>67</v>
      </c>
      <c r="B201" s="3"/>
      <c r="C201" s="3"/>
      <c r="D201" s="3"/>
      <c r="E201" s="3">
        <v>2</v>
      </c>
      <c r="F201" s="3"/>
      <c r="G201" s="5">
        <v>8.9583333333333334E-2</v>
      </c>
      <c r="H201" s="15">
        <v>37</v>
      </c>
      <c r="I201" s="3">
        <f t="shared" si="55"/>
        <v>11.212121212121213</v>
      </c>
      <c r="J201" s="3">
        <v>19.100000000000001</v>
      </c>
      <c r="K201" s="3">
        <v>9.1999999999999993</v>
      </c>
      <c r="L201" s="3">
        <v>7.9</v>
      </c>
      <c r="M201" s="3">
        <v>2.7</v>
      </c>
      <c r="N201" s="3">
        <v>12.9</v>
      </c>
      <c r="O201" s="3">
        <v>14.6</v>
      </c>
      <c r="P201" s="3">
        <v>4.5999999999999996</v>
      </c>
      <c r="Q201" s="3">
        <f t="shared" ref="Q201:Q264" si="56">P201/3.3</f>
        <v>1.3939393939393938</v>
      </c>
      <c r="R201" s="3"/>
      <c r="S201" s="3"/>
      <c r="T201" s="3"/>
      <c r="U201" s="3"/>
      <c r="V201" s="3"/>
      <c r="W201" s="3"/>
      <c r="X201" s="3"/>
      <c r="Z201" s="3"/>
      <c r="AA201" s="3"/>
      <c r="AB201" s="3"/>
      <c r="AC201" s="3"/>
      <c r="AD201" s="3"/>
    </row>
    <row r="202" spans="1:30" ht="14">
      <c r="A202" s="3" t="s">
        <v>67</v>
      </c>
      <c r="B202" s="3"/>
      <c r="C202" s="3"/>
      <c r="D202" s="3"/>
      <c r="E202" s="3">
        <v>2</v>
      </c>
      <c r="F202" s="3"/>
      <c r="G202" s="5">
        <v>8.9583333333333334E-2</v>
      </c>
      <c r="H202" s="15">
        <v>37</v>
      </c>
      <c r="I202" s="3">
        <f t="shared" si="55"/>
        <v>11.212121212121213</v>
      </c>
      <c r="J202" s="3">
        <v>35.700000000000003</v>
      </c>
      <c r="K202" s="3">
        <v>9.1199999999999992</v>
      </c>
      <c r="L202" s="3">
        <v>18.7</v>
      </c>
      <c r="M202" s="3">
        <v>2.98</v>
      </c>
      <c r="N202" s="3">
        <v>12.5</v>
      </c>
      <c r="O202" s="3">
        <v>15.7</v>
      </c>
      <c r="P202" s="3">
        <v>4.5999999999999996</v>
      </c>
      <c r="Q202" s="3">
        <f t="shared" si="56"/>
        <v>1.3939393939393938</v>
      </c>
      <c r="R202" s="3"/>
      <c r="S202" s="3"/>
      <c r="T202" s="3"/>
      <c r="U202" s="3"/>
      <c r="V202" s="3"/>
      <c r="W202" s="3"/>
      <c r="X202" s="3"/>
      <c r="Z202" s="3"/>
      <c r="AA202" s="3"/>
      <c r="AB202" s="3"/>
      <c r="AC202" s="3"/>
      <c r="AD202" s="3"/>
    </row>
    <row r="203" spans="1:30" ht="14">
      <c r="A203" s="3" t="s">
        <v>67</v>
      </c>
      <c r="B203" s="3"/>
      <c r="C203" s="3"/>
      <c r="D203" s="3"/>
      <c r="E203" s="3">
        <v>3</v>
      </c>
      <c r="F203" s="18"/>
      <c r="G203" s="5">
        <v>0.51388888888888895</v>
      </c>
      <c r="H203" s="15">
        <v>39.1</v>
      </c>
      <c r="I203" s="3">
        <f t="shared" si="55"/>
        <v>11.84848484848485</v>
      </c>
      <c r="J203" s="3">
        <v>3.8</v>
      </c>
      <c r="K203" s="3">
        <v>9.1999999999999993</v>
      </c>
      <c r="L203" s="3">
        <v>8.4</v>
      </c>
      <c r="M203" s="3">
        <v>2.5</v>
      </c>
      <c r="N203" s="3">
        <v>11.7</v>
      </c>
      <c r="O203" s="3">
        <v>19.2</v>
      </c>
      <c r="P203" s="17" t="s">
        <v>68</v>
      </c>
      <c r="Q203" s="3" t="e">
        <f t="shared" si="56"/>
        <v>#VALUE!</v>
      </c>
      <c r="R203" s="3"/>
      <c r="S203" s="3"/>
      <c r="T203" s="3"/>
      <c r="U203" s="3"/>
      <c r="V203" s="3"/>
      <c r="W203" s="3"/>
      <c r="X203" s="3"/>
      <c r="Z203" s="3"/>
      <c r="AA203" s="3"/>
      <c r="AB203" s="18" t="s">
        <v>69</v>
      </c>
      <c r="AC203" s="3">
        <v>4436.3599999999997</v>
      </c>
      <c r="AD203" s="3">
        <v>6850.59</v>
      </c>
    </row>
    <row r="204" spans="1:30" ht="14">
      <c r="A204" s="3" t="s">
        <v>67</v>
      </c>
      <c r="B204" s="3"/>
      <c r="C204" s="3"/>
      <c r="D204" s="3"/>
      <c r="E204" s="3">
        <v>3</v>
      </c>
      <c r="F204" s="18"/>
      <c r="G204" s="5">
        <v>0.51388888888888895</v>
      </c>
      <c r="H204" s="15">
        <v>39.1</v>
      </c>
      <c r="I204" s="3">
        <f t="shared" si="55"/>
        <v>11.84848484848485</v>
      </c>
      <c r="J204" s="3">
        <v>22.4</v>
      </c>
      <c r="K204" s="3">
        <v>9.9</v>
      </c>
      <c r="L204" s="3">
        <v>21.2</v>
      </c>
      <c r="M204" s="3">
        <v>3.8</v>
      </c>
      <c r="N204" s="3">
        <v>8.6999999999999993</v>
      </c>
      <c r="O204" s="3">
        <v>26.9</v>
      </c>
      <c r="P204" s="17"/>
      <c r="Q204" s="3">
        <f t="shared" si="56"/>
        <v>0</v>
      </c>
      <c r="R204" s="3"/>
      <c r="S204" s="3"/>
      <c r="T204" s="3"/>
      <c r="U204" s="3"/>
      <c r="V204" s="3"/>
      <c r="W204" s="3"/>
      <c r="X204" s="3"/>
      <c r="Z204" s="3"/>
      <c r="AA204" s="3"/>
      <c r="AB204" s="3"/>
      <c r="AC204" s="3"/>
      <c r="AD204" s="3"/>
    </row>
    <row r="205" spans="1:30" ht="14">
      <c r="A205" s="3" t="s">
        <v>67</v>
      </c>
      <c r="B205" s="3"/>
      <c r="C205" s="3"/>
      <c r="D205" s="3"/>
      <c r="E205" s="3">
        <v>3</v>
      </c>
      <c r="F205" s="18"/>
      <c r="G205" s="5">
        <v>0.51388888888888895</v>
      </c>
      <c r="H205" s="15">
        <v>39.1</v>
      </c>
      <c r="I205" s="3">
        <f t="shared" si="55"/>
        <v>11.84848484848485</v>
      </c>
      <c r="J205" s="3">
        <v>40.020000000000003</v>
      </c>
      <c r="K205" s="3">
        <v>9.3000000000000007</v>
      </c>
      <c r="L205" s="3">
        <v>83.8</v>
      </c>
      <c r="M205" s="3">
        <v>5.4</v>
      </c>
      <c r="N205" s="3">
        <v>8.5</v>
      </c>
      <c r="O205" s="3">
        <v>27.5</v>
      </c>
      <c r="P205" s="17"/>
      <c r="Q205" s="3">
        <f t="shared" si="56"/>
        <v>0</v>
      </c>
      <c r="R205" s="3"/>
      <c r="S205" s="3"/>
      <c r="T205" s="3"/>
      <c r="U205" s="3"/>
      <c r="V205" s="3"/>
      <c r="W205" s="3"/>
      <c r="X205" s="3"/>
      <c r="Z205" s="3"/>
      <c r="AA205" s="3"/>
      <c r="AB205" s="3"/>
      <c r="AC205" s="3"/>
      <c r="AD205" s="3"/>
    </row>
    <row r="206" spans="1:30" ht="14">
      <c r="A206" s="3" t="s">
        <v>67</v>
      </c>
      <c r="B206" s="3"/>
      <c r="C206" s="3"/>
      <c r="D206" s="3"/>
      <c r="E206" s="3">
        <v>4</v>
      </c>
      <c r="F206" s="3"/>
      <c r="G206" s="5">
        <v>0.47500000000000003</v>
      </c>
      <c r="H206" s="15">
        <v>25</v>
      </c>
      <c r="I206" s="3">
        <f t="shared" si="55"/>
        <v>7.5757575757575761</v>
      </c>
      <c r="J206" s="3">
        <v>3.5</v>
      </c>
      <c r="K206" s="3">
        <v>9.5</v>
      </c>
      <c r="L206" s="3">
        <v>5.25</v>
      </c>
      <c r="M206" s="3">
        <v>2.4</v>
      </c>
      <c r="N206" s="3">
        <v>11.7</v>
      </c>
      <c r="O206" s="3">
        <v>20.2</v>
      </c>
      <c r="P206" s="3">
        <v>5</v>
      </c>
      <c r="Q206" s="3">
        <f t="shared" si="56"/>
        <v>1.5151515151515151</v>
      </c>
      <c r="R206" s="3"/>
      <c r="S206" s="3"/>
      <c r="T206" s="3"/>
      <c r="U206" s="3"/>
      <c r="V206" s="3"/>
      <c r="W206" s="3"/>
      <c r="X206" s="3"/>
      <c r="Z206" s="3"/>
      <c r="AA206" s="3"/>
      <c r="AB206" s="3"/>
      <c r="AC206" s="3"/>
      <c r="AD206" s="3"/>
    </row>
    <row r="207" spans="1:30" ht="14">
      <c r="A207" s="3" t="s">
        <v>67</v>
      </c>
      <c r="B207" s="3"/>
      <c r="C207" s="3"/>
      <c r="D207" s="3"/>
      <c r="E207" s="3">
        <v>4</v>
      </c>
      <c r="F207" s="3"/>
      <c r="G207" s="5">
        <v>0.47500000000000003</v>
      </c>
      <c r="H207" s="15">
        <v>25</v>
      </c>
      <c r="I207" s="3">
        <f t="shared" si="55"/>
        <v>7.5757575757575761</v>
      </c>
      <c r="J207" s="3">
        <v>15.4</v>
      </c>
      <c r="K207" s="3">
        <v>9.4</v>
      </c>
      <c r="L207" s="3">
        <v>25.1</v>
      </c>
      <c r="M207" s="3">
        <v>3.6</v>
      </c>
      <c r="N207" s="3">
        <v>7.4</v>
      </c>
      <c r="O207" s="3">
        <v>30.7</v>
      </c>
      <c r="P207" s="3">
        <v>5</v>
      </c>
      <c r="Q207" s="3">
        <f t="shared" si="56"/>
        <v>1.5151515151515151</v>
      </c>
      <c r="R207" s="3"/>
      <c r="S207" s="3"/>
      <c r="T207" s="3"/>
      <c r="U207" s="3"/>
      <c r="V207" s="3"/>
      <c r="W207" s="3"/>
      <c r="X207" s="3"/>
      <c r="Z207" s="3"/>
      <c r="AA207" s="3"/>
      <c r="AB207" s="3"/>
      <c r="AC207" s="3"/>
      <c r="AD207" s="3"/>
    </row>
    <row r="208" spans="1:30" ht="14">
      <c r="A208" s="3" t="s">
        <v>67</v>
      </c>
      <c r="B208" s="3"/>
      <c r="C208" s="3"/>
      <c r="D208" s="3"/>
      <c r="E208" s="3">
        <v>4</v>
      </c>
      <c r="F208" s="3"/>
      <c r="G208" s="5">
        <v>0.47500000000000003</v>
      </c>
      <c r="H208" s="15">
        <v>25</v>
      </c>
      <c r="I208" s="3">
        <f t="shared" si="55"/>
        <v>7.5757575757575761</v>
      </c>
      <c r="J208" s="3">
        <v>23.8</v>
      </c>
      <c r="K208" s="3">
        <v>9.4</v>
      </c>
      <c r="L208" s="3">
        <v>30.2</v>
      </c>
      <c r="M208" s="3">
        <v>3.6</v>
      </c>
      <c r="N208" s="3">
        <v>7.2</v>
      </c>
      <c r="O208" s="3">
        <v>31</v>
      </c>
      <c r="P208" s="3">
        <v>5</v>
      </c>
      <c r="Q208" s="3">
        <f t="shared" si="56"/>
        <v>1.5151515151515151</v>
      </c>
      <c r="R208" s="3"/>
      <c r="S208" s="3"/>
      <c r="T208" s="3"/>
      <c r="U208" s="3"/>
      <c r="V208" s="3"/>
      <c r="W208" s="3"/>
      <c r="X208" s="3"/>
      <c r="Z208" s="3"/>
      <c r="AA208" s="3"/>
      <c r="AB208" s="3"/>
      <c r="AC208" s="3"/>
      <c r="AD208" s="3"/>
    </row>
    <row r="209" spans="1:30" ht="14">
      <c r="A209" s="3" t="s">
        <v>67</v>
      </c>
      <c r="B209" s="3"/>
      <c r="C209" s="3"/>
      <c r="D209" s="3"/>
      <c r="E209" s="3">
        <v>5</v>
      </c>
      <c r="F209" s="3"/>
      <c r="G209" s="5">
        <v>0.43124999999999997</v>
      </c>
      <c r="H209" s="15">
        <v>35</v>
      </c>
      <c r="I209" s="3">
        <f t="shared" si="55"/>
        <v>10.606060606060607</v>
      </c>
      <c r="J209" s="3">
        <v>1.97</v>
      </c>
      <c r="K209" s="3">
        <v>9.4</v>
      </c>
      <c r="L209" s="3">
        <v>3.4</v>
      </c>
      <c r="M209" s="3">
        <v>2.8</v>
      </c>
      <c r="N209" s="3">
        <v>12.6</v>
      </c>
      <c r="O209" s="3">
        <v>16.2</v>
      </c>
      <c r="P209" s="3">
        <v>5</v>
      </c>
      <c r="Q209" s="3">
        <f t="shared" si="56"/>
        <v>1.5151515151515151</v>
      </c>
      <c r="R209" s="3"/>
      <c r="S209" s="3"/>
      <c r="T209" s="3"/>
      <c r="U209" s="3"/>
      <c r="V209" s="3"/>
      <c r="W209" s="3"/>
      <c r="X209" s="3"/>
      <c r="Z209" s="3"/>
      <c r="AA209" s="3"/>
      <c r="AB209" s="3"/>
      <c r="AC209" s="3"/>
      <c r="AD209" s="3"/>
    </row>
    <row r="210" spans="1:30" ht="14">
      <c r="A210" s="3" t="s">
        <v>67</v>
      </c>
      <c r="B210" s="3"/>
      <c r="C210" s="3"/>
      <c r="D210" s="3"/>
      <c r="E210" s="3">
        <v>5</v>
      </c>
      <c r="F210" s="3"/>
      <c r="G210" s="5">
        <v>0.43124999999999997</v>
      </c>
      <c r="H210" s="15">
        <v>35</v>
      </c>
      <c r="I210" s="3">
        <f t="shared" si="55"/>
        <v>10.606060606060607</v>
      </c>
      <c r="J210" s="3">
        <v>21.7</v>
      </c>
      <c r="K210" s="3">
        <v>9.3000000000000007</v>
      </c>
      <c r="L210" s="3">
        <v>3.7</v>
      </c>
      <c r="M210" s="3">
        <v>2.2999999999999998</v>
      </c>
      <c r="N210" s="3">
        <v>8.9</v>
      </c>
      <c r="O210" s="3">
        <v>26.4</v>
      </c>
      <c r="P210" s="3">
        <v>5</v>
      </c>
      <c r="Q210" s="3">
        <f t="shared" si="56"/>
        <v>1.5151515151515151</v>
      </c>
      <c r="R210" s="3"/>
      <c r="S210" s="3"/>
      <c r="T210" s="3"/>
      <c r="U210" s="3"/>
      <c r="V210" s="3"/>
      <c r="W210" s="3"/>
      <c r="X210" s="3"/>
      <c r="Z210" s="3"/>
      <c r="AA210" s="3"/>
      <c r="AB210" s="3"/>
      <c r="AC210" s="3"/>
      <c r="AD210" s="3"/>
    </row>
    <row r="211" spans="1:30" ht="14">
      <c r="A211" s="3" t="s">
        <v>67</v>
      </c>
      <c r="B211" s="3"/>
      <c r="C211" s="3"/>
      <c r="D211" s="3"/>
      <c r="E211" s="3">
        <v>5</v>
      </c>
      <c r="F211" s="3"/>
      <c r="G211" s="5">
        <v>0.43124999999999997</v>
      </c>
      <c r="H211" s="15">
        <v>35</v>
      </c>
      <c r="I211" s="3">
        <f t="shared" si="55"/>
        <v>10.606060606060607</v>
      </c>
      <c r="J211" s="3">
        <v>33.4</v>
      </c>
      <c r="K211" s="3">
        <v>9.4</v>
      </c>
      <c r="L211" s="3">
        <v>17.100000000000001</v>
      </c>
      <c r="M211" s="3">
        <v>3.2</v>
      </c>
      <c r="N211" s="3">
        <v>8.1999999999999993</v>
      </c>
      <c r="O211" s="3">
        <v>28.3</v>
      </c>
      <c r="P211" s="3">
        <v>5</v>
      </c>
      <c r="Q211" s="3">
        <f t="shared" si="56"/>
        <v>1.5151515151515151</v>
      </c>
      <c r="R211" s="3"/>
      <c r="S211" s="3"/>
      <c r="T211" s="3"/>
      <c r="U211" s="3"/>
      <c r="V211" s="3"/>
      <c r="W211" s="3"/>
      <c r="X211" s="3"/>
      <c r="Z211" s="3"/>
      <c r="AA211" s="3"/>
      <c r="AB211" s="3"/>
      <c r="AC211" s="3"/>
      <c r="AD211" s="3"/>
    </row>
    <row r="212" spans="1:30" ht="14">
      <c r="A212" s="3" t="s">
        <v>67</v>
      </c>
      <c r="B212" s="3"/>
      <c r="C212" s="3"/>
      <c r="D212" s="3"/>
      <c r="E212" s="3">
        <v>8</v>
      </c>
      <c r="F212" s="3"/>
      <c r="G212" s="5">
        <v>0.39861111111111108</v>
      </c>
      <c r="H212" s="15">
        <v>32.799999999999997</v>
      </c>
      <c r="I212" s="3">
        <f t="shared" si="55"/>
        <v>9.9393939393939394</v>
      </c>
      <c r="J212" s="3">
        <v>2.4</v>
      </c>
      <c r="K212" s="3">
        <v>9.1999999999999993</v>
      </c>
      <c r="L212" s="3">
        <v>3.2</v>
      </c>
      <c r="M212" s="3">
        <v>3.3</v>
      </c>
      <c r="N212" s="3">
        <v>10.7</v>
      </c>
      <c r="O212" s="3">
        <v>22.5</v>
      </c>
      <c r="P212" s="18" t="s">
        <v>68</v>
      </c>
      <c r="Q212" s="3" t="e">
        <f t="shared" si="56"/>
        <v>#VALUE!</v>
      </c>
      <c r="R212" s="3"/>
      <c r="S212" s="3"/>
      <c r="T212" s="3"/>
      <c r="U212" s="3"/>
      <c r="V212" s="3"/>
      <c r="W212" s="3"/>
      <c r="X212" s="3"/>
      <c r="Z212" s="3"/>
      <c r="AA212" s="3"/>
      <c r="AB212" s="3"/>
      <c r="AC212" s="3"/>
      <c r="AD212" s="3"/>
    </row>
    <row r="213" spans="1:30" ht="14">
      <c r="A213" s="3" t="s">
        <v>67</v>
      </c>
      <c r="B213" s="3"/>
      <c r="C213" s="3"/>
      <c r="D213" s="3"/>
      <c r="E213" s="3">
        <v>8</v>
      </c>
      <c r="F213" s="3"/>
      <c r="G213" s="5">
        <v>0.39861111111111108</v>
      </c>
      <c r="H213" s="15">
        <v>32.799999999999997</v>
      </c>
      <c r="I213" s="3">
        <f t="shared" si="55"/>
        <v>9.9393939393939394</v>
      </c>
      <c r="J213">
        <v>16.100000000000001</v>
      </c>
      <c r="K213">
        <v>9.3000000000000007</v>
      </c>
      <c r="L213">
        <v>3.3</v>
      </c>
      <c r="M213">
        <v>2.95</v>
      </c>
      <c r="N213">
        <v>9.8000000000000007</v>
      </c>
      <c r="O213">
        <v>24.8</v>
      </c>
      <c r="P213" s="18"/>
      <c r="Q213" s="3">
        <f t="shared" si="56"/>
        <v>0</v>
      </c>
      <c r="R213" s="3"/>
      <c r="S213" s="3"/>
      <c r="T213" s="3"/>
      <c r="U213" s="3"/>
      <c r="V213" s="3"/>
      <c r="W213" s="3"/>
      <c r="X213" s="3"/>
      <c r="Z213" s="3"/>
      <c r="AA213" s="3"/>
      <c r="AB213" s="3"/>
      <c r="AC213" s="3"/>
      <c r="AD213" s="3"/>
    </row>
    <row r="214" spans="1:30" ht="14">
      <c r="A214" s="3" t="s">
        <v>67</v>
      </c>
      <c r="B214" s="3"/>
      <c r="C214" s="3"/>
      <c r="D214" s="3"/>
      <c r="E214" s="3">
        <v>8</v>
      </c>
      <c r="F214" s="3"/>
      <c r="G214" s="5">
        <v>0.39861111111111108</v>
      </c>
      <c r="H214" s="15">
        <v>32.799999999999997</v>
      </c>
      <c r="I214" s="3">
        <f t="shared" si="55"/>
        <v>9.9393939393939394</v>
      </c>
      <c r="J214" s="3">
        <v>30.6</v>
      </c>
      <c r="K214" s="3">
        <v>9.5</v>
      </c>
      <c r="L214" s="3">
        <v>2.9</v>
      </c>
      <c r="M214" s="3">
        <v>2.5</v>
      </c>
      <c r="N214" s="3">
        <v>7.1</v>
      </c>
      <c r="O214" s="3">
        <v>31.7</v>
      </c>
      <c r="P214" s="18"/>
      <c r="Q214" s="3">
        <f t="shared" si="56"/>
        <v>0</v>
      </c>
      <c r="R214" s="3"/>
      <c r="S214" s="3"/>
      <c r="T214" s="3"/>
      <c r="U214" s="3"/>
      <c r="V214" s="3"/>
      <c r="W214" s="3"/>
      <c r="X214" s="3"/>
      <c r="Z214" s="3"/>
      <c r="AA214" s="3"/>
      <c r="AB214" s="17" t="s">
        <v>70</v>
      </c>
      <c r="AC214" s="17" t="s">
        <v>71</v>
      </c>
      <c r="AD214" s="17" t="s">
        <v>72</v>
      </c>
    </row>
    <row r="215" spans="1:30" ht="14">
      <c r="A215" s="17" t="s">
        <v>73</v>
      </c>
      <c r="B215" s="3"/>
      <c r="C215" s="3"/>
      <c r="D215" s="3"/>
      <c r="E215" s="3">
        <v>2</v>
      </c>
      <c r="F215" s="3"/>
      <c r="G215" s="5">
        <v>0.1111111111111111</v>
      </c>
      <c r="H215" s="15">
        <v>37.9</v>
      </c>
      <c r="I215" s="3">
        <f t="shared" si="55"/>
        <v>11.484848484848484</v>
      </c>
      <c r="J215" s="3">
        <v>3.9</v>
      </c>
      <c r="K215" s="3">
        <v>9.9600000000000009</v>
      </c>
      <c r="L215" s="3">
        <v>9.6</v>
      </c>
      <c r="M215" s="3">
        <v>2.8</v>
      </c>
      <c r="N215" s="3">
        <v>11.7</v>
      </c>
      <c r="O215" s="3">
        <v>7.3</v>
      </c>
      <c r="P215" s="3">
        <v>3</v>
      </c>
      <c r="Q215" s="3">
        <f t="shared" si="56"/>
        <v>0.90909090909090917</v>
      </c>
      <c r="R215" s="3"/>
      <c r="S215" s="3"/>
      <c r="T215" s="3"/>
      <c r="U215" s="3"/>
      <c r="V215" s="3"/>
      <c r="W215" s="3"/>
      <c r="X215" s="3"/>
      <c r="Z215" s="3"/>
      <c r="AA215" s="3"/>
      <c r="AB215" s="3"/>
      <c r="AC215" s="17" t="s">
        <v>74</v>
      </c>
      <c r="AD215" s="17" t="s">
        <v>75</v>
      </c>
    </row>
    <row r="216" spans="1:30" ht="14">
      <c r="A216" s="17" t="s">
        <v>73</v>
      </c>
      <c r="B216" s="3"/>
      <c r="C216" s="3"/>
      <c r="D216" s="3"/>
      <c r="E216" s="3">
        <v>2</v>
      </c>
      <c r="F216" s="3"/>
      <c r="G216" s="5">
        <v>0.1111111111111111</v>
      </c>
      <c r="H216" s="15">
        <v>37.9</v>
      </c>
      <c r="I216" s="3">
        <f t="shared" si="55"/>
        <v>11.484848484848484</v>
      </c>
      <c r="J216" s="3">
        <v>20.8</v>
      </c>
      <c r="K216" s="3">
        <v>9.6999999999999993</v>
      </c>
      <c r="L216" s="3">
        <v>40.57</v>
      </c>
      <c r="M216" s="3">
        <v>3.05</v>
      </c>
      <c r="N216" s="3">
        <v>10.1</v>
      </c>
      <c r="O216" s="3">
        <v>11.7</v>
      </c>
      <c r="P216" s="3">
        <v>3</v>
      </c>
      <c r="Q216" s="3">
        <f t="shared" si="56"/>
        <v>0.90909090909090917</v>
      </c>
      <c r="R216" s="3"/>
      <c r="S216" s="3"/>
      <c r="T216" s="3"/>
      <c r="U216" s="3"/>
      <c r="V216" s="3"/>
      <c r="W216" s="3"/>
      <c r="X216" s="3"/>
      <c r="Z216" s="3"/>
      <c r="AA216" s="3"/>
      <c r="AB216" s="3"/>
      <c r="AC216" s="3"/>
      <c r="AD216" s="3"/>
    </row>
    <row r="217" spans="1:30" ht="14">
      <c r="A217" s="17" t="s">
        <v>73</v>
      </c>
      <c r="B217" s="3"/>
      <c r="C217" s="3"/>
      <c r="D217" s="3"/>
      <c r="E217" s="3">
        <v>2</v>
      </c>
      <c r="F217" s="3"/>
      <c r="G217" s="5">
        <v>0.1111111111111111</v>
      </c>
      <c r="H217" s="15">
        <v>37.9</v>
      </c>
      <c r="I217" s="3">
        <f t="shared" si="55"/>
        <v>11.484848484848484</v>
      </c>
      <c r="J217" s="3">
        <v>32.700000000000003</v>
      </c>
      <c r="K217" s="3">
        <v>9.6999999999999993</v>
      </c>
      <c r="L217" s="3">
        <v>102.6</v>
      </c>
      <c r="M217" s="3">
        <v>5.25</v>
      </c>
      <c r="N217" s="3">
        <v>9.6999999999999993</v>
      </c>
      <c r="O217" s="3">
        <v>13.4</v>
      </c>
      <c r="P217" s="3">
        <v>3</v>
      </c>
      <c r="Q217" s="3">
        <f t="shared" si="56"/>
        <v>0.90909090909090917</v>
      </c>
      <c r="R217" s="3"/>
      <c r="S217" s="3"/>
      <c r="T217" s="3"/>
      <c r="U217" s="3"/>
      <c r="V217" s="3"/>
      <c r="W217" s="3"/>
      <c r="X217" s="3"/>
      <c r="Z217" s="3"/>
      <c r="AA217" s="3"/>
      <c r="AB217" s="3"/>
      <c r="AC217" s="3"/>
      <c r="AD217" s="3"/>
    </row>
    <row r="218" spans="1:30" ht="14">
      <c r="A218" s="17" t="s">
        <v>73</v>
      </c>
      <c r="B218" s="3"/>
      <c r="C218" s="3"/>
      <c r="D218" s="3"/>
      <c r="E218" s="3">
        <v>3</v>
      </c>
      <c r="F218" s="3"/>
      <c r="G218" s="5">
        <v>6.3888888888888884E-2</v>
      </c>
      <c r="H218" s="15">
        <v>30.7</v>
      </c>
      <c r="I218" s="3">
        <f t="shared" si="55"/>
        <v>9.3030303030303028</v>
      </c>
      <c r="J218" s="3">
        <v>4.5999999999999996</v>
      </c>
      <c r="K218" s="3">
        <v>9.6</v>
      </c>
      <c r="L218" s="3">
        <v>24.6</v>
      </c>
      <c r="M218" s="3">
        <v>3.47</v>
      </c>
      <c r="N218" s="3">
        <v>8.8000000000000007</v>
      </c>
      <c r="O218" s="3">
        <v>19.07</v>
      </c>
      <c r="P218" s="3"/>
      <c r="Q218" s="3">
        <f t="shared" si="56"/>
        <v>0</v>
      </c>
      <c r="R218" s="3"/>
      <c r="S218" s="3"/>
      <c r="T218" s="3"/>
      <c r="U218" s="3"/>
      <c r="V218" s="3"/>
      <c r="W218" s="3"/>
      <c r="X218" s="3"/>
      <c r="Z218" s="3"/>
      <c r="AA218" s="3"/>
      <c r="AB218" s="17" t="s">
        <v>76</v>
      </c>
      <c r="AC218" s="17" t="s">
        <v>77</v>
      </c>
      <c r="AD218" s="17" t="s">
        <v>78</v>
      </c>
    </row>
    <row r="219" spans="1:30" ht="14">
      <c r="A219" s="17" t="s">
        <v>73</v>
      </c>
      <c r="B219" s="3"/>
      <c r="C219" s="3"/>
      <c r="D219" s="3"/>
      <c r="E219" s="3">
        <v>3</v>
      </c>
      <c r="F219" s="3"/>
      <c r="G219" s="5">
        <v>6.3888888888888884E-2</v>
      </c>
      <c r="H219" s="15">
        <v>30.7</v>
      </c>
      <c r="I219" s="3">
        <f t="shared" si="55"/>
        <v>9.3030303030303028</v>
      </c>
      <c r="J219" s="3">
        <v>15.5</v>
      </c>
      <c r="K219" s="3">
        <v>9.4</v>
      </c>
      <c r="L219" s="3">
        <v>39.700000000000003</v>
      </c>
      <c r="M219" s="3">
        <v>4.08</v>
      </c>
      <c r="N219" s="3">
        <v>7</v>
      </c>
      <c r="O219" s="3">
        <v>26.4</v>
      </c>
      <c r="P219" s="3"/>
      <c r="Q219" s="3">
        <f t="shared" si="56"/>
        <v>0</v>
      </c>
      <c r="R219" s="3"/>
      <c r="S219" s="3"/>
      <c r="T219" s="3"/>
      <c r="U219" s="3"/>
      <c r="V219" s="3"/>
      <c r="W219" s="3"/>
      <c r="X219" s="3"/>
      <c r="Z219" s="3"/>
      <c r="AA219" s="3"/>
      <c r="AB219" s="3"/>
      <c r="AC219" s="3"/>
      <c r="AD219" s="3"/>
    </row>
    <row r="220" spans="1:30" ht="14">
      <c r="A220" s="17" t="s">
        <v>73</v>
      </c>
      <c r="B220" s="3"/>
      <c r="C220" s="3"/>
      <c r="D220" s="3"/>
      <c r="E220" s="3">
        <v>3</v>
      </c>
      <c r="F220" s="3"/>
      <c r="G220" s="5">
        <v>6.3888888888888884E-2</v>
      </c>
      <c r="H220" s="15">
        <v>30.7</v>
      </c>
      <c r="I220" s="3">
        <f t="shared" si="55"/>
        <v>9.3030303030303028</v>
      </c>
      <c r="J220" s="3">
        <v>31.06</v>
      </c>
      <c r="K220" s="3">
        <v>9.5</v>
      </c>
      <c r="L220" s="3">
        <v>275</v>
      </c>
      <c r="M220" s="3">
        <v>13.3</v>
      </c>
      <c r="N220" s="3">
        <v>6.8</v>
      </c>
      <c r="O220" s="3">
        <v>27.1</v>
      </c>
      <c r="P220" s="3"/>
      <c r="Q220" s="3">
        <f t="shared" si="56"/>
        <v>0</v>
      </c>
      <c r="R220" s="3"/>
      <c r="S220" s="3"/>
      <c r="T220" s="3"/>
      <c r="U220" s="3"/>
      <c r="V220" s="3"/>
      <c r="W220" s="3"/>
      <c r="X220" s="3"/>
      <c r="Z220" s="3"/>
      <c r="AA220" s="3"/>
      <c r="AB220" s="3"/>
      <c r="AC220" s="3"/>
      <c r="AD220" s="3"/>
    </row>
    <row r="221" spans="1:30" ht="14">
      <c r="A221" s="17" t="s">
        <v>73</v>
      </c>
      <c r="B221" s="3"/>
      <c r="C221" s="3"/>
      <c r="D221" s="3"/>
      <c r="E221" s="3">
        <v>4</v>
      </c>
      <c r="F221" s="3"/>
      <c r="G221" s="5">
        <v>0.53125</v>
      </c>
      <c r="H221" s="15">
        <v>28.2</v>
      </c>
      <c r="I221" s="3">
        <f t="shared" si="55"/>
        <v>8.545454545454545</v>
      </c>
      <c r="J221" s="3">
        <v>1.4</v>
      </c>
      <c r="K221" s="3">
        <v>9.8000000000000007</v>
      </c>
      <c r="L221" s="3">
        <v>7.6</v>
      </c>
      <c r="M221" s="3">
        <v>1.6</v>
      </c>
      <c r="N221" s="3">
        <v>9.9</v>
      </c>
      <c r="O221" s="3">
        <v>13.6</v>
      </c>
      <c r="P221" s="3">
        <v>2.5</v>
      </c>
      <c r="Q221" s="3">
        <f t="shared" si="56"/>
        <v>0.75757575757575757</v>
      </c>
      <c r="R221" s="3"/>
      <c r="S221" s="3"/>
      <c r="T221" s="3"/>
      <c r="U221" s="3"/>
      <c r="V221" s="3"/>
      <c r="W221" s="3"/>
      <c r="X221" s="3"/>
      <c r="Z221" s="3"/>
      <c r="AA221" s="3"/>
      <c r="AB221" s="17" t="s">
        <v>79</v>
      </c>
      <c r="AC221" s="17" t="s">
        <v>80</v>
      </c>
      <c r="AD221" s="17" t="s">
        <v>81</v>
      </c>
    </row>
    <row r="222" spans="1:30" ht="14">
      <c r="A222" s="17" t="s">
        <v>73</v>
      </c>
      <c r="B222" s="3"/>
      <c r="C222" s="3"/>
      <c r="D222" s="3"/>
      <c r="E222" s="3">
        <v>4</v>
      </c>
      <c r="F222" s="3"/>
      <c r="G222" s="5">
        <v>0.53125</v>
      </c>
      <c r="H222" s="15">
        <v>28.2</v>
      </c>
      <c r="I222" s="3">
        <f t="shared" si="55"/>
        <v>8.545454545454545</v>
      </c>
      <c r="J222" s="3">
        <v>16</v>
      </c>
      <c r="K222" s="3">
        <v>9.16</v>
      </c>
      <c r="L222" s="3">
        <v>17.489999999999998</v>
      </c>
      <c r="M222" s="3">
        <v>2.85</v>
      </c>
      <c r="N222" s="3">
        <v>6.3</v>
      </c>
      <c r="O222" s="3">
        <v>29.7</v>
      </c>
      <c r="P222" s="3">
        <v>2.5</v>
      </c>
      <c r="Q222" s="3">
        <f t="shared" si="56"/>
        <v>0.75757575757575757</v>
      </c>
      <c r="R222" s="3"/>
      <c r="S222" s="3"/>
      <c r="T222" s="3"/>
      <c r="U222" s="3"/>
      <c r="V222" s="3"/>
      <c r="W222" s="3"/>
      <c r="X222" s="3"/>
      <c r="Z222" s="3"/>
      <c r="AA222" s="3"/>
      <c r="AB222" s="3"/>
      <c r="AC222" s="3"/>
      <c r="AD222" s="3"/>
    </row>
    <row r="223" spans="1:30" ht="14">
      <c r="A223" s="17" t="s">
        <v>73</v>
      </c>
      <c r="B223" s="3"/>
      <c r="C223" s="3"/>
      <c r="D223" s="3"/>
      <c r="E223" s="3">
        <v>4</v>
      </c>
      <c r="F223" s="3"/>
      <c r="G223" s="5">
        <v>0.53125</v>
      </c>
      <c r="H223" s="15">
        <v>28.2</v>
      </c>
      <c r="I223" s="3">
        <f t="shared" si="55"/>
        <v>8.545454545454545</v>
      </c>
      <c r="J223" s="3">
        <v>22.7</v>
      </c>
      <c r="K223" s="3">
        <v>9.5</v>
      </c>
      <c r="L223" s="3">
        <v>20.5</v>
      </c>
      <c r="M223" s="3">
        <v>1.2</v>
      </c>
      <c r="N223" s="3">
        <v>6.2</v>
      </c>
      <c r="O223" s="3">
        <v>30.3</v>
      </c>
      <c r="P223" s="3">
        <v>2.5</v>
      </c>
      <c r="Q223" s="3">
        <f t="shared" si="56"/>
        <v>0.75757575757575757</v>
      </c>
      <c r="R223" s="3"/>
      <c r="S223" s="3"/>
      <c r="T223" s="3"/>
      <c r="U223" s="3"/>
      <c r="V223" s="3"/>
      <c r="W223" s="3"/>
      <c r="X223" s="3"/>
      <c r="Z223" s="3"/>
      <c r="AA223" s="3"/>
      <c r="AB223" s="3"/>
      <c r="AC223" s="3"/>
      <c r="AD223" s="3"/>
    </row>
    <row r="224" spans="1:30" ht="14">
      <c r="A224" s="17" t="s">
        <v>73</v>
      </c>
      <c r="B224" s="3"/>
      <c r="C224" s="3"/>
      <c r="D224" s="3"/>
      <c r="E224" s="3">
        <v>5</v>
      </c>
      <c r="F224" s="3"/>
      <c r="G224" s="5">
        <v>0.49236111111111108</v>
      </c>
      <c r="H224" s="15">
        <v>41</v>
      </c>
      <c r="I224" s="3">
        <f t="shared" si="55"/>
        <v>12.424242424242426</v>
      </c>
      <c r="J224" s="3">
        <v>1.89</v>
      </c>
      <c r="K224" s="3">
        <v>9.5</v>
      </c>
      <c r="L224" s="3">
        <v>6.4</v>
      </c>
      <c r="M224" s="3">
        <v>1.96</v>
      </c>
      <c r="N224" s="3">
        <v>10.4</v>
      </c>
      <c r="O224" s="3">
        <v>11.9</v>
      </c>
      <c r="P224" s="3">
        <v>3</v>
      </c>
      <c r="Q224" s="3">
        <f t="shared" si="56"/>
        <v>0.90909090909090917</v>
      </c>
      <c r="R224" s="3"/>
      <c r="S224" s="3"/>
      <c r="T224" s="3"/>
      <c r="U224" s="3"/>
      <c r="V224" s="3"/>
      <c r="W224" s="3"/>
      <c r="X224" s="3"/>
      <c r="Z224" s="3"/>
      <c r="AA224" s="3"/>
      <c r="AB224" s="17" t="s">
        <v>82</v>
      </c>
      <c r="AC224" s="17" t="s">
        <v>83</v>
      </c>
      <c r="AD224" s="17" t="s">
        <v>84</v>
      </c>
    </row>
    <row r="225" spans="1:30" ht="14">
      <c r="A225" s="17" t="s">
        <v>73</v>
      </c>
      <c r="B225" s="3"/>
      <c r="C225" s="3"/>
      <c r="D225" s="3"/>
      <c r="E225" s="3">
        <v>5</v>
      </c>
      <c r="F225" s="3"/>
      <c r="G225" s="5">
        <v>0.49236111111111108</v>
      </c>
      <c r="H225" s="15">
        <v>41</v>
      </c>
      <c r="I225" s="3">
        <f t="shared" si="55"/>
        <v>12.424242424242426</v>
      </c>
      <c r="J225" s="3">
        <v>20.9</v>
      </c>
      <c r="K225" s="3">
        <v>9.4</v>
      </c>
      <c r="L225" s="3">
        <v>8.6999999999999993</v>
      </c>
      <c r="M225" s="3">
        <v>2.4700000000000002</v>
      </c>
      <c r="N225" s="3">
        <v>7.9</v>
      </c>
      <c r="O225" s="3">
        <v>22.7</v>
      </c>
      <c r="P225" s="3">
        <v>3</v>
      </c>
      <c r="Q225" s="3">
        <f t="shared" si="56"/>
        <v>0.90909090909090917</v>
      </c>
      <c r="R225" s="3"/>
      <c r="S225" s="3"/>
      <c r="T225" s="3"/>
      <c r="U225" s="3"/>
      <c r="V225" s="3"/>
      <c r="W225" s="3"/>
      <c r="X225" s="3"/>
      <c r="Z225" s="3"/>
      <c r="AA225" s="3"/>
      <c r="AB225" s="3"/>
      <c r="AC225" s="3"/>
      <c r="AD225" s="3"/>
    </row>
    <row r="226" spans="1:30" ht="14">
      <c r="A226" s="17" t="s">
        <v>73</v>
      </c>
      <c r="B226" s="3"/>
      <c r="C226" s="3"/>
      <c r="D226" s="3"/>
      <c r="E226" s="3">
        <v>5</v>
      </c>
      <c r="F226" s="3"/>
      <c r="G226" s="5">
        <v>0.49236111111111108</v>
      </c>
      <c r="H226" s="15">
        <v>41</v>
      </c>
      <c r="I226" s="3">
        <f t="shared" si="55"/>
        <v>12.424242424242426</v>
      </c>
      <c r="J226" s="3">
        <v>37.200000000000003</v>
      </c>
      <c r="K226" s="3">
        <v>9.5</v>
      </c>
      <c r="L226" s="3">
        <v>28.8</v>
      </c>
      <c r="M226" s="3">
        <v>4.5999999999999996</v>
      </c>
      <c r="N226" s="3">
        <v>6.8</v>
      </c>
      <c r="O226" s="3">
        <v>26.9</v>
      </c>
      <c r="P226" s="3">
        <v>3</v>
      </c>
      <c r="Q226" s="3">
        <f t="shared" si="56"/>
        <v>0.90909090909090917</v>
      </c>
      <c r="R226" s="3"/>
      <c r="S226" s="3"/>
      <c r="T226" s="3"/>
      <c r="U226" s="3"/>
      <c r="V226" s="3"/>
      <c r="W226" s="3"/>
      <c r="X226" s="3"/>
      <c r="Z226" s="3"/>
      <c r="AA226" s="3"/>
      <c r="AB226" s="3"/>
      <c r="AC226" s="3"/>
      <c r="AD226" s="3"/>
    </row>
    <row r="227" spans="1:30" ht="14">
      <c r="A227" s="17" t="s">
        <v>73</v>
      </c>
      <c r="B227" s="3"/>
      <c r="C227" s="3"/>
      <c r="D227" s="3"/>
      <c r="E227" s="3">
        <v>8</v>
      </c>
      <c r="F227" s="3"/>
      <c r="G227" s="5">
        <v>0.46111111111111108</v>
      </c>
      <c r="H227" s="15">
        <v>37.799999999999997</v>
      </c>
      <c r="I227" s="3">
        <f t="shared" si="55"/>
        <v>11.454545454545455</v>
      </c>
      <c r="J227" s="3">
        <v>1.6</v>
      </c>
      <c r="K227" s="3">
        <v>9.9</v>
      </c>
      <c r="L227" s="3">
        <v>8.5</v>
      </c>
      <c r="M227" s="3">
        <v>1.7</v>
      </c>
      <c r="N227" s="3">
        <v>8.6</v>
      </c>
      <c r="O227" s="3">
        <v>20.6</v>
      </c>
      <c r="P227" s="3">
        <v>4</v>
      </c>
      <c r="Q227" s="3">
        <f t="shared" si="56"/>
        <v>1.2121212121212122</v>
      </c>
      <c r="R227" s="3"/>
      <c r="S227" s="3"/>
      <c r="T227" s="3"/>
      <c r="U227" s="3"/>
      <c r="V227" s="3"/>
      <c r="W227" s="3"/>
      <c r="X227" s="3"/>
      <c r="Z227" s="3"/>
      <c r="AA227" s="3"/>
      <c r="AB227" s="17" t="s">
        <v>85</v>
      </c>
      <c r="AC227" s="17" t="s">
        <v>86</v>
      </c>
      <c r="AD227" s="17" t="s">
        <v>87</v>
      </c>
    </row>
    <row r="228" spans="1:30" ht="14">
      <c r="A228" s="17" t="s">
        <v>73</v>
      </c>
      <c r="B228" s="3"/>
      <c r="C228" s="3"/>
      <c r="D228" s="3"/>
      <c r="E228" s="3">
        <v>8</v>
      </c>
      <c r="F228" s="3"/>
      <c r="G228" s="5">
        <v>0.46111111111111108</v>
      </c>
      <c r="H228" s="15">
        <v>37.799999999999997</v>
      </c>
      <c r="I228" s="3">
        <f t="shared" si="55"/>
        <v>11.454545454545455</v>
      </c>
      <c r="J228" s="3">
        <v>18.899999999999999</v>
      </c>
      <c r="K228" s="3">
        <v>9.5</v>
      </c>
      <c r="L228" s="3">
        <v>4.9000000000000004</v>
      </c>
      <c r="M228" s="3">
        <v>2</v>
      </c>
      <c r="N228" s="3">
        <v>6.8</v>
      </c>
      <c r="O228" s="3">
        <v>27.7</v>
      </c>
      <c r="P228" s="3">
        <v>4</v>
      </c>
      <c r="Q228" s="3">
        <f t="shared" si="56"/>
        <v>1.2121212121212122</v>
      </c>
      <c r="R228" s="3"/>
      <c r="S228" s="3"/>
      <c r="T228" s="3"/>
      <c r="U228" s="3"/>
      <c r="V228" s="3"/>
      <c r="W228" s="3"/>
      <c r="X228" s="3"/>
      <c r="Z228" s="3"/>
      <c r="AA228" s="3"/>
      <c r="AB228" s="3"/>
      <c r="AC228" s="3"/>
      <c r="AD228" s="3"/>
    </row>
    <row r="229" spans="1:30" ht="14">
      <c r="A229" s="17" t="s">
        <v>73</v>
      </c>
      <c r="B229" s="3"/>
      <c r="C229" s="3"/>
      <c r="D229" s="3"/>
      <c r="E229" s="3">
        <v>8</v>
      </c>
      <c r="F229" s="3"/>
      <c r="G229" s="5">
        <v>0.46111111111111108</v>
      </c>
      <c r="H229" s="15">
        <v>37.799999999999997</v>
      </c>
      <c r="I229" s="3">
        <f t="shared" si="55"/>
        <v>11.454545454545455</v>
      </c>
      <c r="J229" s="3">
        <v>35.9</v>
      </c>
      <c r="K229" s="3">
        <v>9.6</v>
      </c>
      <c r="L229" s="3">
        <v>49.29</v>
      </c>
      <c r="M229" s="3">
        <v>2.6</v>
      </c>
      <c r="N229" s="3">
        <v>5.96</v>
      </c>
      <c r="O229" s="3">
        <v>31.4</v>
      </c>
      <c r="P229" s="3">
        <v>4</v>
      </c>
      <c r="Q229" s="3">
        <f t="shared" si="56"/>
        <v>1.2121212121212122</v>
      </c>
      <c r="R229" s="3"/>
      <c r="S229" s="3"/>
      <c r="T229" s="3"/>
      <c r="U229" s="3"/>
      <c r="V229" s="3"/>
      <c r="W229" s="3"/>
      <c r="X229" s="3"/>
      <c r="Z229" s="3"/>
      <c r="AA229" s="3"/>
      <c r="AB229" s="3"/>
      <c r="AC229" s="3"/>
      <c r="AD229" s="3"/>
    </row>
    <row r="230" spans="1:30" ht="14">
      <c r="A230" s="17" t="s">
        <v>88</v>
      </c>
      <c r="B230" s="3"/>
      <c r="C230" s="3"/>
      <c r="D230" s="3"/>
      <c r="E230" s="3">
        <v>1</v>
      </c>
      <c r="F230" s="3"/>
      <c r="G230" s="5">
        <v>0.17013888888888887</v>
      </c>
      <c r="H230" s="15">
        <v>34.200000000000003</v>
      </c>
      <c r="I230" s="3">
        <f t="shared" si="55"/>
        <v>10.363636363636365</v>
      </c>
      <c r="J230" s="3">
        <v>2</v>
      </c>
      <c r="K230" s="3">
        <v>10.9</v>
      </c>
      <c r="L230" s="3">
        <v>2.91</v>
      </c>
      <c r="M230" s="3">
        <v>2.11</v>
      </c>
      <c r="N230" s="3">
        <v>10.1</v>
      </c>
      <c r="O230" s="3">
        <v>1.99</v>
      </c>
      <c r="P230" s="17" t="s">
        <v>68</v>
      </c>
      <c r="Q230" s="3" t="e">
        <f t="shared" si="56"/>
        <v>#VALUE!</v>
      </c>
      <c r="R230" s="3"/>
      <c r="S230" s="3"/>
      <c r="T230" s="3"/>
      <c r="U230" s="3"/>
      <c r="V230" s="3"/>
      <c r="W230" s="3"/>
      <c r="X230" s="3"/>
      <c r="Z230" s="3"/>
      <c r="AA230" s="3"/>
      <c r="AB230" s="17" t="s">
        <v>89</v>
      </c>
      <c r="AC230" s="17" t="s">
        <v>90</v>
      </c>
      <c r="AD230" s="17" t="s">
        <v>91</v>
      </c>
    </row>
    <row r="231" spans="1:30" ht="14">
      <c r="A231" s="17" t="s">
        <v>88</v>
      </c>
      <c r="B231" s="3"/>
      <c r="C231" s="3"/>
      <c r="D231" s="3"/>
      <c r="E231" s="3">
        <v>1</v>
      </c>
      <c r="F231" s="3"/>
      <c r="G231" s="5">
        <v>0.17013888888888887</v>
      </c>
      <c r="H231" s="15">
        <v>34.200000000000003</v>
      </c>
      <c r="I231" s="3">
        <f t="shared" si="55"/>
        <v>10.363636363636365</v>
      </c>
      <c r="J231" s="3">
        <v>18.850000000000001</v>
      </c>
      <c r="K231" s="3">
        <v>10.6</v>
      </c>
      <c r="L231" s="3">
        <v>4.83</v>
      </c>
      <c r="M231" s="3">
        <v>2.1800000000000002</v>
      </c>
      <c r="N231" s="3">
        <v>9.1</v>
      </c>
      <c r="O231" s="3">
        <v>7.3</v>
      </c>
      <c r="P231" s="3"/>
      <c r="Q231" s="3">
        <f t="shared" si="56"/>
        <v>0</v>
      </c>
      <c r="R231" s="3"/>
      <c r="S231" s="3"/>
      <c r="T231" s="3"/>
      <c r="U231" s="3"/>
      <c r="V231" s="3"/>
      <c r="W231" s="3"/>
      <c r="X231" s="3"/>
      <c r="Z231" s="3"/>
      <c r="AA231" s="3"/>
      <c r="AB231" s="3"/>
      <c r="AC231" s="3"/>
      <c r="AD231" s="3"/>
    </row>
    <row r="232" spans="1:30" ht="14">
      <c r="A232" s="17" t="s">
        <v>88</v>
      </c>
      <c r="B232" s="3"/>
      <c r="C232" s="3"/>
      <c r="D232" s="3"/>
      <c r="E232" s="3">
        <v>1</v>
      </c>
      <c r="F232" s="3"/>
      <c r="G232" s="5">
        <v>0.17013888888888887</v>
      </c>
      <c r="H232" s="15">
        <v>34.200000000000003</v>
      </c>
      <c r="I232" s="3">
        <f t="shared" si="55"/>
        <v>10.363636363636365</v>
      </c>
      <c r="J232" s="3">
        <v>33.5</v>
      </c>
      <c r="K232" s="3">
        <v>10.24</v>
      </c>
      <c r="L232" s="3">
        <v>15.85</v>
      </c>
      <c r="M232" s="3">
        <v>2.38</v>
      </c>
      <c r="N232" s="3">
        <v>8</v>
      </c>
      <c r="O232" s="3">
        <v>12.7</v>
      </c>
      <c r="P232" s="3"/>
      <c r="Q232" s="3">
        <f t="shared" si="56"/>
        <v>0</v>
      </c>
      <c r="R232" s="3"/>
      <c r="S232" s="3"/>
      <c r="T232" s="3"/>
      <c r="U232" s="3"/>
      <c r="V232" s="3"/>
      <c r="W232" s="3"/>
      <c r="X232" s="3"/>
      <c r="Z232" s="3"/>
      <c r="AA232" s="3"/>
      <c r="AB232" s="3"/>
      <c r="AC232" s="3"/>
      <c r="AD232" s="3"/>
    </row>
    <row r="233" spans="1:30" ht="14">
      <c r="A233" s="17" t="s">
        <v>88</v>
      </c>
      <c r="B233" s="3"/>
      <c r="C233" s="3"/>
      <c r="D233" s="3"/>
      <c r="E233" s="3">
        <v>2</v>
      </c>
      <c r="F233" s="3"/>
      <c r="G233" s="5">
        <v>0.12291666666666667</v>
      </c>
      <c r="H233" s="19" t="s">
        <v>68</v>
      </c>
      <c r="I233" s="3" t="e">
        <f t="shared" si="55"/>
        <v>#VALUE!</v>
      </c>
      <c r="J233" s="3">
        <v>4.9000000000000004</v>
      </c>
      <c r="K233" s="3">
        <v>10.7</v>
      </c>
      <c r="L233" s="3">
        <v>3.04</v>
      </c>
      <c r="M233" s="3">
        <v>1.86</v>
      </c>
      <c r="N233" s="3">
        <v>10</v>
      </c>
      <c r="O233" s="3">
        <v>4.4000000000000004</v>
      </c>
      <c r="P233" s="3">
        <v>6.5</v>
      </c>
      <c r="Q233" s="3">
        <f t="shared" si="56"/>
        <v>1.9696969696969697</v>
      </c>
      <c r="R233" s="3"/>
      <c r="S233" s="3"/>
      <c r="T233" s="3"/>
      <c r="U233" s="3"/>
      <c r="V233" s="3"/>
      <c r="W233" s="3"/>
      <c r="X233" s="3"/>
      <c r="Z233" s="3"/>
      <c r="AA233" s="3"/>
      <c r="AB233" s="3"/>
      <c r="AC233" s="17" t="s">
        <v>92</v>
      </c>
      <c r="AD233" s="17" t="s">
        <v>93</v>
      </c>
    </row>
    <row r="234" spans="1:30" ht="14">
      <c r="A234" s="17" t="s">
        <v>88</v>
      </c>
      <c r="B234" s="3"/>
      <c r="C234" s="3"/>
      <c r="D234" s="3"/>
      <c r="E234" s="3">
        <v>2</v>
      </c>
      <c r="F234" s="3"/>
      <c r="G234" s="5">
        <v>0.12291666666666667</v>
      </c>
      <c r="H234" s="15"/>
      <c r="I234" s="3">
        <f t="shared" si="55"/>
        <v>0</v>
      </c>
      <c r="J234" s="3">
        <v>24.4</v>
      </c>
      <c r="K234" s="3">
        <v>10.3</v>
      </c>
      <c r="L234" s="3">
        <v>8.9</v>
      </c>
      <c r="M234" s="3">
        <v>2</v>
      </c>
      <c r="N234" s="3">
        <v>8</v>
      </c>
      <c r="O234" s="3">
        <v>12.3</v>
      </c>
      <c r="P234" s="3">
        <v>6.5</v>
      </c>
      <c r="Q234" s="3">
        <f t="shared" si="56"/>
        <v>1.9696969696969697</v>
      </c>
      <c r="R234" s="3"/>
      <c r="S234" s="3"/>
      <c r="T234" s="3"/>
      <c r="U234" s="3"/>
      <c r="V234" s="3"/>
      <c r="W234" s="3"/>
      <c r="X234" s="3"/>
      <c r="Z234" s="3"/>
      <c r="AA234" s="3"/>
      <c r="AB234" s="3"/>
      <c r="AC234" s="3"/>
      <c r="AD234" s="3"/>
    </row>
    <row r="235" spans="1:30" ht="14">
      <c r="A235" s="17" t="s">
        <v>88</v>
      </c>
      <c r="B235" s="3"/>
      <c r="C235" s="3"/>
      <c r="D235" s="3"/>
      <c r="E235" s="3">
        <v>2</v>
      </c>
      <c r="F235" s="3"/>
      <c r="G235" s="5">
        <v>0.12291666666666667</v>
      </c>
      <c r="H235" s="15"/>
      <c r="I235" s="3">
        <f t="shared" si="55"/>
        <v>0</v>
      </c>
      <c r="J235" s="3">
        <v>35.299999999999997</v>
      </c>
      <c r="K235" s="3">
        <v>10.16</v>
      </c>
      <c r="L235" s="3">
        <v>21.9</v>
      </c>
      <c r="M235" s="3">
        <v>2.14</v>
      </c>
      <c r="N235" s="3">
        <v>7.7</v>
      </c>
      <c r="O235" s="3">
        <v>14.1</v>
      </c>
      <c r="P235" s="3">
        <v>6.5</v>
      </c>
      <c r="Q235" s="3">
        <f t="shared" si="56"/>
        <v>1.9696969696969697</v>
      </c>
      <c r="R235" s="3"/>
      <c r="S235" s="3"/>
      <c r="T235" s="3"/>
      <c r="U235" s="3"/>
      <c r="V235" s="3"/>
      <c r="W235" s="3"/>
      <c r="X235" s="3"/>
      <c r="Z235" s="3"/>
      <c r="AA235" s="3"/>
      <c r="AB235" s="3"/>
      <c r="AC235" s="3"/>
      <c r="AD235" s="3"/>
    </row>
    <row r="236" spans="1:30" ht="14">
      <c r="A236" s="17" t="s">
        <v>88</v>
      </c>
      <c r="B236" s="3"/>
      <c r="C236" s="3"/>
      <c r="D236" s="3"/>
      <c r="E236" s="3">
        <v>3</v>
      </c>
      <c r="F236" s="3"/>
      <c r="G236" s="5">
        <v>8.4722222222222213E-2</v>
      </c>
      <c r="H236" s="15">
        <v>33.5</v>
      </c>
      <c r="I236" s="3">
        <f t="shared" si="55"/>
        <v>10.151515151515152</v>
      </c>
      <c r="J236" s="3">
        <v>2.8</v>
      </c>
      <c r="K236" s="3">
        <v>10.4</v>
      </c>
      <c r="L236" s="3">
        <v>4.9000000000000004</v>
      </c>
      <c r="M236" s="3">
        <v>1.5</v>
      </c>
      <c r="N236" s="3">
        <v>8.6</v>
      </c>
      <c r="O236" s="3">
        <v>10.8</v>
      </c>
      <c r="P236" s="17" t="s">
        <v>68</v>
      </c>
      <c r="Q236" s="3" t="e">
        <f t="shared" si="56"/>
        <v>#VALUE!</v>
      </c>
      <c r="R236" s="3"/>
      <c r="S236" s="3"/>
      <c r="T236" s="3"/>
      <c r="U236" s="3"/>
      <c r="V236" s="3"/>
      <c r="W236" s="3"/>
      <c r="X236" s="3"/>
      <c r="Z236" s="3"/>
      <c r="AA236" s="3"/>
      <c r="AB236" s="3"/>
      <c r="AC236" s="17" t="s">
        <v>94</v>
      </c>
      <c r="AD236" s="17" t="s">
        <v>95</v>
      </c>
    </row>
    <row r="237" spans="1:30" ht="14">
      <c r="A237" s="17" t="s">
        <v>88</v>
      </c>
      <c r="B237" s="3"/>
      <c r="C237" s="3"/>
      <c r="D237" s="3"/>
      <c r="E237" s="3">
        <v>3</v>
      </c>
      <c r="F237" s="3"/>
      <c r="G237" s="5">
        <v>8.4722222222222213E-2</v>
      </c>
      <c r="H237" s="15">
        <v>33.5</v>
      </c>
      <c r="I237" s="3">
        <f t="shared" si="55"/>
        <v>10.151515151515152</v>
      </c>
      <c r="J237" s="3">
        <v>17.8</v>
      </c>
      <c r="K237" s="3">
        <v>9.6</v>
      </c>
      <c r="L237" s="3">
        <v>29.21</v>
      </c>
      <c r="M237" s="3">
        <v>1.8</v>
      </c>
      <c r="N237" s="3">
        <v>5.4</v>
      </c>
      <c r="O237" s="3">
        <v>29</v>
      </c>
      <c r="P237" s="3"/>
      <c r="Q237" s="3">
        <f t="shared" si="56"/>
        <v>0</v>
      </c>
      <c r="R237" s="3"/>
      <c r="S237" s="3"/>
      <c r="T237" s="3"/>
      <c r="U237" s="3"/>
      <c r="V237" s="3"/>
      <c r="W237" s="3"/>
      <c r="X237" s="3"/>
      <c r="Z237" s="3"/>
      <c r="AA237" s="3"/>
      <c r="AB237" s="3"/>
      <c r="AC237" s="3"/>
      <c r="AD237" s="3"/>
    </row>
    <row r="238" spans="1:30" ht="14">
      <c r="A238" s="17" t="s">
        <v>88</v>
      </c>
      <c r="B238" s="3"/>
      <c r="C238" s="3"/>
      <c r="D238" s="3"/>
      <c r="E238" s="3">
        <v>3</v>
      </c>
      <c r="F238" s="3"/>
      <c r="G238" s="5">
        <v>8.4722222222222213E-2</v>
      </c>
      <c r="H238" s="15">
        <v>33.5</v>
      </c>
      <c r="I238" s="3">
        <f t="shared" si="55"/>
        <v>10.151515151515152</v>
      </c>
      <c r="J238" s="3">
        <v>30.5</v>
      </c>
      <c r="K238" s="3">
        <v>9.6999999999999993</v>
      </c>
      <c r="L238" s="3">
        <v>41.9</v>
      </c>
      <c r="M238" s="3">
        <v>1.9</v>
      </c>
      <c r="N238" s="3">
        <v>5.3</v>
      </c>
      <c r="O238" s="3">
        <v>29.2</v>
      </c>
      <c r="P238" s="3"/>
      <c r="Q238" s="3">
        <f t="shared" si="56"/>
        <v>0</v>
      </c>
      <c r="R238" s="3"/>
      <c r="S238" s="3"/>
      <c r="T238" s="3"/>
      <c r="U238" s="3"/>
      <c r="V238" s="3"/>
      <c r="W238" s="3"/>
      <c r="X238" s="3"/>
      <c r="Z238" s="3"/>
      <c r="AA238" s="3"/>
      <c r="AB238" s="3"/>
      <c r="AC238" s="3"/>
      <c r="AD238" s="3"/>
    </row>
    <row r="239" spans="1:30" ht="14">
      <c r="A239" s="17" t="s">
        <v>88</v>
      </c>
      <c r="B239" s="3"/>
      <c r="C239" s="3"/>
      <c r="D239" s="3"/>
      <c r="E239" s="3">
        <v>4</v>
      </c>
      <c r="F239" s="3"/>
      <c r="G239" s="5">
        <v>5.0694444444444452E-2</v>
      </c>
      <c r="H239" s="15">
        <v>36</v>
      </c>
      <c r="I239" s="3">
        <f t="shared" si="55"/>
        <v>10.90909090909091</v>
      </c>
      <c r="J239" s="3">
        <v>3.74</v>
      </c>
      <c r="K239" s="3">
        <v>10.199999999999999</v>
      </c>
      <c r="L239" s="3">
        <v>4.5</v>
      </c>
      <c r="M239" s="3">
        <v>1.5</v>
      </c>
      <c r="N239" s="3">
        <v>7.9</v>
      </c>
      <c r="O239" s="3">
        <v>15.9</v>
      </c>
      <c r="P239" s="3">
        <v>4</v>
      </c>
      <c r="Q239" s="3">
        <f t="shared" si="56"/>
        <v>1.2121212121212122</v>
      </c>
      <c r="R239" s="3"/>
      <c r="S239" s="3"/>
      <c r="T239" s="3"/>
      <c r="U239" s="3"/>
      <c r="V239" s="3"/>
      <c r="W239" s="3"/>
      <c r="X239" s="3"/>
      <c r="Z239" s="3"/>
      <c r="AA239" s="3"/>
      <c r="AB239" s="17" t="s">
        <v>96</v>
      </c>
      <c r="AC239" s="17" t="s">
        <v>97</v>
      </c>
      <c r="AD239" s="17" t="s">
        <v>98</v>
      </c>
    </row>
    <row r="240" spans="1:30" ht="14">
      <c r="A240" s="17" t="s">
        <v>88</v>
      </c>
      <c r="B240" s="3"/>
      <c r="C240" s="3"/>
      <c r="D240" s="3"/>
      <c r="E240" s="3">
        <v>4</v>
      </c>
      <c r="F240" s="3"/>
      <c r="G240" s="5">
        <v>5.0694444444444452E-2</v>
      </c>
      <c r="H240" s="15">
        <v>36</v>
      </c>
      <c r="I240" s="3">
        <f t="shared" si="55"/>
        <v>10.90909090909091</v>
      </c>
      <c r="J240" s="3">
        <v>14.6</v>
      </c>
      <c r="K240" s="3">
        <v>9.6999999999999993</v>
      </c>
      <c r="L240" s="3">
        <v>11.6</v>
      </c>
      <c r="M240" s="3">
        <v>1.4</v>
      </c>
      <c r="N240" s="3">
        <v>5.2</v>
      </c>
      <c r="O240" s="3">
        <v>30.1</v>
      </c>
      <c r="P240" s="3">
        <v>4</v>
      </c>
      <c r="Q240" s="3">
        <f t="shared" si="56"/>
        <v>1.2121212121212122</v>
      </c>
      <c r="R240" s="3"/>
      <c r="S240" s="3"/>
      <c r="T240" s="3"/>
      <c r="U240" s="3"/>
      <c r="V240" s="3"/>
      <c r="W240" s="3"/>
      <c r="X240" s="3"/>
      <c r="Z240" s="3"/>
      <c r="AA240" s="3"/>
      <c r="AB240" s="3"/>
      <c r="AC240" s="3"/>
      <c r="AD240" s="3"/>
    </row>
    <row r="241" spans="1:30" ht="14">
      <c r="A241" s="17" t="s">
        <v>88</v>
      </c>
      <c r="B241" s="3"/>
      <c r="C241" s="3"/>
      <c r="D241" s="3"/>
      <c r="E241" s="3">
        <v>4</v>
      </c>
      <c r="F241" s="3"/>
      <c r="G241" s="5">
        <v>5.0694444444444452E-2</v>
      </c>
      <c r="H241" s="15">
        <v>36</v>
      </c>
      <c r="I241" s="3">
        <f t="shared" ref="I241:I289" si="57">H241/3.3</f>
        <v>10.90909090909091</v>
      </c>
      <c r="J241" s="3">
        <v>31.6</v>
      </c>
      <c r="K241" s="3">
        <v>9.67</v>
      </c>
      <c r="L241" s="3">
        <v>67.47</v>
      </c>
      <c r="M241" s="3">
        <v>2.6</v>
      </c>
      <c r="N241" s="3">
        <v>4.8</v>
      </c>
      <c r="O241" s="3">
        <v>32</v>
      </c>
      <c r="P241" s="3">
        <v>4</v>
      </c>
      <c r="Q241" s="3">
        <f t="shared" si="56"/>
        <v>1.2121212121212122</v>
      </c>
      <c r="R241" s="3"/>
      <c r="S241" s="3"/>
      <c r="T241" s="3"/>
      <c r="U241" s="3"/>
      <c r="V241" s="3"/>
      <c r="W241" s="3"/>
      <c r="X241" s="3"/>
      <c r="Z241" s="3"/>
      <c r="AA241" s="3"/>
      <c r="AB241" s="3"/>
      <c r="AC241" s="3"/>
      <c r="AD241" s="3"/>
    </row>
    <row r="242" spans="1:30" ht="14">
      <c r="A242" s="17" t="s">
        <v>88</v>
      </c>
      <c r="B242" s="3"/>
      <c r="C242" s="3"/>
      <c r="D242" s="3"/>
      <c r="E242" s="3">
        <v>5</v>
      </c>
      <c r="F242" s="3"/>
      <c r="G242" s="5">
        <v>0.49236111111111108</v>
      </c>
      <c r="H242" s="15">
        <v>44</v>
      </c>
      <c r="I242" s="3">
        <f t="shared" si="57"/>
        <v>13.333333333333334</v>
      </c>
      <c r="J242" s="3">
        <v>3.3</v>
      </c>
      <c r="K242" s="3">
        <v>10.38</v>
      </c>
      <c r="L242" s="3">
        <v>2.9</v>
      </c>
      <c r="M242" s="3">
        <v>1.6</v>
      </c>
      <c r="N242" s="3">
        <v>8.8000000000000007</v>
      </c>
      <c r="O242" s="3">
        <v>12</v>
      </c>
      <c r="P242" s="3">
        <v>5</v>
      </c>
      <c r="Q242" s="3">
        <f t="shared" si="56"/>
        <v>1.5151515151515151</v>
      </c>
      <c r="R242" s="3"/>
      <c r="S242" s="3"/>
      <c r="T242" s="3"/>
      <c r="U242" s="3"/>
      <c r="V242" s="3"/>
      <c r="W242" s="3"/>
      <c r="X242" s="3"/>
      <c r="Z242" s="3"/>
      <c r="AA242" s="3"/>
      <c r="AB242" s="17" t="s">
        <v>99</v>
      </c>
      <c r="AC242" s="17" t="s">
        <v>100</v>
      </c>
      <c r="AD242" s="17" t="s">
        <v>101</v>
      </c>
    </row>
    <row r="243" spans="1:30" ht="14">
      <c r="A243" s="17" t="s">
        <v>88</v>
      </c>
      <c r="B243" s="3"/>
      <c r="C243" s="3"/>
      <c r="D243" s="3"/>
      <c r="E243" s="3">
        <v>5</v>
      </c>
      <c r="F243" s="3"/>
      <c r="G243" s="5">
        <v>0.49236111111111108</v>
      </c>
      <c r="H243" s="15">
        <v>44</v>
      </c>
      <c r="I243" s="3">
        <f t="shared" si="57"/>
        <v>13.333333333333334</v>
      </c>
      <c r="J243" s="3">
        <v>19.3</v>
      </c>
      <c r="K243" s="3">
        <v>9.9700000000000006</v>
      </c>
      <c r="L243" s="3">
        <v>4.0999999999999996</v>
      </c>
      <c r="M243" s="3">
        <v>1.5</v>
      </c>
      <c r="N243" s="3">
        <v>6.1</v>
      </c>
      <c r="O243" s="3">
        <v>24.1</v>
      </c>
      <c r="P243" s="3">
        <v>5</v>
      </c>
      <c r="Q243" s="3">
        <f t="shared" si="56"/>
        <v>1.5151515151515151</v>
      </c>
      <c r="R243" s="3"/>
      <c r="S243" s="3"/>
      <c r="T243" s="3"/>
      <c r="U243" s="3"/>
      <c r="V243" s="3"/>
      <c r="W243" s="3"/>
      <c r="X243" s="3"/>
      <c r="Z243" s="3"/>
      <c r="AA243" s="3"/>
      <c r="AB243" s="3"/>
      <c r="AC243" s="3"/>
      <c r="AD243" s="3"/>
    </row>
    <row r="244" spans="1:30" ht="14">
      <c r="A244" s="17" t="s">
        <v>88</v>
      </c>
      <c r="B244" s="3"/>
      <c r="C244" s="3"/>
      <c r="D244" s="3"/>
      <c r="E244" s="3">
        <v>5</v>
      </c>
      <c r="F244" s="3"/>
      <c r="G244" s="5">
        <v>0.49236111111111108</v>
      </c>
      <c r="H244" s="15">
        <v>44</v>
      </c>
      <c r="I244" s="3">
        <f t="shared" si="57"/>
        <v>13.333333333333334</v>
      </c>
      <c r="J244" s="3">
        <v>41.5</v>
      </c>
      <c r="K244" s="3">
        <v>9.65</v>
      </c>
      <c r="L244" s="3">
        <v>20.73</v>
      </c>
      <c r="M244" s="3">
        <v>1.54</v>
      </c>
      <c r="N244" s="3">
        <v>5.0999999999999996</v>
      </c>
      <c r="O244" s="3">
        <v>30.4</v>
      </c>
      <c r="P244" s="3">
        <v>5</v>
      </c>
      <c r="Q244" s="3">
        <f t="shared" si="56"/>
        <v>1.5151515151515151</v>
      </c>
      <c r="R244" s="3"/>
      <c r="S244" s="3"/>
      <c r="T244" s="3"/>
      <c r="U244" s="3"/>
      <c r="V244" s="3"/>
      <c r="W244" s="3"/>
      <c r="X244" s="3"/>
      <c r="Z244" s="3"/>
      <c r="AA244" s="3"/>
      <c r="AB244" s="3"/>
      <c r="AC244" s="3"/>
      <c r="AD244" s="3"/>
    </row>
    <row r="245" spans="1:30" ht="14">
      <c r="A245" s="17" t="s">
        <v>88</v>
      </c>
      <c r="B245" s="3"/>
      <c r="C245" s="3"/>
      <c r="D245" s="3"/>
      <c r="E245" s="3">
        <v>8</v>
      </c>
      <c r="F245" s="17" t="s">
        <v>102</v>
      </c>
      <c r="G245" s="5">
        <v>0.4236111111111111</v>
      </c>
      <c r="H245" s="15">
        <v>34</v>
      </c>
      <c r="I245" s="3">
        <f t="shared" si="57"/>
        <v>10.303030303030303</v>
      </c>
      <c r="J245" s="3">
        <v>2.7</v>
      </c>
      <c r="K245" s="3">
        <v>10.199999999999999</v>
      </c>
      <c r="L245" s="3">
        <v>3.4</v>
      </c>
      <c r="M245" s="3">
        <v>1.2</v>
      </c>
      <c r="N245" s="3">
        <v>7</v>
      </c>
      <c r="O245" s="3">
        <v>18.7</v>
      </c>
      <c r="P245" s="17" t="s">
        <v>68</v>
      </c>
      <c r="Q245" s="3" t="e">
        <f t="shared" si="56"/>
        <v>#VALUE!</v>
      </c>
      <c r="R245" s="3"/>
      <c r="S245" s="3"/>
      <c r="T245" s="3"/>
      <c r="U245" s="3"/>
      <c r="V245" s="3"/>
      <c r="W245" s="3"/>
      <c r="X245" s="3"/>
      <c r="Z245" s="3"/>
      <c r="AA245" s="3"/>
      <c r="AB245" s="17" t="s">
        <v>103</v>
      </c>
      <c r="AC245" s="17" t="s">
        <v>104</v>
      </c>
      <c r="AD245" s="17" t="s">
        <v>105</v>
      </c>
    </row>
    <row r="246" spans="1:30" ht="14">
      <c r="A246" s="17" t="s">
        <v>88</v>
      </c>
      <c r="B246" s="3"/>
      <c r="C246" s="3"/>
      <c r="D246" s="3"/>
      <c r="E246" s="3">
        <v>8</v>
      </c>
      <c r="F246" s="17" t="s">
        <v>102</v>
      </c>
      <c r="G246" s="5">
        <v>0.4236111111111111</v>
      </c>
      <c r="H246" s="15">
        <v>34</v>
      </c>
      <c r="I246" s="3">
        <f t="shared" si="57"/>
        <v>10.303030303030303</v>
      </c>
      <c r="J246" s="3">
        <v>16</v>
      </c>
      <c r="K246" s="3">
        <v>9.8000000000000007</v>
      </c>
      <c r="L246" s="3">
        <v>3.25</v>
      </c>
      <c r="M246" s="3">
        <v>1.5</v>
      </c>
      <c r="N246" s="3">
        <v>5</v>
      </c>
      <c r="O246" s="3">
        <v>30.3</v>
      </c>
      <c r="P246" s="3"/>
      <c r="Q246" s="3">
        <f t="shared" si="56"/>
        <v>0</v>
      </c>
      <c r="R246" s="3"/>
      <c r="S246" s="3"/>
      <c r="T246" s="3"/>
      <c r="U246" s="3"/>
      <c r="V246" s="3"/>
      <c r="W246" s="3"/>
      <c r="X246" s="3"/>
      <c r="Z246" s="3"/>
      <c r="AA246" s="3"/>
      <c r="AB246" s="3"/>
      <c r="AC246" s="3"/>
      <c r="AD246" s="3"/>
    </row>
    <row r="247" spans="1:30" ht="14">
      <c r="A247" s="17" t="s">
        <v>88</v>
      </c>
      <c r="B247" s="3"/>
      <c r="C247" s="3"/>
      <c r="D247" s="3"/>
      <c r="E247" s="3">
        <v>8</v>
      </c>
      <c r="F247" s="17" t="s">
        <v>102</v>
      </c>
      <c r="G247" s="5">
        <v>0.4236111111111111</v>
      </c>
      <c r="H247" s="15">
        <v>34</v>
      </c>
      <c r="I247" s="3">
        <f t="shared" si="57"/>
        <v>10.303030303030303</v>
      </c>
      <c r="J247" s="3">
        <v>35.700000000000003</v>
      </c>
      <c r="K247" s="3">
        <v>9.6999999999999993</v>
      </c>
      <c r="L247" s="3">
        <v>2.8</v>
      </c>
      <c r="M247" s="3">
        <v>2.5</v>
      </c>
      <c r="N247" s="3">
        <v>4.7</v>
      </c>
      <c r="O247" s="3">
        <v>32.6</v>
      </c>
      <c r="P247" s="3"/>
      <c r="Q247" s="3">
        <f t="shared" si="56"/>
        <v>0</v>
      </c>
      <c r="R247" s="3"/>
      <c r="S247" s="3"/>
      <c r="T247" s="3"/>
      <c r="U247" s="3"/>
      <c r="V247" s="3"/>
      <c r="W247" s="3"/>
      <c r="X247" s="3"/>
      <c r="Z247" s="3"/>
      <c r="AA247" s="3"/>
      <c r="AB247" s="3"/>
      <c r="AC247" s="3"/>
      <c r="AD247" s="3"/>
    </row>
    <row r="248" spans="1:30" ht="14">
      <c r="A248" s="17" t="s">
        <v>88</v>
      </c>
      <c r="B248" s="3"/>
      <c r="C248" s="3"/>
      <c r="D248" s="3"/>
      <c r="E248" s="3">
        <v>8</v>
      </c>
      <c r="F248" s="17" t="s">
        <v>106</v>
      </c>
      <c r="G248" s="5">
        <v>0.4465277777777778</v>
      </c>
      <c r="H248" s="15">
        <v>40</v>
      </c>
      <c r="I248" s="3">
        <f t="shared" si="57"/>
        <v>12.121212121212121</v>
      </c>
      <c r="J248" s="3">
        <v>2.2000000000000002</v>
      </c>
      <c r="K248" s="3">
        <v>10.1</v>
      </c>
      <c r="L248" s="3">
        <v>2.5</v>
      </c>
      <c r="M248" s="3">
        <v>0.9</v>
      </c>
      <c r="N248" s="3">
        <v>7</v>
      </c>
      <c r="O248" s="3">
        <v>20</v>
      </c>
      <c r="P248" s="3">
        <v>6</v>
      </c>
      <c r="Q248" s="3">
        <f t="shared" si="56"/>
        <v>1.8181818181818183</v>
      </c>
      <c r="R248" s="3"/>
      <c r="S248" s="3"/>
      <c r="T248" s="3"/>
      <c r="U248" s="3"/>
      <c r="V248" s="3"/>
      <c r="W248" s="3"/>
      <c r="X248" s="3"/>
      <c r="Z248" s="3"/>
      <c r="AA248" s="3"/>
      <c r="AB248" s="3"/>
      <c r="AC248" s="17" t="s">
        <v>107</v>
      </c>
      <c r="AD248" s="17" t="s">
        <v>108</v>
      </c>
    </row>
    <row r="249" spans="1:30" ht="14">
      <c r="A249" s="17" t="s">
        <v>88</v>
      </c>
      <c r="B249" s="3"/>
      <c r="C249" s="3"/>
      <c r="D249" s="3"/>
      <c r="E249" s="3">
        <v>8</v>
      </c>
      <c r="F249" s="17" t="s">
        <v>106</v>
      </c>
      <c r="G249" s="5">
        <v>0.4465277777777778</v>
      </c>
      <c r="H249" s="15">
        <v>40</v>
      </c>
      <c r="I249" s="3">
        <f t="shared" si="57"/>
        <v>12.121212121212121</v>
      </c>
      <c r="J249" s="3">
        <v>20</v>
      </c>
      <c r="K249" s="3">
        <v>9.8000000000000007</v>
      </c>
      <c r="L249" s="3">
        <v>2.9</v>
      </c>
      <c r="M249" s="3">
        <v>1.4</v>
      </c>
      <c r="N249" s="3">
        <v>5</v>
      </c>
      <c r="O249" s="3">
        <v>27</v>
      </c>
      <c r="P249" s="3">
        <v>6</v>
      </c>
      <c r="Q249" s="3">
        <f t="shared" si="56"/>
        <v>1.8181818181818183</v>
      </c>
      <c r="R249" s="3"/>
      <c r="S249" s="3"/>
      <c r="T249" s="3"/>
      <c r="U249" s="3"/>
      <c r="V249" s="3"/>
      <c r="W249" s="3"/>
      <c r="X249" s="3"/>
      <c r="Z249" s="3"/>
      <c r="AA249" s="3"/>
      <c r="AB249" s="3"/>
      <c r="AC249" s="3"/>
      <c r="AD249" s="3"/>
    </row>
    <row r="250" spans="1:30" ht="14">
      <c r="A250" s="17" t="s">
        <v>88</v>
      </c>
      <c r="B250" s="3"/>
      <c r="C250" s="3"/>
      <c r="D250" s="3"/>
      <c r="E250" s="3">
        <v>8</v>
      </c>
      <c r="F250" s="17" t="s">
        <v>106</v>
      </c>
      <c r="G250" s="5">
        <v>0.4465277777777778</v>
      </c>
      <c r="H250" s="15">
        <v>40</v>
      </c>
      <c r="I250" s="3">
        <f t="shared" si="57"/>
        <v>12.121212121212121</v>
      </c>
      <c r="J250" s="3">
        <v>38</v>
      </c>
      <c r="K250" s="3">
        <v>9.6999999999999993</v>
      </c>
      <c r="L250" s="3">
        <v>47</v>
      </c>
      <c r="M250" s="3">
        <v>1.2</v>
      </c>
      <c r="N250" s="3">
        <v>4.7</v>
      </c>
      <c r="O250" s="3">
        <v>32</v>
      </c>
      <c r="P250" s="3">
        <v>6</v>
      </c>
      <c r="Q250" s="3">
        <f t="shared" si="56"/>
        <v>1.8181818181818183</v>
      </c>
      <c r="R250" s="3"/>
      <c r="S250" s="3"/>
      <c r="T250" s="3"/>
      <c r="U250" s="3"/>
      <c r="V250" s="3"/>
      <c r="W250" s="3"/>
      <c r="X250" s="3"/>
      <c r="Z250" s="3"/>
      <c r="AA250" s="3"/>
      <c r="AB250" s="3"/>
      <c r="AC250" s="3"/>
      <c r="AD250" s="3"/>
    </row>
    <row r="251" spans="1:30" ht="14">
      <c r="A251" s="17" t="s">
        <v>109</v>
      </c>
      <c r="B251" s="3"/>
      <c r="C251" s="3"/>
      <c r="D251" s="3"/>
      <c r="E251" s="3">
        <v>2</v>
      </c>
      <c r="F251" s="3"/>
      <c r="G251" s="5">
        <v>9.3055555555555558E-2</v>
      </c>
      <c r="H251" s="19">
        <v>32</v>
      </c>
      <c r="I251" s="3">
        <f t="shared" si="57"/>
        <v>9.6969696969696972</v>
      </c>
      <c r="J251" s="3">
        <v>2.6</v>
      </c>
      <c r="K251" s="3">
        <v>7.8</v>
      </c>
      <c r="L251" s="3">
        <v>4.3499999999999996</v>
      </c>
      <c r="M251" s="3">
        <v>3.99</v>
      </c>
      <c r="N251" s="3">
        <v>21.7</v>
      </c>
      <c r="O251" s="3">
        <v>10.3</v>
      </c>
      <c r="P251" s="3">
        <v>3</v>
      </c>
      <c r="Q251" s="3">
        <f t="shared" si="56"/>
        <v>0.90909090909090917</v>
      </c>
      <c r="R251" s="3"/>
      <c r="S251" s="3"/>
      <c r="T251" s="3"/>
      <c r="U251" s="3"/>
      <c r="V251" s="3"/>
      <c r="W251" s="3"/>
      <c r="X251" s="3"/>
      <c r="Z251" s="3"/>
      <c r="AA251" s="3"/>
      <c r="AB251" s="17" t="s">
        <v>110</v>
      </c>
      <c r="AC251" s="17">
        <v>44.6479</v>
      </c>
      <c r="AD251" s="3">
        <v>68.8322</v>
      </c>
    </row>
    <row r="252" spans="1:30" ht="14">
      <c r="A252" s="17" t="s">
        <v>109</v>
      </c>
      <c r="B252" s="3"/>
      <c r="C252" s="3"/>
      <c r="D252" s="3"/>
      <c r="E252" s="3">
        <v>2</v>
      </c>
      <c r="F252" s="3"/>
      <c r="G252" s="5">
        <v>9.3055555555555558E-2</v>
      </c>
      <c r="H252" s="19">
        <v>32</v>
      </c>
      <c r="I252" s="3">
        <f t="shared" si="57"/>
        <v>9.6969696969696972</v>
      </c>
      <c r="J252" s="3">
        <v>15.3</v>
      </c>
      <c r="K252" s="3">
        <v>7.3</v>
      </c>
      <c r="L252" s="3">
        <v>8.6300000000000008</v>
      </c>
      <c r="M252" s="3">
        <v>4.97</v>
      </c>
      <c r="N252" s="3">
        <v>19.899999999999999</v>
      </c>
      <c r="O252" s="3">
        <v>14.8</v>
      </c>
      <c r="P252" s="3">
        <v>3</v>
      </c>
      <c r="Q252" s="3">
        <f t="shared" si="56"/>
        <v>0.90909090909090917</v>
      </c>
      <c r="R252" s="3"/>
      <c r="S252" s="3"/>
      <c r="T252" s="3"/>
      <c r="U252" s="3"/>
      <c r="V252" s="3"/>
      <c r="W252" s="3"/>
      <c r="X252" s="3"/>
      <c r="Z252" s="3"/>
      <c r="AA252" s="3"/>
      <c r="AB252" s="3"/>
      <c r="AC252" s="3"/>
      <c r="AD252" s="3"/>
    </row>
    <row r="253" spans="1:30" ht="14">
      <c r="A253" s="17" t="s">
        <v>109</v>
      </c>
      <c r="B253" s="3"/>
      <c r="C253" s="3"/>
      <c r="D253" s="3"/>
      <c r="E253" s="3">
        <v>2</v>
      </c>
      <c r="F253" s="3"/>
      <c r="G253" s="5">
        <v>9.3055555555555558E-2</v>
      </c>
      <c r="H253" s="19">
        <v>32</v>
      </c>
      <c r="I253" s="3">
        <f t="shared" si="57"/>
        <v>9.6969696969696972</v>
      </c>
      <c r="J253" s="3">
        <v>29.3</v>
      </c>
      <c r="K253" s="3">
        <v>7.01</v>
      </c>
      <c r="L253" s="3">
        <v>50.94</v>
      </c>
      <c r="M253" s="3">
        <v>7.7</v>
      </c>
      <c r="N253" s="3">
        <v>19.399999999999999</v>
      </c>
      <c r="O253" s="3">
        <v>16.3</v>
      </c>
      <c r="P253" s="3">
        <v>3</v>
      </c>
      <c r="Q253" s="3">
        <f t="shared" si="56"/>
        <v>0.90909090909090917</v>
      </c>
      <c r="R253" s="3"/>
      <c r="S253" s="3"/>
      <c r="T253" s="3"/>
      <c r="U253" s="3"/>
      <c r="V253" s="3"/>
      <c r="W253" s="3"/>
      <c r="X253" s="3"/>
      <c r="Z253" s="3"/>
      <c r="AA253" s="3"/>
      <c r="AB253" s="3"/>
      <c r="AC253" s="3"/>
      <c r="AD253" s="3"/>
    </row>
    <row r="254" spans="1:30" ht="14">
      <c r="A254" s="17" t="s">
        <v>109</v>
      </c>
      <c r="B254" s="3"/>
      <c r="C254" s="3"/>
      <c r="D254" s="3"/>
      <c r="E254" s="3">
        <v>4</v>
      </c>
      <c r="F254" s="3"/>
      <c r="G254" s="5">
        <v>0.52222222222222225</v>
      </c>
      <c r="H254" s="15">
        <v>20</v>
      </c>
      <c r="I254" s="3">
        <f t="shared" si="57"/>
        <v>6.0606060606060606</v>
      </c>
      <c r="J254" s="3">
        <v>3.25</v>
      </c>
      <c r="K254" s="3">
        <v>7.24</v>
      </c>
      <c r="L254" s="3">
        <v>4.63</v>
      </c>
      <c r="M254" s="3">
        <v>6.24</v>
      </c>
      <c r="N254" s="3">
        <v>18.327000000000002</v>
      </c>
      <c r="O254" s="3">
        <v>19.93</v>
      </c>
      <c r="P254" s="3">
        <v>4.5</v>
      </c>
      <c r="Q254" s="3">
        <f t="shared" si="56"/>
        <v>1.3636363636363638</v>
      </c>
      <c r="R254" s="3"/>
      <c r="S254" s="3"/>
      <c r="T254" s="3"/>
      <c r="U254" s="3"/>
      <c r="V254" s="3"/>
      <c r="W254" s="3"/>
      <c r="X254" s="3"/>
      <c r="Z254" s="3"/>
      <c r="AA254" s="3"/>
      <c r="AB254" s="3"/>
      <c r="AC254" s="3"/>
      <c r="AD254" s="3"/>
    </row>
    <row r="255" spans="1:30" ht="14">
      <c r="A255" s="17" t="s">
        <v>109</v>
      </c>
      <c r="B255" s="3"/>
      <c r="C255" s="3"/>
      <c r="D255" s="3"/>
      <c r="E255" s="3">
        <v>4</v>
      </c>
      <c r="F255" s="3"/>
      <c r="G255" s="5">
        <v>0.52222222222222225</v>
      </c>
      <c r="H255" s="15">
        <v>20</v>
      </c>
      <c r="I255" s="3">
        <f t="shared" si="57"/>
        <v>6.0606060606060606</v>
      </c>
      <c r="J255" s="3">
        <v>10.686</v>
      </c>
      <c r="K255" s="3">
        <v>7.02</v>
      </c>
      <c r="L255" s="3">
        <v>14.05</v>
      </c>
      <c r="M255" s="3">
        <v>13.48</v>
      </c>
      <c r="N255" s="3">
        <v>16.475999999999999</v>
      </c>
      <c r="O255" s="3">
        <v>25.97</v>
      </c>
      <c r="P255" s="3">
        <v>4.5</v>
      </c>
      <c r="Q255" s="3">
        <f t="shared" si="56"/>
        <v>1.3636363636363638</v>
      </c>
      <c r="R255" s="3"/>
      <c r="S255" s="3"/>
      <c r="T255" s="3"/>
      <c r="U255" s="3"/>
      <c r="V255" s="3"/>
      <c r="W255" s="3"/>
      <c r="X255" s="3"/>
      <c r="Z255" s="3"/>
      <c r="AA255" s="3"/>
      <c r="AB255" s="3"/>
      <c r="AC255" s="3"/>
      <c r="AD255" s="3"/>
    </row>
    <row r="256" spans="1:30" ht="14">
      <c r="A256" s="17" t="s">
        <v>109</v>
      </c>
      <c r="B256" s="3"/>
      <c r="C256" s="3"/>
      <c r="D256" s="3"/>
      <c r="E256" s="3">
        <v>4</v>
      </c>
      <c r="F256" s="3"/>
      <c r="G256" s="5">
        <v>0.52222222222222225</v>
      </c>
      <c r="H256" s="15">
        <v>20</v>
      </c>
      <c r="I256" s="3">
        <f t="shared" si="57"/>
        <v>6.0606060606060606</v>
      </c>
      <c r="J256" s="3">
        <v>17.446000000000002</v>
      </c>
      <c r="K256" s="3">
        <v>7.04</v>
      </c>
      <c r="L256" s="3">
        <v>20.39</v>
      </c>
      <c r="M256" s="3">
        <v>14.95</v>
      </c>
      <c r="N256" s="3">
        <v>16.138000000000002</v>
      </c>
      <c r="O256" s="3">
        <v>26.87</v>
      </c>
      <c r="P256" s="3">
        <v>4.5</v>
      </c>
      <c r="Q256" s="3">
        <f t="shared" si="56"/>
        <v>1.3636363636363638</v>
      </c>
      <c r="R256" s="3"/>
      <c r="S256" s="3"/>
      <c r="T256" s="3"/>
      <c r="U256" s="3"/>
      <c r="V256" s="3"/>
      <c r="W256" s="3"/>
      <c r="X256" s="3"/>
      <c r="Z256" s="3"/>
      <c r="AA256" s="3"/>
      <c r="AB256" s="3"/>
      <c r="AC256" s="3"/>
      <c r="AD256" s="3"/>
    </row>
    <row r="257" spans="1:30" ht="14">
      <c r="A257" s="17" t="s">
        <v>109</v>
      </c>
      <c r="B257" s="3"/>
      <c r="C257" s="3"/>
      <c r="D257" s="3"/>
      <c r="E257" s="3">
        <v>5</v>
      </c>
      <c r="F257" s="3"/>
      <c r="G257" s="5">
        <v>0.48958333333333331</v>
      </c>
      <c r="H257" s="15">
        <v>32.4</v>
      </c>
      <c r="I257" s="3">
        <f t="shared" si="57"/>
        <v>9.8181818181818183</v>
      </c>
      <c r="J257" s="3">
        <v>3.0030000000000001</v>
      </c>
      <c r="K257" s="3">
        <v>7.52</v>
      </c>
      <c r="L257" s="3">
        <v>3.73</v>
      </c>
      <c r="M257" s="3">
        <v>3.61</v>
      </c>
      <c r="N257" s="3">
        <v>19.12</v>
      </c>
      <c r="O257" s="3">
        <v>19.13</v>
      </c>
      <c r="P257" s="3">
        <v>5</v>
      </c>
      <c r="Q257" s="3">
        <f t="shared" si="56"/>
        <v>1.5151515151515151</v>
      </c>
      <c r="R257" s="3"/>
      <c r="S257" s="3"/>
      <c r="T257" s="3"/>
      <c r="U257" s="3"/>
      <c r="V257" s="3"/>
      <c r="W257" s="3"/>
      <c r="X257" s="3"/>
      <c r="Z257" s="3"/>
      <c r="AA257" s="3"/>
      <c r="AB257" s="3"/>
      <c r="AC257" s="3">
        <v>44.538899999999998</v>
      </c>
      <c r="AD257" s="3">
        <v>68.803799999999995</v>
      </c>
    </row>
    <row r="258" spans="1:30" ht="14">
      <c r="A258" s="17" t="s">
        <v>109</v>
      </c>
      <c r="B258" s="3"/>
      <c r="C258" s="3"/>
      <c r="D258" s="3"/>
      <c r="E258" s="3">
        <v>5</v>
      </c>
      <c r="F258" s="3"/>
      <c r="G258" s="5">
        <v>0.48958333333333331</v>
      </c>
      <c r="H258" s="15">
        <v>32.4</v>
      </c>
      <c r="I258" s="3">
        <f t="shared" si="57"/>
        <v>9.8181818181818183</v>
      </c>
      <c r="J258" s="3">
        <v>14.81</v>
      </c>
      <c r="K258" s="3">
        <v>7.18</v>
      </c>
      <c r="L258" s="3">
        <v>4.78</v>
      </c>
      <c r="M258" s="3">
        <v>7.48</v>
      </c>
      <c r="N258" s="3">
        <v>17.584</v>
      </c>
      <c r="O258" s="3">
        <v>22.47</v>
      </c>
      <c r="P258" s="3">
        <v>5</v>
      </c>
      <c r="Q258" s="3">
        <f t="shared" si="56"/>
        <v>1.5151515151515151</v>
      </c>
      <c r="R258" s="3"/>
      <c r="S258" s="3"/>
      <c r="T258" s="3"/>
      <c r="U258" s="3"/>
      <c r="V258" s="3"/>
      <c r="W258" s="3"/>
      <c r="X258" s="3"/>
      <c r="Z258" s="3"/>
      <c r="AA258" s="3"/>
      <c r="AB258" s="3"/>
      <c r="AC258" s="3"/>
      <c r="AD258" s="3"/>
    </row>
    <row r="259" spans="1:30" ht="14">
      <c r="A259" s="17" t="s">
        <v>109</v>
      </c>
      <c r="B259" s="3"/>
      <c r="C259" s="3"/>
      <c r="D259" s="3"/>
      <c r="E259" s="3">
        <v>5</v>
      </c>
      <c r="F259" s="3"/>
      <c r="G259" s="5">
        <v>0.48958333333333331</v>
      </c>
      <c r="H259" s="15">
        <v>32.4</v>
      </c>
      <c r="I259" s="3">
        <f t="shared" si="57"/>
        <v>9.8181818181818183</v>
      </c>
      <c r="J259" s="3">
        <v>27.556000000000001</v>
      </c>
      <c r="K259" s="3">
        <v>7.23</v>
      </c>
      <c r="L259" s="3">
        <v>6.96</v>
      </c>
      <c r="M259" s="3">
        <v>13.04</v>
      </c>
      <c r="N259" s="3">
        <v>15.867000000000001</v>
      </c>
      <c r="O259" s="3">
        <v>27.83</v>
      </c>
      <c r="P259" s="3">
        <v>5</v>
      </c>
      <c r="Q259" s="3">
        <f t="shared" si="56"/>
        <v>1.5151515151515151</v>
      </c>
      <c r="R259" s="3"/>
      <c r="S259" s="3"/>
      <c r="T259" s="3"/>
      <c r="U259" s="3"/>
      <c r="V259" s="3"/>
      <c r="W259" s="3"/>
      <c r="X259" s="3"/>
      <c r="Z259" s="3"/>
      <c r="AA259" s="3"/>
      <c r="AB259" s="3"/>
      <c r="AC259" s="3"/>
      <c r="AD259" s="3"/>
    </row>
    <row r="260" spans="1:30" ht="14">
      <c r="A260" s="17" t="s">
        <v>109</v>
      </c>
      <c r="B260" s="3"/>
      <c r="C260" s="3"/>
      <c r="D260" s="3"/>
      <c r="E260" s="3">
        <v>8</v>
      </c>
      <c r="F260" s="3"/>
      <c r="G260" s="5">
        <v>0.43472222222222223</v>
      </c>
      <c r="H260" s="15">
        <v>38.5</v>
      </c>
      <c r="I260" s="3">
        <f t="shared" si="57"/>
        <v>11.666666666666668</v>
      </c>
      <c r="J260" s="3">
        <v>5.6</v>
      </c>
      <c r="K260" s="3">
        <v>7.7</v>
      </c>
      <c r="L260" s="3">
        <v>5.6</v>
      </c>
      <c r="M260" s="3">
        <v>9.77</v>
      </c>
      <c r="N260" s="3">
        <v>16.3</v>
      </c>
      <c r="O260" s="3">
        <v>27.3</v>
      </c>
      <c r="P260" s="17" t="s">
        <v>68</v>
      </c>
      <c r="Q260" s="3" t="e">
        <f t="shared" si="56"/>
        <v>#VALUE!</v>
      </c>
      <c r="R260" s="3"/>
      <c r="S260" s="3"/>
      <c r="T260" s="3"/>
      <c r="U260" s="3"/>
      <c r="V260" s="3"/>
      <c r="W260" s="3"/>
      <c r="X260" s="3"/>
      <c r="Z260" s="3"/>
      <c r="AA260" s="3"/>
      <c r="AB260" s="17" t="s">
        <v>111</v>
      </c>
      <c r="AC260" s="17" t="s">
        <v>112</v>
      </c>
      <c r="AD260" s="17" t="s">
        <v>105</v>
      </c>
    </row>
    <row r="261" spans="1:30" ht="14">
      <c r="A261" s="17" t="s">
        <v>109</v>
      </c>
      <c r="B261" s="3"/>
      <c r="C261" s="3"/>
      <c r="D261" s="3"/>
      <c r="E261" s="3">
        <v>8</v>
      </c>
      <c r="F261" s="3"/>
      <c r="G261" s="5">
        <v>0.43472222222222223</v>
      </c>
      <c r="H261" s="15">
        <v>38.5</v>
      </c>
      <c r="I261" s="3">
        <f t="shared" si="57"/>
        <v>11.666666666666668</v>
      </c>
      <c r="J261" s="3">
        <v>15.9</v>
      </c>
      <c r="K261" s="3">
        <v>7.6</v>
      </c>
      <c r="L261" s="3">
        <v>4.9000000000000004</v>
      </c>
      <c r="M261" s="3">
        <v>16.489999999999998</v>
      </c>
      <c r="N261" s="3">
        <v>15.8</v>
      </c>
      <c r="O261" s="3">
        <v>28.6</v>
      </c>
      <c r="P261" s="3"/>
      <c r="Q261" s="3">
        <f t="shared" si="56"/>
        <v>0</v>
      </c>
      <c r="R261" s="3"/>
      <c r="S261" s="3"/>
      <c r="T261" s="3"/>
      <c r="U261" s="3"/>
      <c r="V261" s="3"/>
      <c r="W261" s="3"/>
      <c r="X261" s="3"/>
      <c r="Z261" s="3"/>
      <c r="AA261" s="3"/>
      <c r="AB261" s="3"/>
      <c r="AC261" s="3"/>
      <c r="AD261" s="3"/>
    </row>
    <row r="262" spans="1:30" ht="14">
      <c r="A262" s="17" t="s">
        <v>109</v>
      </c>
      <c r="B262" s="3"/>
      <c r="C262" s="3"/>
      <c r="D262" s="3"/>
      <c r="E262" s="3">
        <v>8</v>
      </c>
      <c r="F262" s="3"/>
      <c r="G262" s="5">
        <v>0.43472222222222223</v>
      </c>
      <c r="H262" s="15">
        <v>38.5</v>
      </c>
      <c r="I262" s="3">
        <f t="shared" si="57"/>
        <v>11.666666666666668</v>
      </c>
      <c r="J262" s="3">
        <v>35.5</v>
      </c>
      <c r="K262" s="3">
        <v>7.4</v>
      </c>
      <c r="L262" s="3">
        <v>4.3</v>
      </c>
      <c r="M262" s="3">
        <v>16.2</v>
      </c>
      <c r="N262" s="3">
        <v>14.4</v>
      </c>
      <c r="O262" s="3">
        <v>31.9</v>
      </c>
      <c r="P262" s="3"/>
      <c r="Q262" s="3">
        <f t="shared" si="56"/>
        <v>0</v>
      </c>
      <c r="R262" s="3"/>
      <c r="S262" s="3"/>
      <c r="T262" s="3"/>
      <c r="U262" s="3"/>
      <c r="V262" s="3"/>
      <c r="W262" s="3"/>
      <c r="X262" s="3"/>
      <c r="Z262" s="3"/>
      <c r="AA262" s="3"/>
      <c r="AB262" s="3"/>
      <c r="AC262" s="3"/>
      <c r="AD262" s="3"/>
    </row>
    <row r="263" spans="1:30" ht="14">
      <c r="A263" s="17" t="s">
        <v>109</v>
      </c>
      <c r="B263" s="3"/>
      <c r="C263" s="3"/>
      <c r="D263" s="3"/>
      <c r="E263" s="3">
        <v>8</v>
      </c>
      <c r="F263" s="3"/>
      <c r="G263" s="5">
        <v>0.46111111111111108</v>
      </c>
      <c r="H263" s="15">
        <v>38</v>
      </c>
      <c r="I263" s="3">
        <f t="shared" si="57"/>
        <v>11.515151515151516</v>
      </c>
      <c r="J263" s="3">
        <v>2.1</v>
      </c>
      <c r="K263" s="3">
        <v>7.6</v>
      </c>
      <c r="L263" s="3">
        <v>3.9</v>
      </c>
      <c r="M263" s="3">
        <v>4.5999999999999996</v>
      </c>
      <c r="N263" s="3">
        <v>17.2</v>
      </c>
      <c r="O263" s="3">
        <v>24.7</v>
      </c>
      <c r="P263" s="3">
        <v>4.5</v>
      </c>
      <c r="Q263" s="3">
        <f t="shared" si="56"/>
        <v>1.3636363636363638</v>
      </c>
      <c r="R263" s="3"/>
      <c r="S263" s="3"/>
      <c r="T263" s="3"/>
      <c r="U263" s="3"/>
      <c r="V263" s="3"/>
      <c r="W263" s="3"/>
      <c r="X263" s="3"/>
      <c r="Z263" s="3"/>
      <c r="AA263" s="3"/>
      <c r="AB263" s="3"/>
      <c r="AC263" s="3"/>
      <c r="AD263" s="3"/>
    </row>
    <row r="264" spans="1:30" ht="14">
      <c r="A264" s="17" t="s">
        <v>109</v>
      </c>
      <c r="B264" s="3"/>
      <c r="C264" s="3"/>
      <c r="D264" s="3"/>
      <c r="E264" s="3">
        <v>8</v>
      </c>
      <c r="F264" s="3"/>
      <c r="G264" s="5">
        <v>0.46111111111111108</v>
      </c>
      <c r="H264" s="15">
        <v>38</v>
      </c>
      <c r="I264" s="3">
        <f t="shared" si="57"/>
        <v>11.515151515151516</v>
      </c>
      <c r="J264" s="3">
        <v>19.7</v>
      </c>
      <c r="K264" s="3">
        <v>7.6</v>
      </c>
      <c r="L264" s="3">
        <v>4.8</v>
      </c>
      <c r="M264" s="3">
        <v>10.6</v>
      </c>
      <c r="N264" s="3">
        <v>16.100000000000001</v>
      </c>
      <c r="O264" s="3">
        <v>28.2</v>
      </c>
      <c r="P264" s="3">
        <v>4.5</v>
      </c>
      <c r="Q264" s="3">
        <f t="shared" si="56"/>
        <v>1.3636363636363638</v>
      </c>
      <c r="R264" s="3"/>
      <c r="S264" s="3"/>
      <c r="T264" s="3"/>
      <c r="U264" s="3"/>
      <c r="V264" s="3"/>
      <c r="W264" s="3"/>
      <c r="X264" s="3"/>
      <c r="Z264" s="3"/>
      <c r="AA264" s="3"/>
      <c r="AB264" s="3"/>
      <c r="AC264" s="3"/>
      <c r="AD264" s="3"/>
    </row>
    <row r="265" spans="1:30" ht="14">
      <c r="A265" s="17" t="s">
        <v>109</v>
      </c>
      <c r="B265" s="3"/>
      <c r="C265" s="3"/>
      <c r="D265" s="3"/>
      <c r="E265" s="3">
        <v>8</v>
      </c>
      <c r="F265" s="3"/>
      <c r="G265" s="5">
        <v>0.46111111111111108</v>
      </c>
      <c r="H265" s="15">
        <v>38</v>
      </c>
      <c r="I265" s="3">
        <f t="shared" si="57"/>
        <v>11.515151515151516</v>
      </c>
      <c r="J265" s="3">
        <v>35.299999999999997</v>
      </c>
      <c r="K265" s="3">
        <v>7.3</v>
      </c>
      <c r="L265" s="3">
        <v>3.7</v>
      </c>
      <c r="M265" s="3">
        <v>14.8</v>
      </c>
      <c r="N265" s="3">
        <v>14.5</v>
      </c>
      <c r="O265" s="3">
        <v>32</v>
      </c>
      <c r="P265" s="3">
        <v>4.5</v>
      </c>
      <c r="Q265" s="3">
        <f t="shared" ref="Q265:Q289" si="58">P265/3.3</f>
        <v>1.3636363636363638</v>
      </c>
      <c r="R265" s="3"/>
      <c r="S265" s="3"/>
      <c r="T265" s="3"/>
      <c r="U265" s="3"/>
      <c r="V265" s="3"/>
      <c r="W265" s="3"/>
      <c r="X265" s="3"/>
      <c r="Z265" s="3"/>
      <c r="AA265" s="3"/>
      <c r="AB265" s="3"/>
      <c r="AC265" s="3"/>
      <c r="AD265" s="3"/>
    </row>
    <row r="266" spans="1:30" ht="14">
      <c r="A266" s="17" t="s">
        <v>113</v>
      </c>
      <c r="B266" s="3"/>
      <c r="C266" s="3"/>
      <c r="D266" s="3"/>
      <c r="E266" s="3">
        <v>2</v>
      </c>
      <c r="F266" s="3"/>
      <c r="G266" s="5">
        <v>7.9166666666666663E-2</v>
      </c>
      <c r="H266" s="15">
        <v>37.4</v>
      </c>
      <c r="I266" s="3">
        <f t="shared" si="57"/>
        <v>11.333333333333334</v>
      </c>
      <c r="J266" s="3">
        <v>2.7280000000000002</v>
      </c>
      <c r="K266" s="3">
        <v>6.95</v>
      </c>
      <c r="L266" s="3">
        <v>11.75</v>
      </c>
      <c r="M266" s="3">
        <v>3.49</v>
      </c>
      <c r="N266" s="3">
        <v>18.780999999999999</v>
      </c>
      <c r="O266" s="3">
        <v>15.78</v>
      </c>
      <c r="P266" s="3">
        <v>2.5</v>
      </c>
      <c r="Q266" s="3">
        <f t="shared" si="58"/>
        <v>0.75757575757575757</v>
      </c>
      <c r="R266" s="3"/>
      <c r="S266" s="3"/>
      <c r="T266" s="3"/>
      <c r="U266" s="3"/>
      <c r="V266" s="3"/>
      <c r="W266" s="3"/>
      <c r="X266" s="3"/>
      <c r="Z266" s="3"/>
      <c r="AA266" s="3"/>
      <c r="AB266" s="3"/>
      <c r="AC266" s="17" t="s">
        <v>114</v>
      </c>
      <c r="AD266" s="17" t="s">
        <v>115</v>
      </c>
    </row>
    <row r="267" spans="1:30" ht="14">
      <c r="A267" s="17" t="s">
        <v>113</v>
      </c>
      <c r="B267" s="3"/>
      <c r="C267" s="3"/>
      <c r="D267" s="3"/>
      <c r="E267" s="3">
        <v>2</v>
      </c>
      <c r="F267" s="3"/>
      <c r="G267" s="5">
        <v>7.9166666666666663E-2</v>
      </c>
      <c r="H267" s="15">
        <v>37.4</v>
      </c>
      <c r="I267" s="3">
        <f t="shared" si="57"/>
        <v>11.333333333333334</v>
      </c>
      <c r="J267" s="3">
        <v>17.396000000000001</v>
      </c>
      <c r="K267" s="3">
        <v>6.58</v>
      </c>
      <c r="L267" s="3">
        <v>16.88</v>
      </c>
      <c r="M267" s="3">
        <v>3.81</v>
      </c>
      <c r="N267" s="3">
        <v>17.942</v>
      </c>
      <c r="O267" s="3">
        <v>18.16</v>
      </c>
      <c r="P267" s="3">
        <v>2.5</v>
      </c>
      <c r="Q267" s="3">
        <f t="shared" si="58"/>
        <v>0.75757575757575757</v>
      </c>
      <c r="R267" s="3"/>
      <c r="S267" s="3"/>
      <c r="T267" s="3"/>
      <c r="U267" s="3"/>
      <c r="V267" s="3"/>
      <c r="W267" s="3"/>
      <c r="X267" s="3"/>
      <c r="Z267" s="3"/>
      <c r="AA267" s="3"/>
      <c r="AB267" s="3"/>
      <c r="AC267" s="3"/>
      <c r="AD267" s="3"/>
    </row>
    <row r="268" spans="1:30" ht="14">
      <c r="A268" s="17" t="s">
        <v>113</v>
      </c>
      <c r="B268" s="3"/>
      <c r="C268" s="3"/>
      <c r="D268" s="3"/>
      <c r="E268" s="3">
        <v>2</v>
      </c>
      <c r="F268" s="3"/>
      <c r="G268" s="5">
        <v>7.9166666666666663E-2</v>
      </c>
      <c r="H268" s="15">
        <v>37.4</v>
      </c>
      <c r="I268" s="3">
        <f t="shared" si="57"/>
        <v>11.333333333333334</v>
      </c>
      <c r="J268" s="3">
        <v>33.582999999999998</v>
      </c>
      <c r="K268" s="3">
        <v>6.48</v>
      </c>
      <c r="L268" s="3">
        <v>28.81</v>
      </c>
      <c r="M268" s="3">
        <v>4.7</v>
      </c>
      <c r="N268" s="3">
        <v>17.824000000000002</v>
      </c>
      <c r="O268" s="3">
        <v>18.41</v>
      </c>
      <c r="P268" s="3">
        <v>2.5</v>
      </c>
      <c r="Q268" s="3">
        <f t="shared" si="58"/>
        <v>0.75757575757575757</v>
      </c>
      <c r="R268" s="3"/>
      <c r="S268" s="3"/>
      <c r="T268" s="3"/>
      <c r="U268" s="3"/>
      <c r="V268" s="3"/>
      <c r="W268" s="3"/>
      <c r="X268" s="3"/>
      <c r="Z268" s="3"/>
      <c r="AA268" s="3"/>
      <c r="AB268" s="3"/>
      <c r="AC268" s="3"/>
      <c r="AD268" s="3"/>
    </row>
    <row r="269" spans="1:30" ht="14">
      <c r="A269" s="17" t="s">
        <v>113</v>
      </c>
      <c r="B269" s="3"/>
      <c r="C269" s="3"/>
      <c r="D269" s="3"/>
      <c r="E269" s="3">
        <v>4</v>
      </c>
      <c r="F269" s="3"/>
      <c r="G269" s="5">
        <v>0.52083333333333337</v>
      </c>
      <c r="H269" s="15">
        <v>22.3</v>
      </c>
      <c r="I269" s="3">
        <f t="shared" si="57"/>
        <v>6.7575757575757578</v>
      </c>
      <c r="J269" s="3">
        <v>2.15</v>
      </c>
      <c r="K269" s="3">
        <v>6.81</v>
      </c>
      <c r="L269" s="3">
        <v>9.43</v>
      </c>
      <c r="M269" s="3">
        <v>3.91</v>
      </c>
      <c r="N269" s="3">
        <v>17.376999999999999</v>
      </c>
      <c r="O269" s="3">
        <v>21.68</v>
      </c>
      <c r="P269" s="17" t="s">
        <v>68</v>
      </c>
      <c r="Q269" s="3" t="e">
        <f t="shared" si="58"/>
        <v>#VALUE!</v>
      </c>
      <c r="R269" s="3"/>
      <c r="S269" s="3"/>
      <c r="T269" s="3"/>
      <c r="U269" s="3"/>
      <c r="V269" s="3"/>
      <c r="W269" s="3"/>
      <c r="X269" s="3"/>
      <c r="Z269" s="3"/>
      <c r="AA269" s="3"/>
      <c r="AB269" s="3"/>
      <c r="AC269" s="17" t="s">
        <v>116</v>
      </c>
      <c r="AD269" s="17" t="s">
        <v>117</v>
      </c>
    </row>
    <row r="270" spans="1:30" ht="14">
      <c r="A270" s="17" t="s">
        <v>113</v>
      </c>
      <c r="B270" s="3"/>
      <c r="C270" s="3"/>
      <c r="D270" s="3"/>
      <c r="E270" s="3">
        <v>4</v>
      </c>
      <c r="F270" s="3"/>
      <c r="G270" s="5">
        <v>0.52083333333333337</v>
      </c>
      <c r="H270" s="15">
        <v>22.3</v>
      </c>
      <c r="I270" s="3">
        <f t="shared" si="57"/>
        <v>6.7575757575757578</v>
      </c>
      <c r="J270" s="3">
        <v>11.708</v>
      </c>
      <c r="K270" s="3">
        <v>6.6</v>
      </c>
      <c r="L270" s="3">
        <v>12.57</v>
      </c>
      <c r="M270" s="3">
        <v>5.77</v>
      </c>
      <c r="N270" s="3">
        <v>16.346</v>
      </c>
      <c r="O270" s="3">
        <v>25.61</v>
      </c>
      <c r="P270" s="3"/>
      <c r="Q270" s="3">
        <f t="shared" si="58"/>
        <v>0</v>
      </c>
      <c r="R270" s="3"/>
      <c r="S270" s="3"/>
      <c r="T270" s="3"/>
      <c r="U270" s="3"/>
      <c r="V270" s="3"/>
      <c r="W270" s="3"/>
      <c r="X270" s="3"/>
      <c r="Z270" s="3"/>
      <c r="AA270" s="3"/>
      <c r="AB270" s="3"/>
      <c r="AC270" s="3"/>
      <c r="AD270" s="3"/>
    </row>
    <row r="271" spans="1:30" ht="14">
      <c r="A271" s="17" t="s">
        <v>113</v>
      </c>
      <c r="B271" s="3"/>
      <c r="C271" s="3"/>
      <c r="D271" s="3"/>
      <c r="E271" s="3">
        <v>4</v>
      </c>
      <c r="F271" s="3"/>
      <c r="G271" s="5">
        <v>0.52083333333333337</v>
      </c>
      <c r="H271" s="15">
        <v>22.3</v>
      </c>
      <c r="I271" s="3">
        <f t="shared" si="57"/>
        <v>6.7575757575757578</v>
      </c>
      <c r="J271" s="3">
        <v>20.509</v>
      </c>
      <c r="K271" s="3">
        <v>6.47</v>
      </c>
      <c r="L271" s="3">
        <v>15.06</v>
      </c>
      <c r="M271" s="3">
        <v>12.9</v>
      </c>
      <c r="N271" s="3">
        <v>15.666</v>
      </c>
      <c r="O271" s="3">
        <v>28.23</v>
      </c>
      <c r="P271" s="3"/>
      <c r="Q271" s="3">
        <f t="shared" si="58"/>
        <v>0</v>
      </c>
      <c r="R271" s="3"/>
      <c r="S271" s="3"/>
      <c r="T271" s="3"/>
      <c r="U271" s="3"/>
      <c r="V271" s="3"/>
      <c r="W271" s="3"/>
      <c r="X271" s="3"/>
      <c r="Z271" s="3"/>
      <c r="AA271" s="3"/>
      <c r="AB271" s="3"/>
      <c r="AC271" s="3"/>
      <c r="AD271" s="3"/>
    </row>
    <row r="272" spans="1:30" ht="14">
      <c r="A272" s="17" t="s">
        <v>113</v>
      </c>
      <c r="B272" s="3"/>
      <c r="C272" s="3"/>
      <c r="D272" s="3"/>
      <c r="E272" s="3">
        <v>5</v>
      </c>
      <c r="F272" s="3"/>
      <c r="G272" s="5">
        <v>0.48194444444444445</v>
      </c>
      <c r="H272" s="15">
        <v>49.8</v>
      </c>
      <c r="I272" s="3">
        <f t="shared" si="57"/>
        <v>15.090909090909092</v>
      </c>
      <c r="J272" s="3">
        <v>2.536</v>
      </c>
      <c r="K272" s="3">
        <v>6.8</v>
      </c>
      <c r="L272" s="3">
        <v>5.15</v>
      </c>
      <c r="M272" s="3">
        <v>2.83</v>
      </c>
      <c r="N272" s="3">
        <v>17.946000000000002</v>
      </c>
      <c r="O272" s="3">
        <v>19.8</v>
      </c>
      <c r="P272" s="3">
        <v>4</v>
      </c>
      <c r="Q272" s="3">
        <f t="shared" si="58"/>
        <v>1.2121212121212122</v>
      </c>
      <c r="R272" s="3"/>
      <c r="S272" s="3"/>
      <c r="T272" s="3"/>
      <c r="U272" s="3"/>
      <c r="V272" s="3"/>
      <c r="W272" s="3"/>
      <c r="X272" s="3"/>
      <c r="Z272" s="3"/>
      <c r="AA272" s="3"/>
      <c r="AB272" s="3"/>
      <c r="AC272" s="17" t="s">
        <v>118</v>
      </c>
      <c r="AD272" s="17" t="s">
        <v>119</v>
      </c>
    </row>
    <row r="273" spans="1:30" ht="14">
      <c r="A273" s="17" t="s">
        <v>113</v>
      </c>
      <c r="B273" s="3"/>
      <c r="C273" s="3"/>
      <c r="D273" s="3"/>
      <c r="E273" s="3">
        <v>5</v>
      </c>
      <c r="F273" s="3"/>
      <c r="G273" s="5">
        <v>0.48194444444444445</v>
      </c>
      <c r="H273" s="15">
        <v>49.8</v>
      </c>
      <c r="I273" s="3">
        <f t="shared" si="57"/>
        <v>15.090909090909092</v>
      </c>
      <c r="J273" s="3">
        <v>23.64</v>
      </c>
      <c r="K273" s="3">
        <v>6.61</v>
      </c>
      <c r="L273" s="3">
        <v>5.82</v>
      </c>
      <c r="M273" s="3">
        <v>6.53</v>
      </c>
      <c r="N273" s="3">
        <v>16.094000000000001</v>
      </c>
      <c r="O273" s="3">
        <v>26.8</v>
      </c>
      <c r="P273" s="3">
        <v>4</v>
      </c>
      <c r="Q273" s="3">
        <f t="shared" si="58"/>
        <v>1.2121212121212122</v>
      </c>
      <c r="R273" s="3"/>
      <c r="S273" s="3"/>
      <c r="T273" s="3"/>
      <c r="U273" s="3"/>
      <c r="V273" s="3"/>
      <c r="W273" s="3"/>
      <c r="X273" s="3"/>
      <c r="Z273" s="3"/>
      <c r="AA273" s="3"/>
      <c r="AB273" s="3"/>
      <c r="AC273" s="3"/>
      <c r="AD273" s="3"/>
    </row>
    <row r="274" spans="1:30" ht="14">
      <c r="A274" s="17" t="s">
        <v>113</v>
      </c>
      <c r="B274" s="3"/>
      <c r="C274" s="3"/>
      <c r="D274" s="3"/>
      <c r="E274" s="3">
        <v>5</v>
      </c>
      <c r="F274" s="3"/>
      <c r="G274" s="5">
        <v>0.48194444444444445</v>
      </c>
      <c r="H274" s="15">
        <v>49.8</v>
      </c>
      <c r="I274" s="3">
        <f t="shared" si="57"/>
        <v>15.090909090909092</v>
      </c>
      <c r="J274" s="3">
        <v>46.366999999999997</v>
      </c>
      <c r="K274" s="3">
        <v>6.59</v>
      </c>
      <c r="L274" s="3">
        <v>13.6</v>
      </c>
      <c r="M274" s="3">
        <v>6.37</v>
      </c>
      <c r="N274" s="3">
        <v>15.888</v>
      </c>
      <c r="O274" s="3">
        <v>27.61</v>
      </c>
      <c r="P274" s="3">
        <v>4</v>
      </c>
      <c r="Q274" s="3">
        <f t="shared" si="58"/>
        <v>1.2121212121212122</v>
      </c>
      <c r="R274" s="3"/>
      <c r="S274" s="3"/>
      <c r="T274" s="3"/>
      <c r="U274" s="3"/>
      <c r="V274" s="3"/>
      <c r="W274" s="3"/>
      <c r="X274" s="3"/>
      <c r="Z274" s="3"/>
      <c r="AA274" s="3"/>
      <c r="AB274" s="3"/>
      <c r="AC274" s="3"/>
      <c r="AD274" s="3"/>
    </row>
    <row r="275" spans="1:30" ht="14">
      <c r="A275" s="17" t="s">
        <v>113</v>
      </c>
      <c r="B275" s="3"/>
      <c r="C275" s="3"/>
      <c r="D275" s="3"/>
      <c r="E275" s="3">
        <v>8</v>
      </c>
      <c r="F275" s="3"/>
      <c r="G275" s="5">
        <v>0.40347222222222223</v>
      </c>
      <c r="H275" s="15">
        <v>33</v>
      </c>
      <c r="I275" s="3">
        <f t="shared" si="57"/>
        <v>10</v>
      </c>
      <c r="J275" s="3">
        <v>2.867</v>
      </c>
      <c r="K275" s="3">
        <v>6.8</v>
      </c>
      <c r="L275" s="3">
        <v>5.52</v>
      </c>
      <c r="M275" s="3">
        <v>5.94</v>
      </c>
      <c r="N275" s="3">
        <v>16.57</v>
      </c>
      <c r="O275" s="3">
        <v>25.1</v>
      </c>
      <c r="P275" s="3">
        <v>3.8</v>
      </c>
      <c r="Q275" s="3">
        <f t="shared" si="58"/>
        <v>1.1515151515151516</v>
      </c>
      <c r="R275" s="3"/>
      <c r="S275" s="3"/>
      <c r="T275" s="3"/>
      <c r="U275" s="3"/>
      <c r="V275" s="3"/>
      <c r="W275" s="3"/>
      <c r="X275" s="3"/>
      <c r="Z275" s="3"/>
      <c r="AA275" s="3"/>
      <c r="AB275" s="17" t="s">
        <v>120</v>
      </c>
      <c r="AC275" s="17" t="s">
        <v>121</v>
      </c>
      <c r="AD275" s="17" t="s">
        <v>122</v>
      </c>
    </row>
    <row r="276" spans="1:30" ht="14">
      <c r="A276" s="17" t="s">
        <v>113</v>
      </c>
      <c r="B276" s="3"/>
      <c r="C276" s="3"/>
      <c r="D276" s="3"/>
      <c r="E276" s="3">
        <v>8</v>
      </c>
      <c r="F276" s="3"/>
      <c r="G276" s="5">
        <v>0.40347222222222223</v>
      </c>
      <c r="H276" s="15">
        <v>33</v>
      </c>
      <c r="I276" s="3">
        <f t="shared" si="57"/>
        <v>10</v>
      </c>
      <c r="J276" s="3">
        <v>20.588999999999999</v>
      </c>
      <c r="K276" s="3">
        <v>6.69</v>
      </c>
      <c r="L276" s="3">
        <v>5.22</v>
      </c>
      <c r="M276" s="3">
        <v>6.11</v>
      </c>
      <c r="N276" s="3">
        <v>16.420000000000002</v>
      </c>
      <c r="O276" s="3">
        <v>26.92</v>
      </c>
      <c r="P276" s="3">
        <v>3.8</v>
      </c>
      <c r="Q276" s="3">
        <f t="shared" si="58"/>
        <v>1.1515151515151516</v>
      </c>
      <c r="R276" s="3"/>
      <c r="S276" s="3"/>
      <c r="T276" s="3"/>
      <c r="U276" s="3"/>
      <c r="V276" s="3"/>
      <c r="W276" s="3"/>
      <c r="X276" s="3"/>
      <c r="Z276" s="3"/>
      <c r="AA276" s="3"/>
      <c r="AB276" s="3"/>
      <c r="AC276" s="3"/>
      <c r="AD276" s="3"/>
    </row>
    <row r="277" spans="1:30" ht="14">
      <c r="A277" s="17" t="s">
        <v>113</v>
      </c>
      <c r="B277" s="3"/>
      <c r="C277" s="3"/>
      <c r="D277" s="3"/>
      <c r="E277" s="3">
        <v>8</v>
      </c>
      <c r="F277" s="3"/>
      <c r="G277" s="5">
        <v>0.40347222222222223</v>
      </c>
      <c r="H277" s="15">
        <v>33</v>
      </c>
      <c r="I277" s="3">
        <f t="shared" si="57"/>
        <v>10</v>
      </c>
      <c r="J277" s="3">
        <v>30.545999999999999</v>
      </c>
      <c r="K277" s="3">
        <v>6.61</v>
      </c>
      <c r="L277" s="3">
        <v>6</v>
      </c>
      <c r="M277" s="3">
        <v>6.83</v>
      </c>
      <c r="N277" s="3">
        <v>15.943</v>
      </c>
      <c r="O277" s="3">
        <v>28.16</v>
      </c>
      <c r="P277" s="3">
        <v>3.8</v>
      </c>
      <c r="Q277" s="3">
        <f t="shared" si="58"/>
        <v>1.1515151515151516</v>
      </c>
      <c r="R277" s="3"/>
      <c r="S277" s="3"/>
      <c r="T277" s="3"/>
      <c r="U277" s="3"/>
      <c r="V277" s="3"/>
      <c r="W277" s="3"/>
      <c r="X277" s="3"/>
      <c r="Z277" s="3"/>
      <c r="AA277" s="3"/>
      <c r="AB277" s="3"/>
      <c r="AC277" s="3"/>
      <c r="AD277" s="3"/>
    </row>
    <row r="278" spans="1:30" ht="14">
      <c r="A278" s="17" t="s">
        <v>123</v>
      </c>
      <c r="B278" s="3"/>
      <c r="C278" s="3"/>
      <c r="D278" s="3"/>
      <c r="E278" s="3">
        <v>2</v>
      </c>
      <c r="F278" s="3"/>
      <c r="G278" s="5">
        <v>0.53472222222222221</v>
      </c>
      <c r="H278" s="15">
        <v>36</v>
      </c>
      <c r="I278" s="3">
        <f t="shared" si="57"/>
        <v>10.90909090909091</v>
      </c>
      <c r="J278" s="3">
        <v>2.8</v>
      </c>
      <c r="K278" s="3">
        <v>7.8</v>
      </c>
      <c r="L278" s="3">
        <v>10.8</v>
      </c>
      <c r="M278" s="3">
        <v>2.5</v>
      </c>
      <c r="N278" s="3">
        <v>13.9</v>
      </c>
      <c r="O278" s="3">
        <v>19.100000000000001</v>
      </c>
      <c r="P278" s="3">
        <v>2.5</v>
      </c>
      <c r="Q278" s="3">
        <f t="shared" si="58"/>
        <v>0.75757575757575757</v>
      </c>
      <c r="R278" s="3"/>
      <c r="S278" s="3"/>
      <c r="T278" s="3"/>
      <c r="U278" s="3"/>
      <c r="V278" s="3"/>
      <c r="W278" s="3"/>
      <c r="X278" s="3"/>
      <c r="Z278" s="3"/>
      <c r="AA278" s="3"/>
      <c r="AB278" s="3"/>
      <c r="AC278" s="17" t="s">
        <v>68</v>
      </c>
      <c r="AD278" s="3"/>
    </row>
    <row r="279" spans="1:30" ht="14">
      <c r="A279" s="17" t="s">
        <v>123</v>
      </c>
      <c r="B279" s="3"/>
      <c r="C279" s="3"/>
      <c r="D279" s="3"/>
      <c r="E279" s="3">
        <v>2</v>
      </c>
      <c r="F279" s="3"/>
      <c r="G279" s="5">
        <v>0.53472222222222221</v>
      </c>
      <c r="H279" s="15">
        <v>36</v>
      </c>
      <c r="I279" s="3">
        <f t="shared" si="57"/>
        <v>10.90909090909091</v>
      </c>
      <c r="J279" s="3">
        <v>19.100000000000001</v>
      </c>
      <c r="K279" s="3">
        <v>7.6</v>
      </c>
      <c r="L279" s="3">
        <v>14.19</v>
      </c>
      <c r="M279" s="3">
        <v>3.2</v>
      </c>
      <c r="N279" s="3">
        <v>13.7</v>
      </c>
      <c r="O279" s="3">
        <v>21.2</v>
      </c>
      <c r="P279" s="3">
        <v>2.5</v>
      </c>
      <c r="Q279" s="3">
        <f t="shared" si="58"/>
        <v>0.75757575757575757</v>
      </c>
      <c r="R279" s="3"/>
      <c r="S279" s="3"/>
      <c r="T279" s="3"/>
      <c r="U279" s="3"/>
      <c r="V279" s="3"/>
      <c r="W279" s="3"/>
      <c r="X279" s="3"/>
      <c r="Z279" s="3"/>
      <c r="AA279" s="3"/>
      <c r="AB279" s="3"/>
      <c r="AC279" s="3"/>
      <c r="AD279" s="3"/>
    </row>
    <row r="280" spans="1:30" ht="14">
      <c r="A280" s="17" t="s">
        <v>123</v>
      </c>
      <c r="B280" s="3"/>
      <c r="C280" s="3"/>
      <c r="D280" s="3"/>
      <c r="E280" s="3">
        <v>2</v>
      </c>
      <c r="F280" s="3"/>
      <c r="G280" s="5">
        <v>0.53472222222222221</v>
      </c>
      <c r="H280" s="15">
        <v>36</v>
      </c>
      <c r="I280" s="3">
        <f t="shared" si="57"/>
        <v>10.90909090909091</v>
      </c>
      <c r="J280" s="3">
        <v>33.799999999999997</v>
      </c>
      <c r="K280" s="3">
        <v>7.5</v>
      </c>
      <c r="L280" s="3">
        <v>21.1</v>
      </c>
      <c r="M280" s="3">
        <v>3.8</v>
      </c>
      <c r="N280" s="3">
        <v>13.7</v>
      </c>
      <c r="O280" s="3">
        <v>21.5</v>
      </c>
      <c r="P280" s="3">
        <v>2.5</v>
      </c>
      <c r="Q280" s="3">
        <f t="shared" si="58"/>
        <v>0.75757575757575757</v>
      </c>
      <c r="R280" s="3"/>
      <c r="S280" s="3"/>
      <c r="T280" s="3"/>
      <c r="U280" s="3"/>
      <c r="V280" s="3"/>
      <c r="W280" s="3"/>
      <c r="X280" s="3"/>
      <c r="Z280" s="3"/>
      <c r="AA280" s="3"/>
      <c r="AB280" s="3"/>
      <c r="AC280" s="3"/>
      <c r="AD280" s="3"/>
    </row>
    <row r="281" spans="1:30" ht="14">
      <c r="A281" s="17" t="s">
        <v>123</v>
      </c>
      <c r="B281" s="3"/>
      <c r="C281" s="3"/>
      <c r="D281" s="3"/>
      <c r="E281" s="3">
        <v>4</v>
      </c>
      <c r="F281" s="3"/>
      <c r="G281" s="5">
        <v>0.47222222222222227</v>
      </c>
      <c r="H281" s="15">
        <v>28.3</v>
      </c>
      <c r="I281" s="3">
        <f t="shared" si="57"/>
        <v>8.5757575757575761</v>
      </c>
      <c r="J281" s="3">
        <v>1.7</v>
      </c>
      <c r="K281" s="3">
        <v>7.68</v>
      </c>
      <c r="L281" s="3">
        <v>10.1</v>
      </c>
      <c r="M281" s="3">
        <v>4.25</v>
      </c>
      <c r="N281" s="3">
        <v>13.724</v>
      </c>
      <c r="O281" s="3">
        <v>23.81</v>
      </c>
      <c r="P281" s="3">
        <v>2.5</v>
      </c>
      <c r="Q281" s="3">
        <f t="shared" si="58"/>
        <v>0.75757575757575757</v>
      </c>
      <c r="R281" s="3"/>
      <c r="S281" s="3"/>
      <c r="T281" s="3"/>
      <c r="U281" s="3"/>
      <c r="V281" s="3"/>
      <c r="W281" s="3"/>
      <c r="X281" s="3"/>
      <c r="Z281" s="3"/>
      <c r="AA281" s="3"/>
      <c r="AB281" s="3"/>
      <c r="AC281" s="17" t="s">
        <v>124</v>
      </c>
      <c r="AD281" s="17" t="s">
        <v>125</v>
      </c>
    </row>
    <row r="282" spans="1:30" ht="14">
      <c r="A282" s="17" t="s">
        <v>123</v>
      </c>
      <c r="B282" s="3"/>
      <c r="C282" s="3"/>
      <c r="D282" s="3"/>
      <c r="E282" s="3">
        <v>4</v>
      </c>
      <c r="F282" s="3"/>
      <c r="G282" s="5">
        <v>0.47222222222222227</v>
      </c>
      <c r="H282" s="15">
        <v>28.3</v>
      </c>
      <c r="I282" s="3">
        <f t="shared" si="57"/>
        <v>8.5757575757575761</v>
      </c>
      <c r="J282" s="3">
        <v>15.3</v>
      </c>
      <c r="K282" s="3">
        <v>7.63</v>
      </c>
      <c r="L282" s="3">
        <v>31.5</v>
      </c>
      <c r="M282" s="3">
        <v>6.93</v>
      </c>
      <c r="N282" s="3">
        <v>13.536</v>
      </c>
      <c r="O282" s="3">
        <v>28.25</v>
      </c>
      <c r="P282" s="3">
        <v>2.5</v>
      </c>
      <c r="Q282" s="3">
        <f t="shared" si="58"/>
        <v>0.75757575757575757</v>
      </c>
      <c r="R282" s="3"/>
      <c r="S282" s="3"/>
      <c r="T282" s="3"/>
      <c r="U282" s="3"/>
      <c r="V282" s="3"/>
      <c r="W282" s="3"/>
      <c r="X282" s="3"/>
      <c r="Z282" s="3"/>
      <c r="AA282" s="3"/>
      <c r="AB282" s="3"/>
      <c r="AC282" s="3"/>
      <c r="AD282" s="3"/>
    </row>
    <row r="283" spans="1:30" ht="14">
      <c r="A283" s="17" t="s">
        <v>123</v>
      </c>
      <c r="B283" s="3"/>
      <c r="C283" s="3"/>
      <c r="D283" s="3"/>
      <c r="E283" s="3">
        <v>4</v>
      </c>
      <c r="F283" s="3"/>
      <c r="G283" s="5">
        <v>0.47222222222222227</v>
      </c>
      <c r="H283" s="15">
        <v>28.3</v>
      </c>
      <c r="I283" s="3">
        <f t="shared" si="57"/>
        <v>8.5757575757575761</v>
      </c>
      <c r="J283" s="3">
        <v>28.962</v>
      </c>
      <c r="K283" s="3">
        <v>7.57</v>
      </c>
      <c r="L283" s="3">
        <v>139.04</v>
      </c>
      <c r="M283" s="3">
        <v>9.74</v>
      </c>
      <c r="N283" s="3">
        <v>13.53</v>
      </c>
      <c r="O283" s="3">
        <v>28.63</v>
      </c>
      <c r="P283" s="3">
        <v>2.5</v>
      </c>
      <c r="Q283" s="3">
        <f t="shared" si="58"/>
        <v>0.75757575757575757</v>
      </c>
      <c r="R283" s="3"/>
      <c r="S283" s="3"/>
      <c r="T283" s="3"/>
      <c r="U283" s="3"/>
      <c r="V283" s="3"/>
      <c r="W283" s="3"/>
      <c r="X283" s="3"/>
      <c r="Z283" s="3"/>
      <c r="AA283" s="3"/>
      <c r="AB283" s="3"/>
      <c r="AC283" s="3"/>
      <c r="AD283" s="3"/>
    </row>
    <row r="284" spans="1:30" ht="14">
      <c r="A284" s="17" t="s">
        <v>123</v>
      </c>
      <c r="B284" s="3"/>
      <c r="C284" s="3"/>
      <c r="D284" s="3"/>
      <c r="E284" s="3">
        <v>5</v>
      </c>
      <c r="F284" s="3"/>
      <c r="G284" s="5">
        <v>0.4284722222222222</v>
      </c>
      <c r="H284" s="15">
        <v>43.1</v>
      </c>
      <c r="I284" s="3">
        <f t="shared" si="57"/>
        <v>13.060606060606062</v>
      </c>
      <c r="J284" s="3">
        <v>3.1059999999999999</v>
      </c>
      <c r="K284" s="3">
        <v>7.66</v>
      </c>
      <c r="L284" s="3">
        <v>5.9</v>
      </c>
      <c r="M284" s="3">
        <v>3.91</v>
      </c>
      <c r="N284" s="3">
        <v>13.565</v>
      </c>
      <c r="O284" s="3">
        <v>27.1</v>
      </c>
      <c r="P284" s="3">
        <v>4.5</v>
      </c>
      <c r="Q284" s="3">
        <f t="shared" si="58"/>
        <v>1.3636363636363638</v>
      </c>
      <c r="R284" s="3"/>
      <c r="S284" s="3"/>
      <c r="T284" s="3"/>
      <c r="U284" s="3"/>
      <c r="V284" s="3"/>
      <c r="W284" s="3"/>
      <c r="X284" s="3"/>
      <c r="Z284" s="3"/>
      <c r="AA284" s="3"/>
      <c r="AB284" s="3"/>
      <c r="AC284" s="17" t="s">
        <v>126</v>
      </c>
      <c r="AD284" s="17" t="s">
        <v>127</v>
      </c>
    </row>
    <row r="285" spans="1:30" ht="14">
      <c r="A285" s="17" t="s">
        <v>123</v>
      </c>
      <c r="B285" s="3"/>
      <c r="C285" s="3"/>
      <c r="D285" s="3"/>
      <c r="E285" s="3">
        <v>5</v>
      </c>
      <c r="F285" s="3"/>
      <c r="G285" s="5">
        <v>0.4284722222222222</v>
      </c>
      <c r="H285" s="15">
        <v>43.1</v>
      </c>
      <c r="I285" s="3">
        <f t="shared" si="57"/>
        <v>13.060606060606062</v>
      </c>
      <c r="J285" s="3">
        <v>22.702000000000002</v>
      </c>
      <c r="K285" s="3">
        <v>7.64</v>
      </c>
      <c r="L285" s="3">
        <v>5.71</v>
      </c>
      <c r="M285" s="3">
        <v>6.02</v>
      </c>
      <c r="N285" s="3">
        <v>13.547000000000001</v>
      </c>
      <c r="O285" s="3">
        <v>27.89</v>
      </c>
      <c r="P285" s="3">
        <v>4.5</v>
      </c>
      <c r="Q285" s="3">
        <f t="shared" si="58"/>
        <v>1.3636363636363638</v>
      </c>
      <c r="R285" s="3"/>
      <c r="S285" s="3"/>
      <c r="T285" s="3"/>
      <c r="U285" s="3"/>
      <c r="V285" s="3"/>
      <c r="W285" s="3"/>
      <c r="X285" s="3"/>
      <c r="Z285" s="3"/>
      <c r="AA285" s="3"/>
      <c r="AB285" s="3"/>
      <c r="AC285" s="3"/>
      <c r="AD285" s="3"/>
    </row>
    <row r="286" spans="1:30" ht="14">
      <c r="A286" s="17" t="s">
        <v>123</v>
      </c>
      <c r="B286" s="3"/>
      <c r="C286" s="3"/>
      <c r="D286" s="3"/>
      <c r="E286" s="3">
        <v>5</v>
      </c>
      <c r="F286" s="3"/>
      <c r="G286" s="5">
        <v>0.4284722222222222</v>
      </c>
      <c r="H286" s="15">
        <v>43.1</v>
      </c>
      <c r="I286" s="3">
        <f t="shared" si="57"/>
        <v>13.060606060606062</v>
      </c>
      <c r="J286" s="3">
        <v>43.774999999999999</v>
      </c>
      <c r="K286" s="3">
        <v>7.65</v>
      </c>
      <c r="L286" s="3">
        <v>11.62</v>
      </c>
      <c r="M286" s="3">
        <v>7.13</v>
      </c>
      <c r="N286" s="3">
        <v>13.547000000000001</v>
      </c>
      <c r="O286" s="3">
        <v>28.29</v>
      </c>
      <c r="P286" s="3">
        <v>4.5</v>
      </c>
      <c r="Q286" s="3">
        <f t="shared" si="58"/>
        <v>1.3636363636363638</v>
      </c>
      <c r="R286" s="3"/>
      <c r="S286" s="3"/>
      <c r="T286" s="3"/>
      <c r="U286" s="3"/>
      <c r="V286" s="3"/>
      <c r="W286" s="3"/>
      <c r="X286" s="3"/>
      <c r="Z286" s="3"/>
      <c r="AA286" s="3"/>
      <c r="AB286" s="3"/>
      <c r="AC286" s="3"/>
      <c r="AD286" s="3"/>
    </row>
    <row r="287" spans="1:30" ht="14">
      <c r="A287" s="17" t="s">
        <v>123</v>
      </c>
      <c r="B287" s="3"/>
      <c r="C287" s="3"/>
      <c r="D287" s="3"/>
      <c r="E287" s="3">
        <v>8</v>
      </c>
      <c r="F287" s="3"/>
      <c r="G287" s="5">
        <v>0.39513888888888887</v>
      </c>
      <c r="H287" s="15">
        <v>33.1</v>
      </c>
      <c r="I287" s="3">
        <f t="shared" si="57"/>
        <v>10.030303030303031</v>
      </c>
      <c r="J287" s="3">
        <v>1.008</v>
      </c>
      <c r="K287" s="3">
        <v>7.66</v>
      </c>
      <c r="L287" s="3">
        <v>3.81</v>
      </c>
      <c r="M287" s="3">
        <v>4</v>
      </c>
      <c r="N287" s="3">
        <v>13.69</v>
      </c>
      <c r="O287" s="3">
        <v>26.8</v>
      </c>
      <c r="P287" s="3">
        <v>5</v>
      </c>
      <c r="Q287" s="3">
        <f t="shared" si="58"/>
        <v>1.5151515151515151</v>
      </c>
      <c r="R287" s="3"/>
      <c r="S287" s="3"/>
      <c r="T287" s="3"/>
      <c r="U287" s="3"/>
      <c r="V287" s="3"/>
      <c r="W287" s="3"/>
      <c r="X287" s="3"/>
      <c r="Z287" s="3"/>
      <c r="AA287" s="3"/>
      <c r="AB287" s="17" t="s">
        <v>128</v>
      </c>
      <c r="AC287" s="3"/>
      <c r="AD287" s="3"/>
    </row>
    <row r="288" spans="1:30" ht="14">
      <c r="A288" s="17" t="s">
        <v>123</v>
      </c>
      <c r="B288" s="3"/>
      <c r="C288" s="3"/>
      <c r="D288" s="3"/>
      <c r="E288" s="3">
        <v>8</v>
      </c>
      <c r="F288" s="3"/>
      <c r="G288" s="5">
        <v>0.39513888888888887</v>
      </c>
      <c r="H288" s="15">
        <v>33.1</v>
      </c>
      <c r="I288" s="3">
        <f t="shared" si="57"/>
        <v>10.030303030303031</v>
      </c>
      <c r="J288" s="3">
        <v>17.495000000000001</v>
      </c>
      <c r="K288" s="3">
        <v>7.67</v>
      </c>
      <c r="L288" s="3">
        <v>4.01</v>
      </c>
      <c r="M288" s="3">
        <v>4.82</v>
      </c>
      <c r="N288" s="3">
        <v>13.536</v>
      </c>
      <c r="O288" s="3">
        <v>29.68</v>
      </c>
      <c r="P288" s="3">
        <v>5</v>
      </c>
      <c r="Q288" s="3">
        <f t="shared" si="58"/>
        <v>1.5151515151515151</v>
      </c>
      <c r="R288" s="3"/>
      <c r="S288" s="3"/>
      <c r="T288" s="3"/>
      <c r="U288" s="3"/>
      <c r="V288" s="3"/>
      <c r="W288" s="3"/>
      <c r="X288" s="3"/>
      <c r="Z288" s="3"/>
      <c r="AA288" s="3"/>
      <c r="AB288" s="3"/>
      <c r="AC288" s="3"/>
      <c r="AD288" s="3"/>
    </row>
    <row r="289" spans="1:30" ht="14">
      <c r="A289" s="17" t="s">
        <v>123</v>
      </c>
      <c r="B289" s="3"/>
      <c r="C289" s="3"/>
      <c r="D289" s="3"/>
      <c r="E289" s="3">
        <v>8</v>
      </c>
      <c r="F289" s="3"/>
      <c r="G289" s="5">
        <v>0.39513888888888887</v>
      </c>
      <c r="H289" s="15">
        <v>33.1</v>
      </c>
      <c r="I289" s="3">
        <f t="shared" si="57"/>
        <v>10.030303030303031</v>
      </c>
      <c r="J289" s="3">
        <v>33.493000000000002</v>
      </c>
      <c r="K289" s="3">
        <v>7.84</v>
      </c>
      <c r="L289" s="3">
        <v>10.54</v>
      </c>
      <c r="M289" s="3">
        <v>17.57</v>
      </c>
      <c r="N289" s="3">
        <v>13.507999999999999</v>
      </c>
      <c r="O289" s="3">
        <v>30.75</v>
      </c>
      <c r="P289" s="3">
        <v>5</v>
      </c>
      <c r="Q289" s="3">
        <f t="shared" si="58"/>
        <v>1.5151515151515151</v>
      </c>
      <c r="R289" s="3"/>
      <c r="S289" s="3"/>
      <c r="T289" s="3"/>
      <c r="U289" s="3"/>
      <c r="V289" s="3"/>
      <c r="W289" s="3"/>
      <c r="X289" s="3"/>
      <c r="Z289" s="3"/>
      <c r="AA289" s="3"/>
      <c r="AB289" s="3"/>
      <c r="AC289" s="3"/>
      <c r="AD289" s="3"/>
    </row>
    <row r="290" spans="1:30" ht="14">
      <c r="A290" s="3"/>
      <c r="B290" s="3"/>
      <c r="C290" s="3"/>
      <c r="D290" s="3"/>
      <c r="E290" s="3"/>
      <c r="F290" s="3"/>
      <c r="G290" s="3"/>
      <c r="H290" s="3"/>
      <c r="I290" s="3"/>
      <c r="J290" s="3"/>
      <c r="K290" s="3"/>
      <c r="L290" s="3"/>
      <c r="M290" s="3"/>
      <c r="N290" s="3"/>
      <c r="O290" s="3"/>
      <c r="P290" s="3"/>
      <c r="Q290" s="3"/>
      <c r="R290" s="3"/>
      <c r="S290" s="3"/>
      <c r="T290" s="3"/>
      <c r="U290" s="3"/>
      <c r="V290" s="3"/>
      <c r="W290" s="3"/>
      <c r="X290" s="3"/>
      <c r="Z290" s="3"/>
      <c r="AA290" s="3"/>
      <c r="AB290" s="3"/>
      <c r="AC290" s="3"/>
      <c r="AD290" s="3"/>
    </row>
    <row r="291" spans="1:30" ht="14">
      <c r="A291" s="3"/>
      <c r="B291" s="3"/>
      <c r="C291" s="3"/>
      <c r="D291" s="3"/>
      <c r="E291" s="3"/>
      <c r="F291" s="3"/>
      <c r="G291" s="3"/>
      <c r="H291" s="3"/>
      <c r="I291" s="3"/>
      <c r="J291" s="3"/>
      <c r="K291" s="3"/>
      <c r="L291" s="3"/>
      <c r="M291" s="3"/>
      <c r="N291" s="3"/>
      <c r="O291" s="3"/>
      <c r="P291" s="3"/>
      <c r="Q291" s="3"/>
      <c r="R291" s="3"/>
      <c r="S291" s="3"/>
      <c r="T291" s="3"/>
      <c r="U291" s="3"/>
      <c r="V291" s="3"/>
      <c r="W291" s="3"/>
      <c r="X291" s="3"/>
      <c r="Z291" s="3"/>
      <c r="AA291" s="3"/>
      <c r="AB291" s="3"/>
      <c r="AC291" s="3"/>
      <c r="AD291" s="3"/>
    </row>
    <row r="292" spans="1:30" ht="14">
      <c r="A292" s="3"/>
      <c r="B292" s="3"/>
      <c r="C292" s="3"/>
      <c r="D292" s="3"/>
      <c r="E292" s="3"/>
      <c r="F292" s="3"/>
      <c r="G292" s="3"/>
      <c r="H292" s="3"/>
      <c r="I292" s="3"/>
      <c r="J292" s="3"/>
      <c r="K292" s="3"/>
      <c r="L292" s="3"/>
      <c r="M292" s="3"/>
      <c r="N292" s="3"/>
      <c r="O292" s="3"/>
      <c r="P292" s="3"/>
      <c r="Q292" s="3"/>
      <c r="R292" s="3"/>
      <c r="S292" s="3"/>
      <c r="T292" s="3"/>
      <c r="U292" s="3"/>
      <c r="V292" s="3"/>
      <c r="W292" s="3"/>
      <c r="X292" s="3"/>
      <c r="Z292" s="3"/>
      <c r="AA292" s="3"/>
      <c r="AB292" s="3"/>
      <c r="AC292" s="3"/>
      <c r="AD292" s="3"/>
    </row>
    <row r="293" spans="1:30" ht="14">
      <c r="A293" s="3"/>
      <c r="B293" s="3"/>
      <c r="C293" s="3"/>
      <c r="D293" s="3"/>
      <c r="E293" s="3"/>
      <c r="F293" s="3"/>
      <c r="G293" s="3"/>
      <c r="H293" s="3"/>
      <c r="I293" s="3"/>
      <c r="J293" s="3"/>
      <c r="K293" s="3"/>
      <c r="L293" s="3"/>
      <c r="M293" s="3"/>
      <c r="N293" s="3"/>
      <c r="O293" s="3"/>
      <c r="P293" s="3"/>
      <c r="Q293" s="3"/>
      <c r="R293" s="3"/>
      <c r="S293" s="3"/>
      <c r="T293" s="3"/>
      <c r="U293" s="3"/>
      <c r="V293" s="3"/>
      <c r="W293" s="3"/>
      <c r="X293" s="3"/>
      <c r="Z293" s="3"/>
      <c r="AA293" s="3"/>
      <c r="AB293" s="3"/>
      <c r="AC293" s="3"/>
      <c r="AD293" s="3"/>
    </row>
    <row r="294" spans="1:30" ht="14">
      <c r="A294" s="3"/>
      <c r="B294" s="3"/>
      <c r="C294" s="3"/>
      <c r="D294" s="3"/>
      <c r="E294" s="3"/>
      <c r="F294" s="3"/>
      <c r="G294" s="3"/>
      <c r="H294" s="3"/>
      <c r="I294" s="3"/>
      <c r="J294" s="3"/>
      <c r="K294" s="3"/>
      <c r="L294" s="3"/>
      <c r="M294" s="3"/>
      <c r="N294" s="3"/>
      <c r="O294" s="3"/>
      <c r="P294" s="3"/>
      <c r="Q294" s="3"/>
      <c r="R294" s="3"/>
      <c r="S294" s="3"/>
      <c r="T294" s="3"/>
      <c r="U294" s="3"/>
      <c r="V294" s="3"/>
      <c r="W294" s="3"/>
      <c r="X294" s="3"/>
      <c r="Z294" s="3"/>
      <c r="AA294" s="3"/>
      <c r="AB294" s="3"/>
      <c r="AC294" s="3"/>
      <c r="AD294" s="3"/>
    </row>
    <row r="295" spans="1:30" ht="14">
      <c r="A295" s="3"/>
      <c r="B295" s="3"/>
      <c r="C295" s="3"/>
      <c r="D295" s="3"/>
      <c r="E295" s="3"/>
      <c r="F295" s="3"/>
      <c r="G295" s="3"/>
      <c r="H295" s="3"/>
      <c r="I295" s="3"/>
      <c r="J295" s="3"/>
      <c r="K295" s="3"/>
      <c r="L295" s="3"/>
      <c r="M295" s="3"/>
      <c r="N295" s="3"/>
      <c r="O295" s="3"/>
      <c r="P295" s="3"/>
      <c r="Q295" s="3"/>
      <c r="R295" s="3"/>
      <c r="S295" s="3"/>
      <c r="T295" s="3"/>
      <c r="U295" s="3"/>
      <c r="V295" s="3"/>
      <c r="W295" s="3"/>
      <c r="X295" s="3"/>
      <c r="Z295" s="3"/>
      <c r="AA295" s="3"/>
      <c r="AB295" s="3"/>
      <c r="AC295" s="3"/>
      <c r="AD295" s="3"/>
    </row>
    <row r="296" spans="1:30" ht="14">
      <c r="A296" s="3"/>
      <c r="B296" s="3"/>
      <c r="C296" s="3"/>
      <c r="D296" s="3"/>
      <c r="E296" s="3"/>
      <c r="F296" s="3"/>
      <c r="G296" s="3"/>
      <c r="H296" s="3"/>
      <c r="I296" s="3"/>
      <c r="J296" s="3"/>
      <c r="K296" s="3"/>
      <c r="L296" s="3"/>
      <c r="M296" s="3"/>
      <c r="N296" s="3"/>
      <c r="O296" s="3"/>
      <c r="P296" s="3"/>
      <c r="Q296" s="3"/>
      <c r="R296" s="3"/>
      <c r="S296" s="3"/>
      <c r="T296" s="3"/>
      <c r="U296" s="3"/>
      <c r="V296" s="3"/>
      <c r="W296" s="3"/>
      <c r="X296" s="3"/>
      <c r="Z296" s="3"/>
      <c r="AA296" s="3"/>
      <c r="AB296" s="3"/>
      <c r="AC296" s="3"/>
      <c r="AD296" s="3"/>
    </row>
    <row r="297" spans="1:30" ht="14">
      <c r="A297" s="3"/>
      <c r="B297" s="3"/>
      <c r="C297" s="3"/>
      <c r="D297" s="3"/>
      <c r="E297" s="3"/>
      <c r="F297" s="3"/>
      <c r="G297" s="3"/>
      <c r="H297" s="3"/>
      <c r="I297" s="3"/>
      <c r="J297" s="3"/>
      <c r="K297" s="3"/>
      <c r="L297" s="3"/>
      <c r="M297" s="3"/>
      <c r="N297" s="3"/>
      <c r="O297" s="3"/>
      <c r="P297" s="3"/>
      <c r="Q297" s="3"/>
      <c r="R297" s="3"/>
      <c r="S297" s="3"/>
      <c r="T297" s="3"/>
      <c r="U297" s="3"/>
      <c r="V297" s="3"/>
      <c r="W297" s="3"/>
      <c r="X297" s="3"/>
      <c r="Z297" s="3"/>
      <c r="AA297" s="3"/>
      <c r="AB297" s="3"/>
      <c r="AC297" s="3"/>
      <c r="AD297" s="3"/>
    </row>
    <row r="298" spans="1:30" ht="14">
      <c r="A298" s="3"/>
      <c r="B298" s="3"/>
      <c r="C298" s="3"/>
      <c r="D298" s="3"/>
      <c r="E298" s="3"/>
      <c r="F298" s="3"/>
      <c r="G298" s="3"/>
      <c r="H298" s="3"/>
      <c r="I298" s="3"/>
      <c r="J298" s="3"/>
      <c r="K298" s="3"/>
      <c r="L298" s="3"/>
      <c r="M298" s="3"/>
      <c r="N298" s="3"/>
      <c r="O298" s="3"/>
      <c r="P298" s="3"/>
      <c r="Q298" s="3"/>
      <c r="R298" s="3"/>
      <c r="S298" s="3"/>
      <c r="T298" s="3"/>
      <c r="U298" s="3"/>
      <c r="V298" s="3"/>
      <c r="W298" s="3"/>
      <c r="X298" s="3"/>
      <c r="Z298" s="3"/>
      <c r="AA298" s="3"/>
      <c r="AB298" s="3"/>
      <c r="AC298" s="3"/>
      <c r="AD298" s="3"/>
    </row>
    <row r="299" spans="1:30" ht="14">
      <c r="A299" s="3"/>
      <c r="B299" s="3"/>
      <c r="C299" s="3"/>
      <c r="D299" s="3"/>
      <c r="E299" s="3"/>
      <c r="F299" s="3"/>
      <c r="G299" s="3"/>
      <c r="H299" s="3"/>
      <c r="I299" s="3"/>
      <c r="J299" s="3"/>
      <c r="K299" s="3"/>
      <c r="L299" s="3"/>
      <c r="M299" s="3"/>
      <c r="N299" s="3"/>
      <c r="O299" s="3"/>
      <c r="P299" s="3"/>
      <c r="Q299" s="3"/>
      <c r="R299" s="3"/>
      <c r="S299" s="3"/>
      <c r="T299" s="3"/>
      <c r="U299" s="3"/>
      <c r="V299" s="3"/>
      <c r="W299" s="3"/>
      <c r="X299" s="3"/>
      <c r="Z299" s="3"/>
      <c r="AA299" s="3"/>
      <c r="AB299" s="3"/>
      <c r="AC299" s="3"/>
      <c r="AD299" s="3"/>
    </row>
    <row r="300" spans="1:30" ht="14">
      <c r="A300" s="3"/>
      <c r="B300" s="3"/>
      <c r="C300" s="3"/>
      <c r="D300" s="3"/>
      <c r="E300" s="3"/>
      <c r="F300" s="3"/>
      <c r="G300" s="3"/>
      <c r="H300" s="3"/>
      <c r="I300" s="3"/>
      <c r="J300" s="3"/>
      <c r="K300" s="3"/>
      <c r="L300" s="3"/>
      <c r="M300" s="3"/>
      <c r="N300" s="3"/>
      <c r="O300" s="3"/>
      <c r="P300" s="3"/>
      <c r="Q300" s="3"/>
      <c r="R300" s="3"/>
      <c r="S300" s="3"/>
      <c r="T300" s="3"/>
      <c r="U300" s="3"/>
      <c r="V300" s="3"/>
      <c r="W300" s="3"/>
      <c r="X300" s="3"/>
      <c r="Z300" s="3"/>
      <c r="AA300" s="3"/>
      <c r="AB300" s="3"/>
      <c r="AC300" s="3"/>
      <c r="AD300" s="3"/>
    </row>
    <row r="301" spans="1:30" ht="14">
      <c r="A301" s="3"/>
      <c r="B301" s="3"/>
      <c r="C301" s="3"/>
      <c r="D301" s="3"/>
      <c r="E301" s="3"/>
      <c r="F301" s="3"/>
      <c r="G301" s="3"/>
      <c r="H301" s="3"/>
      <c r="I301" s="3"/>
      <c r="J301" s="3"/>
      <c r="K301" s="3"/>
      <c r="L301" s="3"/>
      <c r="M301" s="3"/>
      <c r="N301" s="3"/>
      <c r="O301" s="3"/>
      <c r="P301" s="3"/>
      <c r="Q301" s="3"/>
      <c r="R301" s="3"/>
      <c r="S301" s="3"/>
      <c r="T301" s="3"/>
      <c r="U301" s="3"/>
      <c r="V301" s="3"/>
      <c r="W301" s="3"/>
      <c r="X301" s="3"/>
      <c r="Z301" s="3"/>
      <c r="AA301" s="3"/>
      <c r="AB301" s="3"/>
      <c r="AC301" s="3"/>
      <c r="AD301" s="3"/>
    </row>
    <row r="302" spans="1:30" ht="14">
      <c r="A302" s="3"/>
      <c r="B302" s="3"/>
      <c r="C302" s="3"/>
      <c r="D302" s="3"/>
      <c r="E302" s="3"/>
      <c r="F302" s="3"/>
      <c r="G302" s="3"/>
      <c r="H302" s="3"/>
      <c r="I302" s="3"/>
      <c r="J302" s="3"/>
      <c r="K302" s="3"/>
      <c r="L302" s="3"/>
      <c r="M302" s="3"/>
      <c r="N302" s="3"/>
      <c r="O302" s="3"/>
      <c r="P302" s="3"/>
      <c r="Q302" s="3"/>
      <c r="R302" s="3"/>
      <c r="S302" s="3"/>
      <c r="T302" s="3"/>
      <c r="U302" s="3"/>
      <c r="V302" s="3"/>
      <c r="W302" s="3"/>
      <c r="X302" s="3"/>
      <c r="Z302" s="3"/>
      <c r="AA302" s="3"/>
      <c r="AB302" s="3"/>
      <c r="AC302" s="3"/>
      <c r="AD302" s="3"/>
    </row>
    <row r="303" spans="1:30" ht="14">
      <c r="A303" s="3"/>
      <c r="B303" s="3"/>
      <c r="C303" s="3"/>
      <c r="D303" s="3"/>
      <c r="E303" s="3"/>
      <c r="F303" s="3"/>
      <c r="G303" s="3"/>
      <c r="H303" s="3"/>
      <c r="I303" s="3"/>
      <c r="J303" s="3"/>
      <c r="K303" s="3"/>
      <c r="L303" s="3"/>
      <c r="M303" s="3"/>
      <c r="N303" s="3"/>
      <c r="O303" s="3"/>
      <c r="P303" s="3"/>
      <c r="Q303" s="3"/>
      <c r="R303" s="3"/>
      <c r="S303" s="3"/>
      <c r="T303" s="3"/>
      <c r="U303" s="3"/>
      <c r="V303" s="3"/>
      <c r="W303" s="3"/>
      <c r="X303" s="3"/>
      <c r="Z303" s="3"/>
      <c r="AA303" s="3"/>
      <c r="AB303" s="3"/>
      <c r="AC303" s="3"/>
      <c r="AD303" s="3"/>
    </row>
    <row r="304" spans="1:30" ht="14">
      <c r="A304" s="3"/>
      <c r="B304" s="3"/>
      <c r="C304" s="3"/>
      <c r="D304" s="3"/>
      <c r="E304" s="3"/>
      <c r="F304" s="3"/>
      <c r="G304" s="3"/>
      <c r="H304" s="3"/>
      <c r="I304" s="3"/>
      <c r="J304" s="3"/>
      <c r="K304" s="3"/>
      <c r="L304" s="3"/>
      <c r="M304" s="3"/>
      <c r="N304" s="3"/>
      <c r="O304" s="3"/>
      <c r="P304" s="3"/>
      <c r="Q304" s="3"/>
      <c r="R304" s="3"/>
      <c r="S304" s="3"/>
      <c r="T304" s="3"/>
      <c r="U304" s="3"/>
      <c r="V304" s="3"/>
      <c r="W304" s="3"/>
      <c r="X304" s="3"/>
      <c r="Z304" s="3"/>
      <c r="AA304" s="3"/>
      <c r="AB304" s="3"/>
      <c r="AC304" s="3"/>
      <c r="AD304" s="3"/>
    </row>
    <row r="305" spans="1:30" ht="14">
      <c r="A305" s="3"/>
      <c r="B305" s="3"/>
      <c r="C305" s="3"/>
      <c r="D305" s="3"/>
      <c r="E305" s="3"/>
      <c r="F305" s="3"/>
      <c r="G305" s="3"/>
      <c r="H305" s="3"/>
      <c r="I305" s="3"/>
      <c r="J305" s="3"/>
      <c r="K305" s="3"/>
      <c r="L305" s="3"/>
      <c r="M305" s="3"/>
      <c r="N305" s="3"/>
      <c r="O305" s="3"/>
      <c r="P305" s="3"/>
      <c r="Q305" s="3"/>
      <c r="R305" s="3"/>
      <c r="S305" s="3"/>
      <c r="T305" s="3"/>
      <c r="U305" s="3"/>
      <c r="V305" s="3"/>
      <c r="W305" s="3"/>
      <c r="X305" s="3"/>
      <c r="Z305" s="3"/>
      <c r="AA305" s="3"/>
      <c r="AB305" s="3"/>
      <c r="AC305" s="3"/>
      <c r="AD305" s="3"/>
    </row>
    <row r="306" spans="1:30" ht="14">
      <c r="A306" s="3"/>
      <c r="B306" s="3"/>
      <c r="C306" s="3"/>
      <c r="D306" s="3"/>
      <c r="E306" s="3"/>
      <c r="F306" s="3"/>
      <c r="G306" s="3"/>
      <c r="H306" s="3"/>
      <c r="I306" s="3"/>
      <c r="J306" s="3"/>
      <c r="K306" s="3"/>
      <c r="L306" s="3"/>
      <c r="M306" s="3"/>
      <c r="N306" s="3"/>
      <c r="O306" s="3"/>
      <c r="P306" s="3"/>
      <c r="Q306" s="3"/>
      <c r="R306" s="3"/>
      <c r="S306" s="3"/>
      <c r="T306" s="3"/>
      <c r="U306" s="3"/>
      <c r="V306" s="3"/>
      <c r="W306" s="3"/>
      <c r="X306" s="3"/>
      <c r="Z306" s="3"/>
      <c r="AA306" s="3"/>
      <c r="AB306" s="3"/>
      <c r="AC306" s="3"/>
      <c r="AD306" s="3"/>
    </row>
    <row r="307" spans="1:30" ht="14">
      <c r="A307" s="3"/>
      <c r="B307" s="3"/>
      <c r="C307" s="3"/>
      <c r="D307" s="3"/>
      <c r="E307" s="3"/>
      <c r="F307" s="3"/>
      <c r="G307" s="3"/>
      <c r="H307" s="3"/>
      <c r="I307" s="3"/>
      <c r="J307" s="3"/>
      <c r="K307" s="3"/>
      <c r="L307" s="3"/>
      <c r="M307" s="3"/>
      <c r="N307" s="3"/>
      <c r="O307" s="3"/>
      <c r="P307" s="3"/>
      <c r="Q307" s="3"/>
      <c r="R307" s="3"/>
      <c r="S307" s="3"/>
      <c r="T307" s="3"/>
      <c r="U307" s="3"/>
      <c r="V307" s="3"/>
      <c r="W307" s="3"/>
      <c r="X307" s="3"/>
      <c r="Z307" s="3"/>
      <c r="AA307" s="3"/>
      <c r="AB307" s="3"/>
      <c r="AC307" s="3"/>
      <c r="AD307" s="3"/>
    </row>
    <row r="308" spans="1:30" ht="14">
      <c r="A308" s="3"/>
      <c r="B308" s="3"/>
      <c r="C308" s="3"/>
      <c r="D308" s="3"/>
      <c r="E308" s="3"/>
      <c r="F308" s="3"/>
      <c r="G308" s="3"/>
      <c r="H308" s="3"/>
      <c r="I308" s="3"/>
      <c r="J308" s="3"/>
      <c r="K308" s="3"/>
      <c r="L308" s="3"/>
      <c r="M308" s="3"/>
      <c r="N308" s="3"/>
      <c r="O308" s="3"/>
      <c r="P308" s="3"/>
      <c r="Q308" s="3"/>
      <c r="R308" s="3"/>
      <c r="S308" s="3"/>
      <c r="T308" s="3"/>
      <c r="U308" s="3"/>
      <c r="V308" s="3"/>
      <c r="W308" s="3"/>
      <c r="X308" s="3"/>
      <c r="Z308" s="3"/>
      <c r="AA308" s="3"/>
      <c r="AB308" s="3"/>
      <c r="AC308" s="3"/>
      <c r="AD308" s="3"/>
    </row>
    <row r="309" spans="1:30" ht="14">
      <c r="A309" s="3"/>
      <c r="B309" s="3"/>
      <c r="C309" s="3"/>
      <c r="D309" s="3"/>
      <c r="E309" s="3"/>
      <c r="F309" s="3"/>
      <c r="G309" s="3"/>
      <c r="H309" s="3"/>
      <c r="I309" s="3"/>
      <c r="J309" s="3"/>
      <c r="K309" s="3"/>
      <c r="L309" s="3"/>
      <c r="M309" s="3"/>
      <c r="N309" s="3"/>
      <c r="O309" s="3"/>
      <c r="P309" s="3"/>
      <c r="Q309" s="3"/>
      <c r="R309" s="3"/>
      <c r="S309" s="3"/>
      <c r="T309" s="3"/>
      <c r="U309" s="3"/>
      <c r="V309" s="3"/>
      <c r="W309" s="3"/>
      <c r="X309" s="3"/>
      <c r="Z309" s="3"/>
      <c r="AA309" s="3"/>
      <c r="AB309" s="3"/>
      <c r="AC309" s="3"/>
      <c r="AD309" s="3"/>
    </row>
    <row r="310" spans="1:30" ht="14">
      <c r="A310" s="3"/>
      <c r="B310" s="3"/>
      <c r="C310" s="3"/>
      <c r="D310" s="3"/>
      <c r="E310" s="3"/>
      <c r="F310" s="3"/>
      <c r="G310" s="3"/>
      <c r="H310" s="3"/>
      <c r="I310" s="3"/>
      <c r="J310" s="3"/>
      <c r="K310" s="3"/>
      <c r="L310" s="3"/>
      <c r="M310" s="3"/>
      <c r="N310" s="3"/>
      <c r="O310" s="3"/>
      <c r="P310" s="3"/>
      <c r="Q310" s="3"/>
      <c r="R310" s="3"/>
      <c r="S310" s="3"/>
      <c r="T310" s="3"/>
      <c r="U310" s="3"/>
      <c r="V310" s="3"/>
      <c r="W310" s="3"/>
      <c r="X310" s="3"/>
      <c r="Z310" s="3"/>
      <c r="AA310" s="3"/>
      <c r="AB310" s="3"/>
      <c r="AC310" s="3"/>
      <c r="AD310" s="3"/>
    </row>
    <row r="311" spans="1:30" ht="14">
      <c r="A311" s="3"/>
      <c r="B311" s="3"/>
      <c r="C311" s="3"/>
      <c r="D311" s="3"/>
      <c r="E311" s="3"/>
      <c r="F311" s="3"/>
      <c r="G311" s="3"/>
      <c r="H311" s="3"/>
      <c r="I311" s="3"/>
      <c r="J311" s="3"/>
      <c r="K311" s="3"/>
      <c r="L311" s="3"/>
      <c r="M311" s="3"/>
      <c r="N311" s="3"/>
      <c r="O311" s="3"/>
      <c r="P311" s="3"/>
      <c r="Q311" s="3"/>
      <c r="R311" s="3"/>
      <c r="S311" s="3"/>
      <c r="T311" s="3"/>
      <c r="U311" s="3"/>
      <c r="V311" s="3"/>
      <c r="W311" s="3"/>
      <c r="X311" s="3"/>
      <c r="Z311" s="3"/>
      <c r="AA311" s="3"/>
      <c r="AB311" s="3"/>
      <c r="AC311" s="3"/>
      <c r="AD311" s="3"/>
    </row>
    <row r="312" spans="1:30" ht="14">
      <c r="A312" s="3"/>
      <c r="B312" s="3"/>
      <c r="C312" s="3"/>
      <c r="D312" s="3"/>
      <c r="E312" s="3"/>
      <c r="F312" s="3"/>
      <c r="G312" s="3"/>
      <c r="H312" s="3"/>
      <c r="I312" s="3"/>
      <c r="J312" s="3"/>
      <c r="K312" s="3"/>
      <c r="L312" s="3"/>
      <c r="M312" s="3"/>
      <c r="N312" s="3"/>
      <c r="O312" s="3"/>
      <c r="P312" s="3"/>
      <c r="Q312" s="3"/>
      <c r="R312" s="3"/>
      <c r="S312" s="3"/>
      <c r="T312" s="3"/>
      <c r="U312" s="3"/>
      <c r="V312" s="3"/>
      <c r="W312" s="3"/>
      <c r="X312" s="3"/>
      <c r="Z312" s="3"/>
      <c r="AA312" s="3"/>
      <c r="AB312" s="3"/>
      <c r="AC312" s="3"/>
      <c r="AD312" s="3"/>
    </row>
    <row r="313" spans="1:30" ht="14">
      <c r="A313" s="3"/>
      <c r="B313" s="3"/>
      <c r="C313" s="3"/>
      <c r="D313" s="3"/>
      <c r="E313" s="3"/>
      <c r="F313" s="3"/>
      <c r="G313" s="3"/>
      <c r="H313" s="3"/>
      <c r="I313" s="3"/>
      <c r="J313" s="3"/>
      <c r="K313" s="3"/>
      <c r="L313" s="3"/>
      <c r="M313" s="3"/>
      <c r="N313" s="3"/>
      <c r="O313" s="3"/>
      <c r="P313" s="3"/>
      <c r="Q313" s="3"/>
      <c r="R313" s="3"/>
      <c r="S313" s="3"/>
      <c r="T313" s="3"/>
      <c r="U313" s="3"/>
      <c r="V313" s="3"/>
      <c r="W313" s="3"/>
      <c r="X313" s="3"/>
      <c r="Z313" s="3"/>
      <c r="AA313" s="3"/>
      <c r="AB313" s="3"/>
      <c r="AC313" s="3"/>
      <c r="AD313" s="3"/>
    </row>
    <row r="314" spans="1:30" ht="14">
      <c r="A314" s="3"/>
      <c r="B314" s="3"/>
      <c r="C314" s="3"/>
      <c r="D314" s="3"/>
      <c r="E314" s="3"/>
      <c r="F314" s="3"/>
      <c r="G314" s="3"/>
      <c r="H314" s="3"/>
      <c r="I314" s="3"/>
      <c r="J314" s="3"/>
      <c r="K314" s="3"/>
      <c r="L314" s="3"/>
      <c r="M314" s="3"/>
      <c r="N314" s="3"/>
      <c r="O314" s="3"/>
      <c r="P314" s="3"/>
      <c r="Q314" s="3"/>
      <c r="R314" s="3"/>
      <c r="S314" s="3"/>
      <c r="T314" s="3"/>
      <c r="U314" s="3"/>
      <c r="V314" s="3"/>
      <c r="W314" s="3"/>
      <c r="X314" s="3"/>
      <c r="Z314" s="3"/>
      <c r="AA314" s="3"/>
      <c r="AB314" s="3"/>
      <c r="AC314" s="3"/>
      <c r="AD314" s="3"/>
    </row>
    <row r="315" spans="1:30" ht="14">
      <c r="A315" s="3"/>
      <c r="B315" s="3"/>
      <c r="C315" s="3"/>
      <c r="D315" s="3"/>
      <c r="E315" s="3"/>
      <c r="F315" s="3"/>
      <c r="G315" s="3"/>
      <c r="H315" s="3"/>
      <c r="I315" s="3"/>
      <c r="J315" s="3"/>
      <c r="K315" s="3"/>
      <c r="L315" s="3"/>
      <c r="M315" s="3"/>
      <c r="N315" s="3"/>
      <c r="O315" s="3"/>
      <c r="P315" s="3"/>
      <c r="Q315" s="3"/>
      <c r="R315" s="3"/>
      <c r="S315" s="3"/>
      <c r="T315" s="3"/>
      <c r="U315" s="3"/>
      <c r="V315" s="3"/>
      <c r="W315" s="3"/>
      <c r="X315" s="3"/>
      <c r="Z315" s="3"/>
      <c r="AA315" s="3"/>
      <c r="AB315" s="3"/>
      <c r="AC315" s="3"/>
      <c r="AD315" s="3"/>
    </row>
    <row r="316" spans="1:30" ht="14">
      <c r="A316" s="3"/>
      <c r="B316" s="3"/>
      <c r="C316" s="3"/>
      <c r="D316" s="3"/>
      <c r="E316" s="3"/>
      <c r="F316" s="3"/>
      <c r="G316" s="3"/>
      <c r="H316" s="3"/>
      <c r="I316" s="3"/>
      <c r="J316" s="3"/>
      <c r="K316" s="3"/>
      <c r="L316" s="3"/>
      <c r="M316" s="3"/>
      <c r="N316" s="3"/>
      <c r="O316" s="3"/>
      <c r="P316" s="3"/>
      <c r="Q316" s="3"/>
      <c r="R316" s="3"/>
      <c r="S316" s="3"/>
      <c r="T316" s="3"/>
      <c r="U316" s="3"/>
      <c r="V316" s="3"/>
      <c r="W316" s="3"/>
      <c r="X316" s="3"/>
      <c r="Z316" s="3"/>
      <c r="AA316" s="3"/>
      <c r="AB316" s="3"/>
      <c r="AC316" s="3"/>
      <c r="AD316" s="3"/>
    </row>
    <row r="317" spans="1:30" ht="14">
      <c r="A317" s="3"/>
      <c r="B317" s="3"/>
      <c r="C317" s="3"/>
      <c r="D317" s="3"/>
      <c r="E317" s="3"/>
      <c r="F317" s="3"/>
      <c r="G317" s="3"/>
      <c r="H317" s="3"/>
      <c r="I317" s="3"/>
      <c r="J317" s="3"/>
      <c r="K317" s="3"/>
      <c r="L317" s="3"/>
      <c r="M317" s="3"/>
      <c r="N317" s="3"/>
      <c r="O317" s="3"/>
      <c r="P317" s="3"/>
      <c r="Q317" s="3"/>
      <c r="R317" s="3"/>
      <c r="S317" s="3"/>
      <c r="T317" s="3"/>
      <c r="U317" s="3"/>
      <c r="V317" s="3"/>
      <c r="W317" s="3"/>
      <c r="X317" s="3"/>
      <c r="Z317" s="3"/>
      <c r="AA317" s="3"/>
      <c r="AB317" s="3"/>
      <c r="AC317" s="3"/>
      <c r="AD317" s="3"/>
    </row>
    <row r="318" spans="1:30" ht="14">
      <c r="A318" s="3"/>
      <c r="B318" s="3"/>
      <c r="C318" s="3"/>
      <c r="D318" s="3"/>
      <c r="E318" s="3"/>
      <c r="F318" s="3"/>
      <c r="G318" s="3"/>
      <c r="H318" s="3"/>
      <c r="I318" s="3"/>
      <c r="J318" s="3"/>
      <c r="K318" s="3"/>
      <c r="L318" s="3"/>
      <c r="M318" s="3"/>
      <c r="N318" s="3"/>
      <c r="O318" s="3"/>
      <c r="P318" s="3"/>
      <c r="Q318" s="3"/>
      <c r="R318" s="3"/>
      <c r="S318" s="3"/>
      <c r="T318" s="3"/>
      <c r="U318" s="3"/>
      <c r="V318" s="3"/>
      <c r="W318" s="3"/>
      <c r="X318" s="3"/>
      <c r="Z318" s="3"/>
      <c r="AA318" s="3"/>
      <c r="AB318" s="3"/>
      <c r="AC318" s="3"/>
      <c r="AD318" s="3"/>
    </row>
    <row r="319" spans="1:30" ht="14">
      <c r="A319" s="3"/>
      <c r="B319" s="3"/>
      <c r="C319" s="3"/>
      <c r="D319" s="3"/>
      <c r="E319" s="3"/>
      <c r="F319" s="3"/>
      <c r="G319" s="3"/>
      <c r="H319" s="3"/>
      <c r="I319" s="3"/>
      <c r="J319" s="3"/>
      <c r="K319" s="3"/>
      <c r="L319" s="3"/>
      <c r="M319" s="3"/>
      <c r="N319" s="3"/>
      <c r="O319" s="3"/>
      <c r="P319" s="3"/>
      <c r="Q319" s="3"/>
      <c r="R319" s="3"/>
      <c r="S319" s="3"/>
      <c r="T319" s="3"/>
      <c r="U319" s="3"/>
      <c r="V319" s="3"/>
      <c r="W319" s="3"/>
      <c r="X319" s="3"/>
      <c r="Z319" s="3"/>
      <c r="AA319" s="3"/>
      <c r="AB319" s="3"/>
      <c r="AC319" s="3"/>
      <c r="AD319" s="3"/>
    </row>
    <row r="320" spans="1:30" ht="14">
      <c r="A320" s="3"/>
      <c r="B320" s="3"/>
      <c r="C320" s="3"/>
      <c r="D320" s="3"/>
      <c r="E320" s="3"/>
      <c r="F320" s="3"/>
      <c r="G320" s="3"/>
      <c r="H320" s="3"/>
      <c r="I320" s="3"/>
      <c r="J320" s="3"/>
      <c r="K320" s="3"/>
      <c r="L320" s="3"/>
      <c r="M320" s="3"/>
      <c r="N320" s="3"/>
      <c r="O320" s="3"/>
      <c r="P320" s="3"/>
      <c r="Q320" s="3"/>
      <c r="R320" s="3"/>
      <c r="S320" s="3"/>
      <c r="T320" s="3"/>
      <c r="U320" s="3"/>
      <c r="V320" s="3"/>
      <c r="W320" s="3"/>
      <c r="X320" s="3"/>
      <c r="Z320" s="3"/>
      <c r="AA320" s="3"/>
      <c r="AB320" s="3"/>
      <c r="AC320" s="3"/>
      <c r="AD320" s="3"/>
    </row>
    <row r="321" spans="1:30" ht="14">
      <c r="A321" s="3"/>
      <c r="B321" s="3"/>
      <c r="C321" s="3"/>
      <c r="D321" s="3"/>
      <c r="E321" s="3"/>
      <c r="F321" s="3"/>
      <c r="G321" s="3"/>
      <c r="H321" s="3"/>
      <c r="I321" s="3"/>
      <c r="J321" s="3"/>
      <c r="K321" s="3"/>
      <c r="L321" s="3"/>
      <c r="M321" s="3"/>
      <c r="N321" s="3"/>
      <c r="O321" s="3"/>
      <c r="P321" s="3"/>
      <c r="Q321" s="3"/>
      <c r="R321" s="3"/>
      <c r="S321" s="3"/>
      <c r="T321" s="3"/>
      <c r="U321" s="3"/>
      <c r="V321" s="3"/>
      <c r="W321" s="3"/>
      <c r="X321" s="3"/>
      <c r="Z321" s="3"/>
      <c r="AA321" s="3"/>
      <c r="AB321" s="3"/>
      <c r="AC321" s="3"/>
      <c r="AD321" s="3"/>
    </row>
    <row r="322" spans="1:30" ht="14">
      <c r="A322" s="3"/>
      <c r="B322" s="3"/>
      <c r="C322" s="3"/>
      <c r="D322" s="3"/>
      <c r="E322" s="3"/>
      <c r="F322" s="3"/>
      <c r="G322" s="3"/>
      <c r="H322" s="3"/>
      <c r="I322" s="3"/>
      <c r="J322" s="3"/>
      <c r="K322" s="3"/>
      <c r="L322" s="3"/>
      <c r="M322" s="3"/>
      <c r="N322" s="3"/>
      <c r="O322" s="3"/>
      <c r="P322" s="3"/>
      <c r="Q322" s="3"/>
      <c r="R322" s="3"/>
      <c r="S322" s="3"/>
      <c r="T322" s="3"/>
      <c r="U322" s="3"/>
      <c r="V322" s="3"/>
      <c r="W322" s="3"/>
      <c r="X322" s="3"/>
      <c r="Z322" s="3"/>
      <c r="AA322" s="3"/>
      <c r="AB322" s="3"/>
      <c r="AC322" s="3"/>
      <c r="AD322" s="3"/>
    </row>
    <row r="323" spans="1:30" ht="14">
      <c r="A323" s="3"/>
      <c r="B323" s="3"/>
      <c r="C323" s="3"/>
      <c r="D323" s="3"/>
      <c r="E323" s="3"/>
      <c r="F323" s="3"/>
      <c r="G323" s="3"/>
      <c r="H323" s="3"/>
      <c r="I323" s="3"/>
      <c r="J323" s="3"/>
      <c r="K323" s="3"/>
      <c r="L323" s="3"/>
      <c r="M323" s="3"/>
      <c r="N323" s="3"/>
      <c r="O323" s="3"/>
      <c r="P323" s="3"/>
      <c r="Q323" s="3"/>
      <c r="R323" s="3"/>
      <c r="S323" s="3"/>
      <c r="T323" s="3"/>
      <c r="U323" s="3"/>
      <c r="V323" s="3"/>
      <c r="W323" s="3"/>
      <c r="X323" s="3"/>
      <c r="Z323" s="3"/>
      <c r="AA323" s="3"/>
      <c r="AB323" s="3"/>
      <c r="AC323" s="3"/>
      <c r="AD323" s="3"/>
    </row>
    <row r="324" spans="1:30" ht="14">
      <c r="A324" s="3"/>
      <c r="B324" s="3"/>
      <c r="C324" s="3"/>
      <c r="D324" s="3"/>
      <c r="E324" s="3"/>
      <c r="F324" s="3"/>
      <c r="G324" s="3"/>
      <c r="H324" s="3"/>
      <c r="I324" s="3"/>
      <c r="J324" s="3"/>
      <c r="K324" s="3"/>
      <c r="L324" s="3"/>
      <c r="M324" s="3"/>
      <c r="N324" s="3"/>
      <c r="O324" s="3"/>
      <c r="P324" s="3"/>
      <c r="Q324" s="3"/>
      <c r="R324" s="3"/>
      <c r="S324" s="3"/>
      <c r="T324" s="3"/>
      <c r="U324" s="3"/>
      <c r="V324" s="3"/>
      <c r="W324" s="3"/>
      <c r="X324" s="3"/>
      <c r="Z324" s="3"/>
      <c r="AA324" s="3"/>
      <c r="AB324" s="3"/>
      <c r="AC324" s="3"/>
      <c r="AD324" s="3"/>
    </row>
    <row r="325" spans="1:30" ht="14">
      <c r="A325" s="3"/>
      <c r="B325" s="3"/>
      <c r="C325" s="3"/>
      <c r="D325" s="3"/>
      <c r="E325" s="3"/>
      <c r="F325" s="3"/>
      <c r="G325" s="3"/>
      <c r="H325" s="3"/>
      <c r="I325" s="3"/>
      <c r="J325" s="3"/>
      <c r="K325" s="3"/>
      <c r="L325" s="3"/>
      <c r="M325" s="3"/>
      <c r="N325" s="3"/>
      <c r="O325" s="3"/>
      <c r="P325" s="3"/>
      <c r="Q325" s="3"/>
      <c r="R325" s="3"/>
      <c r="S325" s="3"/>
      <c r="T325" s="3"/>
      <c r="U325" s="3"/>
      <c r="V325" s="3"/>
      <c r="W325" s="3"/>
      <c r="X325" s="3"/>
      <c r="Z325" s="3"/>
      <c r="AA325" s="3"/>
      <c r="AB325" s="3"/>
      <c r="AC325" s="3"/>
      <c r="AD325" s="3"/>
    </row>
    <row r="326" spans="1:30" ht="14">
      <c r="A326" s="3"/>
      <c r="B326" s="3"/>
      <c r="C326" s="3"/>
      <c r="D326" s="3"/>
      <c r="E326" s="3"/>
      <c r="F326" s="3"/>
      <c r="G326" s="3"/>
      <c r="H326" s="3"/>
      <c r="I326" s="3"/>
      <c r="J326" s="3"/>
      <c r="K326" s="3"/>
      <c r="L326" s="3"/>
      <c r="M326" s="3"/>
      <c r="N326" s="3"/>
      <c r="O326" s="3"/>
      <c r="P326" s="3"/>
      <c r="Q326" s="3"/>
      <c r="R326" s="3"/>
      <c r="S326" s="3"/>
      <c r="T326" s="3"/>
      <c r="U326" s="3"/>
      <c r="V326" s="3"/>
      <c r="W326" s="3"/>
      <c r="X326" s="3"/>
      <c r="Z326" s="3"/>
      <c r="AA326" s="3"/>
      <c r="AB326" s="3"/>
      <c r="AC326" s="3"/>
      <c r="AD326" s="3"/>
    </row>
    <row r="327" spans="1:30" ht="14">
      <c r="A327" s="3"/>
      <c r="B327" s="3"/>
      <c r="C327" s="3"/>
      <c r="D327" s="3"/>
      <c r="E327" s="3"/>
      <c r="F327" s="3"/>
      <c r="G327" s="3"/>
      <c r="H327" s="3"/>
      <c r="I327" s="3"/>
      <c r="J327" s="3"/>
      <c r="K327" s="3"/>
      <c r="L327" s="3"/>
      <c r="M327" s="3"/>
      <c r="N327" s="3"/>
      <c r="O327" s="3"/>
      <c r="P327" s="3"/>
      <c r="Q327" s="3"/>
      <c r="R327" s="3"/>
      <c r="S327" s="3"/>
      <c r="T327" s="3"/>
      <c r="U327" s="3"/>
      <c r="V327" s="3"/>
      <c r="W327" s="3"/>
      <c r="X327" s="3"/>
      <c r="Z327" s="3"/>
      <c r="AA327" s="3"/>
      <c r="AB327" s="3"/>
      <c r="AC327" s="3"/>
      <c r="AD327" s="3"/>
    </row>
    <row r="328" spans="1:30" ht="14">
      <c r="A328" s="3"/>
      <c r="B328" s="3"/>
      <c r="C328" s="3"/>
      <c r="D328" s="3"/>
      <c r="E328" s="3"/>
      <c r="F328" s="3"/>
      <c r="G328" s="3"/>
      <c r="H328" s="3"/>
      <c r="I328" s="3"/>
      <c r="J328" s="3"/>
      <c r="K328" s="3"/>
      <c r="L328" s="3"/>
      <c r="M328" s="3"/>
      <c r="N328" s="3"/>
      <c r="O328" s="3"/>
      <c r="P328" s="3"/>
      <c r="Q328" s="3"/>
      <c r="R328" s="3"/>
      <c r="S328" s="3"/>
      <c r="T328" s="3"/>
      <c r="U328" s="3"/>
      <c r="V328" s="3"/>
      <c r="W328" s="3"/>
      <c r="X328" s="3"/>
      <c r="Z328" s="3"/>
      <c r="AA328" s="3"/>
      <c r="AB328" s="3"/>
      <c r="AC328" s="3"/>
      <c r="AD328" s="3"/>
    </row>
    <row r="329" spans="1:30" ht="14">
      <c r="A329" s="3"/>
      <c r="B329" s="3"/>
      <c r="C329" s="3"/>
      <c r="D329" s="3"/>
      <c r="E329" s="3"/>
      <c r="F329" s="3"/>
      <c r="G329" s="3"/>
      <c r="H329" s="3"/>
      <c r="I329" s="3"/>
      <c r="J329" s="3"/>
      <c r="K329" s="3"/>
      <c r="L329" s="3"/>
      <c r="M329" s="3"/>
      <c r="N329" s="3"/>
      <c r="O329" s="3"/>
      <c r="P329" s="3"/>
      <c r="Q329" s="3"/>
      <c r="R329" s="3"/>
      <c r="S329" s="3"/>
      <c r="T329" s="3"/>
      <c r="U329" s="3"/>
      <c r="V329" s="3"/>
      <c r="W329" s="3"/>
      <c r="X329" s="3"/>
      <c r="Z329" s="3"/>
      <c r="AA329" s="3"/>
      <c r="AB329" s="3"/>
      <c r="AC329" s="3"/>
      <c r="AD329" s="3"/>
    </row>
    <row r="330" spans="1:30" ht="14">
      <c r="A330" s="3"/>
      <c r="B330" s="3"/>
      <c r="C330" s="3"/>
      <c r="D330" s="3"/>
      <c r="E330" s="3"/>
      <c r="F330" s="3"/>
      <c r="G330" s="3"/>
      <c r="H330" s="3"/>
      <c r="I330" s="3"/>
      <c r="J330" s="3"/>
      <c r="K330" s="3"/>
      <c r="L330" s="3"/>
      <c r="M330" s="3"/>
      <c r="N330" s="3"/>
      <c r="O330" s="3"/>
      <c r="P330" s="3"/>
      <c r="Q330" s="3"/>
      <c r="R330" s="3"/>
      <c r="S330" s="3"/>
      <c r="T330" s="3"/>
      <c r="U330" s="3"/>
      <c r="V330" s="3"/>
      <c r="W330" s="3"/>
      <c r="X330" s="3"/>
      <c r="Z330" s="3"/>
      <c r="AA330" s="3"/>
      <c r="AB330" s="3"/>
      <c r="AC330" s="3"/>
      <c r="AD330" s="3"/>
    </row>
    <row r="331" spans="1:30" ht="14">
      <c r="A331" s="3"/>
      <c r="B331" s="3"/>
      <c r="C331" s="3"/>
      <c r="D331" s="3"/>
      <c r="E331" s="3"/>
      <c r="F331" s="3"/>
      <c r="G331" s="3"/>
      <c r="H331" s="3"/>
      <c r="I331" s="3"/>
      <c r="J331" s="3"/>
      <c r="K331" s="3"/>
      <c r="L331" s="3"/>
      <c r="M331" s="3"/>
      <c r="N331" s="3"/>
      <c r="O331" s="3"/>
      <c r="P331" s="3"/>
      <c r="Q331" s="3"/>
      <c r="R331" s="3"/>
      <c r="S331" s="3"/>
      <c r="T331" s="3"/>
      <c r="U331" s="3"/>
      <c r="V331" s="3"/>
      <c r="W331" s="3"/>
      <c r="X331" s="3"/>
      <c r="Z331" s="3"/>
      <c r="AA331" s="3"/>
      <c r="AB331" s="3"/>
      <c r="AC331" s="3"/>
      <c r="AD331" s="3"/>
    </row>
    <row r="332" spans="1:30" ht="14">
      <c r="A332" s="3"/>
      <c r="B332" s="3"/>
      <c r="C332" s="3"/>
      <c r="D332" s="3"/>
      <c r="E332" s="3"/>
      <c r="F332" s="3"/>
      <c r="G332" s="3"/>
      <c r="H332" s="3"/>
      <c r="I332" s="3"/>
      <c r="J332" s="3"/>
      <c r="K332" s="3"/>
      <c r="L332" s="3"/>
      <c r="M332" s="3"/>
      <c r="N332" s="3"/>
      <c r="O332" s="3"/>
      <c r="P332" s="3"/>
      <c r="Q332" s="3"/>
      <c r="R332" s="3"/>
      <c r="S332" s="3"/>
      <c r="T332" s="3"/>
      <c r="U332" s="3"/>
      <c r="V332" s="3"/>
      <c r="W332" s="3"/>
      <c r="X332" s="3"/>
      <c r="Z332" s="3"/>
      <c r="AA332" s="3"/>
      <c r="AB332" s="3"/>
      <c r="AC332" s="3"/>
      <c r="AD332" s="3"/>
    </row>
    <row r="333" spans="1:30" ht="14">
      <c r="A333" s="3"/>
      <c r="B333" s="3"/>
      <c r="C333" s="3"/>
      <c r="D333" s="3"/>
      <c r="E333" s="3"/>
      <c r="F333" s="3"/>
      <c r="G333" s="3"/>
      <c r="H333" s="3"/>
      <c r="I333" s="3"/>
      <c r="J333" s="3"/>
      <c r="K333" s="3"/>
      <c r="L333" s="3"/>
      <c r="M333" s="3"/>
      <c r="N333" s="3"/>
      <c r="O333" s="3"/>
      <c r="P333" s="3"/>
      <c r="Q333" s="3"/>
      <c r="R333" s="3"/>
      <c r="S333" s="3"/>
      <c r="T333" s="3"/>
      <c r="U333" s="3"/>
      <c r="V333" s="3"/>
      <c r="W333" s="3"/>
      <c r="X333" s="3"/>
      <c r="Z333" s="3"/>
      <c r="AA333" s="3"/>
      <c r="AB333" s="3"/>
      <c r="AC333" s="3"/>
      <c r="AD333" s="3"/>
    </row>
    <row r="334" spans="1:30" ht="14">
      <c r="A334" s="3"/>
      <c r="B334" s="3"/>
      <c r="C334" s="3"/>
      <c r="D334" s="3"/>
      <c r="E334" s="3"/>
      <c r="F334" s="3"/>
      <c r="G334" s="3"/>
      <c r="H334" s="3"/>
      <c r="I334" s="3"/>
      <c r="J334" s="3"/>
      <c r="K334" s="3"/>
      <c r="L334" s="3"/>
      <c r="M334" s="3"/>
      <c r="N334" s="3"/>
      <c r="O334" s="3"/>
      <c r="P334" s="3"/>
      <c r="Q334" s="3"/>
      <c r="R334" s="3"/>
      <c r="S334" s="3"/>
      <c r="T334" s="3"/>
      <c r="U334" s="3"/>
      <c r="V334" s="3"/>
      <c r="W334" s="3"/>
      <c r="X334" s="3"/>
      <c r="Z334" s="3"/>
      <c r="AA334" s="3"/>
      <c r="AB334" s="3"/>
      <c r="AC334" s="3"/>
      <c r="AD334" s="3"/>
    </row>
    <row r="335" spans="1:30" ht="14">
      <c r="A335" s="3"/>
      <c r="B335" s="3"/>
      <c r="C335" s="3"/>
      <c r="D335" s="3"/>
      <c r="E335" s="3"/>
      <c r="F335" s="3"/>
      <c r="G335" s="3"/>
      <c r="H335" s="3"/>
      <c r="I335" s="3"/>
      <c r="J335" s="3"/>
      <c r="K335" s="3"/>
      <c r="L335" s="3"/>
      <c r="M335" s="3"/>
      <c r="N335" s="3"/>
      <c r="O335" s="3"/>
      <c r="P335" s="3"/>
      <c r="Q335" s="3"/>
      <c r="R335" s="3"/>
      <c r="S335" s="3"/>
      <c r="T335" s="3"/>
      <c r="U335" s="3"/>
      <c r="V335" s="3"/>
      <c r="W335" s="3"/>
      <c r="X335" s="3"/>
      <c r="Z335" s="3"/>
      <c r="AA335" s="3"/>
      <c r="AB335" s="3"/>
      <c r="AC335" s="3"/>
      <c r="AD335" s="3"/>
    </row>
    <row r="336" spans="1:30" ht="14">
      <c r="A336" s="3"/>
      <c r="B336" s="3"/>
      <c r="C336" s="3"/>
      <c r="D336" s="3"/>
      <c r="E336" s="3"/>
      <c r="F336" s="3"/>
      <c r="G336" s="3"/>
      <c r="H336" s="3"/>
      <c r="I336" s="3"/>
      <c r="J336" s="3"/>
      <c r="K336" s="3"/>
      <c r="L336" s="3"/>
      <c r="M336" s="3"/>
      <c r="N336" s="3"/>
      <c r="O336" s="3"/>
      <c r="P336" s="3"/>
      <c r="Q336" s="3"/>
      <c r="R336" s="3"/>
      <c r="S336" s="3"/>
      <c r="T336" s="3"/>
      <c r="U336" s="3"/>
      <c r="V336" s="3"/>
      <c r="W336" s="3"/>
      <c r="X336" s="3"/>
      <c r="Z336" s="3"/>
      <c r="AA336" s="3"/>
      <c r="AB336" s="3"/>
      <c r="AC336" s="3"/>
      <c r="AD336" s="3"/>
    </row>
    <row r="337" spans="1:30" ht="14">
      <c r="A337" s="3"/>
      <c r="B337" s="3"/>
      <c r="C337" s="3"/>
      <c r="D337" s="3"/>
      <c r="E337" s="3"/>
      <c r="F337" s="3"/>
      <c r="G337" s="3"/>
      <c r="H337" s="3"/>
      <c r="I337" s="3"/>
      <c r="J337" s="3"/>
      <c r="K337" s="3"/>
      <c r="L337" s="3"/>
      <c r="M337" s="3"/>
      <c r="N337" s="3"/>
      <c r="O337" s="3"/>
      <c r="P337" s="3"/>
      <c r="Q337" s="3"/>
      <c r="R337" s="3"/>
      <c r="S337" s="3"/>
      <c r="T337" s="3"/>
      <c r="U337" s="3"/>
      <c r="V337" s="3"/>
      <c r="W337" s="3"/>
      <c r="X337" s="3"/>
      <c r="Z337" s="3"/>
      <c r="AA337" s="3"/>
      <c r="AB337" s="3"/>
      <c r="AC337" s="3"/>
      <c r="AD337" s="3"/>
    </row>
    <row r="338" spans="1:30" ht="14">
      <c r="A338" s="3"/>
      <c r="B338" s="3"/>
      <c r="C338" s="3"/>
      <c r="D338" s="3"/>
      <c r="E338" s="3"/>
      <c r="F338" s="3"/>
      <c r="G338" s="3"/>
      <c r="H338" s="3"/>
      <c r="I338" s="3"/>
      <c r="J338" s="3"/>
      <c r="K338" s="3"/>
      <c r="L338" s="3"/>
      <c r="M338" s="3"/>
      <c r="N338" s="3"/>
      <c r="O338" s="3"/>
      <c r="P338" s="3"/>
      <c r="Q338" s="3"/>
      <c r="R338" s="3"/>
      <c r="S338" s="3"/>
      <c r="T338" s="3"/>
      <c r="U338" s="3"/>
      <c r="V338" s="3"/>
      <c r="W338" s="3"/>
      <c r="X338" s="3"/>
      <c r="Z338" s="3"/>
      <c r="AA338" s="3"/>
      <c r="AB338" s="3"/>
      <c r="AC338" s="3"/>
      <c r="AD338" s="3"/>
    </row>
    <row r="339" spans="1:30" ht="14">
      <c r="A339" s="3"/>
      <c r="B339" s="3"/>
      <c r="C339" s="3"/>
      <c r="D339" s="3"/>
      <c r="E339" s="3"/>
      <c r="F339" s="3"/>
      <c r="G339" s="3"/>
      <c r="H339" s="3"/>
      <c r="I339" s="3"/>
      <c r="J339" s="3"/>
      <c r="K339" s="3"/>
      <c r="L339" s="3"/>
      <c r="M339" s="3"/>
      <c r="N339" s="3"/>
      <c r="O339" s="3"/>
      <c r="P339" s="3"/>
      <c r="Q339" s="3"/>
      <c r="R339" s="3"/>
      <c r="S339" s="3"/>
      <c r="T339" s="3"/>
      <c r="U339" s="3"/>
      <c r="V339" s="3"/>
      <c r="W339" s="3"/>
      <c r="X339" s="3"/>
      <c r="Z339" s="3"/>
      <c r="AA339" s="3"/>
      <c r="AB339" s="3"/>
      <c r="AC339" s="3"/>
      <c r="AD339" s="3"/>
    </row>
    <row r="340" spans="1:30" ht="14">
      <c r="A340" s="3"/>
      <c r="B340" s="3"/>
      <c r="C340" s="3"/>
      <c r="D340" s="3"/>
      <c r="E340" s="3"/>
      <c r="F340" s="3"/>
      <c r="G340" s="3"/>
      <c r="H340" s="3"/>
      <c r="I340" s="3"/>
      <c r="J340" s="3"/>
      <c r="K340" s="3"/>
      <c r="L340" s="3"/>
      <c r="M340" s="3"/>
      <c r="N340" s="3"/>
      <c r="O340" s="3"/>
      <c r="P340" s="3"/>
      <c r="Q340" s="3"/>
      <c r="R340" s="3"/>
      <c r="S340" s="3"/>
      <c r="T340" s="3"/>
      <c r="U340" s="3"/>
      <c r="V340" s="3"/>
      <c r="W340" s="3"/>
      <c r="X340" s="3"/>
      <c r="Z340" s="3"/>
      <c r="AA340" s="3"/>
      <c r="AB340" s="3"/>
      <c r="AC340" s="3"/>
      <c r="AD340" s="3"/>
    </row>
    <row r="341" spans="1:30" ht="14">
      <c r="A341" s="3"/>
      <c r="B341" s="3"/>
      <c r="C341" s="3"/>
      <c r="D341" s="3"/>
      <c r="E341" s="3"/>
      <c r="F341" s="3"/>
      <c r="G341" s="3"/>
      <c r="H341" s="3"/>
      <c r="I341" s="3"/>
      <c r="J341" s="3"/>
      <c r="K341" s="3"/>
      <c r="L341" s="3"/>
      <c r="M341" s="3"/>
      <c r="N341" s="3"/>
      <c r="O341" s="3"/>
      <c r="P341" s="3"/>
      <c r="Q341" s="3"/>
      <c r="R341" s="3"/>
      <c r="S341" s="3"/>
      <c r="T341" s="3"/>
      <c r="U341" s="3"/>
      <c r="V341" s="3"/>
      <c r="W341" s="3"/>
      <c r="X341" s="3"/>
      <c r="Z341" s="3"/>
      <c r="AA341" s="3"/>
      <c r="AB341" s="3"/>
      <c r="AC341" s="3"/>
      <c r="AD341" s="3"/>
    </row>
    <row r="342" spans="1:30" ht="14">
      <c r="A342" s="3"/>
      <c r="B342" s="3"/>
      <c r="C342" s="3"/>
      <c r="D342" s="3"/>
      <c r="E342" s="3"/>
      <c r="F342" s="3"/>
      <c r="G342" s="3"/>
      <c r="H342" s="3"/>
      <c r="I342" s="3"/>
      <c r="J342" s="3"/>
      <c r="K342" s="3"/>
      <c r="L342" s="3"/>
      <c r="M342" s="3"/>
      <c r="N342" s="3"/>
      <c r="O342" s="3"/>
      <c r="P342" s="3"/>
      <c r="Q342" s="3"/>
      <c r="R342" s="3"/>
      <c r="S342" s="3"/>
      <c r="T342" s="3"/>
      <c r="U342" s="3"/>
      <c r="V342" s="3"/>
      <c r="W342" s="3"/>
      <c r="X342" s="3"/>
      <c r="Z342" s="3"/>
      <c r="AA342" s="3"/>
      <c r="AB342" s="3"/>
      <c r="AC342" s="3"/>
      <c r="AD342" s="3"/>
    </row>
    <row r="343" spans="1:30" ht="14">
      <c r="A343" s="3"/>
      <c r="B343" s="3"/>
      <c r="C343" s="3"/>
      <c r="D343" s="3"/>
      <c r="E343" s="3"/>
      <c r="F343" s="3"/>
      <c r="G343" s="3"/>
      <c r="H343" s="3"/>
      <c r="I343" s="3"/>
      <c r="J343" s="3"/>
      <c r="K343" s="3"/>
      <c r="L343" s="3"/>
      <c r="M343" s="3"/>
      <c r="N343" s="3"/>
      <c r="O343" s="3"/>
      <c r="P343" s="3"/>
      <c r="Q343" s="3"/>
      <c r="R343" s="3"/>
      <c r="S343" s="3"/>
      <c r="T343" s="3"/>
      <c r="U343" s="3"/>
      <c r="V343" s="3"/>
      <c r="W343" s="3"/>
      <c r="X343" s="3"/>
      <c r="Z343" s="3"/>
      <c r="AA343" s="3"/>
      <c r="AB343" s="3"/>
      <c r="AC343" s="3"/>
      <c r="AD343" s="3"/>
    </row>
    <row r="344" spans="1:30" ht="14">
      <c r="A344" s="3"/>
      <c r="B344" s="3"/>
      <c r="C344" s="3"/>
      <c r="D344" s="3"/>
      <c r="E344" s="3"/>
      <c r="F344" s="3"/>
      <c r="G344" s="3"/>
      <c r="H344" s="3"/>
      <c r="I344" s="3"/>
      <c r="J344" s="3"/>
      <c r="K344" s="3"/>
      <c r="L344" s="3"/>
      <c r="M344" s="3"/>
      <c r="N344" s="3"/>
      <c r="O344" s="3"/>
      <c r="P344" s="3"/>
      <c r="Q344" s="3"/>
      <c r="R344" s="3"/>
      <c r="S344" s="3"/>
      <c r="T344" s="3"/>
      <c r="U344" s="3"/>
      <c r="V344" s="3"/>
      <c r="W344" s="3"/>
      <c r="X344" s="3"/>
      <c r="Z344" s="3"/>
      <c r="AA344" s="3"/>
      <c r="AB344" s="3"/>
      <c r="AC344" s="3"/>
      <c r="AD344" s="3"/>
    </row>
    <row r="345" spans="1:30" ht="14">
      <c r="A345" s="3"/>
      <c r="B345" s="3"/>
      <c r="C345" s="3"/>
      <c r="D345" s="3"/>
      <c r="E345" s="3"/>
      <c r="F345" s="3"/>
      <c r="G345" s="3"/>
      <c r="H345" s="3"/>
      <c r="I345" s="3"/>
      <c r="J345" s="3"/>
      <c r="K345" s="3"/>
      <c r="L345" s="3"/>
      <c r="M345" s="3"/>
      <c r="N345" s="3"/>
      <c r="O345" s="3"/>
      <c r="P345" s="3"/>
      <c r="Q345" s="3"/>
      <c r="R345" s="3"/>
      <c r="S345" s="3"/>
      <c r="T345" s="3"/>
      <c r="U345" s="3"/>
      <c r="V345" s="3"/>
      <c r="W345" s="3"/>
      <c r="X345" s="3"/>
      <c r="Z345" s="3"/>
      <c r="AA345" s="3"/>
      <c r="AB345" s="3"/>
      <c r="AC345" s="3"/>
      <c r="AD345" s="3"/>
    </row>
    <row r="346" spans="1:30" ht="14">
      <c r="A346" s="3"/>
      <c r="B346" s="3"/>
      <c r="C346" s="3"/>
      <c r="D346" s="3"/>
      <c r="E346" s="3"/>
      <c r="F346" s="3"/>
      <c r="G346" s="3"/>
      <c r="H346" s="3"/>
      <c r="I346" s="3"/>
      <c r="J346" s="3"/>
      <c r="K346" s="3"/>
      <c r="L346" s="3"/>
      <c r="M346" s="3"/>
      <c r="N346" s="3"/>
      <c r="O346" s="3"/>
      <c r="P346" s="3"/>
      <c r="Q346" s="3"/>
      <c r="R346" s="3"/>
      <c r="S346" s="3"/>
      <c r="T346" s="3"/>
      <c r="U346" s="3"/>
      <c r="V346" s="3"/>
      <c r="W346" s="3"/>
      <c r="X346" s="3"/>
      <c r="Z346" s="3"/>
      <c r="AA346" s="3"/>
      <c r="AB346" s="3"/>
      <c r="AC346" s="3"/>
      <c r="AD346" s="3"/>
    </row>
    <row r="347" spans="1:30" ht="14">
      <c r="A347" s="3"/>
      <c r="B347" s="3"/>
      <c r="C347" s="3"/>
      <c r="D347" s="3"/>
      <c r="E347" s="3"/>
      <c r="F347" s="3"/>
      <c r="G347" s="3"/>
      <c r="H347" s="3"/>
      <c r="I347" s="3"/>
      <c r="J347" s="3"/>
      <c r="K347" s="3"/>
      <c r="L347" s="3"/>
      <c r="M347" s="3"/>
      <c r="N347" s="3"/>
      <c r="O347" s="3"/>
      <c r="P347" s="3"/>
      <c r="Q347" s="3"/>
      <c r="R347" s="3"/>
      <c r="S347" s="3"/>
      <c r="T347" s="3"/>
      <c r="U347" s="3"/>
      <c r="V347" s="3"/>
      <c r="W347" s="3"/>
      <c r="X347" s="3"/>
      <c r="Z347" s="3"/>
      <c r="AA347" s="3"/>
      <c r="AB347" s="3"/>
      <c r="AC347" s="3"/>
      <c r="AD347" s="3"/>
    </row>
    <row r="348" spans="1:30" ht="14">
      <c r="A348" s="3"/>
      <c r="B348" s="3"/>
      <c r="C348" s="3"/>
      <c r="D348" s="3"/>
      <c r="E348" s="3"/>
      <c r="F348" s="3"/>
      <c r="G348" s="3"/>
      <c r="H348" s="3"/>
      <c r="I348" s="3"/>
      <c r="J348" s="3"/>
      <c r="K348" s="3"/>
      <c r="L348" s="3"/>
      <c r="M348" s="3"/>
      <c r="N348" s="3"/>
      <c r="O348" s="3"/>
      <c r="P348" s="3"/>
      <c r="Q348" s="3"/>
      <c r="R348" s="3"/>
      <c r="S348" s="3"/>
      <c r="T348" s="3"/>
      <c r="U348" s="3"/>
      <c r="V348" s="3"/>
      <c r="W348" s="3"/>
      <c r="X348" s="3"/>
      <c r="Z348" s="3"/>
      <c r="AA348" s="3"/>
      <c r="AB348" s="3"/>
      <c r="AC348" s="3"/>
      <c r="AD348" s="3"/>
    </row>
    <row r="349" spans="1:30" ht="14">
      <c r="A349" s="3"/>
      <c r="B349" s="3"/>
      <c r="C349" s="3"/>
      <c r="D349" s="3"/>
      <c r="E349" s="3"/>
      <c r="F349" s="3"/>
      <c r="G349" s="3"/>
      <c r="H349" s="3"/>
      <c r="I349" s="3"/>
      <c r="J349" s="3"/>
      <c r="K349" s="3"/>
      <c r="L349" s="3"/>
      <c r="M349" s="3"/>
      <c r="N349" s="3"/>
      <c r="O349" s="3"/>
      <c r="P349" s="3"/>
      <c r="Q349" s="3"/>
      <c r="R349" s="3"/>
      <c r="S349" s="3"/>
      <c r="T349" s="3"/>
      <c r="U349" s="3"/>
      <c r="V349" s="3"/>
      <c r="W349" s="3"/>
      <c r="X349" s="3"/>
      <c r="Z349" s="3"/>
      <c r="AA349" s="3"/>
      <c r="AB349" s="3"/>
      <c r="AC349" s="3"/>
      <c r="AD349" s="3"/>
    </row>
    <row r="350" spans="1:30" ht="14">
      <c r="A350" s="3"/>
      <c r="B350" s="3"/>
      <c r="C350" s="3"/>
      <c r="D350" s="3"/>
      <c r="E350" s="3"/>
      <c r="F350" s="3"/>
      <c r="G350" s="3"/>
      <c r="H350" s="3"/>
      <c r="I350" s="3"/>
      <c r="J350" s="3"/>
      <c r="K350" s="3"/>
      <c r="L350" s="3"/>
      <c r="M350" s="3"/>
      <c r="N350" s="3"/>
      <c r="O350" s="3"/>
      <c r="P350" s="3"/>
      <c r="Q350" s="3"/>
      <c r="R350" s="3"/>
      <c r="S350" s="3"/>
      <c r="T350" s="3"/>
      <c r="U350" s="3"/>
      <c r="V350" s="3"/>
      <c r="W350" s="3"/>
      <c r="X350" s="3"/>
      <c r="Z350" s="3"/>
      <c r="AA350" s="3"/>
      <c r="AB350" s="3"/>
      <c r="AC350" s="3"/>
      <c r="AD350" s="3"/>
    </row>
    <row r="351" spans="1:30" ht="14">
      <c r="A351" s="3"/>
      <c r="B351" s="3"/>
      <c r="C351" s="3"/>
      <c r="D351" s="3"/>
      <c r="E351" s="3"/>
      <c r="F351" s="3"/>
      <c r="G351" s="3"/>
      <c r="H351" s="3"/>
      <c r="I351" s="3"/>
      <c r="J351" s="3"/>
      <c r="K351" s="3"/>
      <c r="L351" s="3"/>
      <c r="M351" s="3"/>
      <c r="N351" s="3"/>
      <c r="O351" s="3"/>
      <c r="P351" s="3"/>
      <c r="Q351" s="3"/>
      <c r="R351" s="3"/>
      <c r="S351" s="3"/>
      <c r="T351" s="3"/>
      <c r="U351" s="3"/>
      <c r="V351" s="3"/>
      <c r="W351" s="3"/>
      <c r="X351" s="3"/>
      <c r="Z351" s="3"/>
      <c r="AA351" s="3"/>
      <c r="AB351" s="3"/>
      <c r="AC351" s="3"/>
      <c r="AD351" s="3"/>
    </row>
    <row r="352" spans="1:30" ht="14">
      <c r="A352" s="3"/>
      <c r="B352" s="3"/>
      <c r="C352" s="3"/>
      <c r="D352" s="3"/>
      <c r="E352" s="3"/>
      <c r="F352" s="3"/>
      <c r="G352" s="3"/>
      <c r="H352" s="3"/>
      <c r="I352" s="3"/>
      <c r="J352" s="3"/>
      <c r="K352" s="3"/>
      <c r="L352" s="3"/>
      <c r="M352" s="3"/>
      <c r="N352" s="3"/>
      <c r="O352" s="3"/>
      <c r="P352" s="3"/>
      <c r="Q352" s="3"/>
      <c r="R352" s="3"/>
      <c r="S352" s="3"/>
      <c r="T352" s="3"/>
      <c r="U352" s="3"/>
      <c r="V352" s="3"/>
      <c r="W352" s="3"/>
      <c r="X352" s="3"/>
      <c r="Z352" s="3"/>
      <c r="AA352" s="3"/>
      <c r="AB352" s="3"/>
      <c r="AC352" s="3"/>
      <c r="AD352" s="3"/>
    </row>
    <row r="353" spans="1:30" ht="14">
      <c r="A353" s="3"/>
      <c r="B353" s="3"/>
      <c r="C353" s="3"/>
      <c r="D353" s="3"/>
      <c r="E353" s="3"/>
      <c r="F353" s="3"/>
      <c r="G353" s="3"/>
      <c r="H353" s="3"/>
      <c r="I353" s="3"/>
      <c r="J353" s="3"/>
      <c r="K353" s="3"/>
      <c r="L353" s="3"/>
      <c r="M353" s="3"/>
      <c r="N353" s="3"/>
      <c r="O353" s="3"/>
      <c r="P353" s="3"/>
      <c r="Q353" s="3"/>
      <c r="R353" s="3"/>
      <c r="S353" s="3"/>
      <c r="T353" s="3"/>
      <c r="U353" s="3"/>
      <c r="V353" s="3"/>
      <c r="W353" s="3"/>
      <c r="X353" s="3"/>
      <c r="Z353" s="3"/>
      <c r="AA353" s="3"/>
      <c r="AB353" s="3"/>
      <c r="AC353" s="3"/>
      <c r="AD353" s="3"/>
    </row>
    <row r="354" spans="1:30" ht="14">
      <c r="A354" s="3"/>
      <c r="B354" s="3"/>
      <c r="C354" s="3"/>
      <c r="D354" s="3"/>
      <c r="E354" s="3"/>
      <c r="F354" s="3"/>
      <c r="G354" s="3"/>
      <c r="H354" s="3"/>
      <c r="I354" s="3"/>
      <c r="J354" s="3"/>
      <c r="K354" s="3"/>
      <c r="L354" s="3"/>
      <c r="M354" s="3"/>
      <c r="N354" s="3"/>
      <c r="O354" s="3"/>
      <c r="P354" s="3"/>
      <c r="Q354" s="3"/>
      <c r="R354" s="3"/>
      <c r="S354" s="3"/>
      <c r="T354" s="3"/>
      <c r="U354" s="3"/>
      <c r="V354" s="3"/>
      <c r="W354" s="3"/>
      <c r="X354" s="3"/>
      <c r="Z354" s="3"/>
      <c r="AA354" s="3"/>
      <c r="AB354" s="3"/>
      <c r="AC354" s="3"/>
      <c r="AD354" s="3"/>
    </row>
    <row r="355" spans="1:30" ht="14">
      <c r="A355" s="3"/>
      <c r="B355" s="3"/>
      <c r="C355" s="3"/>
      <c r="D355" s="3"/>
      <c r="E355" s="3"/>
      <c r="F355" s="3"/>
      <c r="G355" s="3"/>
      <c r="H355" s="3"/>
      <c r="I355" s="3"/>
      <c r="J355" s="3"/>
      <c r="K355" s="3"/>
      <c r="L355" s="3"/>
      <c r="M355" s="3"/>
      <c r="N355" s="3"/>
      <c r="O355" s="3"/>
      <c r="P355" s="3"/>
      <c r="Q355" s="3"/>
      <c r="R355" s="3"/>
      <c r="S355" s="3"/>
      <c r="T355" s="3"/>
      <c r="U355" s="3"/>
      <c r="V355" s="3"/>
      <c r="W355" s="3"/>
      <c r="X355" s="3"/>
      <c r="Z355" s="3"/>
      <c r="AA355" s="3"/>
      <c r="AB355" s="3"/>
      <c r="AC355" s="3"/>
      <c r="AD355" s="3"/>
    </row>
    <row r="356" spans="1:30" ht="14">
      <c r="A356" s="3"/>
      <c r="B356" s="3"/>
      <c r="C356" s="3"/>
      <c r="D356" s="3"/>
      <c r="E356" s="3"/>
      <c r="F356" s="3"/>
      <c r="G356" s="3"/>
      <c r="H356" s="3"/>
      <c r="I356" s="3"/>
      <c r="J356" s="3"/>
      <c r="K356" s="3"/>
      <c r="L356" s="3"/>
      <c r="M356" s="3"/>
      <c r="N356" s="3"/>
      <c r="O356" s="3"/>
      <c r="P356" s="3"/>
      <c r="Q356" s="3"/>
      <c r="R356" s="3"/>
      <c r="S356" s="3"/>
      <c r="T356" s="3"/>
      <c r="U356" s="3"/>
      <c r="V356" s="3"/>
      <c r="W356" s="3"/>
      <c r="X356" s="3"/>
      <c r="Z356" s="3"/>
      <c r="AA356" s="3"/>
      <c r="AB356" s="3"/>
      <c r="AC356" s="3"/>
      <c r="AD356" s="3"/>
    </row>
    <row r="357" spans="1:30" ht="14">
      <c r="A357" s="3"/>
      <c r="B357" s="3"/>
      <c r="C357" s="3"/>
      <c r="D357" s="3"/>
      <c r="E357" s="3"/>
      <c r="F357" s="3"/>
      <c r="G357" s="3"/>
      <c r="H357" s="3"/>
      <c r="I357" s="3"/>
      <c r="J357" s="3"/>
      <c r="K357" s="3"/>
      <c r="L357" s="3"/>
      <c r="M357" s="3"/>
      <c r="N357" s="3"/>
      <c r="O357" s="3"/>
      <c r="P357" s="3"/>
      <c r="Q357" s="3"/>
      <c r="R357" s="3"/>
      <c r="S357" s="3"/>
      <c r="T357" s="3"/>
      <c r="U357" s="3"/>
      <c r="V357" s="3"/>
      <c r="W357" s="3"/>
      <c r="X357" s="3"/>
      <c r="Z357" s="3"/>
      <c r="AA357" s="3"/>
      <c r="AB357" s="3"/>
      <c r="AC357" s="3"/>
      <c r="AD357" s="3"/>
    </row>
    <row r="358" spans="1:30" ht="14">
      <c r="A358" s="3"/>
      <c r="B358" s="3"/>
      <c r="C358" s="3"/>
      <c r="D358" s="3"/>
      <c r="E358" s="3"/>
      <c r="F358" s="3"/>
      <c r="G358" s="3"/>
      <c r="H358" s="3"/>
      <c r="I358" s="3"/>
      <c r="J358" s="3"/>
      <c r="K358" s="3"/>
      <c r="L358" s="3"/>
      <c r="M358" s="3"/>
      <c r="N358" s="3"/>
      <c r="O358" s="3"/>
      <c r="P358" s="3"/>
      <c r="Q358" s="3"/>
      <c r="R358" s="3"/>
      <c r="S358" s="3"/>
      <c r="T358" s="3"/>
      <c r="U358" s="3"/>
      <c r="V358" s="3"/>
      <c r="W358" s="3"/>
      <c r="X358" s="3"/>
      <c r="Z358" s="3"/>
      <c r="AA358" s="3"/>
      <c r="AB358" s="3"/>
      <c r="AC358" s="3"/>
      <c r="AD358" s="3"/>
    </row>
    <row r="359" spans="1:30" ht="14">
      <c r="A359" s="3"/>
      <c r="B359" s="3"/>
      <c r="C359" s="3"/>
      <c r="D359" s="3"/>
      <c r="E359" s="3"/>
      <c r="F359" s="3"/>
      <c r="G359" s="3"/>
      <c r="H359" s="3"/>
      <c r="I359" s="3"/>
      <c r="J359" s="3"/>
      <c r="K359" s="3"/>
      <c r="L359" s="3"/>
      <c r="M359" s="3"/>
      <c r="N359" s="3"/>
      <c r="O359" s="3"/>
      <c r="P359" s="3"/>
      <c r="Q359" s="3"/>
      <c r="R359" s="3"/>
      <c r="S359" s="3"/>
      <c r="T359" s="3"/>
      <c r="U359" s="3"/>
      <c r="V359" s="3"/>
      <c r="W359" s="3"/>
      <c r="X359" s="3"/>
      <c r="Z359" s="3"/>
      <c r="AA359" s="3"/>
      <c r="AB359" s="3"/>
      <c r="AC359" s="3"/>
      <c r="AD359" s="3"/>
    </row>
    <row r="360" spans="1:30" ht="14">
      <c r="A360" s="3"/>
      <c r="B360" s="3"/>
      <c r="C360" s="3"/>
      <c r="D360" s="3"/>
      <c r="E360" s="3"/>
      <c r="F360" s="3"/>
      <c r="G360" s="3"/>
      <c r="H360" s="3"/>
      <c r="I360" s="3"/>
      <c r="J360" s="3"/>
      <c r="K360" s="3"/>
      <c r="L360" s="3"/>
      <c r="M360" s="3"/>
      <c r="N360" s="3"/>
      <c r="O360" s="3"/>
      <c r="P360" s="3"/>
      <c r="Q360" s="3"/>
      <c r="R360" s="3"/>
      <c r="S360" s="3"/>
      <c r="T360" s="3"/>
      <c r="U360" s="3"/>
      <c r="V360" s="3"/>
      <c r="W360" s="3"/>
      <c r="X360" s="3"/>
      <c r="Z360" s="3"/>
      <c r="AA360" s="3"/>
      <c r="AB360" s="3"/>
      <c r="AC360" s="3"/>
      <c r="AD360" s="3"/>
    </row>
    <row r="361" spans="1:30" ht="14">
      <c r="A361" s="3"/>
      <c r="B361" s="3"/>
      <c r="C361" s="3"/>
      <c r="D361" s="3"/>
      <c r="E361" s="3"/>
      <c r="F361" s="3"/>
      <c r="G361" s="3"/>
      <c r="H361" s="3"/>
      <c r="I361" s="3"/>
      <c r="J361" s="3"/>
      <c r="K361" s="3"/>
      <c r="L361" s="3"/>
      <c r="M361" s="3"/>
      <c r="N361" s="3"/>
      <c r="O361" s="3"/>
      <c r="P361" s="3"/>
      <c r="Q361" s="3"/>
      <c r="R361" s="3"/>
      <c r="S361" s="3"/>
      <c r="T361" s="3"/>
      <c r="U361" s="3"/>
      <c r="V361" s="3"/>
      <c r="W361" s="3"/>
      <c r="X361" s="3"/>
      <c r="Z361" s="3"/>
      <c r="AA361" s="3"/>
      <c r="AB361" s="3"/>
      <c r="AC361" s="3"/>
      <c r="AD361" s="3"/>
    </row>
    <row r="362" spans="1:30" ht="14">
      <c r="A362" s="3"/>
      <c r="B362" s="3"/>
      <c r="C362" s="3"/>
      <c r="D362" s="3"/>
      <c r="E362" s="3"/>
      <c r="F362" s="3"/>
      <c r="G362" s="3"/>
      <c r="H362" s="3"/>
      <c r="I362" s="3"/>
      <c r="J362" s="3"/>
      <c r="K362" s="3"/>
      <c r="L362" s="3"/>
      <c r="M362" s="3"/>
      <c r="N362" s="3"/>
      <c r="O362" s="3"/>
      <c r="P362" s="3"/>
      <c r="Q362" s="3"/>
      <c r="R362" s="3"/>
      <c r="S362" s="3"/>
      <c r="T362" s="3"/>
      <c r="U362" s="3"/>
      <c r="V362" s="3"/>
      <c r="W362" s="3"/>
      <c r="X362" s="3"/>
      <c r="Z362" s="3"/>
      <c r="AA362" s="3"/>
      <c r="AB362" s="3"/>
      <c r="AC362" s="3"/>
      <c r="AD362" s="3"/>
    </row>
    <row r="363" spans="1:30" ht="14">
      <c r="A363" s="3"/>
      <c r="B363" s="3"/>
      <c r="C363" s="3"/>
      <c r="D363" s="3"/>
      <c r="E363" s="3"/>
      <c r="F363" s="3"/>
      <c r="G363" s="3"/>
      <c r="H363" s="3"/>
      <c r="I363" s="3"/>
      <c r="J363" s="3"/>
      <c r="K363" s="3"/>
      <c r="L363" s="3"/>
      <c r="M363" s="3"/>
      <c r="N363" s="3"/>
      <c r="O363" s="3"/>
      <c r="P363" s="3"/>
      <c r="Q363" s="3"/>
      <c r="R363" s="3"/>
      <c r="S363" s="3"/>
      <c r="T363" s="3"/>
      <c r="U363" s="3"/>
      <c r="V363" s="3"/>
      <c r="W363" s="3"/>
      <c r="X363" s="3"/>
      <c r="Z363" s="3"/>
      <c r="AA363" s="3"/>
      <c r="AB363" s="3"/>
      <c r="AC363" s="3"/>
      <c r="AD363" s="3"/>
    </row>
    <row r="364" spans="1:30" ht="14">
      <c r="A364" s="3"/>
      <c r="B364" s="3"/>
      <c r="C364" s="3"/>
      <c r="D364" s="3"/>
      <c r="E364" s="3"/>
      <c r="F364" s="3"/>
      <c r="G364" s="3"/>
      <c r="H364" s="3"/>
      <c r="I364" s="3"/>
      <c r="J364" s="3"/>
      <c r="K364" s="3"/>
      <c r="L364" s="3"/>
      <c r="M364" s="3"/>
      <c r="N364" s="3"/>
      <c r="O364" s="3"/>
      <c r="P364" s="3"/>
      <c r="Q364" s="3"/>
      <c r="R364" s="3"/>
      <c r="S364" s="3"/>
      <c r="T364" s="3"/>
      <c r="U364" s="3"/>
      <c r="V364" s="3"/>
      <c r="W364" s="3"/>
      <c r="X364" s="3"/>
      <c r="Z364" s="3"/>
      <c r="AA364" s="3"/>
      <c r="AB364" s="3"/>
      <c r="AC364" s="3"/>
      <c r="AD364" s="3"/>
    </row>
    <row r="365" spans="1:30" ht="14">
      <c r="A365" s="3"/>
      <c r="B365" s="3"/>
      <c r="C365" s="3"/>
      <c r="D365" s="3"/>
      <c r="E365" s="3"/>
      <c r="F365" s="3"/>
      <c r="G365" s="3"/>
      <c r="H365" s="3"/>
      <c r="I365" s="3"/>
      <c r="J365" s="3"/>
      <c r="K365" s="3"/>
      <c r="L365" s="3"/>
      <c r="M365" s="3"/>
      <c r="N365" s="3"/>
      <c r="O365" s="3"/>
      <c r="P365" s="3"/>
      <c r="Q365" s="3"/>
      <c r="R365" s="3"/>
      <c r="S365" s="3"/>
      <c r="T365" s="3"/>
      <c r="U365" s="3"/>
      <c r="V365" s="3"/>
      <c r="W365" s="3"/>
      <c r="X365" s="3"/>
      <c r="Z365" s="3"/>
      <c r="AA365" s="3"/>
      <c r="AB365" s="3"/>
      <c r="AC365" s="3"/>
      <c r="AD365" s="3"/>
    </row>
    <row r="366" spans="1:30" ht="14">
      <c r="A366" s="3"/>
      <c r="B366" s="3"/>
      <c r="C366" s="3"/>
      <c r="D366" s="3"/>
      <c r="E366" s="3"/>
      <c r="F366" s="3"/>
      <c r="G366" s="3"/>
      <c r="H366" s="3"/>
      <c r="I366" s="3"/>
      <c r="J366" s="3"/>
      <c r="K366" s="3"/>
      <c r="L366" s="3"/>
      <c r="M366" s="3"/>
      <c r="N366" s="3"/>
      <c r="O366" s="3"/>
      <c r="P366" s="3"/>
      <c r="Q366" s="3"/>
      <c r="R366" s="3"/>
      <c r="S366" s="3"/>
      <c r="T366" s="3"/>
      <c r="U366" s="3"/>
      <c r="V366" s="3"/>
      <c r="W366" s="3"/>
      <c r="X366" s="3"/>
      <c r="Z366" s="3"/>
      <c r="AA366" s="3"/>
      <c r="AB366" s="3"/>
      <c r="AC366" s="3"/>
      <c r="AD366" s="3"/>
    </row>
    <row r="367" spans="1:30" ht="14">
      <c r="A367" s="3"/>
      <c r="B367" s="3"/>
      <c r="C367" s="3"/>
      <c r="D367" s="3"/>
      <c r="E367" s="3"/>
      <c r="F367" s="3"/>
      <c r="G367" s="3"/>
      <c r="H367" s="3"/>
      <c r="I367" s="3"/>
      <c r="J367" s="3"/>
      <c r="K367" s="3"/>
      <c r="L367" s="3"/>
      <c r="M367" s="3"/>
      <c r="N367" s="3"/>
      <c r="O367" s="3"/>
      <c r="P367" s="3"/>
      <c r="Q367" s="3"/>
      <c r="R367" s="3"/>
      <c r="S367" s="3"/>
      <c r="T367" s="3"/>
      <c r="U367" s="3"/>
      <c r="V367" s="3"/>
      <c r="W367" s="3"/>
      <c r="X367" s="3"/>
      <c r="Z367" s="3"/>
      <c r="AA367" s="3"/>
      <c r="AB367" s="3"/>
      <c r="AC367" s="3"/>
      <c r="AD367" s="3"/>
    </row>
    <row r="368" spans="1:30" ht="14">
      <c r="A368" s="3"/>
      <c r="B368" s="3"/>
      <c r="C368" s="3"/>
      <c r="D368" s="3"/>
      <c r="E368" s="3"/>
      <c r="F368" s="3"/>
      <c r="G368" s="3"/>
      <c r="H368" s="3"/>
      <c r="I368" s="3"/>
      <c r="J368" s="3"/>
      <c r="K368" s="3"/>
      <c r="L368" s="3"/>
      <c r="M368" s="3"/>
      <c r="N368" s="3"/>
      <c r="O368" s="3"/>
      <c r="P368" s="3"/>
      <c r="Q368" s="3"/>
      <c r="R368" s="3"/>
      <c r="S368" s="3"/>
      <c r="T368" s="3"/>
      <c r="U368" s="3"/>
      <c r="V368" s="3"/>
      <c r="W368" s="3"/>
      <c r="X368" s="3"/>
      <c r="Z368" s="3"/>
      <c r="AA368" s="3"/>
      <c r="AB368" s="3"/>
      <c r="AC368" s="3"/>
      <c r="AD368" s="3"/>
    </row>
    <row r="369" spans="1:30" ht="14">
      <c r="A369" s="3"/>
      <c r="B369" s="3"/>
      <c r="C369" s="3"/>
      <c r="D369" s="3"/>
      <c r="E369" s="3"/>
      <c r="F369" s="3"/>
      <c r="G369" s="3"/>
      <c r="H369" s="3"/>
      <c r="I369" s="3"/>
      <c r="J369" s="3"/>
      <c r="K369" s="3"/>
      <c r="L369" s="3"/>
      <c r="M369" s="3"/>
      <c r="N369" s="3"/>
      <c r="O369" s="3"/>
      <c r="P369" s="3"/>
      <c r="Q369" s="3"/>
      <c r="R369" s="3"/>
      <c r="S369" s="3"/>
      <c r="T369" s="3"/>
      <c r="U369" s="3"/>
      <c r="V369" s="3"/>
      <c r="W369" s="3"/>
      <c r="X369" s="3"/>
      <c r="Z369" s="3"/>
      <c r="AA369" s="3"/>
      <c r="AB369" s="3"/>
      <c r="AC369" s="3"/>
      <c r="AD369" s="3"/>
    </row>
    <row r="370" spans="1:30" ht="14">
      <c r="A370" s="3"/>
      <c r="B370" s="3"/>
      <c r="C370" s="3"/>
      <c r="D370" s="3"/>
      <c r="E370" s="3"/>
      <c r="F370" s="3"/>
      <c r="G370" s="3"/>
      <c r="H370" s="3"/>
      <c r="I370" s="3"/>
      <c r="J370" s="3"/>
      <c r="K370" s="3"/>
      <c r="L370" s="3"/>
      <c r="M370" s="3"/>
      <c r="N370" s="3"/>
      <c r="O370" s="3"/>
      <c r="P370" s="3"/>
      <c r="Q370" s="3"/>
      <c r="R370" s="3"/>
      <c r="S370" s="3"/>
      <c r="T370" s="3"/>
      <c r="U370" s="3"/>
      <c r="V370" s="3"/>
      <c r="W370" s="3"/>
      <c r="X370" s="3"/>
      <c r="Z370" s="3"/>
      <c r="AA370" s="3"/>
      <c r="AB370" s="3"/>
      <c r="AC370" s="3"/>
      <c r="AD370" s="3"/>
    </row>
    <row r="371" spans="1:30" ht="14">
      <c r="A371" s="3"/>
      <c r="B371" s="3"/>
      <c r="C371" s="3"/>
      <c r="D371" s="3"/>
      <c r="E371" s="3"/>
      <c r="F371" s="3"/>
      <c r="G371" s="3"/>
      <c r="H371" s="3"/>
      <c r="I371" s="3"/>
      <c r="J371" s="3"/>
      <c r="K371" s="3"/>
      <c r="L371" s="3"/>
      <c r="M371" s="3"/>
      <c r="N371" s="3"/>
      <c r="O371" s="3"/>
      <c r="P371" s="3"/>
      <c r="Q371" s="3"/>
      <c r="R371" s="3"/>
      <c r="S371" s="3"/>
      <c r="T371" s="3"/>
      <c r="U371" s="3"/>
      <c r="V371" s="3"/>
      <c r="W371" s="3"/>
      <c r="X371" s="3"/>
      <c r="Z371" s="3"/>
      <c r="AA371" s="3"/>
      <c r="AB371" s="3"/>
      <c r="AC371" s="3"/>
      <c r="AD371" s="3"/>
    </row>
    <row r="372" spans="1:30" ht="14">
      <c r="A372" s="3"/>
      <c r="B372" s="3"/>
      <c r="C372" s="3"/>
      <c r="D372" s="3"/>
      <c r="E372" s="3"/>
      <c r="F372" s="3"/>
      <c r="G372" s="3"/>
      <c r="H372" s="3"/>
      <c r="I372" s="3"/>
      <c r="J372" s="3"/>
      <c r="K372" s="3"/>
      <c r="L372" s="3"/>
      <c r="M372" s="3"/>
      <c r="N372" s="3"/>
      <c r="O372" s="3"/>
      <c r="P372" s="3"/>
      <c r="Q372" s="3"/>
      <c r="R372" s="3"/>
      <c r="S372" s="3"/>
      <c r="T372" s="3"/>
      <c r="U372" s="3"/>
      <c r="V372" s="3"/>
      <c r="W372" s="3"/>
      <c r="X372" s="3"/>
      <c r="Z372" s="3"/>
      <c r="AA372" s="3"/>
      <c r="AB372" s="3"/>
      <c r="AC372" s="3"/>
      <c r="AD372" s="3"/>
    </row>
    <row r="373" spans="1:30" ht="14">
      <c r="A373" s="3"/>
      <c r="B373" s="3"/>
      <c r="C373" s="3"/>
      <c r="D373" s="3"/>
      <c r="E373" s="3"/>
      <c r="F373" s="3"/>
      <c r="G373" s="3"/>
      <c r="H373" s="3"/>
      <c r="I373" s="3"/>
      <c r="J373" s="3"/>
      <c r="K373" s="3"/>
      <c r="L373" s="3"/>
      <c r="M373" s="3"/>
      <c r="N373" s="3"/>
      <c r="O373" s="3"/>
      <c r="P373" s="3"/>
      <c r="Q373" s="3"/>
      <c r="R373" s="3"/>
      <c r="S373" s="3"/>
      <c r="T373" s="3"/>
      <c r="U373" s="3"/>
      <c r="V373" s="3"/>
      <c r="W373" s="3"/>
      <c r="X373" s="3"/>
      <c r="Z373" s="3"/>
      <c r="AA373" s="3"/>
      <c r="AB373" s="3"/>
      <c r="AC373" s="3"/>
      <c r="AD373" s="3"/>
    </row>
    <row r="374" spans="1:30" ht="14">
      <c r="A374" s="3"/>
      <c r="B374" s="3"/>
      <c r="C374" s="3"/>
      <c r="D374" s="3"/>
      <c r="E374" s="3"/>
      <c r="F374" s="3"/>
      <c r="G374" s="3"/>
      <c r="H374" s="3"/>
      <c r="I374" s="3"/>
      <c r="J374" s="3"/>
      <c r="K374" s="3"/>
      <c r="L374" s="3"/>
      <c r="M374" s="3"/>
      <c r="N374" s="3"/>
      <c r="O374" s="3"/>
      <c r="P374" s="3"/>
      <c r="Q374" s="3"/>
      <c r="R374" s="3"/>
      <c r="S374" s="3"/>
      <c r="T374" s="3"/>
      <c r="U374" s="3"/>
      <c r="V374" s="3"/>
      <c r="W374" s="3"/>
      <c r="X374" s="3"/>
      <c r="Z374" s="3"/>
      <c r="AA374" s="3"/>
      <c r="AB374" s="3"/>
      <c r="AC374" s="3"/>
      <c r="AD374" s="3"/>
    </row>
    <row r="375" spans="1:30" ht="14">
      <c r="A375" s="3"/>
      <c r="B375" s="3"/>
      <c r="C375" s="3"/>
      <c r="D375" s="3"/>
      <c r="E375" s="3"/>
      <c r="F375" s="3"/>
      <c r="G375" s="3"/>
      <c r="H375" s="3"/>
      <c r="I375" s="3"/>
      <c r="J375" s="3"/>
      <c r="K375" s="3"/>
      <c r="L375" s="3"/>
      <c r="M375" s="3"/>
      <c r="N375" s="3"/>
      <c r="O375" s="3"/>
      <c r="P375" s="3"/>
      <c r="Q375" s="3"/>
      <c r="R375" s="3"/>
      <c r="S375" s="3"/>
      <c r="T375" s="3"/>
      <c r="U375" s="3"/>
      <c r="V375" s="3"/>
      <c r="W375" s="3"/>
      <c r="X375" s="3"/>
      <c r="Z375" s="3"/>
      <c r="AA375" s="3"/>
      <c r="AB375" s="3"/>
      <c r="AC375" s="3"/>
      <c r="AD375" s="3"/>
    </row>
    <row r="376" spans="1:30" ht="14">
      <c r="A376" s="3"/>
      <c r="B376" s="3"/>
      <c r="C376" s="3"/>
      <c r="D376" s="3"/>
      <c r="E376" s="3"/>
      <c r="F376" s="3"/>
      <c r="G376" s="3"/>
      <c r="H376" s="3"/>
      <c r="I376" s="3"/>
      <c r="J376" s="3"/>
      <c r="K376" s="3"/>
      <c r="L376" s="3"/>
      <c r="M376" s="3"/>
      <c r="N376" s="3"/>
      <c r="O376" s="3"/>
      <c r="P376" s="3"/>
      <c r="Q376" s="3"/>
      <c r="R376" s="3"/>
      <c r="S376" s="3"/>
      <c r="T376" s="3"/>
      <c r="U376" s="3"/>
      <c r="V376" s="3"/>
      <c r="W376" s="3"/>
      <c r="X376" s="3"/>
      <c r="Z376" s="3"/>
      <c r="AA376" s="3"/>
      <c r="AB376" s="3"/>
      <c r="AC376" s="3"/>
      <c r="AD376" s="3"/>
    </row>
    <row r="377" spans="1:30" ht="14">
      <c r="A377" s="3"/>
      <c r="B377" s="3"/>
      <c r="C377" s="3"/>
      <c r="D377" s="3"/>
      <c r="E377" s="3"/>
      <c r="F377" s="3"/>
      <c r="G377" s="3"/>
      <c r="H377" s="3"/>
      <c r="I377" s="3"/>
      <c r="J377" s="3"/>
      <c r="K377" s="3"/>
      <c r="L377" s="3"/>
      <c r="M377" s="3"/>
      <c r="N377" s="3"/>
      <c r="O377" s="3"/>
      <c r="P377" s="3"/>
      <c r="Q377" s="3"/>
      <c r="R377" s="3"/>
      <c r="S377" s="3"/>
      <c r="T377" s="3"/>
      <c r="U377" s="3"/>
      <c r="V377" s="3"/>
      <c r="W377" s="3"/>
      <c r="X377" s="3"/>
      <c r="Z377" s="3"/>
      <c r="AA377" s="3"/>
      <c r="AB377" s="3"/>
      <c r="AC377" s="3"/>
      <c r="AD377" s="3"/>
    </row>
    <row r="378" spans="1:30" ht="14">
      <c r="A378" s="3"/>
      <c r="B378" s="3"/>
      <c r="C378" s="3"/>
      <c r="D378" s="3"/>
      <c r="E378" s="3"/>
      <c r="F378" s="3"/>
      <c r="G378" s="3"/>
      <c r="H378" s="3"/>
      <c r="I378" s="3"/>
      <c r="J378" s="3"/>
      <c r="K378" s="3"/>
      <c r="L378" s="3"/>
      <c r="M378" s="3"/>
      <c r="N378" s="3"/>
      <c r="O378" s="3"/>
      <c r="P378" s="3"/>
      <c r="Q378" s="3"/>
      <c r="R378" s="3"/>
      <c r="S378" s="3"/>
      <c r="T378" s="3"/>
      <c r="U378" s="3"/>
      <c r="V378" s="3"/>
      <c r="W378" s="3"/>
      <c r="X378" s="3"/>
      <c r="Z378" s="3"/>
      <c r="AA378" s="3"/>
      <c r="AB378" s="3"/>
      <c r="AC378" s="3"/>
      <c r="AD378" s="3"/>
    </row>
    <row r="379" spans="1:30" ht="14">
      <c r="A379" s="3"/>
      <c r="B379" s="3"/>
      <c r="C379" s="3"/>
      <c r="D379" s="3"/>
      <c r="E379" s="3"/>
      <c r="F379" s="3"/>
      <c r="G379" s="3"/>
      <c r="H379" s="3"/>
      <c r="I379" s="3"/>
      <c r="J379" s="3"/>
      <c r="K379" s="3"/>
      <c r="L379" s="3"/>
      <c r="M379" s="3"/>
      <c r="N379" s="3"/>
      <c r="O379" s="3"/>
      <c r="P379" s="3"/>
      <c r="Q379" s="3"/>
      <c r="R379" s="3"/>
      <c r="S379" s="3"/>
      <c r="T379" s="3"/>
      <c r="U379" s="3"/>
      <c r="V379" s="3"/>
      <c r="W379" s="3"/>
      <c r="X379" s="3"/>
      <c r="Z379" s="3"/>
      <c r="AA379" s="3"/>
      <c r="AB379" s="3"/>
      <c r="AC379" s="3"/>
      <c r="AD379" s="3"/>
    </row>
    <row r="380" spans="1:30" ht="14">
      <c r="A380" s="3"/>
      <c r="B380" s="3"/>
      <c r="C380" s="3"/>
      <c r="D380" s="3"/>
      <c r="E380" s="3"/>
      <c r="F380" s="3"/>
      <c r="G380" s="3"/>
      <c r="H380" s="3"/>
      <c r="I380" s="3"/>
      <c r="J380" s="3"/>
      <c r="K380" s="3"/>
      <c r="L380" s="3"/>
      <c r="M380" s="3"/>
      <c r="N380" s="3"/>
      <c r="O380" s="3"/>
      <c r="P380" s="3"/>
      <c r="Q380" s="3"/>
      <c r="R380" s="3"/>
      <c r="S380" s="3"/>
      <c r="T380" s="3"/>
      <c r="U380" s="3"/>
      <c r="V380" s="3"/>
      <c r="W380" s="3"/>
      <c r="X380" s="3"/>
      <c r="Z380" s="3"/>
      <c r="AA380" s="3"/>
      <c r="AB380" s="3"/>
      <c r="AC380" s="3"/>
      <c r="AD380" s="3"/>
    </row>
    <row r="381" spans="1:30" ht="14">
      <c r="A381" s="3"/>
      <c r="B381" s="3"/>
      <c r="C381" s="3"/>
      <c r="D381" s="3"/>
      <c r="E381" s="3"/>
      <c r="F381" s="3"/>
      <c r="G381" s="3"/>
      <c r="H381" s="3"/>
      <c r="I381" s="3"/>
      <c r="J381" s="3"/>
      <c r="K381" s="3"/>
      <c r="L381" s="3"/>
      <c r="M381" s="3"/>
      <c r="N381" s="3"/>
      <c r="O381" s="3"/>
      <c r="P381" s="3"/>
      <c r="Q381" s="3"/>
      <c r="R381" s="3"/>
      <c r="S381" s="3"/>
      <c r="T381" s="3"/>
      <c r="U381" s="3"/>
      <c r="V381" s="3"/>
      <c r="W381" s="3"/>
      <c r="X381" s="3"/>
      <c r="Z381" s="3"/>
      <c r="AA381" s="3"/>
      <c r="AB381" s="3"/>
      <c r="AC381" s="3"/>
      <c r="AD381" s="3"/>
    </row>
    <row r="382" spans="1:30" ht="14">
      <c r="A382" s="3"/>
      <c r="B382" s="3"/>
      <c r="C382" s="3"/>
      <c r="D382" s="3"/>
      <c r="E382" s="3"/>
      <c r="F382" s="3"/>
      <c r="G382" s="3"/>
      <c r="H382" s="3"/>
      <c r="I382" s="3"/>
      <c r="J382" s="3"/>
      <c r="K382" s="3"/>
      <c r="L382" s="3"/>
      <c r="M382" s="3"/>
      <c r="N382" s="3"/>
      <c r="O382" s="3"/>
      <c r="P382" s="3"/>
      <c r="Q382" s="3"/>
      <c r="R382" s="3"/>
      <c r="S382" s="3"/>
      <c r="T382" s="3"/>
      <c r="U382" s="3"/>
      <c r="V382" s="3"/>
      <c r="W382" s="3"/>
      <c r="X382" s="3"/>
      <c r="Z382" s="3"/>
      <c r="AA382" s="3"/>
      <c r="AB382" s="3"/>
      <c r="AC382" s="3"/>
      <c r="AD382" s="3"/>
    </row>
    <row r="383" spans="1:30" ht="14">
      <c r="A383" s="3"/>
      <c r="B383" s="3"/>
      <c r="C383" s="3"/>
      <c r="D383" s="3"/>
      <c r="E383" s="3"/>
      <c r="F383" s="3"/>
      <c r="G383" s="3"/>
      <c r="H383" s="3"/>
      <c r="I383" s="3"/>
      <c r="J383" s="3"/>
      <c r="K383" s="3"/>
      <c r="L383" s="3"/>
      <c r="M383" s="3"/>
      <c r="N383" s="3"/>
      <c r="O383" s="3"/>
      <c r="P383" s="3"/>
      <c r="Q383" s="3"/>
      <c r="R383" s="3"/>
      <c r="S383" s="3"/>
      <c r="T383" s="3"/>
      <c r="U383" s="3"/>
      <c r="V383" s="3"/>
      <c r="W383" s="3"/>
      <c r="X383" s="3"/>
      <c r="Z383" s="3"/>
      <c r="AA383" s="3"/>
      <c r="AB383" s="3"/>
      <c r="AC383" s="3"/>
      <c r="AD383" s="3"/>
    </row>
    <row r="384" spans="1:30" ht="14">
      <c r="A384" s="3"/>
      <c r="B384" s="3"/>
      <c r="C384" s="3"/>
      <c r="D384" s="3"/>
      <c r="E384" s="3"/>
      <c r="F384" s="3"/>
      <c r="G384" s="3"/>
      <c r="H384" s="3"/>
      <c r="I384" s="3"/>
      <c r="J384" s="3"/>
      <c r="K384" s="3"/>
      <c r="L384" s="3"/>
      <c r="M384" s="3"/>
      <c r="N384" s="3"/>
      <c r="O384" s="3"/>
      <c r="P384" s="3"/>
      <c r="Q384" s="3"/>
      <c r="R384" s="3"/>
      <c r="S384" s="3"/>
      <c r="T384" s="3"/>
      <c r="U384" s="3"/>
      <c r="V384" s="3"/>
      <c r="W384" s="3"/>
      <c r="X384" s="3"/>
      <c r="Z384" s="3"/>
      <c r="AA384" s="3"/>
      <c r="AB384" s="3"/>
      <c r="AC384" s="3"/>
      <c r="AD384" s="3"/>
    </row>
    <row r="385" spans="1:30" ht="14">
      <c r="A385" s="3"/>
      <c r="B385" s="3"/>
      <c r="C385" s="3"/>
      <c r="D385" s="3"/>
      <c r="E385" s="3"/>
      <c r="F385" s="3"/>
      <c r="G385" s="3"/>
      <c r="H385" s="3"/>
      <c r="I385" s="3"/>
      <c r="J385" s="3"/>
      <c r="K385" s="3"/>
      <c r="L385" s="3"/>
      <c r="M385" s="3"/>
      <c r="N385" s="3"/>
      <c r="O385" s="3"/>
      <c r="P385" s="3"/>
      <c r="Q385" s="3"/>
      <c r="R385" s="3"/>
      <c r="S385" s="3"/>
      <c r="T385" s="3"/>
      <c r="U385" s="3"/>
      <c r="V385" s="3"/>
      <c r="W385" s="3"/>
      <c r="X385" s="3"/>
      <c r="Z385" s="3"/>
      <c r="AA385" s="3"/>
      <c r="AB385" s="3"/>
      <c r="AC385" s="3"/>
      <c r="AD385" s="3"/>
    </row>
    <row r="386" spans="1:30" ht="14">
      <c r="A386" s="3"/>
      <c r="B386" s="3"/>
      <c r="C386" s="3"/>
      <c r="D386" s="3"/>
      <c r="E386" s="3"/>
      <c r="F386" s="3"/>
      <c r="G386" s="3"/>
      <c r="H386" s="3"/>
      <c r="I386" s="3"/>
      <c r="J386" s="3"/>
      <c r="K386" s="3"/>
      <c r="L386" s="3"/>
      <c r="M386" s="3"/>
      <c r="N386" s="3"/>
      <c r="O386" s="3"/>
      <c r="P386" s="3"/>
      <c r="Q386" s="3"/>
      <c r="R386" s="3"/>
      <c r="S386" s="3"/>
      <c r="T386" s="3"/>
      <c r="U386" s="3"/>
      <c r="V386" s="3"/>
      <c r="W386" s="3"/>
      <c r="X386" s="3"/>
      <c r="Z386" s="3"/>
      <c r="AA386" s="3"/>
      <c r="AB386" s="3"/>
      <c r="AC386" s="3"/>
      <c r="AD386" s="3"/>
    </row>
    <row r="387" spans="1:30" ht="14">
      <c r="A387" s="3"/>
      <c r="B387" s="3"/>
      <c r="C387" s="3"/>
      <c r="D387" s="3"/>
      <c r="E387" s="3"/>
      <c r="F387" s="3"/>
      <c r="G387" s="3"/>
      <c r="H387" s="3"/>
      <c r="I387" s="3"/>
      <c r="J387" s="3"/>
      <c r="K387" s="3"/>
      <c r="L387" s="3"/>
      <c r="M387" s="3"/>
      <c r="N387" s="3"/>
      <c r="O387" s="3"/>
      <c r="P387" s="3"/>
      <c r="Q387" s="3"/>
      <c r="R387" s="3"/>
      <c r="S387" s="3"/>
      <c r="T387" s="3"/>
      <c r="U387" s="3"/>
      <c r="V387" s="3"/>
      <c r="W387" s="3"/>
      <c r="X387" s="3"/>
      <c r="Z387" s="3"/>
      <c r="AA387" s="3"/>
      <c r="AB387" s="3"/>
      <c r="AC387" s="3"/>
      <c r="AD387" s="3"/>
    </row>
    <row r="388" spans="1:30" ht="14">
      <c r="A388" s="3"/>
      <c r="B388" s="3"/>
      <c r="C388" s="3"/>
      <c r="D388" s="3"/>
      <c r="E388" s="3"/>
      <c r="F388" s="3"/>
      <c r="G388" s="3"/>
      <c r="H388" s="3"/>
      <c r="I388" s="3"/>
      <c r="J388" s="3"/>
      <c r="K388" s="3"/>
      <c r="L388" s="3"/>
      <c r="M388" s="3"/>
      <c r="N388" s="3"/>
      <c r="O388" s="3"/>
      <c r="P388" s="3"/>
      <c r="Q388" s="3"/>
      <c r="R388" s="3"/>
      <c r="S388" s="3"/>
      <c r="T388" s="3"/>
      <c r="U388" s="3"/>
      <c r="V388" s="3"/>
      <c r="W388" s="3"/>
      <c r="X388" s="3"/>
      <c r="Z388" s="3"/>
      <c r="AA388" s="3"/>
      <c r="AB388" s="3"/>
      <c r="AC388" s="3"/>
      <c r="AD388" s="3"/>
    </row>
    <row r="389" spans="1:30" ht="14">
      <c r="A389" s="3"/>
      <c r="B389" s="3"/>
      <c r="C389" s="3"/>
      <c r="D389" s="3"/>
      <c r="E389" s="3"/>
      <c r="F389" s="3"/>
      <c r="G389" s="3"/>
      <c r="H389" s="3"/>
      <c r="I389" s="3"/>
      <c r="J389" s="3"/>
      <c r="K389" s="3"/>
      <c r="L389" s="3"/>
      <c r="M389" s="3"/>
      <c r="N389" s="3"/>
      <c r="O389" s="3"/>
      <c r="P389" s="3"/>
      <c r="Q389" s="3"/>
      <c r="R389" s="3"/>
      <c r="S389" s="3"/>
      <c r="T389" s="3"/>
      <c r="U389" s="3"/>
      <c r="V389" s="3"/>
      <c r="W389" s="3"/>
      <c r="X389" s="3"/>
      <c r="Z389" s="3"/>
      <c r="AA389" s="3"/>
      <c r="AB389" s="3"/>
      <c r="AC389" s="3"/>
      <c r="AD389" s="3"/>
    </row>
    <row r="390" spans="1:30" ht="14">
      <c r="A390" s="3"/>
      <c r="B390" s="3"/>
      <c r="C390" s="3"/>
      <c r="D390" s="3"/>
      <c r="E390" s="3"/>
      <c r="F390" s="3"/>
      <c r="G390" s="3"/>
      <c r="H390" s="3"/>
      <c r="I390" s="3"/>
      <c r="J390" s="3"/>
      <c r="K390" s="3"/>
      <c r="L390" s="3"/>
      <c r="M390" s="3"/>
      <c r="N390" s="3"/>
      <c r="O390" s="3"/>
      <c r="P390" s="3"/>
      <c r="Q390" s="3"/>
      <c r="R390" s="3"/>
      <c r="S390" s="3"/>
      <c r="T390" s="3"/>
      <c r="U390" s="3"/>
      <c r="V390" s="3"/>
      <c r="W390" s="3"/>
      <c r="X390" s="3"/>
      <c r="Z390" s="3"/>
      <c r="AA390" s="3"/>
      <c r="AB390" s="3"/>
      <c r="AC390" s="3"/>
      <c r="AD390" s="3"/>
    </row>
    <row r="391" spans="1:30" ht="14">
      <c r="A391" s="3"/>
      <c r="B391" s="3"/>
      <c r="C391" s="3"/>
      <c r="D391" s="3"/>
      <c r="E391" s="3"/>
      <c r="F391" s="3"/>
      <c r="G391" s="3"/>
      <c r="H391" s="3"/>
      <c r="I391" s="3"/>
      <c r="J391" s="3"/>
      <c r="K391" s="3"/>
      <c r="L391" s="3"/>
      <c r="M391" s="3"/>
      <c r="N391" s="3"/>
      <c r="O391" s="3"/>
      <c r="P391" s="3"/>
      <c r="Q391" s="3"/>
      <c r="R391" s="3"/>
      <c r="S391" s="3"/>
      <c r="T391" s="3"/>
      <c r="U391" s="3"/>
      <c r="V391" s="3"/>
      <c r="W391" s="3"/>
      <c r="X391" s="3"/>
      <c r="Z391" s="3"/>
      <c r="AA391" s="3"/>
      <c r="AB391" s="3"/>
      <c r="AC391" s="3"/>
      <c r="AD391" s="3"/>
    </row>
    <row r="392" spans="1:30" ht="14">
      <c r="A392" s="3"/>
      <c r="B392" s="3"/>
      <c r="C392" s="3"/>
      <c r="D392" s="3"/>
      <c r="E392" s="3"/>
      <c r="F392" s="3"/>
      <c r="G392" s="3"/>
      <c r="H392" s="3"/>
      <c r="I392" s="3"/>
      <c r="J392" s="3"/>
      <c r="K392" s="3"/>
      <c r="L392" s="3"/>
      <c r="M392" s="3"/>
      <c r="N392" s="3"/>
      <c r="O392" s="3"/>
      <c r="P392" s="3"/>
      <c r="Q392" s="3"/>
      <c r="R392" s="3"/>
      <c r="S392" s="3"/>
      <c r="T392" s="3"/>
      <c r="U392" s="3"/>
      <c r="V392" s="3"/>
      <c r="W392" s="3"/>
      <c r="X392" s="3"/>
      <c r="Z392" s="3"/>
      <c r="AA392" s="3"/>
      <c r="AB392" s="3"/>
      <c r="AC392" s="3"/>
      <c r="AD392" s="3"/>
    </row>
    <row r="393" spans="1:30" ht="14">
      <c r="A393" s="3"/>
      <c r="B393" s="3"/>
      <c r="C393" s="3"/>
      <c r="D393" s="3"/>
      <c r="E393" s="3"/>
      <c r="F393" s="3"/>
      <c r="G393" s="3"/>
      <c r="H393" s="3"/>
      <c r="I393" s="3"/>
      <c r="J393" s="3"/>
      <c r="K393" s="3"/>
      <c r="L393" s="3"/>
      <c r="M393" s="3"/>
      <c r="N393" s="3"/>
      <c r="O393" s="3"/>
      <c r="P393" s="3"/>
      <c r="Q393" s="3"/>
      <c r="R393" s="3"/>
      <c r="S393" s="3"/>
      <c r="T393" s="3"/>
      <c r="U393" s="3"/>
      <c r="V393" s="3"/>
      <c r="W393" s="3"/>
      <c r="X393" s="3"/>
      <c r="Z393" s="3"/>
      <c r="AA393" s="3"/>
      <c r="AB393" s="3"/>
      <c r="AC393" s="3"/>
      <c r="AD393" s="3"/>
    </row>
    <row r="394" spans="1:30" ht="14">
      <c r="A394" s="3"/>
      <c r="B394" s="3"/>
      <c r="C394" s="3"/>
      <c r="D394" s="3"/>
      <c r="E394" s="3"/>
      <c r="F394" s="3"/>
      <c r="G394" s="3"/>
      <c r="H394" s="3"/>
      <c r="I394" s="3"/>
      <c r="J394" s="3"/>
      <c r="K394" s="3"/>
      <c r="L394" s="3"/>
      <c r="M394" s="3"/>
      <c r="N394" s="3"/>
      <c r="O394" s="3"/>
      <c r="P394" s="3"/>
      <c r="Q394" s="3"/>
      <c r="R394" s="3"/>
      <c r="S394" s="3"/>
      <c r="T394" s="3"/>
      <c r="U394" s="3"/>
      <c r="V394" s="3"/>
      <c r="W394" s="3"/>
      <c r="X394" s="3"/>
      <c r="Z394" s="3"/>
      <c r="AA394" s="3"/>
      <c r="AB394" s="3"/>
      <c r="AC394" s="3"/>
      <c r="AD394" s="3"/>
    </row>
    <row r="395" spans="1:30" ht="14">
      <c r="A395" s="3"/>
      <c r="B395" s="3"/>
      <c r="C395" s="3"/>
      <c r="D395" s="3"/>
      <c r="E395" s="3"/>
      <c r="F395" s="3"/>
      <c r="G395" s="3"/>
      <c r="H395" s="3"/>
      <c r="I395" s="3"/>
      <c r="J395" s="3"/>
      <c r="K395" s="3"/>
      <c r="L395" s="3"/>
      <c r="M395" s="3"/>
      <c r="N395" s="3"/>
      <c r="O395" s="3"/>
      <c r="P395" s="3"/>
      <c r="Q395" s="3"/>
      <c r="R395" s="3"/>
      <c r="S395" s="3"/>
      <c r="T395" s="3"/>
      <c r="U395" s="3"/>
      <c r="V395" s="3"/>
      <c r="W395" s="3"/>
      <c r="X395" s="3"/>
      <c r="Z395" s="3"/>
      <c r="AA395" s="3"/>
      <c r="AB395" s="3"/>
      <c r="AC395" s="3"/>
      <c r="AD395" s="3"/>
    </row>
    <row r="396" spans="1:30" ht="14">
      <c r="A396" s="3"/>
      <c r="B396" s="3"/>
      <c r="C396" s="3"/>
      <c r="D396" s="3"/>
      <c r="E396" s="3"/>
      <c r="F396" s="3"/>
      <c r="G396" s="3"/>
      <c r="H396" s="3"/>
      <c r="I396" s="3"/>
      <c r="J396" s="3"/>
      <c r="K396" s="3"/>
      <c r="L396" s="3"/>
      <c r="M396" s="3"/>
      <c r="N396" s="3"/>
      <c r="O396" s="3"/>
      <c r="P396" s="3"/>
      <c r="Q396" s="3"/>
      <c r="R396" s="3"/>
      <c r="S396" s="3"/>
      <c r="T396" s="3"/>
      <c r="U396" s="3"/>
      <c r="V396" s="3"/>
      <c r="W396" s="3"/>
      <c r="X396" s="3"/>
      <c r="Z396" s="3"/>
      <c r="AA396" s="3"/>
      <c r="AB396" s="3"/>
      <c r="AC396" s="3"/>
      <c r="AD396" s="3"/>
    </row>
    <row r="397" spans="1:30" ht="14">
      <c r="A397" s="3"/>
      <c r="B397" s="3"/>
      <c r="C397" s="3"/>
      <c r="D397" s="3"/>
      <c r="E397" s="3"/>
      <c r="F397" s="3"/>
      <c r="G397" s="3"/>
      <c r="H397" s="3"/>
      <c r="I397" s="3"/>
      <c r="J397" s="3"/>
      <c r="K397" s="3"/>
      <c r="L397" s="3"/>
      <c r="M397" s="3"/>
      <c r="N397" s="3"/>
      <c r="O397" s="3"/>
      <c r="P397" s="3"/>
      <c r="Q397" s="3"/>
      <c r="R397" s="3"/>
      <c r="S397" s="3"/>
      <c r="T397" s="3"/>
      <c r="U397" s="3"/>
      <c r="V397" s="3"/>
      <c r="W397" s="3"/>
      <c r="X397" s="3"/>
      <c r="Z397" s="3"/>
      <c r="AA397" s="3"/>
      <c r="AB397" s="3"/>
      <c r="AC397" s="3"/>
      <c r="AD397" s="3"/>
    </row>
    <row r="398" spans="1:30" ht="14">
      <c r="A398" s="3"/>
      <c r="B398" s="3"/>
      <c r="C398" s="3"/>
      <c r="D398" s="3"/>
      <c r="E398" s="3"/>
      <c r="F398" s="3"/>
      <c r="G398" s="3"/>
      <c r="H398" s="3"/>
      <c r="I398" s="3"/>
      <c r="J398" s="3"/>
      <c r="K398" s="3"/>
      <c r="L398" s="3"/>
      <c r="M398" s="3"/>
      <c r="N398" s="3"/>
      <c r="O398" s="3"/>
      <c r="P398" s="3"/>
      <c r="Q398" s="3"/>
      <c r="R398" s="3"/>
      <c r="S398" s="3"/>
      <c r="T398" s="3"/>
      <c r="U398" s="3"/>
      <c r="V398" s="3"/>
      <c r="W398" s="3"/>
      <c r="X398" s="3"/>
      <c r="Z398" s="3"/>
      <c r="AA398" s="3"/>
      <c r="AB398" s="3"/>
      <c r="AC398" s="3"/>
      <c r="AD398" s="3"/>
    </row>
    <row r="399" spans="1:30" ht="14">
      <c r="A399" s="3"/>
      <c r="B399" s="3"/>
      <c r="C399" s="3"/>
      <c r="D399" s="3"/>
      <c r="E399" s="3"/>
      <c r="F399" s="3"/>
      <c r="G399" s="3"/>
      <c r="H399" s="3"/>
      <c r="I399" s="3"/>
      <c r="J399" s="3"/>
      <c r="K399" s="3"/>
      <c r="L399" s="3"/>
      <c r="M399" s="3"/>
      <c r="N399" s="3"/>
      <c r="O399" s="3"/>
      <c r="P399" s="3"/>
      <c r="Q399" s="3"/>
      <c r="R399" s="3"/>
      <c r="S399" s="3"/>
      <c r="T399" s="3"/>
      <c r="U399" s="3"/>
      <c r="V399" s="3"/>
      <c r="W399" s="3"/>
      <c r="X399" s="3"/>
      <c r="Z399" s="3"/>
      <c r="AA399" s="3"/>
      <c r="AB399" s="3"/>
      <c r="AC399" s="3"/>
      <c r="AD399" s="3"/>
    </row>
    <row r="400" spans="1:30" ht="14">
      <c r="A400" s="3"/>
      <c r="B400" s="3"/>
      <c r="C400" s="3"/>
      <c r="D400" s="3"/>
      <c r="E400" s="3"/>
      <c r="F400" s="3"/>
      <c r="G400" s="3"/>
      <c r="H400" s="3"/>
      <c r="I400" s="3"/>
      <c r="J400" s="3"/>
      <c r="K400" s="3"/>
      <c r="L400" s="3"/>
      <c r="M400" s="3"/>
      <c r="N400" s="3"/>
      <c r="O400" s="3"/>
      <c r="P400" s="3"/>
      <c r="Q400" s="3"/>
      <c r="R400" s="3"/>
      <c r="S400" s="3"/>
      <c r="T400" s="3"/>
      <c r="U400" s="3"/>
      <c r="V400" s="3"/>
      <c r="W400" s="3"/>
      <c r="X400" s="3"/>
      <c r="Z400" s="3"/>
      <c r="AA400" s="3"/>
      <c r="AB400" s="3"/>
      <c r="AC400" s="3"/>
      <c r="AD400" s="3"/>
    </row>
    <row r="401" spans="1:30" ht="14">
      <c r="A401" s="3"/>
      <c r="B401" s="3"/>
      <c r="C401" s="3"/>
      <c r="D401" s="3"/>
      <c r="E401" s="3"/>
      <c r="F401" s="3"/>
      <c r="G401" s="3"/>
      <c r="H401" s="3"/>
      <c r="I401" s="3"/>
      <c r="J401" s="3"/>
      <c r="K401" s="3"/>
      <c r="L401" s="3"/>
      <c r="M401" s="3"/>
      <c r="N401" s="3"/>
      <c r="O401" s="3"/>
      <c r="P401" s="3"/>
      <c r="Q401" s="3"/>
      <c r="R401" s="3"/>
      <c r="S401" s="3"/>
      <c r="T401" s="3"/>
      <c r="U401" s="3"/>
      <c r="V401" s="3"/>
      <c r="W401" s="3"/>
      <c r="X401" s="3"/>
      <c r="Z401" s="3"/>
      <c r="AA401" s="3"/>
      <c r="AB401" s="3"/>
      <c r="AC401" s="3"/>
      <c r="AD401" s="3"/>
    </row>
    <row r="402" spans="1:30" ht="14">
      <c r="A402" s="3"/>
      <c r="B402" s="3"/>
      <c r="C402" s="3"/>
      <c r="D402" s="3"/>
      <c r="E402" s="3"/>
      <c r="F402" s="3"/>
      <c r="G402" s="3"/>
      <c r="H402" s="3"/>
      <c r="I402" s="3"/>
      <c r="J402" s="3"/>
      <c r="K402" s="3"/>
      <c r="L402" s="3"/>
      <c r="M402" s="3"/>
      <c r="N402" s="3"/>
      <c r="O402" s="3"/>
      <c r="P402" s="3"/>
      <c r="Q402" s="3"/>
      <c r="R402" s="3"/>
      <c r="S402" s="3"/>
      <c r="T402" s="3"/>
      <c r="U402" s="3"/>
      <c r="V402" s="3"/>
      <c r="W402" s="3"/>
      <c r="X402" s="3"/>
      <c r="Z402" s="3"/>
      <c r="AA402" s="3"/>
      <c r="AB402" s="3"/>
      <c r="AC402" s="3"/>
      <c r="AD402" s="3"/>
    </row>
    <row r="403" spans="1:30" ht="14">
      <c r="A403" s="3"/>
      <c r="B403" s="3"/>
      <c r="C403" s="3"/>
      <c r="D403" s="3"/>
      <c r="E403" s="3"/>
      <c r="F403" s="3"/>
      <c r="G403" s="3"/>
      <c r="H403" s="3"/>
      <c r="I403" s="3"/>
      <c r="J403" s="3"/>
      <c r="K403" s="3"/>
      <c r="L403" s="3"/>
      <c r="M403" s="3"/>
      <c r="N403" s="3"/>
      <c r="O403" s="3"/>
      <c r="P403" s="3"/>
      <c r="Q403" s="3"/>
      <c r="R403" s="3"/>
      <c r="S403" s="3"/>
      <c r="T403" s="3"/>
      <c r="U403" s="3"/>
      <c r="V403" s="3"/>
      <c r="W403" s="3"/>
      <c r="X403" s="3"/>
      <c r="Z403" s="3"/>
      <c r="AA403" s="3"/>
      <c r="AB403" s="3"/>
      <c r="AC403" s="3"/>
      <c r="AD403" s="3"/>
    </row>
    <row r="404" spans="1:30" ht="14">
      <c r="A404" s="3"/>
      <c r="B404" s="3"/>
      <c r="C404" s="3"/>
      <c r="D404" s="3"/>
      <c r="E404" s="3"/>
      <c r="F404" s="3"/>
      <c r="G404" s="3"/>
      <c r="H404" s="3"/>
      <c r="I404" s="3"/>
      <c r="J404" s="3"/>
      <c r="K404" s="3"/>
      <c r="L404" s="3"/>
      <c r="M404" s="3"/>
      <c r="N404" s="3"/>
      <c r="O404" s="3"/>
      <c r="P404" s="3"/>
      <c r="Q404" s="3"/>
      <c r="R404" s="3"/>
      <c r="S404" s="3"/>
      <c r="T404" s="3"/>
      <c r="U404" s="3"/>
      <c r="V404" s="3"/>
      <c r="W404" s="3"/>
      <c r="X404" s="3"/>
      <c r="Z404" s="3"/>
      <c r="AA404" s="3"/>
      <c r="AB404" s="3"/>
      <c r="AC404" s="3"/>
      <c r="AD404" s="3"/>
    </row>
    <row r="405" spans="1:30" ht="14">
      <c r="A405" s="3"/>
      <c r="B405" s="3"/>
      <c r="C405" s="3"/>
      <c r="D405" s="3"/>
      <c r="E405" s="3"/>
      <c r="F405" s="3"/>
      <c r="G405" s="3"/>
      <c r="H405" s="3"/>
      <c r="I405" s="3"/>
      <c r="J405" s="3"/>
      <c r="K405" s="3"/>
      <c r="L405" s="3"/>
      <c r="M405" s="3"/>
      <c r="N405" s="3"/>
      <c r="O405" s="3"/>
      <c r="P405" s="3"/>
      <c r="Q405" s="3"/>
      <c r="R405" s="3"/>
      <c r="S405" s="3"/>
      <c r="T405" s="3"/>
      <c r="U405" s="3"/>
      <c r="V405" s="3"/>
      <c r="W405" s="3"/>
      <c r="X405" s="3"/>
      <c r="Z405" s="3"/>
      <c r="AA405" s="3"/>
      <c r="AB405" s="3"/>
      <c r="AC405" s="3"/>
      <c r="AD405" s="3"/>
    </row>
    <row r="406" spans="1:30" ht="14">
      <c r="A406" s="3"/>
      <c r="B406" s="3"/>
      <c r="C406" s="3"/>
      <c r="D406" s="3"/>
      <c r="E406" s="3"/>
      <c r="F406" s="3"/>
      <c r="G406" s="3"/>
      <c r="H406" s="3"/>
      <c r="I406" s="3"/>
      <c r="J406" s="3"/>
      <c r="K406" s="3"/>
      <c r="L406" s="3"/>
      <c r="M406" s="3"/>
      <c r="N406" s="3"/>
      <c r="O406" s="3"/>
      <c r="P406" s="3"/>
      <c r="Q406" s="3"/>
      <c r="R406" s="3"/>
      <c r="S406" s="3"/>
      <c r="T406" s="3"/>
      <c r="U406" s="3"/>
      <c r="V406" s="3"/>
      <c r="W406" s="3"/>
      <c r="X406" s="3"/>
      <c r="Z406" s="3"/>
      <c r="AA406" s="3"/>
      <c r="AB406" s="3"/>
      <c r="AC406" s="3"/>
      <c r="AD406" s="3"/>
    </row>
    <row r="407" spans="1:30" ht="14">
      <c r="A407" s="3"/>
      <c r="B407" s="3"/>
      <c r="C407" s="3"/>
      <c r="D407" s="3"/>
      <c r="E407" s="3"/>
      <c r="F407" s="3"/>
      <c r="G407" s="3"/>
      <c r="H407" s="3"/>
      <c r="I407" s="3"/>
      <c r="J407" s="3"/>
      <c r="K407" s="3"/>
      <c r="L407" s="3"/>
      <c r="M407" s="3"/>
      <c r="N407" s="3"/>
      <c r="O407" s="3"/>
      <c r="P407" s="3"/>
      <c r="Q407" s="3"/>
      <c r="R407" s="3"/>
      <c r="S407" s="3"/>
      <c r="T407" s="3"/>
      <c r="U407" s="3"/>
      <c r="V407" s="3"/>
      <c r="W407" s="3"/>
      <c r="X407" s="3"/>
      <c r="Z407" s="3"/>
      <c r="AA407" s="3"/>
      <c r="AB407" s="3"/>
      <c r="AC407" s="3"/>
      <c r="AD407" s="3"/>
    </row>
    <row r="408" spans="1:30" ht="14">
      <c r="A408" s="3"/>
      <c r="B408" s="3"/>
      <c r="C408" s="3"/>
      <c r="D408" s="3"/>
      <c r="E408" s="3"/>
      <c r="F408" s="3"/>
      <c r="G408" s="3"/>
      <c r="H408" s="3"/>
      <c r="I408" s="3"/>
      <c r="J408" s="3"/>
      <c r="K408" s="3"/>
      <c r="L408" s="3"/>
      <c r="M408" s="3"/>
      <c r="N408" s="3"/>
      <c r="O408" s="3"/>
      <c r="P408" s="3"/>
      <c r="Q408" s="3"/>
      <c r="R408" s="3"/>
      <c r="S408" s="3"/>
      <c r="T408" s="3"/>
      <c r="U408" s="3"/>
      <c r="V408" s="3"/>
      <c r="W408" s="3"/>
      <c r="X408" s="3"/>
      <c r="Z408" s="3"/>
      <c r="AA408" s="3"/>
      <c r="AB408" s="3"/>
      <c r="AC408" s="3"/>
      <c r="AD408" s="3"/>
    </row>
    <row r="409" spans="1:30" ht="14">
      <c r="A409" s="3"/>
      <c r="B409" s="3"/>
      <c r="C409" s="3"/>
      <c r="D409" s="3"/>
      <c r="E409" s="3"/>
      <c r="F409" s="3"/>
      <c r="G409" s="3"/>
      <c r="H409" s="3"/>
      <c r="I409" s="3"/>
      <c r="J409" s="3"/>
      <c r="K409" s="3"/>
      <c r="L409" s="3"/>
      <c r="M409" s="3"/>
      <c r="N409" s="3"/>
      <c r="O409" s="3"/>
      <c r="P409" s="3"/>
      <c r="Q409" s="3"/>
      <c r="R409" s="3"/>
      <c r="S409" s="3"/>
      <c r="T409" s="3"/>
      <c r="U409" s="3"/>
      <c r="V409" s="3"/>
      <c r="W409" s="3"/>
      <c r="X409" s="3"/>
      <c r="Z409" s="3"/>
      <c r="AA409" s="3"/>
      <c r="AB409" s="3"/>
      <c r="AC409" s="3"/>
      <c r="AD409" s="3"/>
    </row>
    <row r="410" spans="1:30" ht="14">
      <c r="A410" s="3"/>
      <c r="B410" s="3"/>
      <c r="C410" s="3"/>
      <c r="D410" s="3"/>
      <c r="E410" s="3"/>
      <c r="F410" s="3"/>
      <c r="G410" s="3"/>
      <c r="H410" s="3"/>
      <c r="I410" s="3"/>
      <c r="J410" s="3"/>
      <c r="K410" s="3"/>
      <c r="L410" s="3"/>
      <c r="M410" s="3"/>
      <c r="N410" s="3"/>
      <c r="O410" s="3"/>
      <c r="P410" s="3"/>
      <c r="Q410" s="3"/>
      <c r="R410" s="3"/>
      <c r="S410" s="3"/>
      <c r="T410" s="3"/>
      <c r="U410" s="3"/>
      <c r="V410" s="3"/>
      <c r="W410" s="3"/>
      <c r="X410" s="3"/>
      <c r="Z410" s="3"/>
      <c r="AA410" s="3"/>
      <c r="AB410" s="3"/>
      <c r="AC410" s="3"/>
      <c r="AD410" s="3"/>
    </row>
    <row r="411" spans="1:30" ht="14">
      <c r="A411" s="3"/>
      <c r="B411" s="3"/>
      <c r="C411" s="3"/>
      <c r="D411" s="3"/>
      <c r="E411" s="3"/>
      <c r="F411" s="3"/>
      <c r="G411" s="3"/>
      <c r="H411" s="3"/>
      <c r="I411" s="3"/>
      <c r="J411" s="3"/>
      <c r="K411" s="3"/>
      <c r="L411" s="3"/>
      <c r="M411" s="3"/>
      <c r="N411" s="3"/>
      <c r="O411" s="3"/>
      <c r="P411" s="3"/>
      <c r="Q411" s="3"/>
      <c r="R411" s="3"/>
      <c r="S411" s="3"/>
      <c r="T411" s="3"/>
      <c r="U411" s="3"/>
      <c r="V411" s="3"/>
      <c r="W411" s="3"/>
      <c r="X411" s="3"/>
      <c r="Z411" s="3"/>
      <c r="AA411" s="3"/>
      <c r="AB411" s="3"/>
      <c r="AC411" s="3"/>
      <c r="AD411" s="3"/>
    </row>
    <row r="412" spans="1:30" ht="14">
      <c r="A412" s="3"/>
      <c r="B412" s="3"/>
      <c r="C412" s="3"/>
      <c r="D412" s="3"/>
      <c r="E412" s="3"/>
      <c r="F412" s="3"/>
      <c r="G412" s="3"/>
      <c r="H412" s="3"/>
      <c r="I412" s="3"/>
      <c r="J412" s="3"/>
      <c r="K412" s="3"/>
      <c r="L412" s="3"/>
      <c r="M412" s="3"/>
      <c r="N412" s="3"/>
      <c r="O412" s="3"/>
      <c r="P412" s="3"/>
      <c r="Q412" s="3"/>
      <c r="R412" s="3"/>
      <c r="S412" s="3"/>
      <c r="T412" s="3"/>
      <c r="U412" s="3"/>
      <c r="V412" s="3"/>
      <c r="W412" s="3"/>
      <c r="X412" s="3"/>
      <c r="Z412" s="3"/>
      <c r="AA412" s="3"/>
      <c r="AB412" s="3"/>
      <c r="AC412" s="3"/>
      <c r="AD412" s="3"/>
    </row>
    <row r="413" spans="1:30" ht="14">
      <c r="A413" s="3"/>
      <c r="B413" s="3"/>
      <c r="C413" s="3"/>
      <c r="D413" s="3"/>
      <c r="E413" s="3"/>
      <c r="F413" s="3"/>
      <c r="G413" s="3"/>
      <c r="H413" s="3"/>
      <c r="I413" s="3"/>
      <c r="J413" s="3"/>
      <c r="K413" s="3"/>
      <c r="L413" s="3"/>
      <c r="M413" s="3"/>
      <c r="N413" s="3"/>
      <c r="O413" s="3"/>
      <c r="P413" s="3"/>
      <c r="Q413" s="3"/>
      <c r="R413" s="3"/>
      <c r="S413" s="3"/>
      <c r="T413" s="3"/>
      <c r="U413" s="3"/>
      <c r="V413" s="3"/>
      <c r="W413" s="3"/>
      <c r="X413" s="3"/>
      <c r="Z413" s="3"/>
      <c r="AA413" s="3"/>
      <c r="AB413" s="3"/>
      <c r="AC413" s="3"/>
      <c r="AD413" s="3"/>
    </row>
    <row r="414" spans="1:30" ht="14">
      <c r="A414" s="3"/>
      <c r="B414" s="3"/>
      <c r="C414" s="3"/>
      <c r="D414" s="3"/>
      <c r="E414" s="3"/>
      <c r="F414" s="3"/>
      <c r="G414" s="3"/>
      <c r="H414" s="3"/>
      <c r="I414" s="3"/>
      <c r="J414" s="3"/>
      <c r="K414" s="3"/>
      <c r="L414" s="3"/>
      <c r="M414" s="3"/>
      <c r="N414" s="3"/>
      <c r="O414" s="3"/>
      <c r="P414" s="3"/>
      <c r="Q414" s="3"/>
      <c r="R414" s="3"/>
      <c r="S414" s="3"/>
      <c r="T414" s="3"/>
      <c r="U414" s="3"/>
      <c r="V414" s="3"/>
      <c r="W414" s="3"/>
      <c r="X414" s="3"/>
      <c r="Z414" s="3"/>
      <c r="AA414" s="3"/>
      <c r="AB414" s="3"/>
      <c r="AC414" s="3"/>
      <c r="AD414" s="3"/>
    </row>
    <row r="415" spans="1:30" ht="14">
      <c r="A415" s="3"/>
      <c r="B415" s="3"/>
      <c r="C415" s="3"/>
      <c r="D415" s="3"/>
      <c r="E415" s="3"/>
      <c r="F415" s="3"/>
      <c r="G415" s="3"/>
      <c r="H415" s="3"/>
      <c r="I415" s="3"/>
      <c r="J415" s="3"/>
      <c r="K415" s="3"/>
      <c r="L415" s="3"/>
      <c r="M415" s="3"/>
      <c r="N415" s="3"/>
      <c r="O415" s="3"/>
      <c r="P415" s="3"/>
      <c r="Q415" s="3"/>
      <c r="R415" s="3"/>
      <c r="S415" s="3"/>
      <c r="T415" s="3"/>
      <c r="U415" s="3"/>
      <c r="V415" s="3"/>
      <c r="W415" s="3"/>
      <c r="X415" s="3"/>
      <c r="Z415" s="3"/>
      <c r="AA415" s="3"/>
      <c r="AB415" s="3"/>
      <c r="AC415" s="3"/>
      <c r="AD415" s="3"/>
    </row>
    <row r="416" spans="1:30" ht="14">
      <c r="A416" s="3"/>
      <c r="B416" s="3"/>
      <c r="C416" s="3"/>
      <c r="D416" s="3"/>
      <c r="E416" s="3"/>
      <c r="F416" s="3"/>
      <c r="G416" s="3"/>
      <c r="H416" s="3"/>
      <c r="I416" s="3"/>
      <c r="J416" s="3"/>
      <c r="K416" s="3"/>
      <c r="L416" s="3"/>
      <c r="M416" s="3"/>
      <c r="N416" s="3"/>
      <c r="O416" s="3"/>
      <c r="P416" s="3"/>
      <c r="Q416" s="3"/>
      <c r="R416" s="3"/>
      <c r="S416" s="3"/>
      <c r="T416" s="3"/>
      <c r="U416" s="3"/>
      <c r="V416" s="3"/>
      <c r="W416" s="3"/>
      <c r="X416" s="3"/>
      <c r="Z416" s="3"/>
      <c r="AA416" s="3"/>
      <c r="AB416" s="3"/>
      <c r="AC416" s="3"/>
      <c r="AD416" s="3"/>
    </row>
    <row r="417" spans="1:30" ht="14">
      <c r="A417" s="3"/>
      <c r="B417" s="3"/>
      <c r="C417" s="3"/>
      <c r="D417" s="3"/>
      <c r="E417" s="3"/>
      <c r="F417" s="3"/>
      <c r="G417" s="3"/>
      <c r="H417" s="3"/>
      <c r="I417" s="3"/>
      <c r="J417" s="3"/>
      <c r="K417" s="3"/>
      <c r="L417" s="3"/>
      <c r="M417" s="3"/>
      <c r="N417" s="3"/>
      <c r="O417" s="3"/>
      <c r="P417" s="3"/>
      <c r="Q417" s="3"/>
      <c r="R417" s="3"/>
      <c r="S417" s="3"/>
      <c r="T417" s="3"/>
      <c r="U417" s="3"/>
      <c r="V417" s="3"/>
      <c r="W417" s="3"/>
      <c r="X417" s="3"/>
      <c r="Z417" s="3"/>
      <c r="AA417" s="3"/>
      <c r="AB417" s="3"/>
      <c r="AC417" s="3"/>
      <c r="AD417" s="3"/>
    </row>
    <row r="418" spans="1:30" ht="14">
      <c r="A418" s="3"/>
      <c r="B418" s="3"/>
      <c r="C418" s="3"/>
      <c r="D418" s="3"/>
      <c r="E418" s="3"/>
      <c r="F418" s="3"/>
      <c r="G418" s="3"/>
      <c r="H418" s="3"/>
      <c r="I418" s="3"/>
      <c r="J418" s="3"/>
      <c r="K418" s="3"/>
      <c r="L418" s="3"/>
      <c r="M418" s="3"/>
      <c r="N418" s="3"/>
      <c r="O418" s="3"/>
      <c r="P418" s="3"/>
      <c r="Q418" s="3"/>
      <c r="R418" s="3"/>
      <c r="S418" s="3"/>
      <c r="T418" s="3"/>
      <c r="U418" s="3"/>
      <c r="V418" s="3"/>
      <c r="W418" s="3"/>
      <c r="X418" s="3"/>
      <c r="Z418" s="3"/>
      <c r="AA418" s="3"/>
      <c r="AB418" s="3"/>
      <c r="AC418" s="3"/>
      <c r="AD418" s="3"/>
    </row>
    <row r="419" spans="1:30" ht="14">
      <c r="A419" s="3"/>
      <c r="B419" s="3"/>
      <c r="C419" s="3"/>
      <c r="D419" s="3"/>
      <c r="E419" s="3"/>
      <c r="F419" s="3"/>
      <c r="G419" s="3"/>
      <c r="H419" s="3"/>
      <c r="I419" s="3"/>
      <c r="J419" s="3"/>
      <c r="K419" s="3"/>
      <c r="L419" s="3"/>
      <c r="M419" s="3"/>
      <c r="N419" s="3"/>
      <c r="O419" s="3"/>
      <c r="P419" s="3"/>
      <c r="Q419" s="3"/>
      <c r="R419" s="3"/>
      <c r="S419" s="3"/>
      <c r="T419" s="3"/>
      <c r="U419" s="3"/>
      <c r="V419" s="3"/>
      <c r="W419" s="3"/>
      <c r="X419" s="3"/>
      <c r="Z419" s="3"/>
      <c r="AA419" s="3"/>
      <c r="AB419" s="3"/>
      <c r="AC419" s="3"/>
      <c r="AD419" s="3"/>
    </row>
    <row r="420" spans="1:30" ht="14">
      <c r="A420" s="3"/>
      <c r="B420" s="3"/>
      <c r="C420" s="3"/>
      <c r="D420" s="3"/>
      <c r="E420" s="3"/>
      <c r="F420" s="3"/>
      <c r="G420" s="3"/>
      <c r="H420" s="3"/>
      <c r="I420" s="3"/>
      <c r="J420" s="3"/>
      <c r="K420" s="3"/>
      <c r="L420" s="3"/>
      <c r="M420" s="3"/>
      <c r="N420" s="3"/>
      <c r="O420" s="3"/>
      <c r="P420" s="3"/>
      <c r="Q420" s="3"/>
      <c r="R420" s="3"/>
      <c r="S420" s="3"/>
      <c r="T420" s="3"/>
      <c r="U420" s="3"/>
      <c r="V420" s="3"/>
      <c r="W420" s="3"/>
      <c r="X420" s="3"/>
      <c r="Z420" s="3"/>
      <c r="AA420" s="3"/>
      <c r="AB420" s="3"/>
      <c r="AC420" s="3"/>
      <c r="AD420" s="3"/>
    </row>
    <row r="421" spans="1:30" ht="14">
      <c r="A421" s="3"/>
      <c r="B421" s="3"/>
      <c r="C421" s="3"/>
      <c r="D421" s="3"/>
      <c r="E421" s="3"/>
      <c r="F421" s="3"/>
      <c r="G421" s="3"/>
      <c r="H421" s="3"/>
      <c r="I421" s="3"/>
      <c r="J421" s="3"/>
      <c r="K421" s="3"/>
      <c r="L421" s="3"/>
      <c r="M421" s="3"/>
      <c r="N421" s="3"/>
      <c r="O421" s="3"/>
      <c r="P421" s="3"/>
      <c r="Q421" s="3"/>
      <c r="R421" s="3"/>
      <c r="S421" s="3"/>
      <c r="T421" s="3"/>
      <c r="U421" s="3"/>
      <c r="V421" s="3"/>
      <c r="W421" s="3"/>
      <c r="X421" s="3"/>
      <c r="Z421" s="3"/>
      <c r="AA421" s="3"/>
      <c r="AB421" s="3"/>
      <c r="AC421" s="3"/>
      <c r="AD421" s="3"/>
    </row>
    <row r="422" spans="1:30" ht="14">
      <c r="A422" s="3"/>
      <c r="B422" s="3"/>
      <c r="C422" s="3"/>
      <c r="D422" s="3"/>
      <c r="E422" s="3"/>
      <c r="F422" s="3"/>
      <c r="G422" s="3"/>
      <c r="H422" s="3"/>
      <c r="I422" s="3"/>
      <c r="J422" s="3"/>
      <c r="K422" s="3"/>
      <c r="L422" s="3"/>
      <c r="M422" s="3"/>
      <c r="N422" s="3"/>
      <c r="O422" s="3"/>
      <c r="P422" s="3"/>
      <c r="Q422" s="3"/>
      <c r="R422" s="3"/>
      <c r="S422" s="3"/>
      <c r="T422" s="3"/>
      <c r="U422" s="3"/>
      <c r="V422" s="3"/>
      <c r="W422" s="3"/>
      <c r="X422" s="3"/>
      <c r="Z422" s="3"/>
      <c r="AA422" s="3"/>
      <c r="AB422" s="3"/>
      <c r="AC422" s="3"/>
      <c r="AD422" s="3"/>
    </row>
    <row r="423" spans="1:30" ht="14">
      <c r="A423" s="3"/>
      <c r="B423" s="3"/>
      <c r="C423" s="3"/>
      <c r="D423" s="3"/>
      <c r="E423" s="3"/>
      <c r="F423" s="3"/>
      <c r="G423" s="3"/>
      <c r="H423" s="3"/>
      <c r="I423" s="3"/>
      <c r="J423" s="3"/>
      <c r="K423" s="3"/>
      <c r="L423" s="3"/>
      <c r="M423" s="3"/>
      <c r="N423" s="3"/>
      <c r="O423" s="3"/>
      <c r="P423" s="3"/>
      <c r="Q423" s="3"/>
      <c r="R423" s="3"/>
      <c r="S423" s="3"/>
      <c r="T423" s="3"/>
      <c r="U423" s="3"/>
      <c r="V423" s="3"/>
      <c r="W423" s="3"/>
      <c r="X423" s="3"/>
      <c r="Z423" s="3"/>
      <c r="AA423" s="3"/>
      <c r="AB423" s="3"/>
      <c r="AC423" s="3"/>
      <c r="AD423" s="3"/>
    </row>
    <row r="424" spans="1:30" ht="14">
      <c r="A424" s="3"/>
      <c r="B424" s="3"/>
      <c r="C424" s="3"/>
      <c r="D424" s="3"/>
      <c r="E424" s="3"/>
      <c r="F424" s="3"/>
      <c r="G424" s="3"/>
      <c r="H424" s="3"/>
      <c r="I424" s="3"/>
      <c r="J424" s="3"/>
      <c r="K424" s="3"/>
      <c r="L424" s="3"/>
      <c r="M424" s="3"/>
      <c r="N424" s="3"/>
      <c r="O424" s="3"/>
      <c r="P424" s="3"/>
      <c r="Q424" s="3"/>
      <c r="R424" s="3"/>
      <c r="S424" s="3"/>
      <c r="T424" s="3"/>
      <c r="U424" s="3"/>
      <c r="V424" s="3"/>
      <c r="W424" s="3"/>
      <c r="X424" s="3"/>
      <c r="Z424" s="3"/>
      <c r="AA424" s="3"/>
      <c r="AB424" s="3"/>
      <c r="AC424" s="3"/>
      <c r="AD424" s="3"/>
    </row>
    <row r="425" spans="1:30" ht="14">
      <c r="A425" s="3"/>
      <c r="B425" s="3"/>
      <c r="C425" s="3"/>
      <c r="D425" s="3"/>
      <c r="E425" s="3"/>
      <c r="F425" s="3"/>
      <c r="G425" s="3"/>
      <c r="H425" s="3"/>
      <c r="I425" s="3"/>
      <c r="J425" s="3"/>
      <c r="K425" s="3"/>
      <c r="L425" s="3"/>
      <c r="M425" s="3"/>
      <c r="N425" s="3"/>
      <c r="O425" s="3"/>
      <c r="P425" s="3"/>
      <c r="Q425" s="3"/>
      <c r="R425" s="3"/>
      <c r="S425" s="3"/>
      <c r="T425" s="3"/>
      <c r="U425" s="3"/>
      <c r="V425" s="3"/>
      <c r="W425" s="3"/>
      <c r="X425" s="3"/>
      <c r="Z425" s="3"/>
      <c r="AA425" s="3"/>
      <c r="AB425" s="3"/>
      <c r="AC425" s="3"/>
      <c r="AD425" s="3"/>
    </row>
    <row r="426" spans="1:30" ht="14">
      <c r="A426" s="3"/>
      <c r="B426" s="3"/>
      <c r="C426" s="3"/>
      <c r="D426" s="3"/>
      <c r="E426" s="3"/>
      <c r="F426" s="3"/>
      <c r="G426" s="3"/>
      <c r="H426" s="3"/>
      <c r="I426" s="3"/>
      <c r="J426" s="3"/>
      <c r="K426" s="3"/>
      <c r="L426" s="3"/>
      <c r="M426" s="3"/>
      <c r="N426" s="3"/>
      <c r="O426" s="3"/>
      <c r="P426" s="3"/>
      <c r="Q426" s="3"/>
      <c r="R426" s="3"/>
      <c r="S426" s="3"/>
      <c r="T426" s="3"/>
      <c r="U426" s="3"/>
      <c r="V426" s="3"/>
      <c r="W426" s="3"/>
      <c r="X426" s="3"/>
      <c r="Z426" s="3"/>
      <c r="AA426" s="3"/>
      <c r="AB426" s="3"/>
      <c r="AC426" s="3"/>
      <c r="AD426" s="3"/>
    </row>
    <row r="427" spans="1:30" ht="14">
      <c r="A427" s="3"/>
      <c r="B427" s="3"/>
      <c r="C427" s="3"/>
      <c r="D427" s="3"/>
      <c r="E427" s="3"/>
      <c r="F427" s="3"/>
      <c r="G427" s="3"/>
      <c r="H427" s="3"/>
      <c r="I427" s="3"/>
      <c r="J427" s="3"/>
      <c r="K427" s="3"/>
      <c r="L427" s="3"/>
      <c r="M427" s="3"/>
      <c r="N427" s="3"/>
      <c r="O427" s="3"/>
      <c r="P427" s="3"/>
      <c r="Q427" s="3"/>
      <c r="R427" s="3"/>
      <c r="S427" s="3"/>
      <c r="T427" s="3"/>
      <c r="U427" s="3"/>
      <c r="V427" s="3"/>
      <c r="W427" s="3"/>
      <c r="X427" s="3"/>
      <c r="Z427" s="3"/>
      <c r="AA427" s="3"/>
      <c r="AB427" s="3"/>
      <c r="AC427" s="3"/>
      <c r="AD427" s="3"/>
    </row>
    <row r="428" spans="1:30" ht="14">
      <c r="A428" s="3"/>
      <c r="B428" s="3"/>
      <c r="C428" s="3"/>
      <c r="D428" s="3"/>
      <c r="E428" s="3"/>
      <c r="F428" s="3"/>
      <c r="G428" s="3"/>
      <c r="H428" s="3"/>
      <c r="I428" s="3"/>
      <c r="J428" s="3"/>
      <c r="K428" s="3"/>
      <c r="L428" s="3"/>
      <c r="M428" s="3"/>
      <c r="N428" s="3"/>
      <c r="O428" s="3"/>
      <c r="P428" s="3"/>
      <c r="Q428" s="3"/>
      <c r="R428" s="3"/>
      <c r="S428" s="3"/>
      <c r="T428" s="3"/>
      <c r="U428" s="3"/>
      <c r="V428" s="3"/>
      <c r="W428" s="3"/>
      <c r="X428" s="3"/>
      <c r="Z428" s="3"/>
      <c r="AA428" s="3"/>
      <c r="AB428" s="3"/>
      <c r="AC428" s="3"/>
      <c r="AD428" s="3"/>
    </row>
    <row r="429" spans="1:30" ht="14">
      <c r="A429" s="3"/>
      <c r="B429" s="3"/>
      <c r="C429" s="3"/>
      <c r="D429" s="3"/>
      <c r="E429" s="3"/>
      <c r="F429" s="3"/>
      <c r="G429" s="3"/>
      <c r="H429" s="3"/>
      <c r="I429" s="3"/>
      <c r="J429" s="3"/>
      <c r="K429" s="3"/>
      <c r="L429" s="3"/>
      <c r="M429" s="3"/>
      <c r="N429" s="3"/>
      <c r="O429" s="3"/>
      <c r="P429" s="3"/>
      <c r="Q429" s="3"/>
      <c r="R429" s="3"/>
      <c r="S429" s="3"/>
      <c r="T429" s="3"/>
      <c r="U429" s="3"/>
      <c r="V429" s="3"/>
      <c r="W429" s="3"/>
      <c r="X429" s="3"/>
      <c r="Z429" s="3"/>
      <c r="AA429" s="3"/>
      <c r="AB429" s="3"/>
      <c r="AC429" s="3"/>
      <c r="AD429" s="3"/>
    </row>
    <row r="430" spans="1:30" ht="14">
      <c r="A430" s="3"/>
      <c r="B430" s="3"/>
      <c r="C430" s="3"/>
      <c r="D430" s="3"/>
      <c r="E430" s="3"/>
      <c r="F430" s="3"/>
      <c r="G430" s="3"/>
      <c r="H430" s="3"/>
      <c r="I430" s="3"/>
      <c r="J430" s="3"/>
      <c r="K430" s="3"/>
      <c r="L430" s="3"/>
      <c r="M430" s="3"/>
      <c r="N430" s="3"/>
      <c r="O430" s="3"/>
      <c r="P430" s="3"/>
      <c r="Q430" s="3"/>
      <c r="R430" s="3"/>
      <c r="S430" s="3"/>
      <c r="T430" s="3"/>
      <c r="U430" s="3"/>
      <c r="V430" s="3"/>
      <c r="W430" s="3"/>
      <c r="X430" s="3"/>
      <c r="Z430" s="3"/>
      <c r="AA430" s="3"/>
      <c r="AB430" s="3"/>
      <c r="AC430" s="3"/>
      <c r="AD430" s="3"/>
    </row>
    <row r="431" spans="1:30" ht="14">
      <c r="A431" s="3"/>
      <c r="B431" s="3"/>
      <c r="C431" s="3"/>
      <c r="D431" s="3"/>
      <c r="E431" s="3"/>
      <c r="F431" s="3"/>
      <c r="G431" s="3"/>
      <c r="H431" s="3"/>
      <c r="I431" s="3"/>
      <c r="J431" s="3"/>
      <c r="K431" s="3"/>
      <c r="L431" s="3"/>
      <c r="M431" s="3"/>
      <c r="N431" s="3"/>
      <c r="O431" s="3"/>
      <c r="P431" s="3"/>
      <c r="Q431" s="3"/>
      <c r="R431" s="3"/>
      <c r="S431" s="3"/>
      <c r="T431" s="3"/>
      <c r="U431" s="3"/>
      <c r="V431" s="3"/>
      <c r="W431" s="3"/>
      <c r="X431" s="3"/>
      <c r="Z431" s="3"/>
      <c r="AA431" s="3"/>
      <c r="AB431" s="3"/>
      <c r="AC431" s="3"/>
      <c r="AD431" s="3"/>
    </row>
    <row r="432" spans="1:30" ht="14">
      <c r="A432" s="3"/>
      <c r="B432" s="3"/>
      <c r="C432" s="3"/>
      <c r="D432" s="3"/>
      <c r="E432" s="3"/>
      <c r="F432" s="3"/>
      <c r="G432" s="3"/>
      <c r="H432" s="3"/>
      <c r="I432" s="3"/>
      <c r="J432" s="3"/>
      <c r="K432" s="3"/>
      <c r="L432" s="3"/>
      <c r="M432" s="3"/>
      <c r="N432" s="3"/>
      <c r="O432" s="3"/>
      <c r="P432" s="3"/>
      <c r="Q432" s="3"/>
      <c r="R432" s="3"/>
      <c r="S432" s="3"/>
      <c r="T432" s="3"/>
      <c r="U432" s="3"/>
      <c r="V432" s="3"/>
      <c r="W432" s="3"/>
      <c r="X432" s="3"/>
      <c r="Z432" s="3"/>
      <c r="AA432" s="3"/>
      <c r="AB432" s="3"/>
      <c r="AC432" s="3"/>
      <c r="AD432" s="3"/>
    </row>
    <row r="433" spans="1:30" ht="14">
      <c r="A433" s="3"/>
      <c r="B433" s="3"/>
      <c r="C433" s="3"/>
      <c r="D433" s="3"/>
      <c r="E433" s="3"/>
      <c r="F433" s="3"/>
      <c r="G433" s="3"/>
      <c r="H433" s="3"/>
      <c r="I433" s="3"/>
      <c r="J433" s="3"/>
      <c r="K433" s="3"/>
      <c r="L433" s="3"/>
      <c r="M433" s="3"/>
      <c r="N433" s="3"/>
      <c r="O433" s="3"/>
      <c r="P433" s="3"/>
      <c r="Q433" s="3"/>
      <c r="R433" s="3"/>
      <c r="S433" s="3"/>
      <c r="T433" s="3"/>
      <c r="U433" s="3"/>
      <c r="V433" s="3"/>
      <c r="W433" s="3"/>
      <c r="X433" s="3"/>
      <c r="Z433" s="3"/>
      <c r="AA433" s="3"/>
      <c r="AB433" s="3"/>
      <c r="AC433" s="3"/>
      <c r="AD433" s="3"/>
    </row>
    <row r="434" spans="1:30" ht="14">
      <c r="A434" s="3"/>
      <c r="B434" s="3"/>
      <c r="C434" s="3"/>
      <c r="D434" s="3"/>
      <c r="E434" s="3"/>
      <c r="F434" s="3"/>
      <c r="G434" s="3"/>
      <c r="H434" s="3"/>
      <c r="I434" s="3"/>
      <c r="J434" s="3"/>
      <c r="K434" s="3"/>
      <c r="L434" s="3"/>
      <c r="M434" s="3"/>
      <c r="N434" s="3"/>
      <c r="O434" s="3"/>
      <c r="P434" s="3"/>
      <c r="Q434" s="3"/>
      <c r="R434" s="3"/>
      <c r="S434" s="3"/>
      <c r="T434" s="3"/>
      <c r="U434" s="3"/>
      <c r="V434" s="3"/>
      <c r="W434" s="3"/>
      <c r="X434" s="3"/>
      <c r="Z434" s="3"/>
      <c r="AA434" s="3"/>
      <c r="AB434" s="3"/>
      <c r="AC434" s="3"/>
      <c r="AD434" s="3"/>
    </row>
    <row r="435" spans="1:30" ht="14">
      <c r="A435" s="3"/>
      <c r="B435" s="3"/>
      <c r="C435" s="3"/>
      <c r="D435" s="3"/>
      <c r="E435" s="3"/>
      <c r="F435" s="3"/>
      <c r="G435" s="3"/>
      <c r="H435" s="3"/>
      <c r="I435" s="3"/>
      <c r="J435" s="3"/>
      <c r="K435" s="3"/>
      <c r="L435" s="3"/>
      <c r="M435" s="3"/>
      <c r="N435" s="3"/>
      <c r="O435" s="3"/>
      <c r="P435" s="3"/>
      <c r="Q435" s="3"/>
      <c r="R435" s="3"/>
      <c r="S435" s="3"/>
      <c r="T435" s="3"/>
      <c r="U435" s="3"/>
      <c r="V435" s="3"/>
      <c r="W435" s="3"/>
      <c r="X435" s="3"/>
      <c r="Z435" s="3"/>
      <c r="AA435" s="3"/>
      <c r="AB435" s="3"/>
      <c r="AC435" s="3"/>
      <c r="AD435" s="3"/>
    </row>
    <row r="436" spans="1:30" ht="14">
      <c r="A436" s="3"/>
      <c r="B436" s="3"/>
      <c r="C436" s="3"/>
      <c r="D436" s="3"/>
      <c r="E436" s="3"/>
      <c r="F436" s="3"/>
      <c r="G436" s="3"/>
      <c r="H436" s="3"/>
      <c r="I436" s="3"/>
      <c r="J436" s="3"/>
      <c r="K436" s="3"/>
      <c r="L436" s="3"/>
      <c r="M436" s="3"/>
      <c r="N436" s="3"/>
      <c r="O436" s="3"/>
      <c r="P436" s="3"/>
      <c r="Q436" s="3"/>
      <c r="R436" s="3"/>
      <c r="S436" s="3"/>
      <c r="T436" s="3"/>
      <c r="U436" s="3"/>
      <c r="V436" s="3"/>
      <c r="W436" s="3"/>
      <c r="X436" s="3"/>
      <c r="Z436" s="3"/>
      <c r="AA436" s="3"/>
      <c r="AB436" s="3"/>
      <c r="AC436" s="3"/>
      <c r="AD436" s="3"/>
    </row>
    <row r="437" spans="1:30" ht="14">
      <c r="A437" s="3"/>
      <c r="B437" s="3"/>
      <c r="C437" s="3"/>
      <c r="D437" s="3"/>
      <c r="E437" s="3"/>
      <c r="F437" s="3"/>
      <c r="G437" s="3"/>
      <c r="H437" s="3"/>
      <c r="I437" s="3"/>
      <c r="J437" s="3"/>
      <c r="K437" s="3"/>
      <c r="L437" s="3"/>
      <c r="M437" s="3"/>
      <c r="N437" s="3"/>
      <c r="O437" s="3"/>
      <c r="P437" s="3"/>
      <c r="Q437" s="3"/>
      <c r="R437" s="3"/>
      <c r="S437" s="3"/>
      <c r="T437" s="3"/>
      <c r="U437" s="3"/>
      <c r="V437" s="3"/>
      <c r="W437" s="3"/>
      <c r="X437" s="3"/>
      <c r="Z437" s="3"/>
      <c r="AA437" s="3"/>
      <c r="AB437" s="3"/>
      <c r="AC437" s="3"/>
      <c r="AD437" s="3"/>
    </row>
    <row r="438" spans="1:30" ht="14">
      <c r="A438" s="3"/>
      <c r="B438" s="3"/>
      <c r="C438" s="3"/>
      <c r="D438" s="3"/>
      <c r="E438" s="3"/>
      <c r="F438" s="3"/>
      <c r="G438" s="3"/>
      <c r="H438" s="3"/>
      <c r="I438" s="3"/>
      <c r="J438" s="3"/>
      <c r="K438" s="3"/>
      <c r="L438" s="3"/>
      <c r="M438" s="3"/>
      <c r="N438" s="3"/>
      <c r="O438" s="3"/>
      <c r="P438" s="3"/>
      <c r="Q438" s="3"/>
      <c r="R438" s="3"/>
      <c r="S438" s="3"/>
      <c r="T438" s="3"/>
      <c r="U438" s="3"/>
      <c r="V438" s="3"/>
      <c r="W438" s="3"/>
      <c r="X438" s="3"/>
      <c r="Z438" s="3"/>
      <c r="AA438" s="3"/>
      <c r="AB438" s="3"/>
      <c r="AC438" s="3"/>
      <c r="AD438" s="3"/>
    </row>
    <row r="439" spans="1:30" ht="14">
      <c r="A439" s="3"/>
      <c r="B439" s="3"/>
      <c r="C439" s="3"/>
      <c r="D439" s="3"/>
      <c r="E439" s="3"/>
      <c r="F439" s="3"/>
      <c r="G439" s="3"/>
      <c r="H439" s="3"/>
      <c r="I439" s="3"/>
      <c r="J439" s="3"/>
      <c r="K439" s="3"/>
      <c r="L439" s="3"/>
      <c r="M439" s="3"/>
      <c r="N439" s="3"/>
      <c r="O439" s="3"/>
      <c r="P439" s="3"/>
      <c r="Q439" s="3"/>
      <c r="R439" s="3"/>
      <c r="S439" s="3"/>
      <c r="T439" s="3"/>
      <c r="U439" s="3"/>
      <c r="V439" s="3"/>
      <c r="W439" s="3"/>
      <c r="X439" s="3"/>
      <c r="Z439" s="3"/>
      <c r="AA439" s="3"/>
      <c r="AB439" s="3"/>
      <c r="AC439" s="3"/>
      <c r="AD439" s="3"/>
    </row>
    <row r="440" spans="1:30" ht="14">
      <c r="A440" s="3"/>
      <c r="B440" s="3"/>
      <c r="C440" s="3"/>
      <c r="D440" s="3"/>
      <c r="E440" s="3"/>
      <c r="F440" s="3"/>
      <c r="G440" s="3"/>
      <c r="H440" s="3"/>
      <c r="I440" s="3"/>
      <c r="J440" s="3"/>
      <c r="K440" s="3"/>
      <c r="L440" s="3"/>
      <c r="M440" s="3"/>
      <c r="N440" s="3"/>
      <c r="O440" s="3"/>
      <c r="P440" s="3"/>
      <c r="Q440" s="3"/>
      <c r="R440" s="3"/>
      <c r="S440" s="3"/>
      <c r="T440" s="3"/>
      <c r="U440" s="3"/>
      <c r="V440" s="3"/>
      <c r="W440" s="3"/>
      <c r="X440" s="3"/>
      <c r="Z440" s="3"/>
      <c r="AA440" s="3"/>
      <c r="AB440" s="3"/>
      <c r="AC440" s="3"/>
      <c r="AD440" s="3"/>
    </row>
    <row r="441" spans="1:30" ht="14">
      <c r="A441" s="3"/>
      <c r="B441" s="3"/>
      <c r="C441" s="3"/>
      <c r="D441" s="3"/>
      <c r="E441" s="3"/>
      <c r="F441" s="3"/>
      <c r="G441" s="3"/>
      <c r="H441" s="3"/>
      <c r="I441" s="3"/>
      <c r="J441" s="3"/>
      <c r="K441" s="3"/>
      <c r="L441" s="3"/>
      <c r="M441" s="3"/>
      <c r="N441" s="3"/>
      <c r="O441" s="3"/>
      <c r="P441" s="3"/>
      <c r="Q441" s="3"/>
      <c r="R441" s="3"/>
      <c r="S441" s="3"/>
      <c r="T441" s="3"/>
      <c r="U441" s="3"/>
      <c r="V441" s="3"/>
      <c r="W441" s="3"/>
      <c r="X441" s="3"/>
      <c r="Z441" s="3"/>
      <c r="AA441" s="3"/>
      <c r="AB441" s="3"/>
      <c r="AC441" s="3"/>
      <c r="AD441" s="3"/>
    </row>
    <row r="442" spans="1:30" ht="14">
      <c r="A442" s="3"/>
      <c r="B442" s="3"/>
      <c r="C442" s="3"/>
      <c r="D442" s="3"/>
      <c r="E442" s="3"/>
      <c r="F442" s="3"/>
      <c r="G442" s="3"/>
      <c r="H442" s="3"/>
      <c r="I442" s="3"/>
      <c r="J442" s="3"/>
      <c r="K442" s="3"/>
      <c r="L442" s="3"/>
      <c r="M442" s="3"/>
      <c r="N442" s="3"/>
      <c r="O442" s="3"/>
      <c r="P442" s="3"/>
      <c r="Q442" s="3"/>
      <c r="R442" s="3"/>
      <c r="S442" s="3"/>
      <c r="T442" s="3"/>
      <c r="U442" s="3"/>
      <c r="V442" s="3"/>
      <c r="W442" s="3"/>
      <c r="X442" s="3"/>
      <c r="Z442" s="3"/>
      <c r="AA442" s="3"/>
      <c r="AB442" s="3"/>
      <c r="AC442" s="3"/>
      <c r="AD442" s="3"/>
    </row>
    <row r="443" spans="1:30" ht="14">
      <c r="A443" s="3"/>
      <c r="B443" s="3"/>
      <c r="C443" s="3"/>
      <c r="D443" s="3"/>
      <c r="E443" s="3"/>
      <c r="F443" s="3"/>
      <c r="G443" s="3"/>
      <c r="H443" s="3"/>
      <c r="I443" s="3"/>
      <c r="J443" s="3"/>
      <c r="K443" s="3"/>
      <c r="L443" s="3"/>
      <c r="M443" s="3"/>
      <c r="N443" s="3"/>
      <c r="O443" s="3"/>
      <c r="P443" s="3"/>
      <c r="Q443" s="3"/>
      <c r="R443" s="3"/>
      <c r="S443" s="3"/>
      <c r="T443" s="3"/>
      <c r="U443" s="3"/>
      <c r="V443" s="3"/>
      <c r="W443" s="3"/>
      <c r="X443" s="3"/>
      <c r="Z443" s="3"/>
      <c r="AA443" s="3"/>
      <c r="AB443" s="3"/>
      <c r="AC443" s="3"/>
      <c r="AD443" s="3"/>
    </row>
    <row r="444" spans="1:30" ht="14">
      <c r="A444" s="3"/>
      <c r="B444" s="3"/>
      <c r="C444" s="3"/>
      <c r="D444" s="3"/>
      <c r="E444" s="3"/>
      <c r="F444" s="3"/>
      <c r="G444" s="3"/>
      <c r="H444" s="3"/>
      <c r="I444" s="3"/>
      <c r="J444" s="3"/>
      <c r="K444" s="3"/>
      <c r="L444" s="3"/>
      <c r="M444" s="3"/>
      <c r="N444" s="3"/>
      <c r="O444" s="3"/>
      <c r="P444" s="3"/>
      <c r="Q444" s="3"/>
      <c r="R444" s="3"/>
      <c r="S444" s="3"/>
      <c r="T444" s="3"/>
      <c r="U444" s="3"/>
      <c r="V444" s="3"/>
      <c r="W444" s="3"/>
      <c r="X444" s="3"/>
      <c r="Z444" s="3"/>
      <c r="AA444" s="3"/>
      <c r="AB444" s="3"/>
      <c r="AC444" s="3"/>
      <c r="AD444" s="3"/>
    </row>
    <row r="445" spans="1:30" ht="14">
      <c r="A445" s="3"/>
      <c r="B445" s="3"/>
      <c r="C445" s="3"/>
      <c r="D445" s="3"/>
      <c r="E445" s="3"/>
      <c r="F445" s="3"/>
      <c r="G445" s="3"/>
      <c r="H445" s="3"/>
      <c r="I445" s="3"/>
      <c r="J445" s="3"/>
      <c r="K445" s="3"/>
      <c r="L445" s="3"/>
      <c r="M445" s="3"/>
      <c r="N445" s="3"/>
      <c r="O445" s="3"/>
      <c r="P445" s="3"/>
      <c r="Q445" s="3"/>
      <c r="R445" s="3"/>
      <c r="S445" s="3"/>
      <c r="T445" s="3"/>
      <c r="U445" s="3"/>
      <c r="V445" s="3"/>
      <c r="W445" s="3"/>
      <c r="X445" s="3"/>
      <c r="Z445" s="3"/>
      <c r="AA445" s="3"/>
      <c r="AB445" s="3"/>
      <c r="AC445" s="3"/>
      <c r="AD445" s="3"/>
    </row>
    <row r="446" spans="1:30" ht="14">
      <c r="A446" s="3"/>
      <c r="B446" s="3"/>
      <c r="C446" s="3"/>
      <c r="D446" s="3"/>
      <c r="E446" s="3"/>
      <c r="F446" s="3"/>
      <c r="G446" s="3"/>
      <c r="H446" s="3"/>
      <c r="I446" s="3"/>
      <c r="J446" s="3"/>
      <c r="K446" s="3"/>
      <c r="L446" s="3"/>
      <c r="M446" s="3"/>
      <c r="N446" s="3"/>
      <c r="O446" s="3"/>
      <c r="P446" s="3"/>
      <c r="Q446" s="3"/>
      <c r="R446" s="3"/>
      <c r="S446" s="3"/>
      <c r="T446" s="3"/>
      <c r="U446" s="3"/>
      <c r="V446" s="3"/>
      <c r="W446" s="3"/>
      <c r="X446" s="3"/>
      <c r="Z446" s="3"/>
      <c r="AA446" s="3"/>
      <c r="AB446" s="3"/>
      <c r="AC446" s="3"/>
      <c r="AD446" s="3"/>
    </row>
    <row r="447" spans="1:30" ht="14">
      <c r="A447" s="3"/>
      <c r="B447" s="3"/>
      <c r="C447" s="3"/>
      <c r="D447" s="3"/>
      <c r="E447" s="3"/>
      <c r="F447" s="3"/>
      <c r="G447" s="3"/>
      <c r="H447" s="3"/>
      <c r="I447" s="3"/>
      <c r="J447" s="3"/>
      <c r="K447" s="3"/>
      <c r="L447" s="3"/>
      <c r="M447" s="3"/>
      <c r="N447" s="3"/>
      <c r="O447" s="3"/>
      <c r="P447" s="3"/>
      <c r="Q447" s="3"/>
      <c r="R447" s="3"/>
      <c r="S447" s="3"/>
      <c r="T447" s="3"/>
      <c r="U447" s="3"/>
      <c r="V447" s="3"/>
      <c r="W447" s="3"/>
      <c r="X447" s="3"/>
      <c r="Z447" s="3"/>
      <c r="AA447" s="3"/>
      <c r="AB447" s="3"/>
      <c r="AC447" s="3"/>
      <c r="AD447" s="3"/>
    </row>
    <row r="448" spans="1:30" ht="14">
      <c r="A448" s="3"/>
      <c r="B448" s="3"/>
      <c r="C448" s="3"/>
      <c r="D448" s="3"/>
      <c r="E448" s="3"/>
      <c r="F448" s="3"/>
      <c r="G448" s="3"/>
      <c r="H448" s="3"/>
      <c r="I448" s="3"/>
      <c r="J448" s="3"/>
      <c r="K448" s="3"/>
      <c r="L448" s="3"/>
      <c r="M448" s="3"/>
      <c r="N448" s="3"/>
      <c r="O448" s="3"/>
      <c r="P448" s="3"/>
      <c r="Q448" s="3"/>
      <c r="R448" s="3"/>
      <c r="S448" s="3"/>
      <c r="T448" s="3"/>
      <c r="U448" s="3"/>
      <c r="V448" s="3"/>
      <c r="W448" s="3"/>
      <c r="X448" s="3"/>
      <c r="Z448" s="3"/>
      <c r="AA448" s="3"/>
      <c r="AB448" s="3"/>
      <c r="AC448" s="3"/>
      <c r="AD448" s="3"/>
    </row>
    <row r="449" spans="1:30" ht="14">
      <c r="A449" s="3"/>
      <c r="B449" s="3"/>
      <c r="C449" s="3"/>
      <c r="D449" s="3"/>
      <c r="E449" s="3"/>
      <c r="F449" s="3"/>
      <c r="G449" s="3"/>
      <c r="H449" s="3"/>
      <c r="I449" s="3"/>
      <c r="J449" s="3"/>
      <c r="K449" s="3"/>
      <c r="L449" s="3"/>
      <c r="M449" s="3"/>
      <c r="N449" s="3"/>
      <c r="O449" s="3"/>
      <c r="P449" s="3"/>
      <c r="Q449" s="3"/>
      <c r="R449" s="3"/>
      <c r="S449" s="3"/>
      <c r="T449" s="3"/>
      <c r="U449" s="3"/>
      <c r="V449" s="3"/>
      <c r="W449" s="3"/>
      <c r="X449" s="3"/>
      <c r="Z449" s="3"/>
      <c r="AA449" s="3"/>
      <c r="AB449" s="3"/>
      <c r="AC449" s="3"/>
      <c r="AD449" s="3"/>
    </row>
    <row r="450" spans="1:30" ht="14">
      <c r="A450" s="3"/>
      <c r="B450" s="3"/>
      <c r="C450" s="3"/>
      <c r="D450" s="3"/>
      <c r="E450" s="3"/>
      <c r="F450" s="3"/>
      <c r="G450" s="3"/>
      <c r="H450" s="3"/>
      <c r="I450" s="3"/>
      <c r="J450" s="3"/>
      <c r="K450" s="3"/>
      <c r="L450" s="3"/>
      <c r="M450" s="3"/>
      <c r="N450" s="3"/>
      <c r="O450" s="3"/>
      <c r="P450" s="3"/>
      <c r="Q450" s="3"/>
      <c r="R450" s="3"/>
      <c r="S450" s="3"/>
      <c r="T450" s="3"/>
      <c r="U450" s="3"/>
      <c r="V450" s="3"/>
      <c r="W450" s="3"/>
      <c r="X450" s="3"/>
      <c r="Z450" s="3"/>
      <c r="AA450" s="3"/>
      <c r="AB450" s="3"/>
      <c r="AC450" s="3"/>
      <c r="AD450" s="3"/>
    </row>
    <row r="451" spans="1:30" ht="14">
      <c r="A451" s="3"/>
      <c r="B451" s="3"/>
      <c r="C451" s="3"/>
      <c r="D451" s="3"/>
      <c r="E451" s="3"/>
      <c r="F451" s="3"/>
      <c r="G451" s="3"/>
      <c r="H451" s="3"/>
      <c r="I451" s="3"/>
      <c r="J451" s="3"/>
      <c r="K451" s="3"/>
      <c r="L451" s="3"/>
      <c r="M451" s="3"/>
      <c r="N451" s="3"/>
      <c r="O451" s="3"/>
      <c r="P451" s="3"/>
      <c r="Q451" s="3"/>
      <c r="R451" s="3"/>
      <c r="S451" s="3"/>
      <c r="T451" s="3"/>
      <c r="U451" s="3"/>
      <c r="V451" s="3"/>
      <c r="W451" s="3"/>
      <c r="X451" s="3"/>
      <c r="Z451" s="3"/>
      <c r="AA451" s="3"/>
      <c r="AB451" s="3"/>
      <c r="AC451" s="3"/>
      <c r="AD451" s="3"/>
    </row>
    <row r="452" spans="1:30" ht="14">
      <c r="A452" s="3"/>
      <c r="B452" s="3"/>
      <c r="C452" s="3"/>
      <c r="D452" s="3"/>
      <c r="E452" s="3"/>
      <c r="F452" s="3"/>
      <c r="G452" s="3"/>
      <c r="H452" s="3"/>
      <c r="I452" s="3"/>
      <c r="J452" s="3"/>
      <c r="K452" s="3"/>
      <c r="L452" s="3"/>
      <c r="M452" s="3"/>
      <c r="N452" s="3"/>
      <c r="O452" s="3"/>
      <c r="P452" s="3"/>
      <c r="Q452" s="3"/>
      <c r="R452" s="3"/>
      <c r="S452" s="3"/>
      <c r="T452" s="3"/>
      <c r="U452" s="3"/>
      <c r="V452" s="3"/>
      <c r="W452" s="3"/>
      <c r="X452" s="3"/>
      <c r="Z452" s="3"/>
      <c r="AA452" s="3"/>
      <c r="AB452" s="3"/>
      <c r="AC452" s="3"/>
      <c r="AD452" s="3"/>
    </row>
    <row r="453" spans="1:30" ht="14">
      <c r="A453" s="3"/>
      <c r="B453" s="3"/>
      <c r="C453" s="3"/>
      <c r="D453" s="3"/>
      <c r="E453" s="3"/>
      <c r="F453" s="3"/>
      <c r="G453" s="3"/>
      <c r="H453" s="3"/>
      <c r="I453" s="3"/>
      <c r="J453" s="3"/>
      <c r="K453" s="3"/>
      <c r="L453" s="3"/>
      <c r="M453" s="3"/>
      <c r="N453" s="3"/>
      <c r="O453" s="3"/>
      <c r="P453" s="3"/>
      <c r="Q453" s="3"/>
      <c r="R453" s="3"/>
      <c r="S453" s="3"/>
      <c r="T453" s="3"/>
      <c r="U453" s="3"/>
      <c r="V453" s="3"/>
      <c r="W453" s="3"/>
      <c r="X453" s="3"/>
      <c r="Z453" s="3"/>
      <c r="AA453" s="3"/>
      <c r="AB453" s="3"/>
      <c r="AC453" s="3"/>
      <c r="AD453" s="3"/>
    </row>
    <row r="454" spans="1:30" ht="14">
      <c r="A454" s="3"/>
      <c r="B454" s="3"/>
      <c r="C454" s="3"/>
      <c r="D454" s="3"/>
      <c r="E454" s="3"/>
      <c r="F454" s="3"/>
      <c r="G454" s="3"/>
      <c r="H454" s="3"/>
      <c r="I454" s="3"/>
      <c r="J454" s="3"/>
      <c r="K454" s="3"/>
      <c r="L454" s="3"/>
      <c r="M454" s="3"/>
      <c r="N454" s="3"/>
      <c r="O454" s="3"/>
      <c r="P454" s="3"/>
      <c r="Q454" s="3"/>
      <c r="R454" s="3"/>
      <c r="S454" s="3"/>
      <c r="T454" s="3"/>
      <c r="U454" s="3"/>
      <c r="V454" s="3"/>
      <c r="W454" s="3"/>
      <c r="X454" s="3"/>
      <c r="Z454" s="3"/>
      <c r="AA454" s="3"/>
      <c r="AB454" s="3"/>
      <c r="AC454" s="3"/>
      <c r="AD454" s="3"/>
    </row>
    <row r="455" spans="1:30" ht="14">
      <c r="A455" s="3"/>
      <c r="B455" s="3"/>
      <c r="C455" s="3"/>
      <c r="D455" s="3"/>
      <c r="E455" s="3"/>
      <c r="F455" s="3"/>
      <c r="G455" s="3"/>
      <c r="H455" s="3"/>
      <c r="I455" s="3"/>
      <c r="J455" s="3"/>
      <c r="K455" s="3"/>
      <c r="L455" s="3"/>
      <c r="M455" s="3"/>
      <c r="N455" s="3"/>
      <c r="O455" s="3"/>
      <c r="P455" s="3"/>
      <c r="Q455" s="3"/>
      <c r="R455" s="3"/>
      <c r="S455" s="3"/>
      <c r="T455" s="3"/>
      <c r="U455" s="3"/>
      <c r="V455" s="3"/>
      <c r="W455" s="3"/>
      <c r="X455" s="3"/>
      <c r="Z455" s="3"/>
      <c r="AA455" s="3"/>
      <c r="AB455" s="3"/>
      <c r="AC455" s="3"/>
      <c r="AD455" s="3"/>
    </row>
    <row r="456" spans="1:30" ht="14">
      <c r="A456" s="3"/>
      <c r="B456" s="3"/>
      <c r="C456" s="3"/>
      <c r="D456" s="3"/>
      <c r="E456" s="3"/>
      <c r="F456" s="3"/>
      <c r="G456" s="3"/>
      <c r="H456" s="3"/>
      <c r="I456" s="3"/>
      <c r="J456" s="3"/>
      <c r="K456" s="3"/>
      <c r="L456" s="3"/>
      <c r="M456" s="3"/>
      <c r="N456" s="3"/>
      <c r="O456" s="3"/>
      <c r="P456" s="3"/>
      <c r="Q456" s="3"/>
      <c r="R456" s="3"/>
      <c r="S456" s="3"/>
      <c r="T456" s="3"/>
      <c r="U456" s="3"/>
      <c r="V456" s="3"/>
      <c r="W456" s="3"/>
      <c r="X456" s="3"/>
      <c r="Z456" s="3"/>
      <c r="AA456" s="3"/>
      <c r="AB456" s="3"/>
      <c r="AC456" s="3"/>
      <c r="AD456" s="3"/>
    </row>
    <row r="457" spans="1:30" ht="14">
      <c r="A457" s="3"/>
      <c r="B457" s="3"/>
      <c r="C457" s="3"/>
      <c r="D457" s="3"/>
      <c r="E457" s="3"/>
      <c r="F457" s="3"/>
      <c r="G457" s="3"/>
      <c r="H457" s="3"/>
      <c r="I457" s="3"/>
      <c r="J457" s="3"/>
      <c r="K457" s="3"/>
      <c r="L457" s="3"/>
      <c r="M457" s="3"/>
      <c r="N457" s="3"/>
      <c r="O457" s="3"/>
      <c r="P457" s="3"/>
      <c r="Q457" s="3"/>
      <c r="R457" s="3"/>
      <c r="S457" s="3"/>
      <c r="T457" s="3"/>
      <c r="U457" s="3"/>
      <c r="V457" s="3"/>
      <c r="W457" s="3"/>
      <c r="X457" s="3"/>
      <c r="Z457" s="3"/>
      <c r="AA457" s="3"/>
      <c r="AB457" s="3"/>
      <c r="AC457" s="3"/>
      <c r="AD457" s="3"/>
    </row>
    <row r="458" spans="1:30" ht="14">
      <c r="A458" s="3"/>
      <c r="B458" s="3"/>
      <c r="C458" s="3"/>
      <c r="D458" s="3"/>
      <c r="E458" s="3"/>
      <c r="F458" s="3"/>
      <c r="G458" s="3"/>
      <c r="H458" s="3"/>
      <c r="I458" s="3"/>
      <c r="J458" s="3"/>
      <c r="K458" s="3"/>
      <c r="L458" s="3"/>
      <c r="M458" s="3"/>
      <c r="N458" s="3"/>
      <c r="O458" s="3"/>
      <c r="P458" s="3"/>
      <c r="Q458" s="3"/>
      <c r="R458" s="3"/>
      <c r="S458" s="3"/>
      <c r="T458" s="3"/>
      <c r="U458" s="3"/>
      <c r="V458" s="3"/>
      <c r="W458" s="3"/>
      <c r="X458" s="3"/>
      <c r="Z458" s="3"/>
      <c r="AA458" s="3"/>
      <c r="AB458" s="3"/>
      <c r="AC458" s="3"/>
      <c r="AD458" s="3"/>
    </row>
    <row r="459" spans="1:30" ht="14">
      <c r="A459" s="3"/>
      <c r="B459" s="3"/>
      <c r="C459" s="3"/>
      <c r="D459" s="3"/>
      <c r="E459" s="3"/>
      <c r="F459" s="3"/>
      <c r="G459" s="3"/>
      <c r="H459" s="3"/>
      <c r="I459" s="3"/>
      <c r="J459" s="3"/>
      <c r="K459" s="3"/>
      <c r="L459" s="3"/>
      <c r="M459" s="3"/>
      <c r="N459" s="3"/>
      <c r="O459" s="3"/>
      <c r="P459" s="3"/>
      <c r="Q459" s="3"/>
      <c r="R459" s="3"/>
      <c r="S459" s="3"/>
      <c r="T459" s="3"/>
      <c r="U459" s="3"/>
      <c r="V459" s="3"/>
      <c r="W459" s="3"/>
      <c r="X459" s="3"/>
      <c r="Z459" s="3"/>
      <c r="AA459" s="3"/>
      <c r="AB459" s="3"/>
      <c r="AC459" s="3"/>
      <c r="AD459" s="3"/>
    </row>
    <row r="460" spans="1:30" ht="14">
      <c r="A460" s="3"/>
      <c r="B460" s="3"/>
      <c r="C460" s="3"/>
      <c r="D460" s="3"/>
      <c r="E460" s="3"/>
      <c r="F460" s="3"/>
      <c r="G460" s="3"/>
      <c r="H460" s="3"/>
      <c r="I460" s="3"/>
      <c r="J460" s="3"/>
      <c r="K460" s="3"/>
      <c r="L460" s="3"/>
      <c r="M460" s="3"/>
      <c r="N460" s="3"/>
      <c r="O460" s="3"/>
      <c r="P460" s="3"/>
      <c r="Q460" s="3"/>
      <c r="R460" s="3"/>
      <c r="S460" s="3"/>
      <c r="T460" s="3"/>
      <c r="U460" s="3"/>
      <c r="V460" s="3"/>
      <c r="W460" s="3"/>
      <c r="X460" s="3"/>
      <c r="Z460" s="3"/>
      <c r="AA460" s="3"/>
      <c r="AB460" s="3"/>
      <c r="AC460" s="3"/>
      <c r="AD460" s="3"/>
    </row>
    <row r="461" spans="1:30" ht="14">
      <c r="A461" s="3"/>
      <c r="B461" s="3"/>
      <c r="C461" s="3"/>
      <c r="D461" s="3"/>
      <c r="E461" s="3"/>
      <c r="F461" s="3"/>
      <c r="G461" s="3"/>
      <c r="H461" s="3"/>
      <c r="I461" s="3"/>
      <c r="J461" s="3"/>
      <c r="K461" s="3"/>
      <c r="L461" s="3"/>
      <c r="M461" s="3"/>
      <c r="N461" s="3"/>
      <c r="O461" s="3"/>
      <c r="P461" s="3"/>
      <c r="Q461" s="3"/>
      <c r="R461" s="3"/>
      <c r="S461" s="3"/>
      <c r="T461" s="3"/>
      <c r="U461" s="3"/>
      <c r="V461" s="3"/>
      <c r="W461" s="3"/>
      <c r="X461" s="3"/>
      <c r="Z461" s="3"/>
      <c r="AA461" s="3"/>
      <c r="AB461" s="3"/>
      <c r="AC461" s="3"/>
      <c r="AD461" s="3"/>
    </row>
    <row r="462" spans="1:30" ht="14">
      <c r="A462" s="3"/>
      <c r="B462" s="3"/>
      <c r="C462" s="3"/>
      <c r="D462" s="3"/>
      <c r="E462" s="3"/>
      <c r="F462" s="3"/>
      <c r="G462" s="3"/>
      <c r="H462" s="3"/>
      <c r="I462" s="3"/>
      <c r="J462" s="3"/>
      <c r="K462" s="3"/>
      <c r="L462" s="3"/>
      <c r="M462" s="3"/>
      <c r="N462" s="3"/>
      <c r="O462" s="3"/>
      <c r="P462" s="3"/>
      <c r="Q462" s="3"/>
      <c r="R462" s="3"/>
      <c r="S462" s="3"/>
      <c r="T462" s="3"/>
      <c r="U462" s="3"/>
      <c r="V462" s="3"/>
      <c r="W462" s="3"/>
      <c r="X462" s="3"/>
      <c r="Z462" s="3"/>
      <c r="AA462" s="3"/>
      <c r="AB462" s="3"/>
      <c r="AC462" s="3"/>
      <c r="AD462" s="3"/>
    </row>
    <row r="463" spans="1:30" ht="14">
      <c r="A463" s="3"/>
      <c r="B463" s="3"/>
      <c r="C463" s="3"/>
      <c r="D463" s="3"/>
      <c r="E463" s="3"/>
      <c r="F463" s="3"/>
      <c r="G463" s="3"/>
      <c r="H463" s="3"/>
      <c r="I463" s="3"/>
      <c r="J463" s="3"/>
      <c r="K463" s="3"/>
      <c r="L463" s="3"/>
      <c r="M463" s="3"/>
      <c r="N463" s="3"/>
      <c r="O463" s="3"/>
      <c r="P463" s="3"/>
      <c r="Q463" s="3"/>
      <c r="R463" s="3"/>
      <c r="S463" s="3"/>
      <c r="T463" s="3"/>
      <c r="U463" s="3"/>
      <c r="V463" s="3"/>
      <c r="W463" s="3"/>
      <c r="X463" s="3"/>
      <c r="Z463" s="3"/>
      <c r="AA463" s="3"/>
      <c r="AB463" s="3"/>
      <c r="AC463" s="3"/>
      <c r="AD463" s="3"/>
    </row>
    <row r="464" spans="1:30" ht="14">
      <c r="A464" s="3"/>
      <c r="B464" s="3"/>
      <c r="C464" s="3"/>
      <c r="D464" s="3"/>
      <c r="E464" s="3"/>
      <c r="F464" s="3"/>
      <c r="G464" s="3"/>
      <c r="H464" s="3"/>
      <c r="I464" s="3"/>
      <c r="J464" s="3"/>
      <c r="K464" s="3"/>
      <c r="L464" s="3"/>
      <c r="M464" s="3"/>
      <c r="N464" s="3"/>
      <c r="O464" s="3"/>
      <c r="P464" s="3"/>
      <c r="Q464" s="3"/>
      <c r="R464" s="3"/>
      <c r="S464" s="3"/>
      <c r="T464" s="3"/>
      <c r="U464" s="3"/>
      <c r="V464" s="3"/>
      <c r="W464" s="3"/>
      <c r="X464" s="3"/>
      <c r="Z464" s="3"/>
      <c r="AA464" s="3"/>
      <c r="AB464" s="3"/>
      <c r="AC464" s="3"/>
      <c r="AD464" s="3"/>
    </row>
    <row r="465" spans="1:30" ht="14">
      <c r="A465" s="3"/>
      <c r="B465" s="3"/>
      <c r="C465" s="3"/>
      <c r="D465" s="3"/>
      <c r="E465" s="3"/>
      <c r="F465" s="3"/>
      <c r="G465" s="3"/>
      <c r="H465" s="3"/>
      <c r="I465" s="3"/>
      <c r="J465" s="3"/>
      <c r="K465" s="3"/>
      <c r="L465" s="3"/>
      <c r="M465" s="3"/>
      <c r="N465" s="3"/>
      <c r="O465" s="3"/>
      <c r="P465" s="3"/>
      <c r="Q465" s="3"/>
      <c r="R465" s="3"/>
      <c r="S465" s="3"/>
      <c r="T465" s="3"/>
      <c r="U465" s="3"/>
      <c r="V465" s="3"/>
      <c r="W465" s="3"/>
      <c r="X465" s="3"/>
      <c r="Z465" s="3"/>
      <c r="AA465" s="3"/>
      <c r="AB465" s="3"/>
      <c r="AC465" s="3"/>
      <c r="AD465" s="3"/>
    </row>
    <row r="466" spans="1:30" ht="14">
      <c r="A466" s="3"/>
      <c r="B466" s="3"/>
      <c r="C466" s="3"/>
      <c r="D466" s="3"/>
      <c r="E466" s="3"/>
      <c r="F466" s="3"/>
      <c r="G466" s="3"/>
      <c r="H466" s="3"/>
      <c r="I466" s="3"/>
      <c r="J466" s="3"/>
      <c r="K466" s="3"/>
      <c r="L466" s="3"/>
      <c r="M466" s="3"/>
      <c r="N466" s="3"/>
      <c r="O466" s="3"/>
      <c r="P466" s="3"/>
      <c r="Q466" s="3"/>
      <c r="R466" s="3"/>
      <c r="S466" s="3"/>
      <c r="T466" s="3"/>
      <c r="U466" s="3"/>
      <c r="V466" s="3"/>
      <c r="W466" s="3"/>
      <c r="X466" s="3"/>
      <c r="Z466" s="3"/>
      <c r="AA466" s="3"/>
      <c r="AB466" s="3"/>
      <c r="AC466" s="3"/>
      <c r="AD466" s="3"/>
    </row>
    <row r="467" spans="1:30" ht="14">
      <c r="A467" s="3"/>
      <c r="B467" s="3"/>
      <c r="C467" s="3"/>
      <c r="D467" s="3"/>
      <c r="E467" s="3"/>
      <c r="F467" s="3"/>
      <c r="G467" s="3"/>
      <c r="H467" s="3"/>
      <c r="I467" s="3"/>
      <c r="J467" s="3"/>
      <c r="K467" s="3"/>
      <c r="L467" s="3"/>
      <c r="M467" s="3"/>
      <c r="N467" s="3"/>
      <c r="O467" s="3"/>
      <c r="P467" s="3"/>
      <c r="Q467" s="3"/>
      <c r="R467" s="3"/>
      <c r="S467" s="3"/>
      <c r="T467" s="3"/>
      <c r="U467" s="3"/>
      <c r="V467" s="3"/>
      <c r="W467" s="3"/>
      <c r="X467" s="3"/>
      <c r="Z467" s="3"/>
      <c r="AA467" s="3"/>
      <c r="AB467" s="3"/>
      <c r="AC467" s="3"/>
      <c r="AD467" s="3"/>
    </row>
    <row r="468" spans="1:30" ht="14">
      <c r="A468" s="3"/>
      <c r="B468" s="3"/>
      <c r="C468" s="3"/>
      <c r="D468" s="3"/>
      <c r="E468" s="3"/>
      <c r="F468" s="3"/>
      <c r="G468" s="3"/>
      <c r="H468" s="3"/>
      <c r="I468" s="3"/>
      <c r="J468" s="3"/>
      <c r="K468" s="3"/>
      <c r="L468" s="3"/>
      <c r="M468" s="3"/>
      <c r="N468" s="3"/>
      <c r="O468" s="3"/>
      <c r="P468" s="3"/>
      <c r="Q468" s="3"/>
      <c r="R468" s="3"/>
      <c r="S468" s="3"/>
      <c r="T468" s="3"/>
      <c r="U468" s="3"/>
      <c r="V468" s="3"/>
      <c r="W468" s="3"/>
      <c r="X468" s="3"/>
      <c r="Z468" s="3"/>
      <c r="AA468" s="3"/>
      <c r="AB468" s="3"/>
      <c r="AC468" s="3"/>
      <c r="AD468" s="3"/>
    </row>
    <row r="469" spans="1:30" ht="14">
      <c r="A469" s="3"/>
      <c r="B469" s="3"/>
      <c r="C469" s="3"/>
      <c r="D469" s="3"/>
      <c r="E469" s="3"/>
      <c r="F469" s="3"/>
      <c r="G469" s="3"/>
      <c r="H469" s="3"/>
      <c r="I469" s="3"/>
      <c r="J469" s="3"/>
      <c r="K469" s="3"/>
      <c r="L469" s="3"/>
      <c r="M469" s="3"/>
      <c r="N469" s="3"/>
      <c r="O469" s="3"/>
      <c r="P469" s="3"/>
      <c r="Q469" s="3"/>
      <c r="R469" s="3"/>
      <c r="S469" s="3"/>
      <c r="T469" s="3"/>
      <c r="U469" s="3"/>
      <c r="V469" s="3"/>
      <c r="W469" s="3"/>
      <c r="X469" s="3"/>
      <c r="Z469" s="3"/>
      <c r="AA469" s="3"/>
      <c r="AB469" s="3"/>
      <c r="AC469" s="3"/>
      <c r="AD469" s="3"/>
    </row>
    <row r="470" spans="1:30" ht="14">
      <c r="A470" s="3"/>
      <c r="B470" s="3"/>
      <c r="C470" s="3"/>
      <c r="D470" s="3"/>
      <c r="E470" s="3"/>
      <c r="F470" s="3"/>
      <c r="G470" s="3"/>
      <c r="H470" s="3"/>
      <c r="I470" s="3"/>
      <c r="J470" s="3"/>
      <c r="K470" s="3"/>
      <c r="L470" s="3"/>
      <c r="M470" s="3"/>
      <c r="N470" s="3"/>
      <c r="O470" s="3"/>
      <c r="P470" s="3"/>
      <c r="Q470" s="3"/>
      <c r="R470" s="3"/>
      <c r="S470" s="3"/>
      <c r="T470" s="3"/>
      <c r="U470" s="3"/>
      <c r="V470" s="3"/>
      <c r="W470" s="3"/>
      <c r="X470" s="3"/>
      <c r="Z470" s="3"/>
      <c r="AA470" s="3"/>
      <c r="AB470" s="3"/>
      <c r="AC470" s="3"/>
      <c r="AD470" s="3"/>
    </row>
    <row r="471" spans="1:30" ht="14">
      <c r="A471" s="3"/>
      <c r="B471" s="3"/>
      <c r="C471" s="3"/>
      <c r="D471" s="3"/>
      <c r="E471" s="3"/>
      <c r="F471" s="3"/>
      <c r="G471" s="3"/>
      <c r="H471" s="3"/>
      <c r="I471" s="3"/>
      <c r="J471" s="3"/>
      <c r="K471" s="3"/>
      <c r="L471" s="3"/>
      <c r="M471" s="3"/>
      <c r="N471" s="3"/>
      <c r="O471" s="3"/>
      <c r="P471" s="3"/>
      <c r="Q471" s="3"/>
      <c r="R471" s="3"/>
      <c r="S471" s="3"/>
      <c r="T471" s="3"/>
      <c r="U471" s="3"/>
      <c r="V471" s="3"/>
      <c r="W471" s="3"/>
      <c r="X471" s="3"/>
      <c r="Z471" s="3"/>
      <c r="AA471" s="3"/>
      <c r="AB471" s="3"/>
      <c r="AC471" s="3"/>
      <c r="AD471" s="3"/>
    </row>
    <row r="472" spans="1:30" ht="14">
      <c r="A472" s="3"/>
      <c r="B472" s="3"/>
      <c r="C472" s="3"/>
      <c r="D472" s="3"/>
      <c r="E472" s="3"/>
      <c r="F472" s="3"/>
      <c r="G472" s="3"/>
      <c r="H472" s="3"/>
      <c r="I472" s="3"/>
      <c r="J472" s="3"/>
      <c r="K472" s="3"/>
      <c r="L472" s="3"/>
      <c r="M472" s="3"/>
      <c r="N472" s="3"/>
      <c r="O472" s="3"/>
      <c r="P472" s="3"/>
      <c r="Q472" s="3"/>
      <c r="R472" s="3"/>
      <c r="S472" s="3"/>
      <c r="T472" s="3"/>
      <c r="U472" s="3"/>
      <c r="V472" s="3"/>
      <c r="W472" s="3"/>
      <c r="X472" s="3"/>
      <c r="Z472" s="3"/>
      <c r="AA472" s="3"/>
      <c r="AB472" s="3"/>
      <c r="AC472" s="3"/>
      <c r="AD472" s="3"/>
    </row>
    <row r="473" spans="1:30" ht="14">
      <c r="A473" s="3"/>
      <c r="B473" s="3"/>
      <c r="C473" s="3"/>
      <c r="D473" s="3"/>
      <c r="E473" s="3"/>
      <c r="F473" s="3"/>
      <c r="G473" s="3"/>
      <c r="H473" s="3"/>
      <c r="I473" s="3"/>
      <c r="J473" s="3"/>
      <c r="K473" s="3"/>
      <c r="L473" s="3"/>
      <c r="M473" s="3"/>
      <c r="N473" s="3"/>
      <c r="O473" s="3"/>
      <c r="P473" s="3"/>
      <c r="Q473" s="3"/>
      <c r="R473" s="3"/>
      <c r="S473" s="3"/>
      <c r="T473" s="3"/>
      <c r="U473" s="3"/>
      <c r="V473" s="3"/>
      <c r="W473" s="3"/>
      <c r="X473" s="3"/>
      <c r="Z473" s="3"/>
      <c r="AA473" s="3"/>
      <c r="AB473" s="3"/>
      <c r="AC473" s="3"/>
      <c r="AD473" s="3"/>
    </row>
    <row r="474" spans="1:30" ht="14">
      <c r="A474" s="3"/>
      <c r="B474" s="3"/>
      <c r="C474" s="3"/>
      <c r="D474" s="3"/>
      <c r="E474" s="3"/>
      <c r="F474" s="3"/>
      <c r="G474" s="3"/>
      <c r="H474" s="3"/>
      <c r="I474" s="3"/>
      <c r="J474" s="3"/>
      <c r="K474" s="3"/>
      <c r="L474" s="3"/>
      <c r="M474" s="3"/>
      <c r="N474" s="3"/>
      <c r="O474" s="3"/>
      <c r="P474" s="3"/>
      <c r="Q474" s="3"/>
      <c r="R474" s="3"/>
      <c r="S474" s="3"/>
      <c r="T474" s="3"/>
      <c r="U474" s="3"/>
      <c r="V474" s="3"/>
      <c r="W474" s="3"/>
      <c r="X474" s="3"/>
      <c r="Z474" s="3"/>
      <c r="AA474" s="3"/>
      <c r="AB474" s="3"/>
      <c r="AC474" s="3"/>
      <c r="AD474" s="3"/>
    </row>
    <row r="475" spans="1:30" ht="14">
      <c r="A475" s="3"/>
      <c r="B475" s="3"/>
      <c r="C475" s="3"/>
      <c r="D475" s="3"/>
      <c r="E475" s="3"/>
      <c r="F475" s="3"/>
      <c r="G475" s="3"/>
      <c r="H475" s="3"/>
      <c r="I475" s="3"/>
      <c r="J475" s="3"/>
      <c r="K475" s="3"/>
      <c r="L475" s="3"/>
      <c r="M475" s="3"/>
      <c r="N475" s="3"/>
      <c r="O475" s="3"/>
      <c r="P475" s="3"/>
      <c r="Q475" s="3"/>
      <c r="R475" s="3"/>
      <c r="S475" s="3"/>
      <c r="T475" s="3"/>
      <c r="U475" s="3"/>
      <c r="V475" s="3"/>
      <c r="W475" s="3"/>
      <c r="X475" s="3"/>
      <c r="Z475" s="3"/>
      <c r="AA475" s="3"/>
      <c r="AB475" s="3"/>
      <c r="AC475" s="3"/>
      <c r="AD475" s="3"/>
    </row>
    <row r="476" spans="1:30" ht="14">
      <c r="A476" s="3"/>
      <c r="B476" s="3"/>
      <c r="C476" s="3"/>
      <c r="D476" s="3"/>
      <c r="E476" s="3"/>
      <c r="F476" s="3"/>
      <c r="G476" s="3"/>
      <c r="H476" s="3"/>
      <c r="I476" s="3"/>
      <c r="J476" s="3"/>
      <c r="K476" s="3"/>
      <c r="L476" s="3"/>
      <c r="M476" s="3"/>
      <c r="N476" s="3"/>
      <c r="O476" s="3"/>
      <c r="P476" s="3"/>
      <c r="Q476" s="3"/>
      <c r="R476" s="3"/>
      <c r="S476" s="3"/>
      <c r="T476" s="3"/>
      <c r="U476" s="3"/>
      <c r="V476" s="3"/>
      <c r="W476" s="3"/>
      <c r="X476" s="3"/>
      <c r="Z476" s="3"/>
      <c r="AA476" s="3"/>
      <c r="AB476" s="3"/>
      <c r="AC476" s="3"/>
      <c r="AD476" s="3"/>
    </row>
    <row r="477" spans="1:30" ht="14">
      <c r="A477" s="3"/>
      <c r="B477" s="3"/>
      <c r="C477" s="3"/>
      <c r="D477" s="3"/>
      <c r="E477" s="3"/>
      <c r="F477" s="3"/>
      <c r="G477" s="3"/>
      <c r="H477" s="3"/>
      <c r="I477" s="3"/>
      <c r="J477" s="3"/>
      <c r="K477" s="3"/>
      <c r="L477" s="3"/>
      <c r="M477" s="3"/>
      <c r="N477" s="3"/>
      <c r="O477" s="3"/>
      <c r="P477" s="3"/>
      <c r="Q477" s="3"/>
      <c r="R477" s="3"/>
      <c r="S477" s="3"/>
      <c r="T477" s="3"/>
      <c r="U477" s="3"/>
      <c r="V477" s="3"/>
      <c r="W477" s="3"/>
      <c r="X477" s="3"/>
      <c r="Z477" s="3"/>
      <c r="AA477" s="3"/>
      <c r="AB477" s="3"/>
      <c r="AC477" s="3"/>
      <c r="AD477" s="3"/>
    </row>
    <row r="478" spans="1:30" ht="14">
      <c r="A478" s="3"/>
      <c r="B478" s="3"/>
      <c r="C478" s="3"/>
      <c r="D478" s="3"/>
      <c r="E478" s="3"/>
      <c r="F478" s="3"/>
      <c r="G478" s="3"/>
      <c r="H478" s="3"/>
      <c r="I478" s="3"/>
      <c r="J478" s="3"/>
      <c r="K478" s="3"/>
      <c r="L478" s="3"/>
      <c r="M478" s="3"/>
      <c r="N478" s="3"/>
      <c r="O478" s="3"/>
      <c r="P478" s="3"/>
      <c r="Q478" s="3"/>
      <c r="R478" s="3"/>
      <c r="S478" s="3"/>
      <c r="T478" s="3"/>
      <c r="U478" s="3"/>
      <c r="V478" s="3"/>
      <c r="W478" s="3"/>
      <c r="X478" s="3"/>
      <c r="Z478" s="3"/>
      <c r="AA478" s="3"/>
      <c r="AB478" s="3"/>
      <c r="AC478" s="3"/>
      <c r="AD478" s="3"/>
    </row>
    <row r="479" spans="1:30" ht="14">
      <c r="A479" s="3"/>
      <c r="B479" s="3"/>
      <c r="C479" s="3"/>
      <c r="D479" s="3"/>
      <c r="E479" s="3"/>
      <c r="F479" s="3"/>
      <c r="G479" s="3"/>
      <c r="H479" s="3"/>
      <c r="I479" s="3"/>
      <c r="J479" s="3"/>
      <c r="K479" s="3"/>
      <c r="L479" s="3"/>
      <c r="M479" s="3"/>
      <c r="N479" s="3"/>
      <c r="O479" s="3"/>
      <c r="P479" s="3"/>
      <c r="Q479" s="3"/>
      <c r="R479" s="3"/>
      <c r="S479" s="3"/>
      <c r="T479" s="3"/>
      <c r="U479" s="3"/>
      <c r="V479" s="3"/>
      <c r="W479" s="3"/>
      <c r="X479" s="3"/>
      <c r="Z479" s="3"/>
      <c r="AA479" s="3"/>
      <c r="AB479" s="3"/>
      <c r="AC479" s="3"/>
      <c r="AD479" s="3"/>
    </row>
    <row r="480" spans="1:30" ht="14">
      <c r="A480" s="3"/>
      <c r="B480" s="3"/>
      <c r="C480" s="3"/>
      <c r="D480" s="3"/>
      <c r="E480" s="3"/>
      <c r="F480" s="3"/>
      <c r="G480" s="3"/>
      <c r="H480" s="3"/>
      <c r="I480" s="3"/>
      <c r="J480" s="3"/>
      <c r="K480" s="3"/>
      <c r="L480" s="3"/>
      <c r="M480" s="3"/>
      <c r="N480" s="3"/>
      <c r="O480" s="3"/>
      <c r="P480" s="3"/>
      <c r="Q480" s="3"/>
      <c r="R480" s="3"/>
      <c r="S480" s="3"/>
      <c r="T480" s="3"/>
      <c r="U480" s="3"/>
      <c r="V480" s="3"/>
      <c r="W480" s="3"/>
      <c r="X480" s="3"/>
      <c r="Z480" s="3"/>
      <c r="AA480" s="3"/>
      <c r="AB480" s="3"/>
      <c r="AC480" s="3"/>
      <c r="AD480" s="3"/>
    </row>
    <row r="481" spans="1:30" ht="14">
      <c r="A481" s="3"/>
      <c r="B481" s="3"/>
      <c r="C481" s="3"/>
      <c r="D481" s="3"/>
      <c r="E481" s="3"/>
      <c r="F481" s="3"/>
      <c r="G481" s="3"/>
      <c r="H481" s="3"/>
      <c r="I481" s="3"/>
      <c r="J481" s="3"/>
      <c r="K481" s="3"/>
      <c r="L481" s="3"/>
      <c r="M481" s="3"/>
      <c r="N481" s="3"/>
      <c r="O481" s="3"/>
      <c r="P481" s="3"/>
      <c r="Q481" s="3"/>
      <c r="R481" s="3"/>
      <c r="S481" s="3"/>
      <c r="T481" s="3"/>
      <c r="U481" s="3"/>
      <c r="V481" s="3"/>
      <c r="W481" s="3"/>
      <c r="X481" s="3"/>
      <c r="Z481" s="3"/>
      <c r="AA481" s="3"/>
      <c r="AB481" s="3"/>
      <c r="AC481" s="3"/>
      <c r="AD481" s="3"/>
    </row>
    <row r="482" spans="1:30" ht="14">
      <c r="A482" s="3"/>
      <c r="B482" s="3"/>
      <c r="C482" s="3"/>
      <c r="D482" s="3"/>
      <c r="E482" s="3"/>
      <c r="F482" s="3"/>
      <c r="G482" s="3"/>
      <c r="H482" s="3"/>
      <c r="I482" s="3"/>
      <c r="J482" s="3"/>
      <c r="K482" s="3"/>
      <c r="L482" s="3"/>
      <c r="M482" s="3"/>
      <c r="N482" s="3"/>
      <c r="O482" s="3"/>
      <c r="P482" s="3"/>
      <c r="Q482" s="3"/>
      <c r="R482" s="3"/>
      <c r="S482" s="3"/>
      <c r="T482" s="3"/>
      <c r="U482" s="3"/>
      <c r="V482" s="3"/>
      <c r="W482" s="3"/>
      <c r="X482" s="3"/>
      <c r="Z482" s="3"/>
      <c r="AA482" s="3"/>
      <c r="AB482" s="3"/>
      <c r="AC482" s="3"/>
      <c r="AD482" s="3"/>
    </row>
    <row r="483" spans="1:30" ht="14">
      <c r="A483" s="3"/>
      <c r="B483" s="3"/>
      <c r="C483" s="3"/>
      <c r="D483" s="3"/>
      <c r="E483" s="3"/>
      <c r="F483" s="3"/>
      <c r="G483" s="3"/>
      <c r="H483" s="3"/>
      <c r="I483" s="3"/>
      <c r="J483" s="3"/>
      <c r="K483" s="3"/>
      <c r="L483" s="3"/>
      <c r="M483" s="3"/>
      <c r="N483" s="3"/>
      <c r="O483" s="3"/>
      <c r="P483" s="3"/>
      <c r="Q483" s="3"/>
      <c r="R483" s="3"/>
      <c r="S483" s="3"/>
      <c r="T483" s="3"/>
      <c r="U483" s="3"/>
      <c r="V483" s="3"/>
      <c r="W483" s="3"/>
      <c r="X483" s="3"/>
      <c r="Z483" s="3"/>
      <c r="AA483" s="3"/>
      <c r="AB483" s="3"/>
      <c r="AC483" s="3"/>
      <c r="AD483" s="3"/>
    </row>
    <row r="484" spans="1:30" ht="14">
      <c r="A484" s="3"/>
      <c r="B484" s="3"/>
      <c r="C484" s="3"/>
      <c r="D484" s="3"/>
      <c r="E484" s="3"/>
      <c r="F484" s="3"/>
      <c r="G484" s="3"/>
      <c r="H484" s="3"/>
      <c r="I484" s="3"/>
      <c r="J484" s="3"/>
      <c r="K484" s="3"/>
      <c r="L484" s="3"/>
      <c r="M484" s="3"/>
      <c r="N484" s="3"/>
      <c r="O484" s="3"/>
      <c r="P484" s="3"/>
      <c r="Q484" s="3"/>
      <c r="R484" s="3"/>
      <c r="S484" s="3"/>
      <c r="T484" s="3"/>
      <c r="U484" s="3"/>
      <c r="V484" s="3"/>
      <c r="W484" s="3"/>
      <c r="X484" s="3"/>
      <c r="Z484" s="3"/>
      <c r="AA484" s="3"/>
      <c r="AB484" s="3"/>
      <c r="AC484" s="3"/>
      <c r="AD484" s="3"/>
    </row>
    <row r="485" spans="1:30" ht="14">
      <c r="A485" s="3"/>
      <c r="B485" s="3"/>
      <c r="C485" s="3"/>
      <c r="D485" s="3"/>
      <c r="E485" s="3"/>
      <c r="F485" s="3"/>
      <c r="G485" s="3"/>
      <c r="H485" s="3"/>
      <c r="I485" s="3"/>
      <c r="J485" s="3"/>
      <c r="K485" s="3"/>
      <c r="L485" s="3"/>
      <c r="M485" s="3"/>
      <c r="N485" s="3"/>
      <c r="O485" s="3"/>
      <c r="P485" s="3"/>
      <c r="Q485" s="3"/>
      <c r="R485" s="3"/>
      <c r="S485" s="3"/>
      <c r="T485" s="3"/>
      <c r="U485" s="3"/>
      <c r="V485" s="3"/>
      <c r="W485" s="3"/>
      <c r="X485" s="3"/>
      <c r="Z485" s="3"/>
      <c r="AA485" s="3"/>
      <c r="AB485" s="3"/>
      <c r="AC485" s="3"/>
      <c r="AD485" s="3"/>
    </row>
    <row r="486" spans="1:30" ht="14">
      <c r="A486" s="3"/>
      <c r="B486" s="3"/>
      <c r="C486" s="3"/>
      <c r="D486" s="3"/>
      <c r="E486" s="3"/>
      <c r="F486" s="3"/>
      <c r="G486" s="3"/>
      <c r="H486" s="3"/>
      <c r="I486" s="3"/>
      <c r="J486" s="3"/>
      <c r="K486" s="3"/>
      <c r="L486" s="3"/>
      <c r="M486" s="3"/>
      <c r="N486" s="3"/>
      <c r="O486" s="3"/>
      <c r="P486" s="3"/>
      <c r="Q486" s="3"/>
      <c r="R486" s="3"/>
      <c r="S486" s="3"/>
      <c r="T486" s="3"/>
      <c r="U486" s="3"/>
      <c r="V486" s="3"/>
      <c r="W486" s="3"/>
      <c r="X486" s="3"/>
      <c r="Z486" s="3"/>
      <c r="AA486" s="3"/>
      <c r="AB486" s="3"/>
      <c r="AC486" s="3"/>
      <c r="AD486" s="3"/>
    </row>
    <row r="487" spans="1:30" ht="14">
      <c r="A487" s="3"/>
      <c r="B487" s="3"/>
      <c r="C487" s="3"/>
      <c r="D487" s="3"/>
      <c r="E487" s="3"/>
      <c r="F487" s="3"/>
      <c r="G487" s="3"/>
      <c r="H487" s="3"/>
      <c r="I487" s="3"/>
      <c r="J487" s="3"/>
      <c r="K487" s="3"/>
      <c r="L487" s="3"/>
      <c r="M487" s="3"/>
      <c r="N487" s="3"/>
      <c r="O487" s="3"/>
      <c r="P487" s="3"/>
      <c r="Q487" s="3"/>
      <c r="R487" s="3"/>
      <c r="S487" s="3"/>
      <c r="T487" s="3"/>
      <c r="U487" s="3"/>
      <c r="V487" s="3"/>
      <c r="W487" s="3"/>
      <c r="X487" s="3"/>
      <c r="Z487" s="3"/>
      <c r="AA487" s="3"/>
      <c r="AB487" s="3"/>
      <c r="AC487" s="3"/>
      <c r="AD487" s="3"/>
    </row>
    <row r="488" spans="1:30" ht="14">
      <c r="A488" s="3"/>
      <c r="B488" s="3"/>
      <c r="C488" s="3"/>
      <c r="D488" s="3"/>
      <c r="E488" s="3"/>
      <c r="F488" s="3"/>
      <c r="G488" s="3"/>
      <c r="H488" s="3"/>
      <c r="I488" s="3"/>
      <c r="J488" s="3"/>
      <c r="K488" s="3"/>
      <c r="L488" s="3"/>
      <c r="M488" s="3"/>
      <c r="N488" s="3"/>
      <c r="O488" s="3"/>
      <c r="P488" s="3"/>
      <c r="Q488" s="3"/>
      <c r="R488" s="3"/>
      <c r="S488" s="3"/>
      <c r="T488" s="3"/>
      <c r="U488" s="3"/>
      <c r="V488" s="3"/>
      <c r="W488" s="3"/>
      <c r="X488" s="3"/>
      <c r="Z488" s="3"/>
      <c r="AA488" s="3"/>
      <c r="AB488" s="3"/>
      <c r="AC488" s="3"/>
      <c r="AD488" s="3"/>
    </row>
    <row r="489" spans="1:30" ht="14">
      <c r="A489" s="3"/>
      <c r="B489" s="3"/>
      <c r="C489" s="3"/>
      <c r="D489" s="3"/>
      <c r="E489" s="3"/>
      <c r="F489" s="3"/>
      <c r="G489" s="3"/>
      <c r="H489" s="3"/>
      <c r="I489" s="3"/>
      <c r="J489" s="3"/>
      <c r="K489" s="3"/>
      <c r="L489" s="3"/>
      <c r="M489" s="3"/>
      <c r="N489" s="3"/>
      <c r="O489" s="3"/>
      <c r="P489" s="3"/>
      <c r="Q489" s="3"/>
      <c r="R489" s="3"/>
      <c r="S489" s="3"/>
      <c r="T489" s="3"/>
      <c r="U489" s="3"/>
      <c r="V489" s="3"/>
      <c r="W489" s="3"/>
      <c r="X489" s="3"/>
      <c r="Z489" s="3"/>
      <c r="AA489" s="3"/>
      <c r="AB489" s="3"/>
      <c r="AC489" s="3"/>
      <c r="AD489" s="3"/>
    </row>
    <row r="490" spans="1:30" ht="14">
      <c r="A490" s="3"/>
      <c r="B490" s="3"/>
      <c r="C490" s="3"/>
      <c r="D490" s="3"/>
      <c r="E490" s="3"/>
      <c r="F490" s="3"/>
      <c r="G490" s="3"/>
      <c r="H490" s="3"/>
      <c r="I490" s="3"/>
      <c r="J490" s="3"/>
      <c r="K490" s="3"/>
      <c r="L490" s="3"/>
      <c r="M490" s="3"/>
      <c r="N490" s="3"/>
      <c r="O490" s="3"/>
      <c r="P490" s="3"/>
      <c r="Q490" s="3"/>
      <c r="R490" s="3"/>
      <c r="S490" s="3"/>
      <c r="T490" s="3"/>
      <c r="U490" s="3"/>
      <c r="V490" s="3"/>
      <c r="W490" s="3"/>
      <c r="X490" s="3"/>
      <c r="Z490" s="3"/>
      <c r="AA490" s="3"/>
      <c r="AB490" s="3"/>
      <c r="AC490" s="3"/>
      <c r="AD490" s="3"/>
    </row>
    <row r="491" spans="1:30" ht="14">
      <c r="A491" s="3"/>
      <c r="B491" s="3"/>
      <c r="C491" s="3"/>
      <c r="D491" s="3"/>
      <c r="E491" s="3"/>
      <c r="F491" s="3"/>
      <c r="G491" s="3"/>
      <c r="H491" s="3"/>
      <c r="I491" s="3"/>
      <c r="J491" s="3"/>
      <c r="K491" s="3"/>
      <c r="L491" s="3"/>
      <c r="M491" s="3"/>
      <c r="N491" s="3"/>
      <c r="O491" s="3"/>
      <c r="P491" s="3"/>
      <c r="Q491" s="3"/>
      <c r="R491" s="3"/>
      <c r="S491" s="3"/>
      <c r="T491" s="3"/>
      <c r="U491" s="3"/>
      <c r="V491" s="3"/>
      <c r="W491" s="3"/>
      <c r="X491" s="3"/>
      <c r="Z491" s="3"/>
      <c r="AA491" s="3"/>
      <c r="AB491" s="3"/>
      <c r="AC491" s="3"/>
      <c r="AD491" s="3"/>
    </row>
    <row r="492" spans="1:30" ht="14">
      <c r="A492" s="3"/>
      <c r="B492" s="3"/>
      <c r="C492" s="3"/>
      <c r="D492" s="3"/>
      <c r="E492" s="3"/>
      <c r="F492" s="3"/>
      <c r="G492" s="3"/>
      <c r="H492" s="3"/>
      <c r="I492" s="3"/>
      <c r="J492" s="3"/>
      <c r="K492" s="3"/>
      <c r="L492" s="3"/>
      <c r="M492" s="3"/>
      <c r="N492" s="3"/>
      <c r="O492" s="3"/>
      <c r="P492" s="3"/>
      <c r="Q492" s="3"/>
      <c r="R492" s="3"/>
      <c r="S492" s="3"/>
      <c r="T492" s="3"/>
      <c r="U492" s="3"/>
      <c r="V492" s="3"/>
      <c r="W492" s="3"/>
      <c r="X492" s="3"/>
      <c r="Z492" s="3"/>
      <c r="AA492" s="3"/>
      <c r="AB492" s="3"/>
      <c r="AC492" s="3"/>
      <c r="AD492" s="3"/>
    </row>
    <row r="493" spans="1:30" ht="14">
      <c r="A493" s="3"/>
      <c r="B493" s="3"/>
      <c r="C493" s="3"/>
      <c r="D493" s="3"/>
      <c r="E493" s="3"/>
      <c r="F493" s="3"/>
      <c r="G493" s="3"/>
      <c r="H493" s="3"/>
      <c r="I493" s="3"/>
      <c r="J493" s="3"/>
      <c r="K493" s="3"/>
      <c r="L493" s="3"/>
      <c r="M493" s="3"/>
      <c r="N493" s="3"/>
      <c r="O493" s="3"/>
      <c r="P493" s="3"/>
      <c r="Q493" s="3"/>
      <c r="R493" s="3"/>
      <c r="S493" s="3"/>
      <c r="T493" s="3"/>
      <c r="U493" s="3"/>
      <c r="V493" s="3"/>
      <c r="W493" s="3"/>
      <c r="X493" s="3"/>
      <c r="Z493" s="3"/>
      <c r="AA493" s="3"/>
      <c r="AB493" s="3"/>
      <c r="AC493" s="3"/>
      <c r="AD493" s="3"/>
    </row>
    <row r="494" spans="1:30" ht="14">
      <c r="A494" s="3"/>
      <c r="B494" s="3"/>
      <c r="C494" s="3"/>
      <c r="D494" s="3"/>
      <c r="E494" s="3"/>
      <c r="F494" s="3"/>
      <c r="G494" s="3"/>
      <c r="H494" s="3"/>
      <c r="I494" s="3"/>
      <c r="J494" s="3"/>
      <c r="K494" s="3"/>
      <c r="L494" s="3"/>
      <c r="M494" s="3"/>
      <c r="N494" s="3"/>
      <c r="O494" s="3"/>
      <c r="P494" s="3"/>
      <c r="Q494" s="3"/>
      <c r="R494" s="3"/>
      <c r="S494" s="3"/>
      <c r="T494" s="3"/>
      <c r="U494" s="3"/>
      <c r="V494" s="3"/>
      <c r="W494" s="3"/>
      <c r="X494" s="3"/>
      <c r="Z494" s="3"/>
      <c r="AA494" s="3"/>
      <c r="AB494" s="3"/>
      <c r="AC494" s="3"/>
      <c r="AD494" s="3"/>
    </row>
    <row r="495" spans="1:30" ht="14">
      <c r="A495" s="3"/>
      <c r="B495" s="3"/>
      <c r="C495" s="3"/>
      <c r="D495" s="3"/>
      <c r="E495" s="3"/>
      <c r="F495" s="3"/>
      <c r="G495" s="3"/>
      <c r="H495" s="3"/>
      <c r="I495" s="3"/>
      <c r="J495" s="3"/>
      <c r="K495" s="3"/>
      <c r="L495" s="3"/>
      <c r="M495" s="3"/>
      <c r="N495" s="3"/>
      <c r="O495" s="3"/>
      <c r="P495" s="3"/>
      <c r="Q495" s="3"/>
      <c r="R495" s="3"/>
      <c r="S495" s="3"/>
      <c r="T495" s="3"/>
      <c r="U495" s="3"/>
      <c r="V495" s="3"/>
      <c r="W495" s="3"/>
      <c r="X495" s="3"/>
      <c r="Z495" s="3"/>
      <c r="AA495" s="3"/>
      <c r="AB495" s="3"/>
      <c r="AC495" s="3"/>
      <c r="AD495" s="3"/>
    </row>
    <row r="496" spans="1:30" ht="14">
      <c r="A496" s="3"/>
      <c r="B496" s="3"/>
      <c r="C496" s="3"/>
      <c r="D496" s="3"/>
      <c r="E496" s="3"/>
      <c r="F496" s="3"/>
      <c r="G496" s="3"/>
      <c r="H496" s="3"/>
      <c r="I496" s="3"/>
      <c r="J496" s="3"/>
      <c r="K496" s="3"/>
      <c r="L496" s="3"/>
      <c r="M496" s="3"/>
      <c r="N496" s="3"/>
      <c r="O496" s="3"/>
      <c r="P496" s="3"/>
      <c r="Q496" s="3"/>
      <c r="R496" s="3"/>
      <c r="S496" s="3"/>
      <c r="T496" s="3"/>
      <c r="U496" s="3"/>
      <c r="V496" s="3"/>
      <c r="W496" s="3"/>
      <c r="X496" s="3"/>
      <c r="Z496" s="3"/>
      <c r="AA496" s="3"/>
      <c r="AB496" s="3"/>
      <c r="AC496" s="3"/>
      <c r="AD496" s="3"/>
    </row>
    <row r="497" spans="1:30" ht="14">
      <c r="A497" s="3"/>
      <c r="B497" s="3"/>
      <c r="C497" s="3"/>
      <c r="D497" s="3"/>
      <c r="E497" s="3"/>
      <c r="F497" s="3"/>
      <c r="G497" s="3"/>
      <c r="H497" s="3"/>
      <c r="I497" s="3"/>
      <c r="J497" s="3"/>
      <c r="K497" s="3"/>
      <c r="L497" s="3"/>
      <c r="M497" s="3"/>
      <c r="N497" s="3"/>
      <c r="O497" s="3"/>
      <c r="P497" s="3"/>
      <c r="Q497" s="3"/>
      <c r="R497" s="3"/>
      <c r="S497" s="3"/>
      <c r="T497" s="3"/>
      <c r="U497" s="3"/>
      <c r="V497" s="3"/>
      <c r="W497" s="3"/>
      <c r="X497" s="3"/>
      <c r="Z497" s="3"/>
      <c r="AA497" s="3"/>
      <c r="AB497" s="3"/>
      <c r="AC497" s="3"/>
      <c r="AD497" s="3"/>
    </row>
    <row r="498" spans="1:30" ht="14">
      <c r="A498" s="3"/>
      <c r="B498" s="3"/>
      <c r="C498" s="3"/>
      <c r="D498" s="3"/>
      <c r="E498" s="3"/>
      <c r="F498" s="3"/>
      <c r="G498" s="3"/>
      <c r="H498" s="3"/>
      <c r="I498" s="3"/>
      <c r="J498" s="3"/>
      <c r="K498" s="3"/>
      <c r="L498" s="3"/>
      <c r="M498" s="3"/>
      <c r="N498" s="3"/>
      <c r="O498" s="3"/>
      <c r="P498" s="3"/>
      <c r="Q498" s="3"/>
      <c r="R498" s="3"/>
      <c r="S498" s="3"/>
      <c r="T498" s="3"/>
      <c r="U498" s="3"/>
      <c r="V498" s="3"/>
      <c r="W498" s="3"/>
      <c r="X498" s="3"/>
      <c r="Z498" s="3"/>
      <c r="AA498" s="3"/>
      <c r="AB498" s="3"/>
      <c r="AC498" s="3"/>
      <c r="AD498" s="3"/>
    </row>
    <row r="499" spans="1:30" ht="14">
      <c r="A499" s="3"/>
      <c r="B499" s="3"/>
      <c r="C499" s="3"/>
      <c r="D499" s="3"/>
      <c r="E499" s="3"/>
      <c r="F499" s="3"/>
      <c r="G499" s="3"/>
      <c r="H499" s="3"/>
      <c r="I499" s="3"/>
      <c r="J499" s="3"/>
      <c r="K499" s="3"/>
      <c r="L499" s="3"/>
      <c r="M499" s="3"/>
      <c r="N499" s="3"/>
      <c r="O499" s="3"/>
      <c r="P499" s="3"/>
      <c r="Q499" s="3"/>
      <c r="R499" s="3"/>
      <c r="S499" s="3"/>
      <c r="T499" s="3"/>
      <c r="U499" s="3"/>
      <c r="V499" s="3"/>
      <c r="W499" s="3"/>
      <c r="X499" s="3"/>
      <c r="Z499" s="3"/>
      <c r="AA499" s="3"/>
      <c r="AB499" s="3"/>
      <c r="AC499" s="3"/>
      <c r="AD499" s="3"/>
    </row>
    <row r="500" spans="1:30" ht="14">
      <c r="A500" s="3"/>
      <c r="B500" s="3"/>
      <c r="C500" s="3"/>
      <c r="D500" s="3"/>
      <c r="E500" s="3"/>
      <c r="F500" s="3"/>
      <c r="G500" s="3"/>
      <c r="H500" s="3"/>
      <c r="I500" s="3"/>
      <c r="J500" s="3"/>
      <c r="K500" s="3"/>
      <c r="L500" s="3"/>
      <c r="M500" s="3"/>
      <c r="N500" s="3"/>
      <c r="O500" s="3"/>
      <c r="P500" s="3"/>
      <c r="Q500" s="3"/>
      <c r="R500" s="3"/>
      <c r="S500" s="3"/>
      <c r="T500" s="3"/>
      <c r="U500" s="3"/>
      <c r="V500" s="3"/>
      <c r="W500" s="3"/>
      <c r="X500" s="3"/>
      <c r="Z500" s="3"/>
      <c r="AA500" s="3"/>
      <c r="AB500" s="3"/>
      <c r="AC500" s="3"/>
      <c r="AD500" s="3"/>
    </row>
    <row r="501" spans="1:30" ht="14">
      <c r="A501" s="3"/>
      <c r="B501" s="3"/>
      <c r="C501" s="3"/>
      <c r="D501" s="3"/>
      <c r="E501" s="3"/>
      <c r="F501" s="3"/>
      <c r="G501" s="3"/>
      <c r="H501" s="3"/>
      <c r="I501" s="3"/>
      <c r="J501" s="3"/>
      <c r="K501" s="3"/>
      <c r="L501" s="3"/>
      <c r="M501" s="3"/>
      <c r="N501" s="3"/>
      <c r="O501" s="3"/>
      <c r="P501" s="3"/>
      <c r="Q501" s="3"/>
      <c r="R501" s="3"/>
      <c r="S501" s="3"/>
      <c r="T501" s="3"/>
      <c r="U501" s="3"/>
      <c r="V501" s="3"/>
      <c r="W501" s="3"/>
      <c r="X501" s="3"/>
      <c r="Z501" s="3"/>
      <c r="AA501" s="3"/>
      <c r="AB501" s="3"/>
      <c r="AC501" s="3"/>
      <c r="AD501" s="3"/>
    </row>
    <row r="502" spans="1:30" ht="14">
      <c r="A502" s="3"/>
      <c r="B502" s="3"/>
      <c r="C502" s="3"/>
      <c r="D502" s="3"/>
      <c r="E502" s="3"/>
      <c r="F502" s="3"/>
      <c r="G502" s="3"/>
      <c r="H502" s="3"/>
      <c r="I502" s="3"/>
      <c r="J502" s="3"/>
      <c r="K502" s="3"/>
      <c r="L502" s="3"/>
      <c r="M502" s="3"/>
      <c r="N502" s="3"/>
      <c r="O502" s="3"/>
      <c r="P502" s="3"/>
      <c r="Q502" s="3"/>
      <c r="R502" s="3"/>
      <c r="S502" s="3"/>
      <c r="T502" s="3"/>
      <c r="U502" s="3"/>
      <c r="V502" s="3"/>
      <c r="W502" s="3"/>
      <c r="X502" s="3"/>
      <c r="Z502" s="3"/>
      <c r="AA502" s="3"/>
      <c r="AB502" s="3"/>
      <c r="AC502" s="3"/>
      <c r="AD502" s="3"/>
    </row>
    <row r="503" spans="1:30" ht="14">
      <c r="A503" s="3"/>
      <c r="B503" s="3"/>
      <c r="C503" s="3"/>
      <c r="D503" s="3"/>
      <c r="E503" s="3"/>
      <c r="F503" s="3"/>
      <c r="G503" s="3"/>
      <c r="H503" s="3"/>
      <c r="I503" s="3"/>
      <c r="J503" s="3"/>
      <c r="K503" s="3"/>
      <c r="L503" s="3"/>
      <c r="M503" s="3"/>
      <c r="N503" s="3"/>
      <c r="O503" s="3"/>
      <c r="P503" s="3"/>
      <c r="Q503" s="3"/>
      <c r="R503" s="3"/>
      <c r="S503" s="3"/>
      <c r="T503" s="3"/>
      <c r="U503" s="3"/>
      <c r="V503" s="3"/>
      <c r="W503" s="3"/>
      <c r="X503" s="3"/>
      <c r="Z503" s="3"/>
      <c r="AA503" s="3"/>
      <c r="AB503" s="3"/>
      <c r="AC503" s="3"/>
      <c r="AD503" s="3"/>
    </row>
    <row r="504" spans="1:30" ht="14">
      <c r="A504" s="3"/>
      <c r="B504" s="3"/>
      <c r="C504" s="3"/>
      <c r="D504" s="3"/>
      <c r="E504" s="3"/>
      <c r="F504" s="3"/>
      <c r="G504" s="3"/>
      <c r="H504" s="3"/>
      <c r="I504" s="3"/>
      <c r="J504" s="3"/>
      <c r="K504" s="3"/>
      <c r="L504" s="3"/>
      <c r="M504" s="3"/>
      <c r="N504" s="3"/>
      <c r="O504" s="3"/>
      <c r="P504" s="3"/>
      <c r="Q504" s="3"/>
      <c r="R504" s="3"/>
      <c r="S504" s="3"/>
      <c r="T504" s="3"/>
      <c r="U504" s="3"/>
      <c r="V504" s="3"/>
      <c r="W504" s="3"/>
      <c r="X504" s="3"/>
      <c r="Z504" s="3"/>
      <c r="AA504" s="3"/>
      <c r="AB504" s="3"/>
      <c r="AC504" s="3"/>
      <c r="AD504" s="3"/>
    </row>
    <row r="505" spans="1:30" ht="14">
      <c r="A505" s="3"/>
      <c r="B505" s="3"/>
      <c r="C505" s="3"/>
      <c r="D505" s="3"/>
      <c r="E505" s="3"/>
      <c r="F505" s="3"/>
      <c r="G505" s="3"/>
      <c r="H505" s="3"/>
      <c r="I505" s="3"/>
      <c r="J505" s="3"/>
      <c r="K505" s="3"/>
      <c r="L505" s="3"/>
      <c r="M505" s="3"/>
      <c r="N505" s="3"/>
      <c r="O505" s="3"/>
      <c r="P505" s="3"/>
      <c r="Q505" s="3"/>
      <c r="R505" s="3"/>
      <c r="S505" s="3"/>
      <c r="T505" s="3"/>
      <c r="U505" s="3"/>
      <c r="V505" s="3"/>
      <c r="W505" s="3"/>
      <c r="X505" s="3"/>
      <c r="Z505" s="3"/>
      <c r="AA505" s="3"/>
      <c r="AB505" s="3"/>
      <c r="AC505" s="3"/>
      <c r="AD505" s="3"/>
    </row>
    <row r="506" spans="1:30" ht="14">
      <c r="A506" s="3"/>
      <c r="B506" s="3"/>
      <c r="C506" s="3"/>
      <c r="D506" s="3"/>
      <c r="E506" s="3"/>
      <c r="F506" s="3"/>
      <c r="G506" s="3"/>
      <c r="H506" s="3"/>
      <c r="I506" s="3"/>
      <c r="J506" s="3"/>
      <c r="K506" s="3"/>
      <c r="L506" s="3"/>
      <c r="M506" s="3"/>
      <c r="N506" s="3"/>
      <c r="O506" s="3"/>
      <c r="P506" s="3"/>
      <c r="Q506" s="3"/>
      <c r="R506" s="3"/>
      <c r="S506" s="3"/>
      <c r="T506" s="3"/>
      <c r="U506" s="3"/>
      <c r="V506" s="3"/>
      <c r="W506" s="3"/>
      <c r="X506" s="3"/>
      <c r="Z506" s="3"/>
      <c r="AA506" s="3"/>
      <c r="AB506" s="3"/>
      <c r="AC506" s="3"/>
      <c r="AD506" s="3"/>
    </row>
    <row r="507" spans="1:30" ht="14">
      <c r="A507" s="3"/>
      <c r="B507" s="3"/>
      <c r="C507" s="3"/>
      <c r="D507" s="3"/>
      <c r="E507" s="3"/>
      <c r="F507" s="3"/>
      <c r="G507" s="3"/>
      <c r="H507" s="3"/>
      <c r="I507" s="3"/>
      <c r="J507" s="3"/>
      <c r="K507" s="3"/>
      <c r="L507" s="3"/>
      <c r="M507" s="3"/>
      <c r="N507" s="3"/>
      <c r="O507" s="3"/>
      <c r="P507" s="3"/>
      <c r="Q507" s="3"/>
      <c r="R507" s="3"/>
      <c r="S507" s="3"/>
      <c r="T507" s="3"/>
      <c r="U507" s="3"/>
      <c r="V507" s="3"/>
      <c r="W507" s="3"/>
      <c r="X507" s="3"/>
      <c r="Z507" s="3"/>
      <c r="AA507" s="3"/>
      <c r="AB507" s="3"/>
      <c r="AC507" s="3"/>
      <c r="AD507" s="3"/>
    </row>
    <row r="508" spans="1:30" ht="14">
      <c r="A508" s="3"/>
      <c r="B508" s="3"/>
      <c r="C508" s="3"/>
      <c r="D508" s="3"/>
      <c r="E508" s="3"/>
      <c r="F508" s="3"/>
      <c r="G508" s="3"/>
      <c r="H508" s="3"/>
      <c r="I508" s="3"/>
      <c r="J508" s="3"/>
      <c r="K508" s="3"/>
      <c r="L508" s="3"/>
      <c r="M508" s="3"/>
      <c r="N508" s="3"/>
      <c r="O508" s="3"/>
      <c r="P508" s="3"/>
      <c r="Q508" s="3"/>
      <c r="R508" s="3"/>
      <c r="S508" s="3"/>
      <c r="T508" s="3"/>
      <c r="U508" s="3"/>
      <c r="V508" s="3"/>
      <c r="W508" s="3"/>
      <c r="X508" s="3"/>
      <c r="Z508" s="3"/>
      <c r="AA508" s="3"/>
      <c r="AB508" s="3"/>
      <c r="AC508" s="3"/>
      <c r="AD508" s="3"/>
    </row>
    <row r="509" spans="1:30" ht="14">
      <c r="A509" s="3"/>
      <c r="B509" s="3"/>
      <c r="C509" s="3"/>
      <c r="D509" s="3"/>
      <c r="E509" s="3"/>
      <c r="F509" s="3"/>
      <c r="G509" s="3"/>
      <c r="H509" s="3"/>
      <c r="I509" s="3"/>
      <c r="J509" s="3"/>
      <c r="K509" s="3"/>
      <c r="L509" s="3"/>
      <c r="M509" s="3"/>
      <c r="N509" s="3"/>
      <c r="O509" s="3"/>
      <c r="P509" s="3"/>
      <c r="Q509" s="3"/>
      <c r="R509" s="3"/>
      <c r="S509" s="3"/>
      <c r="T509" s="3"/>
      <c r="U509" s="3"/>
      <c r="V509" s="3"/>
      <c r="W509" s="3"/>
      <c r="X509" s="3"/>
      <c r="Z509" s="3"/>
      <c r="AA509" s="3"/>
      <c r="AB509" s="3"/>
      <c r="AC509" s="3"/>
      <c r="AD509" s="3"/>
    </row>
    <row r="510" spans="1:30" ht="14">
      <c r="A510" s="3"/>
      <c r="B510" s="3"/>
      <c r="C510" s="3"/>
      <c r="D510" s="3"/>
      <c r="E510" s="3"/>
      <c r="F510" s="3"/>
      <c r="G510" s="3"/>
      <c r="H510" s="3"/>
      <c r="I510" s="3"/>
      <c r="J510" s="3"/>
      <c r="K510" s="3"/>
      <c r="L510" s="3"/>
      <c r="M510" s="3"/>
      <c r="N510" s="3"/>
      <c r="O510" s="3"/>
      <c r="P510" s="3"/>
      <c r="Q510" s="3"/>
      <c r="R510" s="3"/>
      <c r="S510" s="3"/>
      <c r="T510" s="3"/>
      <c r="U510" s="3"/>
      <c r="V510" s="3"/>
      <c r="W510" s="3"/>
      <c r="X510" s="3"/>
      <c r="Z510" s="3"/>
      <c r="AA510" s="3"/>
      <c r="AB510" s="3"/>
      <c r="AC510" s="3"/>
      <c r="AD510" s="3"/>
    </row>
    <row r="511" spans="1:30" ht="14">
      <c r="A511" s="3"/>
      <c r="B511" s="3"/>
      <c r="C511" s="3"/>
      <c r="D511" s="3"/>
      <c r="E511" s="3"/>
      <c r="F511" s="3"/>
      <c r="G511" s="3"/>
      <c r="H511" s="3"/>
      <c r="I511" s="3"/>
      <c r="J511" s="3"/>
      <c r="K511" s="3"/>
      <c r="L511" s="3"/>
      <c r="M511" s="3"/>
      <c r="N511" s="3"/>
      <c r="O511" s="3"/>
      <c r="P511" s="3"/>
      <c r="Q511" s="3"/>
      <c r="R511" s="3"/>
      <c r="S511" s="3"/>
      <c r="T511" s="3"/>
      <c r="U511" s="3"/>
      <c r="V511" s="3"/>
      <c r="W511" s="3"/>
      <c r="X511" s="3"/>
      <c r="Z511" s="3"/>
      <c r="AA511" s="3"/>
      <c r="AB511" s="3"/>
      <c r="AC511" s="3"/>
      <c r="AD511" s="3"/>
    </row>
    <row r="512" spans="1:30" ht="14">
      <c r="A512" s="3"/>
      <c r="B512" s="3"/>
      <c r="C512" s="3"/>
      <c r="D512" s="3"/>
      <c r="E512" s="3"/>
      <c r="F512" s="3"/>
      <c r="G512" s="3"/>
      <c r="H512" s="3"/>
      <c r="I512" s="3"/>
      <c r="J512" s="3"/>
      <c r="K512" s="3"/>
      <c r="L512" s="3"/>
      <c r="M512" s="3"/>
      <c r="N512" s="3"/>
      <c r="O512" s="3"/>
      <c r="P512" s="3"/>
      <c r="Q512" s="3"/>
      <c r="R512" s="3"/>
      <c r="S512" s="3"/>
      <c r="T512" s="3"/>
      <c r="U512" s="3"/>
      <c r="V512" s="3"/>
      <c r="W512" s="3"/>
      <c r="X512" s="3"/>
      <c r="Z512" s="3"/>
      <c r="AA512" s="3"/>
      <c r="AB512" s="3"/>
      <c r="AC512" s="3"/>
      <c r="AD512" s="3"/>
    </row>
    <row r="513" spans="1:30" ht="14">
      <c r="A513" s="3"/>
      <c r="B513" s="3"/>
      <c r="C513" s="3"/>
      <c r="D513" s="3"/>
      <c r="E513" s="3"/>
      <c r="F513" s="3"/>
      <c r="G513" s="3"/>
      <c r="H513" s="3"/>
      <c r="I513" s="3"/>
      <c r="J513" s="3"/>
      <c r="K513" s="3"/>
      <c r="L513" s="3"/>
      <c r="M513" s="3"/>
      <c r="N513" s="3"/>
      <c r="O513" s="3"/>
      <c r="P513" s="3"/>
      <c r="Q513" s="3"/>
      <c r="R513" s="3"/>
      <c r="S513" s="3"/>
      <c r="T513" s="3"/>
      <c r="U513" s="3"/>
      <c r="V513" s="3"/>
      <c r="W513" s="3"/>
      <c r="X513" s="3"/>
      <c r="Z513" s="3"/>
      <c r="AA513" s="3"/>
      <c r="AB513" s="3"/>
      <c r="AC513" s="3"/>
      <c r="AD513" s="3"/>
    </row>
    <row r="514" spans="1:30" ht="14">
      <c r="A514" s="3"/>
      <c r="B514" s="3"/>
      <c r="C514" s="3"/>
      <c r="D514" s="3"/>
      <c r="E514" s="3"/>
      <c r="F514" s="3"/>
      <c r="G514" s="3"/>
      <c r="H514" s="3"/>
      <c r="I514" s="3"/>
      <c r="J514" s="3"/>
      <c r="K514" s="3"/>
      <c r="L514" s="3"/>
      <c r="M514" s="3"/>
      <c r="N514" s="3"/>
      <c r="O514" s="3"/>
      <c r="P514" s="3"/>
      <c r="Q514" s="3"/>
      <c r="R514" s="3"/>
      <c r="S514" s="3"/>
      <c r="T514" s="3"/>
      <c r="U514" s="3"/>
      <c r="V514" s="3"/>
      <c r="W514" s="3"/>
      <c r="X514" s="3"/>
      <c r="Z514" s="3"/>
      <c r="AA514" s="3"/>
      <c r="AB514" s="3"/>
      <c r="AC514" s="3"/>
      <c r="AD514" s="3"/>
    </row>
    <row r="515" spans="1:30" ht="14">
      <c r="A515" s="3"/>
      <c r="B515" s="3"/>
      <c r="C515" s="3"/>
      <c r="D515" s="3"/>
      <c r="E515" s="3"/>
      <c r="F515" s="3"/>
      <c r="G515" s="3"/>
      <c r="H515" s="3"/>
      <c r="I515" s="3"/>
      <c r="J515" s="3"/>
      <c r="K515" s="3"/>
      <c r="L515" s="3"/>
      <c r="M515" s="3"/>
      <c r="N515" s="3"/>
      <c r="O515" s="3"/>
      <c r="P515" s="3"/>
      <c r="Q515" s="3"/>
      <c r="R515" s="3"/>
      <c r="S515" s="3"/>
      <c r="T515" s="3"/>
      <c r="U515" s="3"/>
      <c r="V515" s="3"/>
      <c r="W515" s="3"/>
      <c r="X515" s="3"/>
      <c r="Z515" s="3"/>
      <c r="AA515" s="3"/>
      <c r="AB515" s="3"/>
      <c r="AC515" s="3"/>
      <c r="AD515" s="3"/>
    </row>
    <row r="516" spans="1:30" ht="14">
      <c r="A516" s="3"/>
      <c r="B516" s="3"/>
      <c r="C516" s="3"/>
      <c r="D516" s="3"/>
      <c r="E516" s="3"/>
      <c r="F516" s="3"/>
      <c r="G516" s="3"/>
      <c r="H516" s="3"/>
      <c r="I516" s="3"/>
      <c r="J516" s="3"/>
      <c r="K516" s="3"/>
      <c r="L516" s="3"/>
      <c r="M516" s="3"/>
      <c r="N516" s="3"/>
      <c r="O516" s="3"/>
      <c r="P516" s="3"/>
      <c r="Q516" s="3"/>
      <c r="R516" s="3"/>
      <c r="S516" s="3"/>
      <c r="T516" s="3"/>
      <c r="U516" s="3"/>
      <c r="V516" s="3"/>
      <c r="W516" s="3"/>
      <c r="X516" s="3"/>
      <c r="Z516" s="3"/>
      <c r="AA516" s="3"/>
      <c r="AB516" s="3"/>
      <c r="AC516" s="3"/>
      <c r="AD516" s="3"/>
    </row>
    <row r="517" spans="1:30" ht="14">
      <c r="A517" s="3"/>
      <c r="B517" s="3"/>
      <c r="C517" s="3"/>
      <c r="D517" s="3"/>
      <c r="E517" s="3"/>
      <c r="F517" s="3"/>
      <c r="G517" s="3"/>
      <c r="H517" s="3"/>
      <c r="I517" s="3"/>
      <c r="J517" s="3"/>
      <c r="K517" s="3"/>
      <c r="L517" s="3"/>
      <c r="M517" s="3"/>
      <c r="N517" s="3"/>
      <c r="O517" s="3"/>
      <c r="P517" s="3"/>
      <c r="Q517" s="3"/>
      <c r="R517" s="3"/>
      <c r="S517" s="3"/>
      <c r="T517" s="3"/>
      <c r="U517" s="3"/>
      <c r="V517" s="3"/>
      <c r="W517" s="3"/>
      <c r="X517" s="3"/>
      <c r="Z517" s="3"/>
      <c r="AA517" s="3"/>
      <c r="AB517" s="3"/>
      <c r="AC517" s="3"/>
      <c r="AD517" s="3"/>
    </row>
    <row r="518" spans="1:30" ht="14">
      <c r="A518" s="3"/>
      <c r="B518" s="3"/>
      <c r="C518" s="3"/>
      <c r="D518" s="3"/>
      <c r="E518" s="3"/>
      <c r="F518" s="3"/>
      <c r="G518" s="3"/>
      <c r="H518" s="3"/>
      <c r="I518" s="3"/>
      <c r="J518" s="3"/>
      <c r="K518" s="3"/>
      <c r="L518" s="3"/>
      <c r="M518" s="3"/>
      <c r="N518" s="3"/>
      <c r="O518" s="3"/>
      <c r="P518" s="3"/>
      <c r="Q518" s="3"/>
      <c r="R518" s="3"/>
      <c r="S518" s="3"/>
      <c r="T518" s="3"/>
      <c r="U518" s="3"/>
      <c r="V518" s="3"/>
      <c r="W518" s="3"/>
      <c r="X518" s="3"/>
      <c r="Z518" s="3"/>
      <c r="AA518" s="3"/>
      <c r="AB518" s="3"/>
      <c r="AC518" s="3"/>
      <c r="AD518" s="3"/>
    </row>
    <row r="519" spans="1:30" ht="14">
      <c r="A519" s="3"/>
      <c r="B519" s="3"/>
      <c r="C519" s="3"/>
      <c r="D519" s="3"/>
      <c r="E519" s="3"/>
      <c r="F519" s="3"/>
      <c r="G519" s="3"/>
      <c r="H519" s="3"/>
      <c r="I519" s="3"/>
      <c r="J519" s="3"/>
      <c r="K519" s="3"/>
      <c r="L519" s="3"/>
      <c r="M519" s="3"/>
      <c r="N519" s="3"/>
      <c r="O519" s="3"/>
      <c r="P519" s="3"/>
      <c r="Q519" s="3"/>
      <c r="R519" s="3"/>
      <c r="S519" s="3"/>
      <c r="T519" s="3"/>
      <c r="U519" s="3"/>
      <c r="V519" s="3"/>
      <c r="W519" s="3"/>
      <c r="X519" s="3"/>
      <c r="Z519" s="3"/>
      <c r="AA519" s="3"/>
      <c r="AB519" s="3"/>
      <c r="AC519" s="3"/>
      <c r="AD519" s="3"/>
    </row>
    <row r="520" spans="1:30" ht="14">
      <c r="A520" s="3"/>
      <c r="B520" s="3"/>
      <c r="C520" s="3"/>
      <c r="D520" s="3"/>
      <c r="E520" s="3"/>
      <c r="F520" s="3"/>
      <c r="G520" s="3"/>
      <c r="H520" s="3"/>
      <c r="I520" s="3"/>
      <c r="J520" s="3"/>
      <c r="K520" s="3"/>
      <c r="L520" s="3"/>
      <c r="M520" s="3"/>
      <c r="N520" s="3"/>
      <c r="O520" s="3"/>
      <c r="P520" s="3"/>
      <c r="Q520" s="3"/>
      <c r="R520" s="3"/>
      <c r="S520" s="3"/>
      <c r="T520" s="3"/>
      <c r="U520" s="3"/>
      <c r="V520" s="3"/>
      <c r="W520" s="3"/>
      <c r="X520" s="3"/>
      <c r="Z520" s="3"/>
      <c r="AA520" s="3"/>
      <c r="AB520" s="3"/>
      <c r="AC520" s="3"/>
      <c r="AD520" s="3"/>
    </row>
    <row r="521" spans="1:30" ht="14">
      <c r="A521" s="3"/>
      <c r="B521" s="3"/>
      <c r="C521" s="3"/>
      <c r="D521" s="3"/>
      <c r="E521" s="3"/>
      <c r="F521" s="3"/>
      <c r="G521" s="3"/>
      <c r="H521" s="3"/>
      <c r="I521" s="3"/>
      <c r="J521" s="3"/>
      <c r="K521" s="3"/>
      <c r="L521" s="3"/>
      <c r="M521" s="3"/>
      <c r="N521" s="3"/>
      <c r="O521" s="3"/>
      <c r="P521" s="3"/>
      <c r="Q521" s="3"/>
      <c r="R521" s="3"/>
      <c r="S521" s="3"/>
      <c r="T521" s="3"/>
      <c r="U521" s="3"/>
      <c r="V521" s="3"/>
      <c r="W521" s="3"/>
      <c r="X521" s="3"/>
      <c r="Z521" s="3"/>
      <c r="AA521" s="3"/>
      <c r="AB521" s="3"/>
      <c r="AC521" s="3"/>
      <c r="AD521" s="3"/>
    </row>
    <row r="522" spans="1:30" ht="14">
      <c r="A522" s="3"/>
      <c r="B522" s="3"/>
      <c r="C522" s="3"/>
      <c r="D522" s="3"/>
      <c r="E522" s="3"/>
      <c r="F522" s="3"/>
      <c r="G522" s="3"/>
      <c r="H522" s="3"/>
      <c r="I522" s="3"/>
      <c r="J522" s="3"/>
      <c r="K522" s="3"/>
      <c r="L522" s="3"/>
      <c r="M522" s="3"/>
      <c r="N522" s="3"/>
      <c r="O522" s="3"/>
      <c r="P522" s="3"/>
      <c r="Q522" s="3"/>
      <c r="R522" s="3"/>
      <c r="S522" s="3"/>
      <c r="T522" s="3"/>
      <c r="U522" s="3"/>
      <c r="V522" s="3"/>
      <c r="W522" s="3"/>
      <c r="X522" s="3"/>
      <c r="Z522" s="3"/>
      <c r="AA522" s="3"/>
      <c r="AB522" s="3"/>
      <c r="AC522" s="3"/>
      <c r="AD522" s="3"/>
    </row>
    <row r="523" spans="1:30" ht="14">
      <c r="A523" s="3"/>
      <c r="B523" s="3"/>
      <c r="C523" s="3"/>
      <c r="D523" s="3"/>
      <c r="E523" s="3"/>
      <c r="F523" s="3"/>
      <c r="G523" s="3"/>
      <c r="H523" s="3"/>
      <c r="I523" s="3"/>
      <c r="J523" s="3"/>
      <c r="K523" s="3"/>
      <c r="L523" s="3"/>
      <c r="M523" s="3"/>
      <c r="N523" s="3"/>
      <c r="O523" s="3"/>
      <c r="P523" s="3"/>
      <c r="Q523" s="3"/>
      <c r="R523" s="3"/>
      <c r="S523" s="3"/>
      <c r="T523" s="3"/>
      <c r="U523" s="3"/>
      <c r="V523" s="3"/>
      <c r="W523" s="3"/>
      <c r="X523" s="3"/>
      <c r="Z523" s="3"/>
      <c r="AA523" s="3"/>
      <c r="AB523" s="3"/>
      <c r="AC523" s="3"/>
      <c r="AD523" s="3"/>
    </row>
    <row r="524" spans="1:30" ht="14">
      <c r="A524" s="3"/>
      <c r="B524" s="3"/>
      <c r="C524" s="3"/>
      <c r="D524" s="3"/>
      <c r="E524" s="3"/>
      <c r="F524" s="3"/>
      <c r="G524" s="3"/>
      <c r="H524" s="3"/>
      <c r="I524" s="3"/>
      <c r="J524" s="3"/>
      <c r="K524" s="3"/>
      <c r="L524" s="3"/>
      <c r="M524" s="3"/>
      <c r="N524" s="3"/>
      <c r="O524" s="3"/>
      <c r="P524" s="3"/>
      <c r="Q524" s="3"/>
      <c r="R524" s="3"/>
      <c r="S524" s="3"/>
      <c r="T524" s="3"/>
      <c r="U524" s="3"/>
      <c r="V524" s="3"/>
      <c r="W524" s="3"/>
      <c r="X524" s="3"/>
      <c r="Z524" s="3"/>
      <c r="AA524" s="3"/>
      <c r="AB524" s="3"/>
      <c r="AC524" s="3"/>
      <c r="AD524" s="3"/>
    </row>
    <row r="525" spans="1:30" ht="14">
      <c r="A525" s="3"/>
      <c r="B525" s="3"/>
      <c r="C525" s="3"/>
      <c r="D525" s="3"/>
      <c r="E525" s="3"/>
      <c r="F525" s="3"/>
      <c r="G525" s="3"/>
      <c r="H525" s="3"/>
      <c r="I525" s="3"/>
      <c r="J525" s="3"/>
      <c r="K525" s="3"/>
      <c r="L525" s="3"/>
      <c r="M525" s="3"/>
      <c r="N525" s="3"/>
      <c r="O525" s="3"/>
      <c r="P525" s="3"/>
      <c r="Q525" s="3"/>
      <c r="R525" s="3"/>
      <c r="S525" s="3"/>
      <c r="T525" s="3"/>
      <c r="U525" s="3"/>
      <c r="V525" s="3"/>
      <c r="W525" s="3"/>
      <c r="X525" s="3"/>
      <c r="Z525" s="3"/>
      <c r="AA525" s="3"/>
      <c r="AB525" s="3"/>
      <c r="AC525" s="3"/>
      <c r="AD525" s="3"/>
    </row>
    <row r="526" spans="1:30" ht="14">
      <c r="A526" s="3"/>
      <c r="B526" s="3"/>
      <c r="C526" s="3"/>
      <c r="D526" s="3"/>
      <c r="E526" s="3"/>
      <c r="F526" s="3"/>
      <c r="G526" s="3"/>
      <c r="H526" s="3"/>
      <c r="I526" s="3"/>
      <c r="J526" s="3"/>
      <c r="K526" s="3"/>
      <c r="L526" s="3"/>
      <c r="M526" s="3"/>
      <c r="N526" s="3"/>
      <c r="O526" s="3"/>
      <c r="P526" s="3"/>
      <c r="Q526" s="3"/>
      <c r="R526" s="3"/>
      <c r="S526" s="3"/>
      <c r="T526" s="3"/>
      <c r="U526" s="3"/>
      <c r="V526" s="3"/>
      <c r="W526" s="3"/>
      <c r="X526" s="3"/>
      <c r="Z526" s="3"/>
      <c r="AA526" s="3"/>
      <c r="AB526" s="3"/>
      <c r="AC526" s="3"/>
      <c r="AD526" s="3"/>
    </row>
    <row r="527" spans="1:30" ht="14">
      <c r="A527" s="3"/>
      <c r="B527" s="3"/>
      <c r="C527" s="3"/>
      <c r="D527" s="3"/>
      <c r="E527" s="3"/>
      <c r="F527" s="3"/>
      <c r="G527" s="3"/>
      <c r="H527" s="3"/>
      <c r="I527" s="3"/>
      <c r="J527" s="3"/>
      <c r="K527" s="3"/>
      <c r="L527" s="3"/>
      <c r="M527" s="3"/>
      <c r="N527" s="3"/>
      <c r="O527" s="3"/>
      <c r="P527" s="3"/>
      <c r="Q527" s="3"/>
      <c r="R527" s="3"/>
      <c r="S527" s="3"/>
      <c r="T527" s="3"/>
      <c r="U527" s="3"/>
      <c r="V527" s="3"/>
      <c r="W527" s="3"/>
      <c r="X527" s="3"/>
      <c r="Z527" s="3"/>
      <c r="AA527" s="3"/>
      <c r="AB527" s="3"/>
      <c r="AC527" s="3"/>
      <c r="AD527" s="3"/>
    </row>
    <row r="528" spans="1:30" ht="14">
      <c r="A528" s="3"/>
      <c r="B528" s="3"/>
      <c r="C528" s="3"/>
      <c r="D528" s="3"/>
      <c r="E528" s="3"/>
      <c r="F528" s="3"/>
      <c r="G528" s="3"/>
      <c r="H528" s="3"/>
      <c r="I528" s="3"/>
      <c r="J528" s="3"/>
      <c r="K528" s="3"/>
      <c r="L528" s="3"/>
      <c r="M528" s="3"/>
      <c r="N528" s="3"/>
      <c r="O528" s="3"/>
      <c r="P528" s="3"/>
      <c r="Q528" s="3"/>
      <c r="R528" s="3"/>
      <c r="S528" s="3"/>
      <c r="T528" s="3"/>
      <c r="U528" s="3"/>
      <c r="V528" s="3"/>
      <c r="W528" s="3"/>
      <c r="X528" s="3"/>
      <c r="Z528" s="3"/>
      <c r="AA528" s="3"/>
      <c r="AB528" s="3"/>
      <c r="AC528" s="3"/>
      <c r="AD528" s="3"/>
    </row>
    <row r="529" spans="1:30" ht="14">
      <c r="A529" s="3"/>
      <c r="B529" s="3"/>
      <c r="C529" s="3"/>
      <c r="D529" s="3"/>
      <c r="E529" s="3"/>
      <c r="F529" s="3"/>
      <c r="G529" s="3"/>
      <c r="H529" s="3"/>
      <c r="I529" s="3"/>
      <c r="J529" s="3"/>
      <c r="K529" s="3"/>
      <c r="L529" s="3"/>
      <c r="M529" s="3"/>
      <c r="N529" s="3"/>
      <c r="O529" s="3"/>
      <c r="P529" s="3"/>
      <c r="Q529" s="3"/>
      <c r="R529" s="3"/>
      <c r="S529" s="3"/>
      <c r="T529" s="3"/>
      <c r="U529" s="3"/>
      <c r="V529" s="3"/>
      <c r="W529" s="3"/>
      <c r="X529" s="3"/>
      <c r="Z529" s="3"/>
      <c r="AA529" s="3"/>
      <c r="AB529" s="3"/>
      <c r="AC529" s="3"/>
      <c r="AD529" s="3"/>
    </row>
    <row r="530" spans="1:30" ht="14">
      <c r="A530" s="3"/>
      <c r="B530" s="3"/>
      <c r="C530" s="3"/>
      <c r="D530" s="3"/>
      <c r="E530" s="3"/>
      <c r="F530" s="3"/>
      <c r="G530" s="3"/>
      <c r="H530" s="3"/>
      <c r="I530" s="3"/>
      <c r="J530" s="3"/>
      <c r="K530" s="3"/>
      <c r="L530" s="3"/>
      <c r="M530" s="3"/>
      <c r="N530" s="3"/>
      <c r="O530" s="3"/>
      <c r="P530" s="3"/>
      <c r="Q530" s="3"/>
      <c r="R530" s="3"/>
      <c r="S530" s="3"/>
      <c r="T530" s="3"/>
      <c r="U530" s="3"/>
      <c r="V530" s="3"/>
      <c r="W530" s="3"/>
      <c r="X530" s="3"/>
      <c r="Z530" s="3"/>
      <c r="AA530" s="3"/>
      <c r="AB530" s="3"/>
      <c r="AC530" s="3"/>
      <c r="AD530" s="3"/>
    </row>
    <row r="531" spans="1:30" ht="14">
      <c r="A531" s="3"/>
      <c r="B531" s="3"/>
      <c r="C531" s="3"/>
      <c r="D531" s="3"/>
      <c r="E531" s="3"/>
      <c r="F531" s="3"/>
      <c r="G531" s="3"/>
      <c r="H531" s="3"/>
      <c r="I531" s="3"/>
      <c r="J531" s="3"/>
      <c r="K531" s="3"/>
      <c r="L531" s="3"/>
      <c r="M531" s="3"/>
      <c r="N531" s="3"/>
      <c r="O531" s="3"/>
      <c r="P531" s="3"/>
      <c r="Q531" s="3"/>
      <c r="R531" s="3"/>
      <c r="S531" s="3"/>
      <c r="T531" s="3"/>
      <c r="U531" s="3"/>
      <c r="V531" s="3"/>
      <c r="W531" s="3"/>
      <c r="X531" s="3"/>
      <c r="Z531" s="3"/>
      <c r="AA531" s="3"/>
      <c r="AB531" s="3"/>
      <c r="AC531" s="3"/>
      <c r="AD531" s="3"/>
    </row>
    <row r="532" spans="1:30" ht="14">
      <c r="A532" s="3"/>
      <c r="B532" s="3"/>
      <c r="C532" s="3"/>
      <c r="D532" s="3"/>
      <c r="E532" s="3"/>
      <c r="F532" s="3"/>
      <c r="G532" s="3"/>
      <c r="H532" s="3"/>
      <c r="I532" s="3"/>
      <c r="J532" s="3"/>
      <c r="K532" s="3"/>
      <c r="L532" s="3"/>
      <c r="M532" s="3"/>
      <c r="N532" s="3"/>
      <c r="O532" s="3"/>
      <c r="P532" s="3"/>
      <c r="Q532" s="3"/>
      <c r="R532" s="3"/>
      <c r="S532" s="3"/>
      <c r="T532" s="3"/>
      <c r="U532" s="3"/>
      <c r="V532" s="3"/>
      <c r="W532" s="3"/>
      <c r="X532" s="3"/>
      <c r="Z532" s="3"/>
      <c r="AA532" s="3"/>
      <c r="AB532" s="3"/>
      <c r="AC532" s="3"/>
      <c r="AD532" s="3"/>
    </row>
    <row r="533" spans="1:30" ht="14">
      <c r="A533" s="3"/>
      <c r="B533" s="3"/>
      <c r="C533" s="3"/>
      <c r="D533" s="3"/>
      <c r="E533" s="3"/>
      <c r="F533" s="3"/>
      <c r="G533" s="3"/>
      <c r="H533" s="3"/>
      <c r="I533" s="3"/>
      <c r="J533" s="3"/>
      <c r="K533" s="3"/>
      <c r="L533" s="3"/>
      <c r="M533" s="3"/>
      <c r="N533" s="3"/>
      <c r="O533" s="3"/>
      <c r="P533" s="3"/>
      <c r="Q533" s="3"/>
      <c r="R533" s="3"/>
      <c r="S533" s="3"/>
      <c r="T533" s="3"/>
      <c r="U533" s="3"/>
      <c r="V533" s="3"/>
      <c r="W533" s="3"/>
      <c r="X533" s="3"/>
      <c r="Z533" s="3"/>
      <c r="AA533" s="3"/>
      <c r="AB533" s="3"/>
      <c r="AC533" s="3"/>
      <c r="AD533" s="3"/>
    </row>
    <row r="534" spans="1:30" ht="14">
      <c r="A534" s="3"/>
      <c r="B534" s="3"/>
      <c r="C534" s="3"/>
      <c r="D534" s="3"/>
      <c r="E534" s="3"/>
      <c r="F534" s="3"/>
      <c r="G534" s="3"/>
      <c r="H534" s="3"/>
      <c r="I534" s="3"/>
      <c r="J534" s="3"/>
      <c r="K534" s="3"/>
      <c r="L534" s="3"/>
      <c r="M534" s="3"/>
      <c r="N534" s="3"/>
      <c r="O534" s="3"/>
      <c r="P534" s="3"/>
      <c r="Q534" s="3"/>
      <c r="R534" s="3"/>
      <c r="S534" s="3"/>
      <c r="T534" s="3"/>
      <c r="U534" s="3"/>
      <c r="V534" s="3"/>
      <c r="W534" s="3"/>
      <c r="X534" s="3"/>
      <c r="Z534" s="3"/>
      <c r="AA534" s="3"/>
      <c r="AB534" s="3"/>
      <c r="AC534" s="3"/>
      <c r="AD534" s="3"/>
    </row>
    <row r="535" spans="1:30" ht="14">
      <c r="A535" s="3"/>
      <c r="B535" s="3"/>
      <c r="C535" s="3"/>
      <c r="D535" s="3"/>
      <c r="E535" s="3"/>
      <c r="F535" s="3"/>
      <c r="G535" s="3"/>
      <c r="H535" s="3"/>
      <c r="I535" s="3"/>
      <c r="J535" s="3"/>
      <c r="K535" s="3"/>
      <c r="L535" s="3"/>
      <c r="M535" s="3"/>
      <c r="N535" s="3"/>
      <c r="O535" s="3"/>
      <c r="P535" s="3"/>
      <c r="Q535" s="3"/>
      <c r="R535" s="3"/>
      <c r="S535" s="3"/>
      <c r="T535" s="3"/>
      <c r="U535" s="3"/>
      <c r="V535" s="3"/>
      <c r="W535" s="3"/>
      <c r="X535" s="3"/>
      <c r="Z535" s="3"/>
      <c r="AA535" s="3"/>
      <c r="AB535" s="3"/>
      <c r="AC535" s="3"/>
      <c r="AD535" s="3"/>
    </row>
    <row r="536" spans="1:30" ht="14">
      <c r="A536" s="3"/>
      <c r="B536" s="3"/>
      <c r="C536" s="3"/>
      <c r="D536" s="3"/>
      <c r="E536" s="3"/>
      <c r="F536" s="3"/>
      <c r="G536" s="3"/>
      <c r="H536" s="3"/>
      <c r="I536" s="3"/>
      <c r="J536" s="3"/>
      <c r="K536" s="3"/>
      <c r="L536" s="3"/>
      <c r="M536" s="3"/>
      <c r="N536" s="3"/>
      <c r="O536" s="3"/>
      <c r="P536" s="3"/>
      <c r="Q536" s="3"/>
      <c r="R536" s="3"/>
      <c r="S536" s="3"/>
      <c r="T536" s="3"/>
      <c r="U536" s="3"/>
      <c r="V536" s="3"/>
      <c r="W536" s="3"/>
      <c r="X536" s="3"/>
      <c r="Z536" s="3"/>
      <c r="AA536" s="3"/>
      <c r="AB536" s="3"/>
      <c r="AC536" s="3"/>
      <c r="AD536" s="3"/>
    </row>
    <row r="537" spans="1:30" ht="14">
      <c r="A537" s="3"/>
      <c r="B537" s="3"/>
      <c r="C537" s="3"/>
      <c r="D537" s="3"/>
      <c r="E537" s="3"/>
      <c r="F537" s="3"/>
      <c r="G537" s="3"/>
      <c r="H537" s="3"/>
      <c r="I537" s="3"/>
      <c r="J537" s="3"/>
      <c r="K537" s="3"/>
      <c r="L537" s="3"/>
      <c r="M537" s="3"/>
      <c r="N537" s="3"/>
      <c r="O537" s="3"/>
      <c r="P537" s="3"/>
      <c r="Q537" s="3"/>
      <c r="R537" s="3"/>
      <c r="S537" s="3"/>
      <c r="T537" s="3"/>
      <c r="U537" s="3"/>
      <c r="V537" s="3"/>
      <c r="W537" s="3"/>
      <c r="X537" s="3"/>
      <c r="Z537" s="3"/>
      <c r="AA537" s="3"/>
      <c r="AB537" s="3"/>
      <c r="AC537" s="3"/>
      <c r="AD537" s="3"/>
    </row>
    <row r="538" spans="1:30" ht="14">
      <c r="A538" s="3"/>
      <c r="B538" s="3"/>
      <c r="C538" s="3"/>
      <c r="D538" s="3"/>
      <c r="E538" s="3"/>
      <c r="F538" s="3"/>
      <c r="G538" s="3"/>
      <c r="H538" s="3"/>
      <c r="I538" s="3"/>
      <c r="J538" s="3"/>
      <c r="K538" s="3"/>
      <c r="L538" s="3"/>
      <c r="M538" s="3"/>
      <c r="N538" s="3"/>
      <c r="O538" s="3"/>
      <c r="P538" s="3"/>
      <c r="Q538" s="3"/>
      <c r="R538" s="3"/>
      <c r="S538" s="3"/>
      <c r="T538" s="3"/>
      <c r="U538" s="3"/>
      <c r="V538" s="3"/>
      <c r="W538" s="3"/>
      <c r="X538" s="3"/>
      <c r="Z538" s="3"/>
      <c r="AA538" s="3"/>
      <c r="AB538" s="3"/>
      <c r="AC538" s="3"/>
      <c r="AD538" s="3"/>
    </row>
    <row r="539" spans="1:30" ht="14">
      <c r="A539" s="3"/>
      <c r="B539" s="3"/>
      <c r="C539" s="3"/>
      <c r="D539" s="3"/>
      <c r="E539" s="3"/>
      <c r="F539" s="3"/>
      <c r="G539" s="3"/>
      <c r="H539" s="3"/>
      <c r="I539" s="3"/>
      <c r="J539" s="3"/>
      <c r="K539" s="3"/>
      <c r="L539" s="3"/>
      <c r="M539" s="3"/>
      <c r="N539" s="3"/>
      <c r="O539" s="3"/>
      <c r="P539" s="3"/>
      <c r="Q539" s="3"/>
      <c r="R539" s="3"/>
      <c r="S539" s="3"/>
      <c r="T539" s="3"/>
      <c r="U539" s="3"/>
      <c r="V539" s="3"/>
      <c r="W539" s="3"/>
      <c r="X539" s="3"/>
      <c r="Z539" s="3"/>
      <c r="AA539" s="3"/>
      <c r="AB539" s="3"/>
      <c r="AC539" s="3"/>
      <c r="AD539" s="3"/>
    </row>
    <row r="540" spans="1:30" ht="14">
      <c r="A540" s="3"/>
      <c r="B540" s="3"/>
      <c r="C540" s="3"/>
      <c r="D540" s="3"/>
      <c r="E540" s="3"/>
      <c r="F540" s="3"/>
      <c r="G540" s="3"/>
      <c r="H540" s="3"/>
      <c r="I540" s="3"/>
      <c r="J540" s="3"/>
      <c r="K540" s="3"/>
      <c r="L540" s="3"/>
      <c r="M540" s="3"/>
      <c r="N540" s="3"/>
      <c r="O540" s="3"/>
      <c r="P540" s="3"/>
      <c r="Q540" s="3"/>
      <c r="R540" s="3"/>
      <c r="S540" s="3"/>
      <c r="T540" s="3"/>
      <c r="U540" s="3"/>
      <c r="V540" s="3"/>
      <c r="W540" s="3"/>
      <c r="X540" s="3"/>
      <c r="Z540" s="3"/>
      <c r="AA540" s="3"/>
      <c r="AB540" s="3"/>
      <c r="AC540" s="3"/>
      <c r="AD540" s="3"/>
    </row>
    <row r="541" spans="1:30" ht="14">
      <c r="A541" s="3"/>
      <c r="B541" s="3"/>
      <c r="C541" s="3"/>
      <c r="D541" s="3"/>
      <c r="E541" s="3"/>
      <c r="F541" s="3"/>
      <c r="G541" s="3"/>
      <c r="H541" s="3"/>
      <c r="I541" s="3"/>
      <c r="J541" s="3"/>
      <c r="K541" s="3"/>
      <c r="L541" s="3"/>
      <c r="M541" s="3"/>
      <c r="N541" s="3"/>
      <c r="O541" s="3"/>
      <c r="P541" s="3"/>
      <c r="Q541" s="3"/>
      <c r="R541" s="3"/>
      <c r="S541" s="3"/>
      <c r="T541" s="3"/>
      <c r="U541" s="3"/>
      <c r="V541" s="3"/>
      <c r="W541" s="3"/>
      <c r="X541" s="3"/>
      <c r="Z541" s="3"/>
      <c r="AA541" s="3"/>
      <c r="AB541" s="3"/>
      <c r="AC541" s="3"/>
      <c r="AD541" s="3"/>
    </row>
    <row r="542" spans="1:30" ht="14">
      <c r="A542" s="3"/>
      <c r="B542" s="3"/>
      <c r="C542" s="3"/>
      <c r="D542" s="3"/>
      <c r="E542" s="3"/>
      <c r="F542" s="3"/>
      <c r="G542" s="3"/>
      <c r="H542" s="3"/>
      <c r="I542" s="3"/>
      <c r="J542" s="3"/>
      <c r="K542" s="3"/>
      <c r="L542" s="3"/>
      <c r="M542" s="3"/>
      <c r="N542" s="3"/>
      <c r="O542" s="3"/>
      <c r="P542" s="3"/>
      <c r="Q542" s="3"/>
      <c r="R542" s="3"/>
      <c r="S542" s="3"/>
      <c r="T542" s="3"/>
      <c r="U542" s="3"/>
      <c r="V542" s="3"/>
      <c r="W542" s="3"/>
      <c r="X542" s="3"/>
      <c r="Z542" s="3"/>
      <c r="AA542" s="3"/>
      <c r="AB542" s="3"/>
      <c r="AC542" s="3"/>
      <c r="AD542" s="3"/>
    </row>
    <row r="543" spans="1:30" ht="14">
      <c r="A543" s="3"/>
      <c r="B543" s="3"/>
      <c r="C543" s="3"/>
      <c r="D543" s="3"/>
      <c r="E543" s="3"/>
      <c r="F543" s="3"/>
      <c r="G543" s="3"/>
      <c r="H543" s="3"/>
      <c r="I543" s="3"/>
      <c r="J543" s="3"/>
      <c r="K543" s="3"/>
      <c r="L543" s="3"/>
      <c r="M543" s="3"/>
      <c r="N543" s="3"/>
      <c r="O543" s="3"/>
      <c r="P543" s="3"/>
      <c r="Q543" s="3"/>
      <c r="R543" s="3"/>
      <c r="S543" s="3"/>
      <c r="T543" s="3"/>
      <c r="U543" s="3"/>
      <c r="V543" s="3"/>
      <c r="W543" s="3"/>
      <c r="X543" s="3"/>
      <c r="Z543" s="3"/>
      <c r="AA543" s="3"/>
      <c r="AB543" s="3"/>
      <c r="AC543" s="3"/>
      <c r="AD543" s="3"/>
    </row>
    <row r="544" spans="1:30" ht="14">
      <c r="A544" s="3"/>
      <c r="B544" s="3"/>
      <c r="C544" s="3"/>
      <c r="D544" s="3"/>
      <c r="E544" s="3"/>
      <c r="F544" s="3"/>
      <c r="G544" s="3"/>
      <c r="H544" s="3"/>
      <c r="I544" s="3"/>
      <c r="J544" s="3"/>
      <c r="K544" s="3"/>
      <c r="L544" s="3"/>
      <c r="M544" s="3"/>
      <c r="N544" s="3"/>
      <c r="O544" s="3"/>
      <c r="P544" s="3"/>
      <c r="Q544" s="3"/>
      <c r="R544" s="3"/>
      <c r="S544" s="3"/>
      <c r="T544" s="3"/>
      <c r="U544" s="3"/>
      <c r="V544" s="3"/>
      <c r="W544" s="3"/>
      <c r="X544" s="3"/>
      <c r="Z544" s="3"/>
      <c r="AA544" s="3"/>
      <c r="AB544" s="3"/>
      <c r="AC544" s="3"/>
      <c r="AD544" s="3"/>
    </row>
    <row r="545" spans="1:30" ht="14">
      <c r="A545" s="3"/>
      <c r="B545" s="3"/>
      <c r="C545" s="3"/>
      <c r="D545" s="3"/>
      <c r="E545" s="3"/>
      <c r="F545" s="3"/>
      <c r="G545" s="3"/>
      <c r="H545" s="3"/>
      <c r="I545" s="3"/>
      <c r="J545" s="3"/>
      <c r="K545" s="3"/>
      <c r="L545" s="3"/>
      <c r="M545" s="3"/>
      <c r="N545" s="3"/>
      <c r="O545" s="3"/>
      <c r="P545" s="3"/>
      <c r="Q545" s="3"/>
      <c r="R545" s="3"/>
      <c r="S545" s="3"/>
      <c r="T545" s="3"/>
      <c r="U545" s="3"/>
      <c r="V545" s="3"/>
      <c r="W545" s="3"/>
      <c r="X545" s="3"/>
      <c r="Z545" s="3"/>
      <c r="AA545" s="3"/>
      <c r="AB545" s="3"/>
      <c r="AC545" s="3"/>
      <c r="AD545" s="3"/>
    </row>
    <row r="546" spans="1:30" ht="14">
      <c r="A546" s="3"/>
      <c r="B546" s="3"/>
      <c r="C546" s="3"/>
      <c r="D546" s="3"/>
      <c r="E546" s="3"/>
      <c r="F546" s="3"/>
      <c r="G546" s="3"/>
      <c r="H546" s="3"/>
      <c r="I546" s="3"/>
      <c r="J546" s="3"/>
      <c r="K546" s="3"/>
      <c r="L546" s="3"/>
      <c r="M546" s="3"/>
      <c r="N546" s="3"/>
      <c r="O546" s="3"/>
      <c r="P546" s="3"/>
      <c r="Q546" s="3"/>
      <c r="R546" s="3"/>
      <c r="S546" s="3"/>
      <c r="T546" s="3"/>
      <c r="U546" s="3"/>
      <c r="V546" s="3"/>
      <c r="W546" s="3"/>
      <c r="X546" s="3"/>
      <c r="Z546" s="3"/>
      <c r="AA546" s="3"/>
      <c r="AB546" s="3"/>
      <c r="AC546" s="3"/>
      <c r="AD546" s="3"/>
    </row>
    <row r="547" spans="1:30" ht="14">
      <c r="A547" s="3"/>
      <c r="B547" s="3"/>
      <c r="C547" s="3"/>
      <c r="D547" s="3"/>
      <c r="E547" s="3"/>
      <c r="F547" s="3"/>
      <c r="G547" s="3"/>
      <c r="H547" s="3"/>
      <c r="I547" s="3"/>
      <c r="J547" s="3"/>
      <c r="K547" s="3"/>
      <c r="L547" s="3"/>
      <c r="M547" s="3"/>
      <c r="N547" s="3"/>
      <c r="O547" s="3"/>
      <c r="P547" s="3"/>
      <c r="Q547" s="3"/>
      <c r="R547" s="3"/>
      <c r="S547" s="3"/>
      <c r="T547" s="3"/>
      <c r="U547" s="3"/>
      <c r="V547" s="3"/>
      <c r="W547" s="3"/>
      <c r="X547" s="3"/>
      <c r="Z547" s="3"/>
      <c r="AA547" s="3"/>
      <c r="AB547" s="3"/>
      <c r="AC547" s="3"/>
      <c r="AD547" s="3"/>
    </row>
    <row r="548" spans="1:30" ht="14">
      <c r="A548" s="3"/>
      <c r="B548" s="3"/>
      <c r="C548" s="3"/>
      <c r="D548" s="3"/>
      <c r="E548" s="3"/>
      <c r="F548" s="3"/>
      <c r="G548" s="3"/>
      <c r="H548" s="3"/>
      <c r="I548" s="3"/>
      <c r="J548" s="3"/>
      <c r="K548" s="3"/>
      <c r="L548" s="3"/>
      <c r="M548" s="3"/>
      <c r="N548" s="3"/>
      <c r="O548" s="3"/>
      <c r="P548" s="3"/>
      <c r="Q548" s="3"/>
      <c r="R548" s="3"/>
      <c r="S548" s="3"/>
      <c r="T548" s="3"/>
      <c r="U548" s="3"/>
      <c r="V548" s="3"/>
      <c r="W548" s="3"/>
      <c r="X548" s="3"/>
      <c r="Z548" s="3"/>
      <c r="AA548" s="3"/>
      <c r="AB548" s="3"/>
      <c r="AC548" s="3"/>
      <c r="AD548" s="3"/>
    </row>
    <row r="549" spans="1:30" ht="14">
      <c r="A549" s="3"/>
      <c r="B549" s="3"/>
      <c r="C549" s="3"/>
      <c r="D549" s="3"/>
      <c r="E549" s="3"/>
      <c r="F549" s="3"/>
      <c r="G549" s="3"/>
      <c r="H549" s="3"/>
      <c r="I549" s="3"/>
      <c r="J549" s="3"/>
      <c r="K549" s="3"/>
      <c r="L549" s="3"/>
      <c r="M549" s="3"/>
      <c r="N549" s="3"/>
      <c r="O549" s="3"/>
      <c r="P549" s="3"/>
      <c r="Q549" s="3"/>
      <c r="R549" s="3"/>
      <c r="S549" s="3"/>
      <c r="T549" s="3"/>
      <c r="U549" s="3"/>
      <c r="V549" s="3"/>
      <c r="W549" s="3"/>
      <c r="X549" s="3"/>
      <c r="Z549" s="3"/>
      <c r="AA549" s="3"/>
      <c r="AB549" s="3"/>
      <c r="AC549" s="3"/>
      <c r="AD549" s="3"/>
    </row>
    <row r="550" spans="1:30" ht="14">
      <c r="A550" s="3"/>
      <c r="B550" s="3"/>
      <c r="C550" s="3"/>
      <c r="D550" s="3"/>
      <c r="E550" s="3"/>
      <c r="F550" s="3"/>
      <c r="G550" s="3"/>
      <c r="H550" s="3"/>
      <c r="I550" s="3"/>
      <c r="J550" s="3"/>
      <c r="K550" s="3"/>
      <c r="L550" s="3"/>
      <c r="M550" s="3"/>
      <c r="N550" s="3"/>
      <c r="O550" s="3"/>
      <c r="P550" s="3"/>
      <c r="Q550" s="3"/>
      <c r="R550" s="3"/>
      <c r="S550" s="3"/>
      <c r="T550" s="3"/>
      <c r="U550" s="3"/>
      <c r="V550" s="3"/>
      <c r="W550" s="3"/>
      <c r="X550" s="3"/>
      <c r="Z550" s="3"/>
      <c r="AA550" s="3"/>
      <c r="AB550" s="3"/>
      <c r="AC550" s="3"/>
      <c r="AD550" s="3"/>
    </row>
    <row r="551" spans="1:30" ht="14">
      <c r="A551" s="3"/>
      <c r="B551" s="3"/>
      <c r="C551" s="3"/>
      <c r="D551" s="3"/>
      <c r="E551" s="3"/>
      <c r="F551" s="3"/>
      <c r="G551" s="3"/>
      <c r="H551" s="3"/>
      <c r="I551" s="3"/>
      <c r="J551" s="3"/>
      <c r="K551" s="3"/>
      <c r="L551" s="3"/>
      <c r="M551" s="3"/>
      <c r="N551" s="3"/>
      <c r="O551" s="3"/>
      <c r="P551" s="3"/>
      <c r="Q551" s="3"/>
      <c r="R551" s="3"/>
      <c r="S551" s="3"/>
      <c r="T551" s="3"/>
      <c r="U551" s="3"/>
      <c r="V551" s="3"/>
      <c r="W551" s="3"/>
      <c r="X551" s="3"/>
      <c r="Z551" s="3"/>
      <c r="AA551" s="3"/>
      <c r="AB551" s="3"/>
      <c r="AC551" s="3"/>
      <c r="AD551" s="3"/>
    </row>
    <row r="552" spans="1:30" ht="14">
      <c r="A552" s="3"/>
      <c r="B552" s="3"/>
      <c r="C552" s="3"/>
      <c r="D552" s="3"/>
      <c r="E552" s="3"/>
      <c r="F552" s="3"/>
      <c r="G552" s="3"/>
      <c r="H552" s="3"/>
      <c r="I552" s="3"/>
      <c r="J552" s="3"/>
      <c r="K552" s="3"/>
      <c r="L552" s="3"/>
      <c r="M552" s="3"/>
      <c r="N552" s="3"/>
      <c r="O552" s="3"/>
      <c r="P552" s="3"/>
      <c r="Q552" s="3"/>
      <c r="R552" s="3"/>
      <c r="S552" s="3"/>
      <c r="T552" s="3"/>
      <c r="U552" s="3"/>
      <c r="V552" s="3"/>
      <c r="W552" s="3"/>
      <c r="X552" s="3"/>
      <c r="Z552" s="3"/>
      <c r="AA552" s="3"/>
      <c r="AB552" s="3"/>
      <c r="AC552" s="3"/>
      <c r="AD552" s="3"/>
    </row>
    <row r="553" spans="1:30" ht="14">
      <c r="A553" s="3"/>
      <c r="B553" s="3"/>
      <c r="C553" s="3"/>
      <c r="D553" s="3"/>
      <c r="E553" s="3"/>
      <c r="F553" s="3"/>
      <c r="G553" s="3"/>
      <c r="H553" s="3"/>
      <c r="I553" s="3"/>
      <c r="J553" s="3"/>
      <c r="K553" s="3"/>
      <c r="L553" s="3"/>
      <c r="M553" s="3"/>
      <c r="N553" s="3"/>
      <c r="O553" s="3"/>
      <c r="P553" s="3"/>
      <c r="Q553" s="3"/>
      <c r="R553" s="3"/>
      <c r="S553" s="3"/>
      <c r="T553" s="3"/>
      <c r="U553" s="3"/>
      <c r="V553" s="3"/>
      <c r="W553" s="3"/>
      <c r="X553" s="3"/>
      <c r="Z553" s="3"/>
      <c r="AA553" s="3"/>
      <c r="AB553" s="3"/>
      <c r="AC553" s="3"/>
      <c r="AD553" s="3"/>
    </row>
    <row r="554" spans="1:30" ht="14">
      <c r="A554" s="3"/>
      <c r="B554" s="3"/>
      <c r="C554" s="3"/>
      <c r="D554" s="3"/>
      <c r="E554" s="3"/>
      <c r="F554" s="3"/>
      <c r="G554" s="3"/>
      <c r="H554" s="3"/>
      <c r="I554" s="3"/>
      <c r="J554" s="3"/>
      <c r="K554" s="3"/>
      <c r="L554" s="3"/>
      <c r="M554" s="3"/>
      <c r="N554" s="3"/>
      <c r="O554" s="3"/>
      <c r="P554" s="3"/>
      <c r="Q554" s="3"/>
      <c r="R554" s="3"/>
      <c r="S554" s="3"/>
      <c r="T554" s="3"/>
      <c r="U554" s="3"/>
      <c r="V554" s="3"/>
      <c r="W554" s="3"/>
      <c r="X554" s="3"/>
      <c r="Z554" s="3"/>
      <c r="AA554" s="3"/>
      <c r="AB554" s="3"/>
      <c r="AC554" s="3"/>
      <c r="AD554" s="3"/>
    </row>
    <row r="555" spans="1:30" ht="14">
      <c r="A555" s="3"/>
      <c r="B555" s="3"/>
      <c r="C555" s="3"/>
      <c r="D555" s="3"/>
      <c r="E555" s="3"/>
      <c r="F555" s="3"/>
      <c r="G555" s="3"/>
      <c r="H555" s="3"/>
      <c r="I555" s="3"/>
      <c r="J555" s="3"/>
      <c r="K555" s="3"/>
      <c r="L555" s="3"/>
      <c r="M555" s="3"/>
      <c r="N555" s="3"/>
      <c r="O555" s="3"/>
      <c r="P555" s="3"/>
      <c r="Q555" s="3"/>
      <c r="R555" s="3"/>
      <c r="S555" s="3"/>
      <c r="T555" s="3"/>
      <c r="U555" s="3"/>
      <c r="V555" s="3"/>
      <c r="W555" s="3"/>
      <c r="X555" s="3"/>
      <c r="Z555" s="3"/>
      <c r="AA555" s="3"/>
      <c r="AB555" s="3"/>
      <c r="AC555" s="3"/>
      <c r="AD555" s="3"/>
    </row>
    <row r="556" spans="1:30" ht="14">
      <c r="A556" s="3"/>
      <c r="B556" s="3"/>
      <c r="C556" s="3"/>
      <c r="D556" s="3"/>
      <c r="E556" s="3"/>
      <c r="F556" s="3"/>
      <c r="G556" s="3"/>
      <c r="H556" s="3"/>
      <c r="I556" s="3"/>
      <c r="J556" s="3"/>
      <c r="K556" s="3"/>
      <c r="L556" s="3"/>
      <c r="M556" s="3"/>
      <c r="N556" s="3"/>
      <c r="O556" s="3"/>
      <c r="P556" s="3"/>
      <c r="Q556" s="3"/>
      <c r="R556" s="3"/>
      <c r="S556" s="3"/>
      <c r="T556" s="3"/>
      <c r="U556" s="3"/>
      <c r="V556" s="3"/>
      <c r="W556" s="3"/>
      <c r="X556" s="3"/>
      <c r="Z556" s="3"/>
      <c r="AA556" s="3"/>
      <c r="AB556" s="3"/>
      <c r="AC556" s="3"/>
      <c r="AD556" s="3"/>
    </row>
    <row r="557" spans="1:30" ht="14">
      <c r="A557" s="3"/>
      <c r="B557" s="3"/>
      <c r="C557" s="3"/>
      <c r="D557" s="3"/>
      <c r="E557" s="3"/>
      <c r="F557" s="3"/>
      <c r="G557" s="3"/>
      <c r="H557" s="3"/>
      <c r="I557" s="3"/>
      <c r="J557" s="3"/>
      <c r="K557" s="3"/>
      <c r="L557" s="3"/>
      <c r="M557" s="3"/>
      <c r="N557" s="3"/>
      <c r="O557" s="3"/>
      <c r="P557" s="3"/>
      <c r="Q557" s="3"/>
      <c r="R557" s="3"/>
      <c r="S557" s="3"/>
      <c r="T557" s="3"/>
      <c r="U557" s="3"/>
      <c r="V557" s="3"/>
      <c r="W557" s="3"/>
      <c r="X557" s="3"/>
      <c r="Z557" s="3"/>
      <c r="AA557" s="3"/>
      <c r="AB557" s="3"/>
      <c r="AC557" s="3"/>
      <c r="AD557" s="3"/>
    </row>
    <row r="558" spans="1:30" ht="14">
      <c r="A558" s="3"/>
      <c r="B558" s="3"/>
      <c r="C558" s="3"/>
      <c r="D558" s="3"/>
      <c r="E558" s="3"/>
      <c r="F558" s="3"/>
      <c r="G558" s="3"/>
      <c r="H558" s="3"/>
      <c r="I558" s="3"/>
      <c r="J558" s="3"/>
      <c r="K558" s="3"/>
      <c r="L558" s="3"/>
      <c r="M558" s="3"/>
      <c r="N558" s="3"/>
      <c r="O558" s="3"/>
      <c r="P558" s="3"/>
      <c r="Q558" s="3"/>
      <c r="R558" s="3"/>
      <c r="S558" s="3"/>
      <c r="T558" s="3"/>
      <c r="U558" s="3"/>
      <c r="V558" s="3"/>
      <c r="W558" s="3"/>
      <c r="X558" s="3"/>
      <c r="Z558" s="3"/>
      <c r="AA558" s="3"/>
      <c r="AB558" s="3"/>
      <c r="AC558" s="3"/>
      <c r="AD558" s="3"/>
    </row>
    <row r="559" spans="1:30" ht="14">
      <c r="A559" s="3"/>
      <c r="B559" s="3"/>
      <c r="C559" s="3"/>
      <c r="D559" s="3"/>
      <c r="E559" s="3"/>
      <c r="F559" s="3"/>
      <c r="G559" s="3"/>
      <c r="H559" s="3"/>
      <c r="I559" s="3"/>
      <c r="J559" s="3"/>
      <c r="K559" s="3"/>
      <c r="L559" s="3"/>
      <c r="M559" s="3"/>
      <c r="N559" s="3"/>
      <c r="O559" s="3"/>
      <c r="P559" s="3"/>
      <c r="Q559" s="3"/>
      <c r="R559" s="3"/>
      <c r="S559" s="3"/>
      <c r="T559" s="3"/>
      <c r="U559" s="3"/>
      <c r="V559" s="3"/>
      <c r="W559" s="3"/>
      <c r="X559" s="3"/>
      <c r="Z559" s="3"/>
      <c r="AA559" s="3"/>
      <c r="AB559" s="3"/>
      <c r="AC559" s="3"/>
      <c r="AD559" s="3"/>
    </row>
    <row r="560" spans="1:30" ht="14">
      <c r="A560" s="3"/>
      <c r="B560" s="3"/>
      <c r="C560" s="3"/>
      <c r="D560" s="3"/>
      <c r="E560" s="3"/>
      <c r="F560" s="3"/>
      <c r="G560" s="3"/>
      <c r="H560" s="3"/>
      <c r="I560" s="3"/>
      <c r="J560" s="3"/>
      <c r="K560" s="3"/>
      <c r="L560" s="3"/>
      <c r="M560" s="3"/>
      <c r="N560" s="3"/>
      <c r="O560" s="3"/>
      <c r="P560" s="3"/>
      <c r="Q560" s="3"/>
      <c r="R560" s="3"/>
      <c r="S560" s="3"/>
      <c r="T560" s="3"/>
      <c r="U560" s="3"/>
      <c r="V560" s="3"/>
      <c r="W560" s="3"/>
      <c r="X560" s="3"/>
      <c r="Z560" s="3"/>
      <c r="AA560" s="3"/>
      <c r="AB560" s="3"/>
      <c r="AC560" s="3"/>
      <c r="AD560" s="3"/>
    </row>
    <row r="561" spans="1:30" ht="14">
      <c r="A561" s="3"/>
      <c r="B561" s="3"/>
      <c r="C561" s="3"/>
      <c r="D561" s="3"/>
      <c r="E561" s="3"/>
      <c r="F561" s="3"/>
      <c r="G561" s="3"/>
      <c r="H561" s="3"/>
      <c r="I561" s="3"/>
      <c r="J561" s="3"/>
      <c r="K561" s="3"/>
      <c r="L561" s="3"/>
      <c r="M561" s="3"/>
      <c r="N561" s="3"/>
      <c r="O561" s="3"/>
      <c r="P561" s="3"/>
      <c r="Q561" s="3"/>
      <c r="R561" s="3"/>
      <c r="S561" s="3"/>
      <c r="T561" s="3"/>
      <c r="U561" s="3"/>
      <c r="V561" s="3"/>
      <c r="W561" s="3"/>
      <c r="X561" s="3"/>
      <c r="Z561" s="3"/>
      <c r="AA561" s="3"/>
      <c r="AB561" s="3"/>
      <c r="AC561" s="3"/>
      <c r="AD561" s="3"/>
    </row>
    <row r="562" spans="1:30" ht="14">
      <c r="A562" s="3"/>
      <c r="B562" s="3"/>
      <c r="C562" s="3"/>
      <c r="D562" s="3"/>
      <c r="E562" s="3"/>
      <c r="F562" s="3"/>
      <c r="G562" s="3"/>
      <c r="H562" s="3"/>
      <c r="I562" s="3"/>
      <c r="J562" s="3"/>
      <c r="K562" s="3"/>
      <c r="L562" s="3"/>
      <c r="M562" s="3"/>
      <c r="N562" s="3"/>
      <c r="O562" s="3"/>
      <c r="P562" s="3"/>
      <c r="Q562" s="3"/>
      <c r="R562" s="3"/>
      <c r="S562" s="3"/>
      <c r="T562" s="3"/>
      <c r="U562" s="3"/>
      <c r="V562" s="3"/>
      <c r="W562" s="3"/>
      <c r="X562" s="3"/>
      <c r="Z562" s="3"/>
      <c r="AA562" s="3"/>
      <c r="AB562" s="3"/>
      <c r="AC562" s="3"/>
      <c r="AD562" s="3"/>
    </row>
    <row r="563" spans="1:30" ht="14">
      <c r="A563" s="3"/>
      <c r="B563" s="3"/>
      <c r="C563" s="3"/>
      <c r="D563" s="3"/>
      <c r="E563" s="3"/>
      <c r="F563" s="3"/>
      <c r="G563" s="3"/>
      <c r="H563" s="3"/>
      <c r="I563" s="3"/>
      <c r="J563" s="3"/>
      <c r="K563" s="3"/>
      <c r="L563" s="3"/>
      <c r="M563" s="3"/>
      <c r="N563" s="3"/>
      <c r="O563" s="3"/>
      <c r="P563" s="3"/>
      <c r="Q563" s="3"/>
      <c r="R563" s="3"/>
      <c r="S563" s="3"/>
      <c r="T563" s="3"/>
      <c r="U563" s="3"/>
      <c r="V563" s="3"/>
      <c r="W563" s="3"/>
      <c r="X563" s="3"/>
      <c r="Z563" s="3"/>
      <c r="AA563" s="3"/>
      <c r="AB563" s="3"/>
      <c r="AC563" s="3"/>
      <c r="AD563" s="3"/>
    </row>
    <row r="564" spans="1:30" ht="14">
      <c r="A564" s="3"/>
      <c r="B564" s="3"/>
      <c r="C564" s="3"/>
      <c r="D564" s="3"/>
      <c r="E564" s="3"/>
      <c r="F564" s="3"/>
      <c r="G564" s="3"/>
      <c r="H564" s="3"/>
      <c r="I564" s="3"/>
      <c r="J564" s="3"/>
      <c r="K564" s="3"/>
      <c r="L564" s="3"/>
      <c r="M564" s="3"/>
      <c r="N564" s="3"/>
      <c r="O564" s="3"/>
      <c r="P564" s="3"/>
      <c r="Q564" s="3"/>
      <c r="R564" s="3"/>
      <c r="S564" s="3"/>
      <c r="T564" s="3"/>
      <c r="U564" s="3"/>
      <c r="V564" s="3"/>
      <c r="W564" s="3"/>
      <c r="X564" s="3"/>
      <c r="Z564" s="3"/>
      <c r="AA564" s="3"/>
      <c r="AB564" s="3"/>
      <c r="AC564" s="3"/>
      <c r="AD564" s="3"/>
    </row>
    <row r="565" spans="1:30" ht="14">
      <c r="A565" s="3"/>
      <c r="B565" s="3"/>
      <c r="C565" s="3"/>
      <c r="D565" s="3"/>
      <c r="E565" s="3"/>
      <c r="F565" s="3"/>
      <c r="G565" s="3"/>
      <c r="H565" s="3"/>
      <c r="I565" s="3"/>
      <c r="J565" s="3"/>
      <c r="K565" s="3"/>
      <c r="L565" s="3"/>
      <c r="M565" s="3"/>
      <c r="N565" s="3"/>
      <c r="O565" s="3"/>
      <c r="P565" s="3"/>
      <c r="Q565" s="3"/>
      <c r="R565" s="3"/>
      <c r="S565" s="3"/>
      <c r="T565" s="3"/>
      <c r="U565" s="3"/>
      <c r="V565" s="3"/>
      <c r="W565" s="3"/>
      <c r="X565" s="3"/>
      <c r="Z565" s="3"/>
      <c r="AA565" s="3"/>
      <c r="AB565" s="3"/>
      <c r="AC565" s="3"/>
      <c r="AD565" s="3"/>
    </row>
    <row r="566" spans="1:30" ht="14">
      <c r="A566" s="3"/>
      <c r="B566" s="3"/>
      <c r="C566" s="3"/>
      <c r="D566" s="3"/>
      <c r="E566" s="3"/>
      <c r="F566" s="3"/>
      <c r="G566" s="3"/>
      <c r="H566" s="3"/>
      <c r="I566" s="3"/>
      <c r="J566" s="3"/>
      <c r="K566" s="3"/>
      <c r="L566" s="3"/>
      <c r="M566" s="3"/>
      <c r="N566" s="3"/>
      <c r="O566" s="3"/>
      <c r="P566" s="3"/>
      <c r="Q566" s="3"/>
      <c r="R566" s="3"/>
      <c r="S566" s="3"/>
      <c r="T566" s="3"/>
      <c r="U566" s="3"/>
      <c r="V566" s="3"/>
      <c r="W566" s="3"/>
      <c r="X566" s="3"/>
      <c r="Z566" s="3"/>
      <c r="AA566" s="3"/>
      <c r="AB566" s="3"/>
      <c r="AC566" s="3"/>
      <c r="AD566" s="3"/>
    </row>
    <row r="567" spans="1:30" ht="14">
      <c r="A567" s="3"/>
      <c r="B567" s="3"/>
      <c r="C567" s="3"/>
      <c r="D567" s="3"/>
      <c r="E567" s="3"/>
      <c r="F567" s="3"/>
      <c r="G567" s="3"/>
      <c r="H567" s="3"/>
      <c r="I567" s="3"/>
      <c r="J567" s="3"/>
      <c r="K567" s="3"/>
      <c r="L567" s="3"/>
      <c r="M567" s="3"/>
      <c r="N567" s="3"/>
      <c r="O567" s="3"/>
      <c r="P567" s="3"/>
      <c r="Q567" s="3"/>
      <c r="R567" s="3"/>
      <c r="S567" s="3"/>
      <c r="T567" s="3"/>
      <c r="U567" s="3"/>
      <c r="V567" s="3"/>
      <c r="W567" s="3"/>
      <c r="X567" s="3"/>
      <c r="Z567" s="3"/>
      <c r="AA567" s="3"/>
      <c r="AB567" s="3"/>
      <c r="AC567" s="3"/>
      <c r="AD567" s="3"/>
    </row>
    <row r="568" spans="1:30" ht="14">
      <c r="A568" s="3"/>
      <c r="B568" s="3"/>
      <c r="C568" s="3"/>
      <c r="D568" s="3"/>
      <c r="E568" s="3"/>
      <c r="F568" s="3"/>
      <c r="G568" s="3"/>
      <c r="H568" s="3"/>
      <c r="I568" s="3"/>
      <c r="J568" s="3"/>
      <c r="K568" s="3"/>
      <c r="L568" s="3"/>
      <c r="M568" s="3"/>
      <c r="N568" s="3"/>
      <c r="O568" s="3"/>
      <c r="P568" s="3"/>
      <c r="Q568" s="3"/>
      <c r="R568" s="3"/>
      <c r="S568" s="3"/>
      <c r="T568" s="3"/>
      <c r="U568" s="3"/>
      <c r="V568" s="3"/>
      <c r="W568" s="3"/>
      <c r="X568" s="3"/>
      <c r="Z568" s="3"/>
      <c r="AA568" s="3"/>
      <c r="AB568" s="3"/>
      <c r="AC568" s="3"/>
      <c r="AD568" s="3"/>
    </row>
    <row r="569" spans="1:30" ht="14">
      <c r="A569" s="3"/>
      <c r="B569" s="3"/>
      <c r="C569" s="3"/>
      <c r="D569" s="3"/>
      <c r="E569" s="3"/>
      <c r="F569" s="3"/>
      <c r="G569" s="3"/>
      <c r="H569" s="3"/>
      <c r="I569" s="3"/>
      <c r="J569" s="3"/>
      <c r="K569" s="3"/>
      <c r="L569" s="3"/>
      <c r="M569" s="3"/>
      <c r="N569" s="3"/>
      <c r="O569" s="3"/>
      <c r="P569" s="3"/>
      <c r="Q569" s="3"/>
      <c r="R569" s="3"/>
      <c r="S569" s="3"/>
      <c r="T569" s="3"/>
      <c r="U569" s="3"/>
      <c r="V569" s="3"/>
      <c r="W569" s="3"/>
      <c r="X569" s="3"/>
      <c r="Z569" s="3"/>
      <c r="AA569" s="3"/>
      <c r="AB569" s="3"/>
      <c r="AC569" s="3"/>
      <c r="AD569" s="3"/>
    </row>
    <row r="570" spans="1:30" ht="14">
      <c r="A570" s="3"/>
      <c r="B570" s="3"/>
      <c r="C570" s="3"/>
      <c r="D570" s="3"/>
      <c r="E570" s="3"/>
      <c r="F570" s="3"/>
      <c r="G570" s="3"/>
      <c r="H570" s="3"/>
      <c r="I570" s="3"/>
      <c r="J570" s="3"/>
      <c r="K570" s="3"/>
      <c r="L570" s="3"/>
      <c r="M570" s="3"/>
      <c r="N570" s="3"/>
      <c r="O570" s="3"/>
      <c r="P570" s="3"/>
      <c r="Q570" s="3"/>
      <c r="R570" s="3"/>
      <c r="S570" s="3"/>
      <c r="T570" s="3"/>
      <c r="U570" s="3"/>
      <c r="V570" s="3"/>
      <c r="W570" s="3"/>
      <c r="X570" s="3"/>
      <c r="Z570" s="3"/>
      <c r="AA570" s="3"/>
      <c r="AB570" s="3"/>
      <c r="AC570" s="3"/>
      <c r="AD570" s="3"/>
    </row>
    <row r="571" spans="1:30" ht="14">
      <c r="A571" s="3"/>
      <c r="B571" s="3"/>
      <c r="C571" s="3"/>
      <c r="D571" s="3"/>
      <c r="E571" s="3"/>
      <c r="F571" s="3"/>
      <c r="G571" s="3"/>
      <c r="H571" s="3"/>
      <c r="I571" s="3"/>
      <c r="J571" s="3"/>
      <c r="K571" s="3"/>
      <c r="L571" s="3"/>
      <c r="M571" s="3"/>
      <c r="N571" s="3"/>
      <c r="O571" s="3"/>
      <c r="P571" s="3"/>
      <c r="Q571" s="3"/>
      <c r="R571" s="3"/>
      <c r="S571" s="3"/>
      <c r="T571" s="3"/>
      <c r="U571" s="3"/>
      <c r="V571" s="3"/>
      <c r="W571" s="3"/>
      <c r="X571" s="3"/>
      <c r="Z571" s="3"/>
      <c r="AA571" s="3"/>
      <c r="AB571" s="3"/>
      <c r="AC571" s="3"/>
      <c r="AD571" s="3"/>
    </row>
    <row r="572" spans="1:30" ht="14">
      <c r="A572" s="3"/>
      <c r="B572" s="3"/>
      <c r="C572" s="3"/>
      <c r="D572" s="3"/>
      <c r="E572" s="3"/>
      <c r="F572" s="3"/>
      <c r="G572" s="3"/>
      <c r="H572" s="3"/>
      <c r="I572" s="3"/>
      <c r="J572" s="3"/>
      <c r="K572" s="3"/>
      <c r="L572" s="3"/>
      <c r="M572" s="3"/>
      <c r="N572" s="3"/>
      <c r="O572" s="3"/>
      <c r="P572" s="3"/>
      <c r="Q572" s="3"/>
      <c r="R572" s="3"/>
      <c r="S572" s="3"/>
      <c r="T572" s="3"/>
      <c r="U572" s="3"/>
      <c r="V572" s="3"/>
      <c r="W572" s="3"/>
      <c r="X572" s="3"/>
      <c r="Z572" s="3"/>
      <c r="AA572" s="3"/>
      <c r="AB572" s="3"/>
      <c r="AC572" s="3"/>
      <c r="AD572" s="3"/>
    </row>
    <row r="573" spans="1:30" ht="14">
      <c r="A573" s="3"/>
      <c r="B573" s="3"/>
      <c r="C573" s="3"/>
      <c r="D573" s="3"/>
      <c r="E573" s="3"/>
      <c r="F573" s="3"/>
      <c r="G573" s="3"/>
      <c r="H573" s="3"/>
      <c r="I573" s="3"/>
      <c r="J573" s="3"/>
      <c r="K573" s="3"/>
      <c r="L573" s="3"/>
      <c r="M573" s="3"/>
      <c r="N573" s="3"/>
      <c r="O573" s="3"/>
      <c r="P573" s="3"/>
      <c r="Q573" s="3"/>
      <c r="R573" s="3"/>
      <c r="S573" s="3"/>
      <c r="T573" s="3"/>
      <c r="U573" s="3"/>
      <c r="V573" s="3"/>
      <c r="W573" s="3"/>
      <c r="X573" s="3"/>
      <c r="Z573" s="3"/>
      <c r="AA573" s="3"/>
      <c r="AB573" s="3"/>
      <c r="AC573" s="3"/>
      <c r="AD573" s="3"/>
    </row>
    <row r="574" spans="1:30" ht="14">
      <c r="A574" s="3"/>
      <c r="B574" s="3"/>
      <c r="C574" s="3"/>
      <c r="D574" s="3"/>
      <c r="E574" s="3"/>
      <c r="F574" s="3"/>
      <c r="G574" s="3"/>
      <c r="H574" s="3"/>
      <c r="I574" s="3"/>
      <c r="J574" s="3"/>
      <c r="K574" s="3"/>
      <c r="L574" s="3"/>
      <c r="M574" s="3"/>
      <c r="N574" s="3"/>
      <c r="O574" s="3"/>
      <c r="P574" s="3"/>
      <c r="Q574" s="3"/>
      <c r="R574" s="3"/>
      <c r="S574" s="3"/>
      <c r="T574" s="3"/>
      <c r="U574" s="3"/>
      <c r="V574" s="3"/>
      <c r="W574" s="3"/>
      <c r="X574" s="3"/>
      <c r="Z574" s="3"/>
      <c r="AA574" s="3"/>
      <c r="AB574" s="3"/>
      <c r="AC574" s="3"/>
      <c r="AD574" s="3"/>
    </row>
    <row r="575" spans="1:30" ht="14">
      <c r="A575" s="3"/>
      <c r="B575" s="3"/>
      <c r="C575" s="3"/>
      <c r="D575" s="3"/>
      <c r="E575" s="3"/>
      <c r="F575" s="3"/>
      <c r="G575" s="3"/>
      <c r="H575" s="3"/>
      <c r="I575" s="3"/>
      <c r="J575" s="3"/>
      <c r="K575" s="3"/>
      <c r="L575" s="3"/>
      <c r="M575" s="3"/>
      <c r="N575" s="3"/>
      <c r="O575" s="3"/>
      <c r="P575" s="3"/>
      <c r="Q575" s="3"/>
      <c r="R575" s="3"/>
      <c r="S575" s="3"/>
      <c r="T575" s="3"/>
      <c r="U575" s="3"/>
      <c r="V575" s="3"/>
      <c r="W575" s="3"/>
      <c r="X575" s="3"/>
      <c r="Z575" s="3"/>
      <c r="AA575" s="3"/>
      <c r="AB575" s="3"/>
      <c r="AC575" s="3"/>
      <c r="AD575" s="3"/>
    </row>
    <row r="576" spans="1:30" ht="14">
      <c r="A576" s="3"/>
      <c r="B576" s="3"/>
      <c r="C576" s="3"/>
      <c r="D576" s="3"/>
      <c r="E576" s="3"/>
      <c r="F576" s="3"/>
      <c r="G576" s="3"/>
      <c r="H576" s="3"/>
      <c r="I576" s="3"/>
      <c r="J576" s="3"/>
      <c r="K576" s="3"/>
      <c r="L576" s="3"/>
      <c r="M576" s="3"/>
      <c r="N576" s="3"/>
      <c r="O576" s="3"/>
      <c r="P576" s="3"/>
      <c r="Q576" s="3"/>
      <c r="R576" s="3"/>
      <c r="S576" s="3"/>
      <c r="T576" s="3"/>
      <c r="U576" s="3"/>
      <c r="V576" s="3"/>
      <c r="W576" s="3"/>
      <c r="X576" s="3"/>
      <c r="Z576" s="3"/>
      <c r="AA576" s="3"/>
      <c r="AB576" s="3"/>
      <c r="AC576" s="3"/>
      <c r="AD576" s="3"/>
    </row>
    <row r="577" spans="1:30" ht="14">
      <c r="A577" s="3"/>
      <c r="B577" s="3"/>
      <c r="C577" s="3"/>
      <c r="D577" s="3"/>
      <c r="E577" s="3"/>
      <c r="F577" s="3"/>
      <c r="G577" s="3"/>
      <c r="H577" s="3"/>
      <c r="I577" s="3"/>
      <c r="J577" s="3"/>
      <c r="K577" s="3"/>
      <c r="L577" s="3"/>
      <c r="M577" s="3"/>
      <c r="N577" s="3"/>
      <c r="O577" s="3"/>
      <c r="P577" s="3"/>
      <c r="Q577" s="3"/>
      <c r="R577" s="3"/>
      <c r="S577" s="3"/>
      <c r="T577" s="3"/>
      <c r="U577" s="3"/>
      <c r="V577" s="3"/>
      <c r="W577" s="3"/>
      <c r="X577" s="3"/>
      <c r="Z577" s="3"/>
      <c r="AA577" s="3"/>
      <c r="AB577" s="3"/>
      <c r="AC577" s="3"/>
      <c r="AD577" s="3"/>
    </row>
    <row r="578" spans="1:30" ht="14">
      <c r="A578" s="3"/>
      <c r="B578" s="3"/>
      <c r="C578" s="3"/>
      <c r="D578" s="3"/>
      <c r="E578" s="3"/>
      <c r="F578" s="3"/>
      <c r="G578" s="3"/>
      <c r="H578" s="3"/>
      <c r="I578" s="3"/>
      <c r="J578" s="3"/>
      <c r="K578" s="3"/>
      <c r="L578" s="3"/>
      <c r="M578" s="3"/>
      <c r="N578" s="3"/>
      <c r="O578" s="3"/>
      <c r="P578" s="3"/>
      <c r="Q578" s="3"/>
      <c r="R578" s="3"/>
      <c r="S578" s="3"/>
      <c r="T578" s="3"/>
      <c r="U578" s="3"/>
      <c r="V578" s="3"/>
      <c r="W578" s="3"/>
      <c r="X578" s="3"/>
      <c r="Z578" s="3"/>
      <c r="AA578" s="3"/>
      <c r="AB578" s="3"/>
      <c r="AC578" s="3"/>
      <c r="AD578" s="3"/>
    </row>
    <row r="579" spans="1:30" ht="14">
      <c r="A579" s="3"/>
      <c r="B579" s="3"/>
      <c r="C579" s="3"/>
      <c r="D579" s="3"/>
      <c r="E579" s="3"/>
      <c r="F579" s="3"/>
      <c r="G579" s="3"/>
      <c r="H579" s="3"/>
      <c r="I579" s="3"/>
      <c r="J579" s="3"/>
      <c r="K579" s="3"/>
      <c r="L579" s="3"/>
      <c r="M579" s="3"/>
      <c r="N579" s="3"/>
      <c r="O579" s="3"/>
      <c r="P579" s="3"/>
      <c r="Q579" s="3"/>
      <c r="R579" s="3"/>
      <c r="S579" s="3"/>
      <c r="T579" s="3"/>
      <c r="U579" s="3"/>
      <c r="V579" s="3"/>
      <c r="W579" s="3"/>
      <c r="X579" s="3"/>
      <c r="Z579" s="3"/>
      <c r="AA579" s="3"/>
      <c r="AB579" s="3"/>
      <c r="AC579" s="3"/>
      <c r="AD579" s="3"/>
    </row>
    <row r="580" spans="1:30" ht="14">
      <c r="A580" s="3"/>
      <c r="B580" s="3"/>
      <c r="C580" s="3"/>
      <c r="D580" s="3"/>
      <c r="E580" s="3"/>
      <c r="F580" s="3"/>
      <c r="G580" s="3"/>
      <c r="H580" s="3"/>
      <c r="I580" s="3"/>
      <c r="J580" s="3"/>
      <c r="K580" s="3"/>
      <c r="L580" s="3"/>
      <c r="M580" s="3"/>
      <c r="N580" s="3"/>
      <c r="O580" s="3"/>
      <c r="P580" s="3"/>
      <c r="Q580" s="3"/>
      <c r="R580" s="3"/>
      <c r="S580" s="3"/>
      <c r="T580" s="3"/>
      <c r="U580" s="3"/>
      <c r="V580" s="3"/>
      <c r="W580" s="3"/>
      <c r="X580" s="3"/>
      <c r="Z580" s="3"/>
      <c r="AA580" s="3"/>
      <c r="AB580" s="3"/>
      <c r="AC580" s="3"/>
      <c r="AD580" s="3"/>
    </row>
    <row r="581" spans="1:30" ht="14">
      <c r="A581" s="3"/>
      <c r="B581" s="3"/>
      <c r="C581" s="3"/>
      <c r="D581" s="3"/>
      <c r="E581" s="3"/>
      <c r="F581" s="3"/>
      <c r="G581" s="3"/>
      <c r="H581" s="3"/>
      <c r="I581" s="3"/>
      <c r="J581" s="3"/>
      <c r="K581" s="3"/>
      <c r="L581" s="3"/>
      <c r="M581" s="3"/>
      <c r="N581" s="3"/>
      <c r="O581" s="3"/>
      <c r="P581" s="3"/>
      <c r="Q581" s="3"/>
      <c r="R581" s="3"/>
      <c r="S581" s="3"/>
      <c r="T581" s="3"/>
      <c r="U581" s="3"/>
      <c r="V581" s="3"/>
      <c r="W581" s="3"/>
      <c r="X581" s="3"/>
      <c r="Z581" s="3"/>
      <c r="AA581" s="3"/>
      <c r="AB581" s="3"/>
      <c r="AC581" s="3"/>
      <c r="AD581" s="3"/>
    </row>
    <row r="582" spans="1:30" ht="14">
      <c r="A582" s="3"/>
      <c r="B582" s="3"/>
      <c r="C582" s="3"/>
      <c r="D582" s="3"/>
      <c r="E582" s="3"/>
      <c r="F582" s="3"/>
      <c r="G582" s="3"/>
      <c r="H582" s="3"/>
      <c r="I582" s="3"/>
      <c r="J582" s="3"/>
      <c r="K582" s="3"/>
      <c r="L582" s="3"/>
      <c r="M582" s="3"/>
      <c r="N582" s="3"/>
      <c r="O582" s="3"/>
      <c r="P582" s="3"/>
      <c r="Q582" s="3"/>
      <c r="R582" s="3"/>
      <c r="S582" s="3"/>
      <c r="T582" s="3"/>
      <c r="U582" s="3"/>
      <c r="V582" s="3"/>
      <c r="W582" s="3"/>
      <c r="X582" s="3"/>
      <c r="Z582" s="3"/>
      <c r="AA582" s="3"/>
      <c r="AB582" s="3"/>
      <c r="AC582" s="3"/>
      <c r="AD582" s="3"/>
    </row>
    <row r="583" spans="1:30" ht="14">
      <c r="A583" s="3"/>
      <c r="B583" s="3"/>
      <c r="C583" s="3"/>
      <c r="D583" s="3"/>
      <c r="E583" s="3"/>
      <c r="F583" s="3"/>
      <c r="G583" s="3"/>
      <c r="H583" s="3"/>
      <c r="I583" s="3"/>
      <c r="J583" s="3"/>
      <c r="K583" s="3"/>
      <c r="L583" s="3"/>
      <c r="M583" s="3"/>
      <c r="N583" s="3"/>
      <c r="O583" s="3"/>
      <c r="P583" s="3"/>
      <c r="Q583" s="3"/>
      <c r="R583" s="3"/>
      <c r="S583" s="3"/>
      <c r="T583" s="3"/>
      <c r="U583" s="3"/>
      <c r="V583" s="3"/>
      <c r="W583" s="3"/>
      <c r="X583" s="3"/>
      <c r="Z583" s="3"/>
      <c r="AA583" s="3"/>
      <c r="AB583" s="3"/>
      <c r="AC583" s="3"/>
      <c r="AD583" s="3"/>
    </row>
    <row r="584" spans="1:30" ht="14">
      <c r="A584" s="3"/>
      <c r="B584" s="3"/>
      <c r="C584" s="3"/>
      <c r="D584" s="3"/>
      <c r="E584" s="3"/>
      <c r="F584" s="3"/>
      <c r="G584" s="3"/>
      <c r="H584" s="3"/>
      <c r="I584" s="3"/>
      <c r="J584" s="3"/>
      <c r="K584" s="3"/>
      <c r="L584" s="3"/>
      <c r="M584" s="3"/>
      <c r="N584" s="3"/>
      <c r="O584" s="3"/>
      <c r="P584" s="3"/>
      <c r="Q584" s="3"/>
      <c r="R584" s="3"/>
      <c r="S584" s="3"/>
      <c r="T584" s="3"/>
      <c r="U584" s="3"/>
      <c r="V584" s="3"/>
      <c r="W584" s="3"/>
      <c r="X584" s="3"/>
      <c r="Z584" s="3"/>
      <c r="AA584" s="3"/>
      <c r="AB584" s="3"/>
      <c r="AC584" s="3"/>
      <c r="AD584" s="3"/>
    </row>
    <row r="585" spans="1:30" ht="14">
      <c r="A585" s="3"/>
      <c r="B585" s="3"/>
      <c r="C585" s="3"/>
      <c r="D585" s="3"/>
      <c r="E585" s="3"/>
      <c r="F585" s="3"/>
      <c r="G585" s="3"/>
      <c r="H585" s="3"/>
      <c r="I585" s="3"/>
      <c r="J585" s="3"/>
      <c r="K585" s="3"/>
      <c r="L585" s="3"/>
      <c r="M585" s="3"/>
      <c r="N585" s="3"/>
      <c r="O585" s="3"/>
      <c r="P585" s="3"/>
      <c r="Q585" s="3"/>
      <c r="R585" s="3"/>
      <c r="S585" s="3"/>
      <c r="T585" s="3"/>
      <c r="U585" s="3"/>
      <c r="V585" s="3"/>
      <c r="W585" s="3"/>
      <c r="X585" s="3"/>
      <c r="Z585" s="3"/>
      <c r="AA585" s="3"/>
      <c r="AB585" s="3"/>
      <c r="AC585" s="3"/>
      <c r="AD585" s="3"/>
    </row>
    <row r="586" spans="1:30" ht="14">
      <c r="A586" s="3"/>
      <c r="B586" s="3"/>
      <c r="C586" s="3"/>
      <c r="D586" s="3"/>
      <c r="E586" s="3"/>
      <c r="F586" s="3"/>
      <c r="G586" s="3"/>
      <c r="H586" s="3"/>
      <c r="I586" s="3"/>
      <c r="J586" s="3"/>
      <c r="K586" s="3"/>
      <c r="L586" s="3"/>
      <c r="M586" s="3"/>
      <c r="N586" s="3"/>
      <c r="O586" s="3"/>
      <c r="P586" s="3"/>
      <c r="Q586" s="3"/>
      <c r="R586" s="3"/>
      <c r="S586" s="3"/>
      <c r="T586" s="3"/>
      <c r="U586" s="3"/>
      <c r="V586" s="3"/>
      <c r="W586" s="3"/>
      <c r="X586" s="3"/>
      <c r="Z586" s="3"/>
      <c r="AA586" s="3"/>
      <c r="AB586" s="3"/>
      <c r="AC586" s="3"/>
      <c r="AD586" s="3"/>
    </row>
    <row r="587" spans="1:30" ht="14">
      <c r="A587" s="3"/>
      <c r="B587" s="3"/>
      <c r="C587" s="3"/>
      <c r="D587" s="3"/>
      <c r="E587" s="3"/>
      <c r="F587" s="3"/>
      <c r="G587" s="3"/>
      <c r="H587" s="3"/>
      <c r="I587" s="3"/>
      <c r="J587" s="3"/>
      <c r="K587" s="3"/>
      <c r="L587" s="3"/>
      <c r="M587" s="3"/>
      <c r="N587" s="3"/>
      <c r="O587" s="3"/>
      <c r="P587" s="3"/>
      <c r="Q587" s="3"/>
      <c r="R587" s="3"/>
      <c r="S587" s="3"/>
      <c r="T587" s="3"/>
      <c r="U587" s="3"/>
      <c r="V587" s="3"/>
      <c r="W587" s="3"/>
      <c r="X587" s="3"/>
      <c r="Z587" s="3"/>
      <c r="AA587" s="3"/>
      <c r="AB587" s="3"/>
      <c r="AC587" s="3"/>
      <c r="AD587" s="3"/>
    </row>
    <row r="588" spans="1:30" ht="14">
      <c r="A588" s="3"/>
      <c r="B588" s="3"/>
      <c r="C588" s="3"/>
      <c r="D588" s="3"/>
      <c r="E588" s="3"/>
      <c r="F588" s="3"/>
      <c r="G588" s="3"/>
      <c r="H588" s="3"/>
      <c r="I588" s="3"/>
      <c r="J588" s="3"/>
      <c r="K588" s="3"/>
      <c r="L588" s="3"/>
      <c r="M588" s="3"/>
      <c r="N588" s="3"/>
      <c r="O588" s="3"/>
      <c r="P588" s="3"/>
      <c r="Q588" s="3"/>
      <c r="R588" s="3"/>
      <c r="S588" s="3"/>
      <c r="T588" s="3"/>
      <c r="U588" s="3"/>
      <c r="V588" s="3"/>
      <c r="W588" s="3"/>
      <c r="X588" s="3"/>
      <c r="Z588" s="3"/>
      <c r="AA588" s="3"/>
      <c r="AB588" s="3"/>
      <c r="AC588" s="3"/>
      <c r="AD588" s="3"/>
    </row>
    <row r="589" spans="1:30" ht="14">
      <c r="A589" s="3"/>
      <c r="B589" s="3"/>
      <c r="C589" s="3"/>
      <c r="D589" s="3"/>
      <c r="E589" s="3"/>
      <c r="F589" s="3"/>
      <c r="G589" s="3"/>
      <c r="H589" s="3"/>
      <c r="I589" s="3"/>
      <c r="J589" s="3"/>
      <c r="K589" s="3"/>
      <c r="L589" s="3"/>
      <c r="M589" s="3"/>
      <c r="N589" s="3"/>
      <c r="O589" s="3"/>
      <c r="P589" s="3"/>
      <c r="Q589" s="3"/>
      <c r="R589" s="3"/>
      <c r="S589" s="3"/>
      <c r="T589" s="3"/>
      <c r="U589" s="3"/>
      <c r="V589" s="3"/>
      <c r="W589" s="3"/>
      <c r="X589" s="3"/>
      <c r="Z589" s="3"/>
      <c r="AA589" s="3"/>
      <c r="AB589" s="3"/>
      <c r="AC589" s="3"/>
      <c r="AD589" s="3"/>
    </row>
    <row r="590" spans="1:30" ht="14">
      <c r="A590" s="3"/>
      <c r="B590" s="3"/>
      <c r="C590" s="3"/>
      <c r="D590" s="3"/>
      <c r="E590" s="3"/>
      <c r="F590" s="3"/>
      <c r="G590" s="3"/>
      <c r="H590" s="3"/>
      <c r="I590" s="3"/>
      <c r="J590" s="3"/>
      <c r="K590" s="3"/>
      <c r="L590" s="3"/>
      <c r="M590" s="3"/>
      <c r="N590" s="3"/>
      <c r="O590" s="3"/>
      <c r="P590" s="3"/>
      <c r="Q590" s="3"/>
      <c r="R590" s="3"/>
      <c r="S590" s="3"/>
      <c r="T590" s="3"/>
      <c r="U590" s="3"/>
      <c r="V590" s="3"/>
      <c r="W590" s="3"/>
      <c r="X590" s="3"/>
      <c r="Z590" s="3"/>
      <c r="AA590" s="3"/>
      <c r="AB590" s="3"/>
      <c r="AC590" s="3"/>
      <c r="AD590" s="3"/>
    </row>
    <row r="591" spans="1:30" ht="14">
      <c r="A591" s="3"/>
      <c r="B591" s="3"/>
      <c r="C591" s="3"/>
      <c r="D591" s="3"/>
      <c r="E591" s="3"/>
      <c r="F591" s="3"/>
      <c r="G591" s="3"/>
      <c r="H591" s="3"/>
      <c r="I591" s="3"/>
      <c r="J591" s="3"/>
      <c r="K591" s="3"/>
      <c r="L591" s="3"/>
      <c r="M591" s="3"/>
      <c r="N591" s="3"/>
      <c r="O591" s="3"/>
      <c r="P591" s="3"/>
      <c r="Q591" s="3"/>
      <c r="R591" s="3"/>
      <c r="S591" s="3"/>
      <c r="T591" s="3"/>
      <c r="U591" s="3"/>
      <c r="V591" s="3"/>
      <c r="W591" s="3"/>
      <c r="X591" s="3"/>
      <c r="Z591" s="3"/>
      <c r="AA591" s="3"/>
      <c r="AB591" s="3"/>
      <c r="AC591" s="3"/>
      <c r="AD591" s="3"/>
    </row>
    <row r="592" spans="1:30" ht="14">
      <c r="A592" s="3"/>
      <c r="B592" s="3"/>
      <c r="C592" s="3"/>
      <c r="D592" s="3"/>
      <c r="E592" s="3"/>
      <c r="F592" s="3"/>
      <c r="G592" s="3"/>
      <c r="H592" s="3"/>
      <c r="I592" s="3"/>
      <c r="J592" s="3"/>
      <c r="K592" s="3"/>
      <c r="L592" s="3"/>
      <c r="M592" s="3"/>
      <c r="N592" s="3"/>
      <c r="O592" s="3"/>
      <c r="P592" s="3"/>
      <c r="Q592" s="3"/>
      <c r="R592" s="3"/>
      <c r="S592" s="3"/>
      <c r="T592" s="3"/>
      <c r="U592" s="3"/>
      <c r="V592" s="3"/>
      <c r="W592" s="3"/>
      <c r="X592" s="3"/>
      <c r="Z592" s="3"/>
      <c r="AA592" s="3"/>
      <c r="AB592" s="3"/>
      <c r="AC592" s="3"/>
      <c r="AD592" s="3"/>
    </row>
    <row r="593" spans="1:30" ht="14">
      <c r="A593" s="3"/>
      <c r="B593" s="3"/>
      <c r="C593" s="3"/>
      <c r="D593" s="3"/>
      <c r="E593" s="3"/>
      <c r="F593" s="3"/>
      <c r="G593" s="3"/>
      <c r="H593" s="3"/>
      <c r="I593" s="3"/>
      <c r="J593" s="3"/>
      <c r="K593" s="3"/>
      <c r="L593" s="3"/>
      <c r="M593" s="3"/>
      <c r="N593" s="3"/>
      <c r="O593" s="3"/>
      <c r="P593" s="3"/>
      <c r="Q593" s="3"/>
      <c r="R593" s="3"/>
      <c r="S593" s="3"/>
      <c r="T593" s="3"/>
      <c r="U593" s="3"/>
      <c r="V593" s="3"/>
      <c r="W593" s="3"/>
      <c r="X593" s="3"/>
      <c r="Z593" s="3"/>
      <c r="AA593" s="3"/>
      <c r="AB593" s="3"/>
      <c r="AC593" s="3"/>
      <c r="AD593" s="3"/>
    </row>
    <row r="594" spans="1:30" ht="14">
      <c r="A594" s="3"/>
      <c r="B594" s="3"/>
      <c r="C594" s="3"/>
      <c r="D594" s="3"/>
      <c r="E594" s="3"/>
      <c r="F594" s="3"/>
      <c r="G594" s="3"/>
      <c r="H594" s="3"/>
      <c r="I594" s="3"/>
      <c r="J594" s="3"/>
      <c r="K594" s="3"/>
      <c r="L594" s="3"/>
      <c r="M594" s="3"/>
      <c r="N594" s="3"/>
      <c r="O594" s="3"/>
      <c r="P594" s="3"/>
      <c r="Q594" s="3"/>
      <c r="R594" s="3"/>
      <c r="S594" s="3"/>
      <c r="T594" s="3"/>
      <c r="U594" s="3"/>
      <c r="V594" s="3"/>
      <c r="W594" s="3"/>
      <c r="X594" s="3"/>
      <c r="Z594" s="3"/>
      <c r="AA594" s="3"/>
      <c r="AB594" s="3"/>
      <c r="AC594" s="3"/>
      <c r="AD594" s="3"/>
    </row>
    <row r="595" spans="1:30" ht="14">
      <c r="A595" s="3"/>
      <c r="B595" s="3"/>
      <c r="C595" s="3"/>
      <c r="D595" s="3"/>
      <c r="E595" s="3"/>
      <c r="F595" s="3"/>
      <c r="G595" s="3"/>
      <c r="H595" s="3"/>
      <c r="I595" s="3"/>
      <c r="J595" s="3"/>
      <c r="K595" s="3"/>
      <c r="L595" s="3"/>
      <c r="M595" s="3"/>
      <c r="N595" s="3"/>
      <c r="O595" s="3"/>
      <c r="P595" s="3"/>
      <c r="Q595" s="3"/>
      <c r="R595" s="3"/>
      <c r="S595" s="3"/>
      <c r="T595" s="3"/>
      <c r="U595" s="3"/>
      <c r="V595" s="3"/>
      <c r="W595" s="3"/>
      <c r="X595" s="3"/>
      <c r="Z595" s="3"/>
      <c r="AA595" s="3"/>
      <c r="AB595" s="3"/>
      <c r="AC595" s="3"/>
      <c r="AD595" s="3"/>
    </row>
    <row r="596" spans="1:30" ht="14">
      <c r="A596" s="3"/>
      <c r="B596" s="3"/>
      <c r="C596" s="3"/>
      <c r="D596" s="3"/>
      <c r="E596" s="3"/>
      <c r="F596" s="3"/>
      <c r="G596" s="3"/>
      <c r="H596" s="3"/>
      <c r="I596" s="3"/>
      <c r="J596" s="3"/>
      <c r="K596" s="3"/>
      <c r="L596" s="3"/>
      <c r="M596" s="3"/>
      <c r="N596" s="3"/>
      <c r="O596" s="3"/>
      <c r="P596" s="3"/>
      <c r="Q596" s="3"/>
      <c r="R596" s="3"/>
      <c r="S596" s="3"/>
      <c r="T596" s="3"/>
      <c r="U596" s="3"/>
      <c r="V596" s="3"/>
      <c r="W596" s="3"/>
      <c r="X596" s="3"/>
      <c r="Z596" s="3"/>
      <c r="AA596" s="3"/>
      <c r="AB596" s="3"/>
      <c r="AC596" s="3"/>
      <c r="AD596" s="3"/>
    </row>
    <row r="597" spans="1:30" ht="14">
      <c r="A597" s="3"/>
      <c r="B597" s="3"/>
      <c r="C597" s="3"/>
      <c r="D597" s="3"/>
      <c r="E597" s="3"/>
      <c r="F597" s="3"/>
      <c r="G597" s="3"/>
      <c r="H597" s="3"/>
      <c r="I597" s="3"/>
      <c r="J597" s="3"/>
      <c r="K597" s="3"/>
      <c r="L597" s="3"/>
      <c r="M597" s="3"/>
      <c r="N597" s="3"/>
      <c r="O597" s="3"/>
      <c r="P597" s="3"/>
      <c r="Q597" s="3"/>
      <c r="R597" s="3"/>
      <c r="S597" s="3"/>
      <c r="T597" s="3"/>
      <c r="U597" s="3"/>
      <c r="V597" s="3"/>
      <c r="W597" s="3"/>
      <c r="X597" s="3"/>
      <c r="Z597" s="3"/>
      <c r="AA597" s="3"/>
      <c r="AB597" s="3"/>
      <c r="AC597" s="3"/>
      <c r="AD597" s="3"/>
    </row>
    <row r="598" spans="1:30" ht="14">
      <c r="A598" s="3"/>
      <c r="B598" s="3"/>
      <c r="C598" s="3"/>
      <c r="D598" s="3"/>
      <c r="E598" s="3"/>
      <c r="F598" s="3"/>
      <c r="G598" s="3"/>
      <c r="H598" s="3"/>
      <c r="I598" s="3"/>
      <c r="J598" s="3"/>
      <c r="K598" s="3"/>
      <c r="L598" s="3"/>
      <c r="M598" s="3"/>
      <c r="N598" s="3"/>
      <c r="O598" s="3"/>
      <c r="P598" s="3"/>
      <c r="Q598" s="3"/>
      <c r="R598" s="3"/>
      <c r="S598" s="3"/>
      <c r="T598" s="3"/>
      <c r="U598" s="3"/>
      <c r="V598" s="3"/>
      <c r="W598" s="3"/>
      <c r="X598" s="3"/>
      <c r="Z598" s="3"/>
      <c r="AA598" s="3"/>
      <c r="AB598" s="3"/>
      <c r="AC598" s="3"/>
      <c r="AD598" s="3"/>
    </row>
    <row r="599" spans="1:30" ht="14">
      <c r="A599" s="3"/>
      <c r="B599" s="3"/>
      <c r="C599" s="3"/>
      <c r="D599" s="3"/>
      <c r="E599" s="3"/>
      <c r="F599" s="3"/>
      <c r="G599" s="3"/>
      <c r="H599" s="3"/>
      <c r="I599" s="3"/>
      <c r="J599" s="3"/>
      <c r="K599" s="3"/>
      <c r="L599" s="3"/>
      <c r="M599" s="3"/>
      <c r="N599" s="3"/>
      <c r="O599" s="3"/>
      <c r="P599" s="3"/>
      <c r="Q599" s="3"/>
      <c r="R599" s="3"/>
      <c r="S599" s="3"/>
      <c r="T599" s="3"/>
      <c r="U599" s="3"/>
      <c r="V599" s="3"/>
      <c r="W599" s="3"/>
      <c r="X599" s="3"/>
      <c r="Z599" s="3"/>
      <c r="AA599" s="3"/>
      <c r="AB599" s="3"/>
      <c r="AC599" s="3"/>
      <c r="AD599" s="3"/>
    </row>
    <row r="600" spans="1:30" ht="14">
      <c r="A600" s="3"/>
      <c r="B600" s="3"/>
      <c r="C600" s="3"/>
      <c r="D600" s="3"/>
      <c r="E600" s="3"/>
      <c r="F600" s="3"/>
      <c r="G600" s="3"/>
      <c r="H600" s="3"/>
      <c r="I600" s="3"/>
      <c r="J600" s="3"/>
      <c r="K600" s="3"/>
      <c r="L600" s="3"/>
      <c r="M600" s="3"/>
      <c r="N600" s="3"/>
      <c r="O600" s="3"/>
      <c r="P600" s="3"/>
      <c r="Q600" s="3"/>
      <c r="R600" s="3"/>
      <c r="S600" s="3"/>
      <c r="T600" s="3"/>
      <c r="U600" s="3"/>
      <c r="V600" s="3"/>
      <c r="W600" s="3"/>
      <c r="X600" s="3"/>
      <c r="Z600" s="3"/>
      <c r="AA600" s="3"/>
      <c r="AB600" s="3"/>
      <c r="AC600" s="3"/>
      <c r="AD600" s="3"/>
    </row>
    <row r="601" spans="1:30" ht="14">
      <c r="A601" s="3"/>
      <c r="B601" s="3"/>
      <c r="C601" s="3"/>
      <c r="D601" s="3"/>
      <c r="E601" s="3"/>
      <c r="F601" s="3"/>
      <c r="G601" s="3"/>
      <c r="H601" s="3"/>
      <c r="I601" s="3"/>
      <c r="J601" s="3"/>
      <c r="K601" s="3"/>
      <c r="L601" s="3"/>
      <c r="M601" s="3"/>
      <c r="N601" s="3"/>
      <c r="O601" s="3"/>
      <c r="P601" s="3"/>
      <c r="Q601" s="3"/>
      <c r="R601" s="3"/>
      <c r="S601" s="3"/>
      <c r="T601" s="3"/>
      <c r="U601" s="3"/>
      <c r="V601" s="3"/>
      <c r="W601" s="3"/>
      <c r="X601" s="3"/>
      <c r="Z601" s="3"/>
      <c r="AA601" s="3"/>
      <c r="AB601" s="3"/>
      <c r="AC601" s="3"/>
      <c r="AD601" s="3"/>
    </row>
    <row r="602" spans="1:30" ht="14">
      <c r="A602" s="3"/>
      <c r="B602" s="3"/>
      <c r="C602" s="3"/>
      <c r="D602" s="3"/>
      <c r="E602" s="3"/>
      <c r="F602" s="3"/>
      <c r="G602" s="3"/>
      <c r="H602" s="3"/>
      <c r="I602" s="3"/>
      <c r="J602" s="3"/>
      <c r="K602" s="3"/>
      <c r="L602" s="3"/>
      <c r="M602" s="3"/>
      <c r="N602" s="3"/>
      <c r="O602" s="3"/>
      <c r="P602" s="3"/>
      <c r="Q602" s="3"/>
      <c r="R602" s="3"/>
      <c r="S602" s="3"/>
      <c r="T602" s="3"/>
      <c r="U602" s="3"/>
      <c r="V602" s="3"/>
      <c r="W602" s="3"/>
      <c r="X602" s="3"/>
      <c r="Z602" s="3"/>
      <c r="AA602" s="3"/>
      <c r="AB602" s="3"/>
      <c r="AC602" s="3"/>
      <c r="AD602" s="3"/>
    </row>
    <row r="603" spans="1:30" ht="14">
      <c r="A603" s="3"/>
      <c r="B603" s="3"/>
      <c r="C603" s="3"/>
      <c r="D603" s="3"/>
      <c r="E603" s="3"/>
      <c r="F603" s="3"/>
      <c r="G603" s="3"/>
      <c r="H603" s="3"/>
      <c r="I603" s="3"/>
      <c r="J603" s="3"/>
      <c r="K603" s="3"/>
      <c r="L603" s="3"/>
      <c r="M603" s="3"/>
      <c r="N603" s="3"/>
      <c r="O603" s="3"/>
      <c r="P603" s="3"/>
      <c r="Q603" s="3"/>
      <c r="R603" s="3"/>
      <c r="S603" s="3"/>
      <c r="T603" s="3"/>
      <c r="U603" s="3"/>
      <c r="V603" s="3"/>
      <c r="W603" s="3"/>
      <c r="X603" s="3"/>
      <c r="Z603" s="3"/>
      <c r="AA603" s="3"/>
      <c r="AB603" s="3"/>
      <c r="AC603" s="3"/>
      <c r="AD603" s="3"/>
    </row>
    <row r="604" spans="1:30" ht="14">
      <c r="A604" s="3"/>
      <c r="B604" s="3"/>
      <c r="C604" s="3"/>
      <c r="D604" s="3"/>
      <c r="E604" s="3"/>
      <c r="F604" s="3"/>
      <c r="G604" s="3"/>
      <c r="H604" s="3"/>
      <c r="I604" s="3"/>
      <c r="J604" s="3"/>
      <c r="K604" s="3"/>
      <c r="L604" s="3"/>
      <c r="M604" s="3"/>
      <c r="N604" s="3"/>
      <c r="O604" s="3"/>
      <c r="P604" s="3"/>
      <c r="Q604" s="3"/>
      <c r="R604" s="3"/>
      <c r="S604" s="3"/>
      <c r="T604" s="3"/>
      <c r="U604" s="3"/>
      <c r="V604" s="3"/>
      <c r="W604" s="3"/>
      <c r="X604" s="3"/>
      <c r="Z604" s="3"/>
      <c r="AA604" s="3"/>
      <c r="AB604" s="3"/>
      <c r="AC604" s="3"/>
      <c r="AD604" s="3"/>
    </row>
    <row r="605" spans="1:30" ht="14">
      <c r="A605" s="3"/>
      <c r="B605" s="3"/>
      <c r="C605" s="3"/>
      <c r="D605" s="3"/>
      <c r="E605" s="3"/>
      <c r="F605" s="3"/>
      <c r="G605" s="3"/>
      <c r="H605" s="3"/>
      <c r="I605" s="3"/>
      <c r="J605" s="3"/>
      <c r="K605" s="3"/>
      <c r="L605" s="3"/>
      <c r="M605" s="3"/>
      <c r="N605" s="3"/>
      <c r="O605" s="3"/>
      <c r="P605" s="3"/>
      <c r="Q605" s="3"/>
      <c r="R605" s="3"/>
      <c r="S605" s="3"/>
      <c r="T605" s="3"/>
      <c r="U605" s="3"/>
      <c r="V605" s="3"/>
      <c r="W605" s="3"/>
      <c r="X605" s="3"/>
      <c r="Z605" s="3"/>
      <c r="AA605" s="3"/>
      <c r="AB605" s="3"/>
      <c r="AC605" s="3"/>
      <c r="AD605" s="3"/>
    </row>
    <row r="606" spans="1:30" ht="14">
      <c r="A606" s="3"/>
      <c r="B606" s="3"/>
      <c r="C606" s="3"/>
      <c r="D606" s="3"/>
      <c r="E606" s="3"/>
      <c r="F606" s="3"/>
      <c r="G606" s="3"/>
      <c r="H606" s="3"/>
      <c r="I606" s="3"/>
      <c r="J606" s="3"/>
      <c r="K606" s="3"/>
      <c r="L606" s="3"/>
      <c r="M606" s="3"/>
      <c r="N606" s="3"/>
      <c r="O606" s="3"/>
      <c r="P606" s="3"/>
      <c r="Q606" s="3"/>
      <c r="R606" s="3"/>
      <c r="S606" s="3"/>
      <c r="T606" s="3"/>
      <c r="U606" s="3"/>
      <c r="V606" s="3"/>
      <c r="W606" s="3"/>
      <c r="X606" s="3"/>
      <c r="Z606" s="3"/>
      <c r="AA606" s="3"/>
      <c r="AB606" s="3"/>
      <c r="AC606" s="3"/>
      <c r="AD606" s="3"/>
    </row>
    <row r="607" spans="1:30" ht="14">
      <c r="A607" s="3"/>
      <c r="B607" s="3"/>
      <c r="C607" s="3"/>
      <c r="D607" s="3"/>
      <c r="E607" s="3"/>
      <c r="F607" s="3"/>
      <c r="G607" s="3"/>
      <c r="H607" s="3"/>
      <c r="I607" s="3"/>
      <c r="J607" s="3"/>
      <c r="K607" s="3"/>
      <c r="L607" s="3"/>
      <c r="M607" s="3"/>
      <c r="N607" s="3"/>
      <c r="O607" s="3"/>
      <c r="P607" s="3"/>
      <c r="Q607" s="3"/>
      <c r="R607" s="3"/>
      <c r="S607" s="3"/>
      <c r="T607" s="3"/>
      <c r="U607" s="3"/>
      <c r="V607" s="3"/>
      <c r="W607" s="3"/>
      <c r="X607" s="3"/>
      <c r="Z607" s="3"/>
      <c r="AA607" s="3"/>
      <c r="AB607" s="3"/>
      <c r="AC607" s="3"/>
      <c r="AD607" s="3"/>
    </row>
    <row r="608" spans="1:30" ht="14">
      <c r="A608" s="3"/>
      <c r="B608" s="3"/>
      <c r="C608" s="3"/>
      <c r="D608" s="3"/>
      <c r="E608" s="3"/>
      <c r="F608" s="3"/>
      <c r="G608" s="3"/>
      <c r="H608" s="3"/>
      <c r="I608" s="3"/>
      <c r="J608" s="3"/>
      <c r="K608" s="3"/>
      <c r="L608" s="3"/>
      <c r="M608" s="3"/>
      <c r="N608" s="3"/>
      <c r="O608" s="3"/>
      <c r="P608" s="3"/>
      <c r="Q608" s="3"/>
      <c r="R608" s="3"/>
      <c r="S608" s="3"/>
      <c r="T608" s="3"/>
      <c r="U608" s="3"/>
      <c r="V608" s="3"/>
      <c r="W608" s="3"/>
      <c r="X608" s="3"/>
      <c r="Z608" s="3"/>
      <c r="AA608" s="3"/>
      <c r="AB608" s="3"/>
      <c r="AC608" s="3"/>
      <c r="AD608" s="3"/>
    </row>
    <row r="609" spans="1:30" ht="14">
      <c r="A609" s="3"/>
      <c r="B609" s="3"/>
      <c r="C609" s="3"/>
      <c r="D609" s="3"/>
      <c r="E609" s="3"/>
      <c r="F609" s="3"/>
      <c r="G609" s="3"/>
      <c r="H609" s="3"/>
      <c r="I609" s="3"/>
      <c r="J609" s="3"/>
      <c r="K609" s="3"/>
      <c r="L609" s="3"/>
      <c r="M609" s="3"/>
      <c r="N609" s="3"/>
      <c r="O609" s="3"/>
      <c r="P609" s="3"/>
      <c r="Q609" s="3"/>
      <c r="R609" s="3"/>
      <c r="S609" s="3"/>
      <c r="T609" s="3"/>
      <c r="U609" s="3"/>
      <c r="V609" s="3"/>
      <c r="W609" s="3"/>
      <c r="X609" s="3"/>
      <c r="Z609" s="3"/>
      <c r="AA609" s="3"/>
      <c r="AB609" s="3"/>
      <c r="AC609" s="3"/>
      <c r="AD609" s="3"/>
    </row>
    <row r="610" spans="1:30" ht="14">
      <c r="A610" s="3"/>
      <c r="B610" s="3"/>
      <c r="C610" s="3"/>
      <c r="D610" s="3"/>
      <c r="E610" s="3"/>
      <c r="F610" s="3"/>
      <c r="G610" s="3"/>
      <c r="H610" s="3"/>
      <c r="I610" s="3"/>
      <c r="J610" s="3"/>
      <c r="K610" s="3"/>
      <c r="L610" s="3"/>
      <c r="M610" s="3"/>
      <c r="N610" s="3"/>
      <c r="O610" s="3"/>
      <c r="P610" s="3"/>
      <c r="Q610" s="3"/>
      <c r="R610" s="3"/>
      <c r="S610" s="3"/>
      <c r="T610" s="3"/>
      <c r="U610" s="3"/>
      <c r="V610" s="3"/>
      <c r="W610" s="3"/>
      <c r="X610" s="3"/>
      <c r="Z610" s="3"/>
      <c r="AA610" s="3"/>
      <c r="AB610" s="3"/>
      <c r="AC610" s="3"/>
      <c r="AD610" s="3"/>
    </row>
    <row r="611" spans="1:30" ht="14">
      <c r="A611" s="3"/>
      <c r="B611" s="3"/>
      <c r="C611" s="3"/>
      <c r="D611" s="3"/>
      <c r="E611" s="3"/>
      <c r="F611" s="3"/>
      <c r="G611" s="3"/>
      <c r="H611" s="3"/>
      <c r="I611" s="3"/>
      <c r="J611" s="3"/>
      <c r="K611" s="3"/>
      <c r="L611" s="3"/>
      <c r="M611" s="3"/>
      <c r="N611" s="3"/>
      <c r="O611" s="3"/>
      <c r="P611" s="3"/>
      <c r="Q611" s="3"/>
      <c r="R611" s="3"/>
      <c r="S611" s="3"/>
      <c r="T611" s="3"/>
      <c r="U611" s="3"/>
      <c r="V611" s="3"/>
      <c r="W611" s="3"/>
      <c r="X611" s="3"/>
      <c r="Z611" s="3"/>
      <c r="AA611" s="3"/>
      <c r="AB611" s="3"/>
      <c r="AC611" s="3"/>
      <c r="AD611" s="3"/>
    </row>
    <row r="612" spans="1:30" ht="14">
      <c r="A612" s="3"/>
      <c r="B612" s="3"/>
      <c r="C612" s="3"/>
      <c r="D612" s="3"/>
      <c r="E612" s="3"/>
      <c r="F612" s="3"/>
      <c r="G612" s="3"/>
      <c r="H612" s="3"/>
      <c r="I612" s="3"/>
      <c r="J612" s="3"/>
      <c r="K612" s="3"/>
      <c r="L612" s="3"/>
      <c r="M612" s="3"/>
      <c r="N612" s="3"/>
      <c r="O612" s="3"/>
      <c r="P612" s="3"/>
      <c r="Q612" s="3"/>
      <c r="R612" s="3"/>
      <c r="S612" s="3"/>
      <c r="T612" s="3"/>
      <c r="U612" s="3"/>
      <c r="V612" s="3"/>
      <c r="W612" s="3"/>
      <c r="X612" s="3"/>
      <c r="Z612" s="3"/>
      <c r="AA612" s="3"/>
      <c r="AB612" s="3"/>
      <c r="AC612" s="3"/>
      <c r="AD612" s="3"/>
    </row>
    <row r="613" spans="1:30" ht="14">
      <c r="A613" s="3"/>
      <c r="B613" s="3"/>
      <c r="C613" s="3"/>
      <c r="D613" s="3"/>
      <c r="E613" s="3"/>
      <c r="F613" s="3"/>
      <c r="G613" s="3"/>
      <c r="H613" s="3"/>
      <c r="I613" s="3"/>
      <c r="J613" s="3"/>
      <c r="K613" s="3"/>
      <c r="L613" s="3"/>
      <c r="M613" s="3"/>
      <c r="N613" s="3"/>
      <c r="O613" s="3"/>
      <c r="P613" s="3"/>
      <c r="Q613" s="3"/>
      <c r="R613" s="3"/>
      <c r="S613" s="3"/>
      <c r="T613" s="3"/>
      <c r="U613" s="3"/>
      <c r="V613" s="3"/>
      <c r="W613" s="3"/>
      <c r="X613" s="3"/>
      <c r="Z613" s="3"/>
      <c r="AA613" s="3"/>
      <c r="AB613" s="3"/>
      <c r="AC613" s="3"/>
      <c r="AD613" s="3"/>
    </row>
    <row r="614" spans="1:30" ht="14">
      <c r="A614" s="3"/>
      <c r="B614" s="3"/>
      <c r="C614" s="3"/>
      <c r="D614" s="3"/>
      <c r="E614" s="3"/>
      <c r="F614" s="3"/>
      <c r="G614" s="3"/>
      <c r="H614" s="3"/>
      <c r="I614" s="3"/>
      <c r="J614" s="3"/>
      <c r="K614" s="3"/>
      <c r="L614" s="3"/>
      <c r="M614" s="3"/>
      <c r="N614" s="3"/>
      <c r="O614" s="3"/>
      <c r="P614" s="3"/>
      <c r="Q614" s="3"/>
      <c r="R614" s="3"/>
      <c r="S614" s="3"/>
      <c r="T614" s="3"/>
      <c r="U614" s="3"/>
      <c r="V614" s="3"/>
      <c r="W614" s="3"/>
      <c r="X614" s="3"/>
      <c r="Z614" s="3"/>
      <c r="AA614" s="3"/>
      <c r="AB614" s="3"/>
      <c r="AC614" s="3"/>
      <c r="AD614" s="3"/>
    </row>
    <row r="615" spans="1:30" ht="14">
      <c r="A615" s="3"/>
      <c r="B615" s="3"/>
      <c r="C615" s="3"/>
      <c r="D615" s="3"/>
      <c r="E615" s="3"/>
      <c r="F615" s="3"/>
      <c r="G615" s="3"/>
      <c r="H615" s="3"/>
      <c r="I615" s="3"/>
      <c r="J615" s="3"/>
      <c r="K615" s="3"/>
      <c r="L615" s="3"/>
      <c r="M615" s="3"/>
      <c r="N615" s="3"/>
      <c r="O615" s="3"/>
      <c r="P615" s="3"/>
      <c r="Q615" s="3"/>
      <c r="R615" s="3"/>
      <c r="S615" s="3"/>
      <c r="T615" s="3"/>
      <c r="U615" s="3"/>
      <c r="V615" s="3"/>
      <c r="W615" s="3"/>
      <c r="X615" s="3"/>
      <c r="Z615" s="3"/>
      <c r="AA615" s="3"/>
      <c r="AB615" s="3"/>
      <c r="AC615" s="3"/>
      <c r="AD615" s="3"/>
    </row>
    <row r="616" spans="1:30" ht="14">
      <c r="A616" s="3"/>
      <c r="B616" s="3"/>
      <c r="C616" s="3"/>
      <c r="D616" s="3"/>
      <c r="E616" s="3"/>
      <c r="F616" s="3"/>
      <c r="G616" s="3"/>
      <c r="H616" s="3"/>
      <c r="I616" s="3"/>
      <c r="J616" s="3"/>
      <c r="K616" s="3"/>
      <c r="L616" s="3"/>
      <c r="M616" s="3"/>
      <c r="N616" s="3"/>
      <c r="O616" s="3"/>
      <c r="P616" s="3"/>
      <c r="Q616" s="3"/>
      <c r="R616" s="3"/>
      <c r="S616" s="3"/>
      <c r="T616" s="3"/>
      <c r="U616" s="3"/>
      <c r="V616" s="3"/>
      <c r="W616" s="3"/>
      <c r="X616" s="3"/>
      <c r="Z616" s="3"/>
      <c r="AA616" s="3"/>
      <c r="AB616" s="3"/>
      <c r="AC616" s="3"/>
      <c r="AD616" s="3"/>
    </row>
    <row r="617" spans="1:30" ht="14">
      <c r="A617" s="3"/>
      <c r="B617" s="3"/>
      <c r="C617" s="3"/>
      <c r="D617" s="3"/>
      <c r="E617" s="3"/>
      <c r="F617" s="3"/>
      <c r="G617" s="3"/>
      <c r="H617" s="3"/>
      <c r="I617" s="3"/>
      <c r="J617" s="3"/>
      <c r="K617" s="3"/>
      <c r="L617" s="3"/>
      <c r="M617" s="3"/>
      <c r="N617" s="3"/>
      <c r="O617" s="3"/>
      <c r="P617" s="3"/>
      <c r="Q617" s="3"/>
      <c r="R617" s="3"/>
      <c r="S617" s="3"/>
      <c r="T617" s="3"/>
      <c r="U617" s="3"/>
      <c r="V617" s="3"/>
      <c r="W617" s="3"/>
      <c r="X617" s="3"/>
      <c r="Z617" s="3"/>
      <c r="AA617" s="3"/>
      <c r="AB617" s="3"/>
      <c r="AC617" s="3"/>
      <c r="AD617" s="3"/>
    </row>
    <row r="618" spans="1:30" ht="14">
      <c r="A618" s="3"/>
      <c r="B618" s="3"/>
      <c r="C618" s="3"/>
      <c r="D618" s="3"/>
      <c r="E618" s="3"/>
      <c r="F618" s="3"/>
      <c r="G618" s="3"/>
      <c r="H618" s="3"/>
      <c r="I618" s="3"/>
      <c r="J618" s="3"/>
      <c r="K618" s="3"/>
      <c r="L618" s="3"/>
      <c r="M618" s="3"/>
      <c r="N618" s="3"/>
      <c r="O618" s="3"/>
      <c r="P618" s="3"/>
      <c r="Q618" s="3"/>
      <c r="R618" s="3"/>
      <c r="S618" s="3"/>
      <c r="T618" s="3"/>
      <c r="U618" s="3"/>
      <c r="V618" s="3"/>
      <c r="W618" s="3"/>
      <c r="X618" s="3"/>
      <c r="Z618" s="3"/>
      <c r="AA618" s="3"/>
      <c r="AB618" s="3"/>
      <c r="AC618" s="3"/>
      <c r="AD618" s="3"/>
    </row>
    <row r="619" spans="1:30" ht="14">
      <c r="A619" s="3"/>
      <c r="B619" s="3"/>
      <c r="C619" s="3"/>
      <c r="D619" s="3"/>
      <c r="E619" s="3"/>
      <c r="F619" s="3"/>
      <c r="G619" s="3"/>
      <c r="H619" s="3"/>
      <c r="I619" s="3"/>
      <c r="J619" s="3"/>
      <c r="K619" s="3"/>
      <c r="L619" s="3"/>
      <c r="M619" s="3"/>
      <c r="N619" s="3"/>
      <c r="O619" s="3"/>
      <c r="P619" s="3"/>
      <c r="Q619" s="3"/>
      <c r="R619" s="3"/>
      <c r="S619" s="3"/>
      <c r="T619" s="3"/>
      <c r="U619" s="3"/>
      <c r="V619" s="3"/>
      <c r="W619" s="3"/>
      <c r="X619" s="3"/>
      <c r="Z619" s="3"/>
      <c r="AA619" s="3"/>
      <c r="AB619" s="3"/>
      <c r="AC619" s="3"/>
      <c r="AD619" s="3"/>
    </row>
    <row r="620" spans="1:30" ht="14">
      <c r="A620" s="3"/>
      <c r="B620" s="3"/>
      <c r="C620" s="3"/>
      <c r="D620" s="3"/>
      <c r="E620" s="3"/>
      <c r="F620" s="3"/>
      <c r="G620" s="3"/>
      <c r="H620" s="3"/>
      <c r="I620" s="3"/>
      <c r="J620" s="3"/>
      <c r="K620" s="3"/>
      <c r="L620" s="3"/>
      <c r="M620" s="3"/>
      <c r="N620" s="3"/>
      <c r="O620" s="3"/>
      <c r="P620" s="3"/>
      <c r="Q620" s="3"/>
      <c r="R620" s="3"/>
      <c r="S620" s="3"/>
      <c r="T620" s="3"/>
      <c r="U620" s="3"/>
      <c r="V620" s="3"/>
      <c r="W620" s="3"/>
      <c r="X620" s="3"/>
      <c r="Z620" s="3"/>
      <c r="AA620" s="3"/>
      <c r="AB620" s="3"/>
      <c r="AC620" s="3"/>
      <c r="AD620" s="3"/>
    </row>
    <row r="621" spans="1:30" ht="14">
      <c r="A621" s="3"/>
      <c r="B621" s="3"/>
      <c r="C621" s="3"/>
      <c r="D621" s="3"/>
      <c r="E621" s="3"/>
      <c r="F621" s="3"/>
      <c r="G621" s="3"/>
      <c r="H621" s="3"/>
      <c r="I621" s="3"/>
      <c r="J621" s="3"/>
      <c r="K621" s="3"/>
      <c r="L621" s="3"/>
      <c r="M621" s="3"/>
      <c r="N621" s="3"/>
      <c r="O621" s="3"/>
      <c r="P621" s="3"/>
      <c r="Q621" s="3"/>
      <c r="R621" s="3"/>
      <c r="S621" s="3"/>
      <c r="T621" s="3"/>
      <c r="U621" s="3"/>
      <c r="V621" s="3"/>
      <c r="W621" s="3"/>
      <c r="X621" s="3"/>
      <c r="Z621" s="3"/>
      <c r="AA621" s="3"/>
      <c r="AB621" s="3"/>
      <c r="AC621" s="3"/>
      <c r="AD621" s="3"/>
    </row>
    <row r="622" spans="1:30" ht="14">
      <c r="A622" s="3"/>
      <c r="B622" s="3"/>
      <c r="C622" s="3"/>
      <c r="D622" s="3"/>
      <c r="E622" s="3"/>
      <c r="F622" s="3"/>
      <c r="G622" s="3"/>
      <c r="H622" s="3"/>
      <c r="I622" s="3"/>
      <c r="J622" s="3"/>
      <c r="K622" s="3"/>
      <c r="L622" s="3"/>
      <c r="M622" s="3"/>
      <c r="N622" s="3"/>
      <c r="O622" s="3"/>
      <c r="P622" s="3"/>
      <c r="Q622" s="3"/>
      <c r="R622" s="3"/>
      <c r="S622" s="3"/>
      <c r="T622" s="3"/>
      <c r="U622" s="3"/>
      <c r="V622" s="3"/>
      <c r="W622" s="3"/>
      <c r="X622" s="3"/>
      <c r="Z622" s="3"/>
      <c r="AA622" s="3"/>
      <c r="AB622" s="3"/>
      <c r="AC622" s="3"/>
      <c r="AD622" s="3"/>
    </row>
    <row r="623" spans="1:30" ht="14">
      <c r="A623" s="3"/>
      <c r="B623" s="3"/>
      <c r="C623" s="3"/>
      <c r="D623" s="3"/>
      <c r="E623" s="3"/>
      <c r="F623" s="3"/>
      <c r="G623" s="3"/>
      <c r="H623" s="3"/>
      <c r="I623" s="3"/>
      <c r="J623" s="3"/>
      <c r="K623" s="3"/>
      <c r="L623" s="3"/>
      <c r="M623" s="3"/>
      <c r="N623" s="3"/>
      <c r="O623" s="3"/>
      <c r="P623" s="3"/>
      <c r="Q623" s="3"/>
      <c r="R623" s="3"/>
      <c r="S623" s="3"/>
      <c r="T623" s="3"/>
      <c r="U623" s="3"/>
      <c r="V623" s="3"/>
      <c r="W623" s="3"/>
      <c r="X623" s="3"/>
      <c r="Z623" s="3"/>
      <c r="AA623" s="3"/>
      <c r="AB623" s="3"/>
      <c r="AC623" s="3"/>
      <c r="AD623" s="3"/>
    </row>
    <row r="624" spans="1:30" ht="14">
      <c r="A624" s="3"/>
      <c r="B624" s="3"/>
      <c r="C624" s="3"/>
      <c r="D624" s="3"/>
      <c r="E624" s="3"/>
      <c r="F624" s="3"/>
      <c r="G624" s="3"/>
      <c r="H624" s="3"/>
      <c r="I624" s="3"/>
      <c r="J624" s="3"/>
      <c r="K624" s="3"/>
      <c r="L624" s="3"/>
      <c r="M624" s="3"/>
      <c r="N624" s="3"/>
      <c r="O624" s="3"/>
      <c r="P624" s="3"/>
      <c r="Q624" s="3"/>
      <c r="R624" s="3"/>
      <c r="S624" s="3"/>
      <c r="T624" s="3"/>
      <c r="U624" s="3"/>
      <c r="V624" s="3"/>
      <c r="W624" s="3"/>
      <c r="X624" s="3"/>
      <c r="Z624" s="3"/>
      <c r="AA624" s="3"/>
      <c r="AB624" s="3"/>
      <c r="AC624" s="3"/>
      <c r="AD624" s="3"/>
    </row>
    <row r="625" spans="1:30" ht="14">
      <c r="A625" s="3"/>
      <c r="B625" s="3"/>
      <c r="C625" s="3"/>
      <c r="D625" s="3"/>
      <c r="E625" s="3"/>
      <c r="F625" s="3"/>
      <c r="G625" s="3"/>
      <c r="H625" s="3"/>
      <c r="I625" s="3"/>
      <c r="J625" s="3"/>
      <c r="K625" s="3"/>
      <c r="L625" s="3"/>
      <c r="M625" s="3"/>
      <c r="N625" s="3"/>
      <c r="O625" s="3"/>
      <c r="P625" s="3"/>
      <c r="Q625" s="3"/>
      <c r="R625" s="3"/>
      <c r="S625" s="3"/>
      <c r="T625" s="3"/>
      <c r="U625" s="3"/>
      <c r="V625" s="3"/>
      <c r="W625" s="3"/>
      <c r="X625" s="3"/>
      <c r="Z625" s="3"/>
      <c r="AA625" s="3"/>
      <c r="AB625" s="3"/>
      <c r="AC625" s="3"/>
      <c r="AD625" s="3"/>
    </row>
    <row r="626" spans="1:30" ht="14">
      <c r="A626" s="3"/>
      <c r="B626" s="3"/>
      <c r="C626" s="3"/>
      <c r="D626" s="3"/>
      <c r="E626" s="3"/>
      <c r="F626" s="3"/>
      <c r="G626" s="3"/>
      <c r="H626" s="3"/>
      <c r="I626" s="3"/>
      <c r="J626" s="3"/>
      <c r="K626" s="3"/>
      <c r="L626" s="3"/>
      <c r="M626" s="3"/>
      <c r="N626" s="3"/>
      <c r="O626" s="3"/>
      <c r="P626" s="3"/>
      <c r="Q626" s="3"/>
      <c r="R626" s="3"/>
      <c r="S626" s="3"/>
      <c r="T626" s="3"/>
      <c r="U626" s="3"/>
      <c r="V626" s="3"/>
      <c r="W626" s="3"/>
      <c r="X626" s="3"/>
      <c r="Z626" s="3"/>
      <c r="AA626" s="3"/>
      <c r="AB626" s="3"/>
      <c r="AC626" s="3"/>
      <c r="AD626" s="3"/>
    </row>
    <row r="627" spans="1:30" ht="14">
      <c r="A627" s="3"/>
      <c r="B627" s="3"/>
      <c r="C627" s="3"/>
      <c r="D627" s="3"/>
      <c r="E627" s="3"/>
      <c r="F627" s="3"/>
      <c r="G627" s="3"/>
      <c r="H627" s="3"/>
      <c r="I627" s="3"/>
      <c r="J627" s="3"/>
      <c r="K627" s="3"/>
      <c r="L627" s="3"/>
      <c r="M627" s="3"/>
      <c r="N627" s="3"/>
      <c r="O627" s="3"/>
      <c r="P627" s="3"/>
      <c r="Q627" s="3"/>
      <c r="R627" s="3"/>
      <c r="S627" s="3"/>
      <c r="T627" s="3"/>
      <c r="U627" s="3"/>
      <c r="V627" s="3"/>
      <c r="W627" s="3"/>
      <c r="X627" s="3"/>
      <c r="Z627" s="3"/>
      <c r="AA627" s="3"/>
      <c r="AB627" s="3"/>
      <c r="AC627" s="3"/>
      <c r="AD627" s="3"/>
    </row>
    <row r="628" spans="1:30" ht="14">
      <c r="A628" s="3"/>
      <c r="B628" s="3"/>
      <c r="C628" s="3"/>
      <c r="D628" s="3"/>
      <c r="E628" s="3"/>
      <c r="F628" s="3"/>
      <c r="G628" s="3"/>
      <c r="H628" s="3"/>
      <c r="I628" s="3"/>
      <c r="J628" s="3"/>
      <c r="K628" s="3"/>
      <c r="L628" s="3"/>
      <c r="M628" s="3"/>
      <c r="N628" s="3"/>
      <c r="O628" s="3"/>
      <c r="P628" s="3"/>
      <c r="Q628" s="3"/>
      <c r="R628" s="3"/>
      <c r="S628" s="3"/>
      <c r="T628" s="3"/>
      <c r="U628" s="3"/>
      <c r="V628" s="3"/>
      <c r="W628" s="3"/>
      <c r="X628" s="3"/>
      <c r="Z628" s="3"/>
      <c r="AA628" s="3"/>
      <c r="AB628" s="3"/>
      <c r="AC628" s="3"/>
      <c r="AD628" s="3"/>
    </row>
    <row r="629" spans="1:30" ht="14">
      <c r="A629" s="3"/>
      <c r="B629" s="3"/>
      <c r="C629" s="3"/>
      <c r="D629" s="3"/>
      <c r="E629" s="3"/>
      <c r="F629" s="3"/>
      <c r="G629" s="3"/>
      <c r="H629" s="3"/>
      <c r="I629" s="3"/>
      <c r="J629" s="3"/>
      <c r="K629" s="3"/>
      <c r="L629" s="3"/>
      <c r="M629" s="3"/>
      <c r="N629" s="3"/>
      <c r="O629" s="3"/>
      <c r="P629" s="3"/>
      <c r="Q629" s="3"/>
      <c r="R629" s="3"/>
      <c r="S629" s="3"/>
      <c r="T629" s="3"/>
      <c r="U629" s="3"/>
      <c r="V629" s="3"/>
      <c r="W629" s="3"/>
      <c r="X629" s="3"/>
      <c r="Z629" s="3"/>
      <c r="AA629" s="3"/>
      <c r="AB629" s="3"/>
      <c r="AC629" s="3"/>
      <c r="AD629" s="3"/>
    </row>
    <row r="630" spans="1:30" ht="14">
      <c r="A630" s="3"/>
      <c r="B630" s="3"/>
      <c r="C630" s="3"/>
      <c r="D630" s="3"/>
      <c r="E630" s="3"/>
      <c r="F630" s="3"/>
      <c r="G630" s="3"/>
      <c r="H630" s="3"/>
      <c r="I630" s="3"/>
      <c r="J630" s="3"/>
      <c r="K630" s="3"/>
      <c r="L630" s="3"/>
      <c r="M630" s="3"/>
      <c r="N630" s="3"/>
      <c r="O630" s="3"/>
      <c r="P630" s="3"/>
      <c r="Q630" s="3"/>
      <c r="R630" s="3"/>
      <c r="S630" s="3"/>
      <c r="T630" s="3"/>
      <c r="U630" s="3"/>
      <c r="V630" s="3"/>
      <c r="W630" s="3"/>
      <c r="X630" s="3"/>
      <c r="Z630" s="3"/>
      <c r="AA630" s="3"/>
      <c r="AB630" s="3"/>
      <c r="AC630" s="3"/>
      <c r="AD630" s="3"/>
    </row>
    <row r="631" spans="1:30" ht="14">
      <c r="A631" s="3"/>
      <c r="B631" s="3"/>
      <c r="C631" s="3"/>
      <c r="D631" s="3"/>
      <c r="E631" s="3"/>
      <c r="F631" s="3"/>
      <c r="G631" s="3"/>
      <c r="H631" s="3"/>
      <c r="I631" s="3"/>
      <c r="J631" s="3"/>
      <c r="K631" s="3"/>
      <c r="L631" s="3"/>
      <c r="M631" s="3"/>
      <c r="N631" s="3"/>
      <c r="O631" s="3"/>
      <c r="P631" s="3"/>
      <c r="Q631" s="3"/>
      <c r="R631" s="3"/>
      <c r="S631" s="3"/>
      <c r="T631" s="3"/>
      <c r="U631" s="3"/>
      <c r="V631" s="3"/>
      <c r="W631" s="3"/>
      <c r="X631" s="3"/>
      <c r="Z631" s="3"/>
      <c r="AA631" s="3"/>
      <c r="AB631" s="3"/>
      <c r="AC631" s="3"/>
      <c r="AD631" s="3"/>
    </row>
    <row r="632" spans="1:30" ht="14">
      <c r="A632" s="3"/>
      <c r="B632" s="3"/>
      <c r="C632" s="3"/>
      <c r="D632" s="3"/>
      <c r="E632" s="3"/>
      <c r="F632" s="3"/>
      <c r="G632" s="3"/>
      <c r="H632" s="3"/>
      <c r="I632" s="3"/>
      <c r="J632" s="3"/>
      <c r="K632" s="3"/>
      <c r="L632" s="3"/>
      <c r="M632" s="3"/>
      <c r="N632" s="3"/>
      <c r="O632" s="3"/>
      <c r="P632" s="3"/>
      <c r="Q632" s="3"/>
      <c r="R632" s="3"/>
      <c r="S632" s="3"/>
      <c r="T632" s="3"/>
      <c r="U632" s="3"/>
      <c r="V632" s="3"/>
      <c r="W632" s="3"/>
      <c r="X632" s="3"/>
      <c r="Z632" s="3"/>
      <c r="AA632" s="3"/>
      <c r="AB632" s="3"/>
      <c r="AC632" s="3"/>
      <c r="AD632" s="3"/>
    </row>
    <row r="633" spans="1:30" ht="14">
      <c r="A633" s="3"/>
      <c r="B633" s="3"/>
      <c r="C633" s="3"/>
      <c r="D633" s="3"/>
      <c r="E633" s="3"/>
      <c r="F633" s="3"/>
      <c r="G633" s="3"/>
      <c r="H633" s="3"/>
      <c r="I633" s="3"/>
      <c r="J633" s="3"/>
      <c r="K633" s="3"/>
      <c r="L633" s="3"/>
      <c r="M633" s="3"/>
      <c r="N633" s="3"/>
      <c r="O633" s="3"/>
      <c r="P633" s="3"/>
      <c r="Q633" s="3"/>
      <c r="R633" s="3"/>
      <c r="S633" s="3"/>
      <c r="T633" s="3"/>
      <c r="U633" s="3"/>
      <c r="V633" s="3"/>
      <c r="W633" s="3"/>
      <c r="X633" s="3"/>
      <c r="Z633" s="3"/>
      <c r="AA633" s="3"/>
      <c r="AB633" s="3"/>
      <c r="AC633" s="3"/>
      <c r="AD633" s="3"/>
    </row>
    <row r="634" spans="1:30" ht="14">
      <c r="A634" s="3"/>
      <c r="B634" s="3"/>
      <c r="C634" s="3"/>
      <c r="D634" s="3"/>
      <c r="E634" s="3"/>
      <c r="F634" s="3"/>
      <c r="G634" s="3"/>
      <c r="H634" s="3"/>
      <c r="I634" s="3"/>
      <c r="J634" s="3"/>
      <c r="K634" s="3"/>
      <c r="L634" s="3"/>
      <c r="M634" s="3"/>
      <c r="N634" s="3"/>
      <c r="O634" s="3"/>
      <c r="P634" s="3"/>
      <c r="Q634" s="3"/>
      <c r="R634" s="3"/>
      <c r="S634" s="3"/>
      <c r="T634" s="3"/>
      <c r="U634" s="3"/>
      <c r="V634" s="3"/>
      <c r="W634" s="3"/>
      <c r="X634" s="3"/>
      <c r="Z634" s="3"/>
      <c r="AA634" s="3"/>
      <c r="AB634" s="3"/>
      <c r="AC634" s="3"/>
      <c r="AD634" s="3"/>
    </row>
    <row r="635" spans="1:30" ht="14">
      <c r="A635" s="3"/>
      <c r="B635" s="3"/>
      <c r="C635" s="3"/>
      <c r="D635" s="3"/>
      <c r="E635" s="3"/>
      <c r="F635" s="3"/>
      <c r="G635" s="3"/>
      <c r="H635" s="3"/>
      <c r="I635" s="3"/>
      <c r="J635" s="3"/>
      <c r="K635" s="3"/>
      <c r="L635" s="3"/>
      <c r="M635" s="3"/>
      <c r="N635" s="3"/>
      <c r="O635" s="3"/>
      <c r="P635" s="3"/>
      <c r="Q635" s="3"/>
      <c r="R635" s="3"/>
      <c r="S635" s="3"/>
      <c r="T635" s="3"/>
      <c r="U635" s="3"/>
      <c r="V635" s="3"/>
      <c r="W635" s="3"/>
      <c r="X635" s="3"/>
      <c r="Z635" s="3"/>
      <c r="AA635" s="3"/>
      <c r="AB635" s="3"/>
      <c r="AC635" s="3"/>
      <c r="AD635" s="3"/>
    </row>
    <row r="636" spans="1:30" ht="14">
      <c r="A636" s="3"/>
      <c r="B636" s="3"/>
      <c r="C636" s="3"/>
      <c r="D636" s="3"/>
      <c r="E636" s="3"/>
      <c r="F636" s="3"/>
      <c r="G636" s="3"/>
      <c r="H636" s="3"/>
      <c r="I636" s="3"/>
      <c r="J636" s="3"/>
      <c r="K636" s="3"/>
      <c r="L636" s="3"/>
      <c r="M636" s="3"/>
      <c r="N636" s="3"/>
      <c r="O636" s="3"/>
      <c r="P636" s="3"/>
      <c r="Q636" s="3"/>
      <c r="R636" s="3"/>
      <c r="S636" s="3"/>
      <c r="T636" s="3"/>
      <c r="U636" s="3"/>
      <c r="V636" s="3"/>
      <c r="W636" s="3"/>
      <c r="X636" s="3"/>
      <c r="Z636" s="3"/>
      <c r="AA636" s="3"/>
      <c r="AB636" s="3"/>
      <c r="AC636" s="3"/>
      <c r="AD636" s="3"/>
    </row>
    <row r="637" spans="1:30" ht="14">
      <c r="A637" s="3"/>
      <c r="B637" s="3"/>
      <c r="C637" s="3"/>
      <c r="D637" s="3"/>
      <c r="E637" s="3"/>
      <c r="F637" s="3"/>
      <c r="G637" s="3"/>
      <c r="H637" s="3"/>
      <c r="I637" s="3"/>
      <c r="J637" s="3"/>
      <c r="K637" s="3"/>
      <c r="L637" s="3"/>
      <c r="M637" s="3"/>
      <c r="N637" s="3"/>
      <c r="O637" s="3"/>
      <c r="P637" s="3"/>
      <c r="Q637" s="3"/>
      <c r="R637" s="3"/>
      <c r="S637" s="3"/>
      <c r="T637" s="3"/>
      <c r="U637" s="3"/>
      <c r="V637" s="3"/>
      <c r="W637" s="3"/>
      <c r="X637" s="3"/>
      <c r="Z637" s="3"/>
      <c r="AA637" s="3"/>
      <c r="AB637" s="3"/>
      <c r="AC637" s="3"/>
      <c r="AD637" s="3"/>
    </row>
    <row r="638" spans="1:30" ht="14">
      <c r="A638" s="3"/>
      <c r="B638" s="3"/>
      <c r="C638" s="3"/>
      <c r="D638" s="3"/>
      <c r="E638" s="3"/>
      <c r="F638" s="3"/>
      <c r="G638" s="3"/>
      <c r="H638" s="3"/>
      <c r="I638" s="3"/>
      <c r="J638" s="3"/>
      <c r="K638" s="3"/>
      <c r="L638" s="3"/>
      <c r="M638" s="3"/>
      <c r="N638" s="3"/>
      <c r="O638" s="3"/>
      <c r="P638" s="3"/>
      <c r="Q638" s="3"/>
      <c r="R638" s="3"/>
      <c r="S638" s="3"/>
      <c r="T638" s="3"/>
      <c r="U638" s="3"/>
      <c r="V638" s="3"/>
      <c r="W638" s="3"/>
      <c r="X638" s="3"/>
      <c r="Z638" s="3"/>
      <c r="AA638" s="3"/>
      <c r="AB638" s="3"/>
      <c r="AC638" s="3"/>
      <c r="AD638" s="3"/>
    </row>
    <row r="639" spans="1:30" ht="14">
      <c r="A639" s="3"/>
      <c r="B639" s="3"/>
      <c r="C639" s="3"/>
      <c r="D639" s="3"/>
      <c r="E639" s="3"/>
      <c r="F639" s="3"/>
      <c r="G639" s="3"/>
      <c r="H639" s="3"/>
      <c r="I639" s="3"/>
      <c r="J639" s="3"/>
      <c r="K639" s="3"/>
      <c r="L639" s="3"/>
      <c r="M639" s="3"/>
      <c r="N639" s="3"/>
      <c r="O639" s="3"/>
      <c r="P639" s="3"/>
      <c r="Q639" s="3"/>
      <c r="R639" s="3"/>
      <c r="S639" s="3"/>
      <c r="T639" s="3"/>
      <c r="U639" s="3"/>
      <c r="V639" s="3"/>
      <c r="W639" s="3"/>
      <c r="X639" s="3"/>
      <c r="Z639" s="3"/>
      <c r="AA639" s="3"/>
      <c r="AB639" s="3"/>
      <c r="AC639" s="3"/>
      <c r="AD639" s="3"/>
    </row>
    <row r="640" spans="1:30" ht="14">
      <c r="A640" s="3"/>
      <c r="B640" s="3"/>
      <c r="C640" s="3"/>
      <c r="D640" s="3"/>
      <c r="E640" s="3"/>
      <c r="F640" s="3"/>
      <c r="G640" s="3"/>
      <c r="H640" s="3"/>
      <c r="I640" s="3"/>
      <c r="J640" s="3"/>
      <c r="K640" s="3"/>
      <c r="L640" s="3"/>
      <c r="M640" s="3"/>
      <c r="N640" s="3"/>
      <c r="O640" s="3"/>
      <c r="P640" s="3"/>
      <c r="Q640" s="3"/>
      <c r="R640" s="3"/>
      <c r="S640" s="3"/>
      <c r="T640" s="3"/>
      <c r="U640" s="3"/>
      <c r="V640" s="3"/>
      <c r="W640" s="3"/>
      <c r="X640" s="3"/>
      <c r="Z640" s="3"/>
      <c r="AA640" s="3"/>
      <c r="AB640" s="3"/>
      <c r="AC640" s="3"/>
      <c r="AD640" s="3"/>
    </row>
    <row r="641" spans="1:30" ht="14">
      <c r="A641" s="3"/>
      <c r="B641" s="3"/>
      <c r="C641" s="3"/>
      <c r="D641" s="3"/>
      <c r="E641" s="3"/>
      <c r="F641" s="3"/>
      <c r="G641" s="3"/>
      <c r="H641" s="3"/>
      <c r="I641" s="3"/>
      <c r="J641" s="3"/>
      <c r="K641" s="3"/>
      <c r="L641" s="3"/>
      <c r="M641" s="3"/>
      <c r="N641" s="3"/>
      <c r="O641" s="3"/>
      <c r="P641" s="3"/>
      <c r="Q641" s="3"/>
      <c r="R641" s="3"/>
      <c r="S641" s="3"/>
      <c r="T641" s="3"/>
      <c r="U641" s="3"/>
      <c r="V641" s="3"/>
      <c r="W641" s="3"/>
      <c r="X641" s="3"/>
      <c r="Z641" s="3"/>
      <c r="AA641" s="3"/>
      <c r="AB641" s="3"/>
      <c r="AC641" s="3"/>
      <c r="AD641" s="3"/>
    </row>
    <row r="642" spans="1:30" ht="14">
      <c r="A642" s="3"/>
      <c r="B642" s="3"/>
      <c r="C642" s="3"/>
      <c r="D642" s="3"/>
      <c r="E642" s="3"/>
      <c r="F642" s="3"/>
      <c r="G642" s="3"/>
      <c r="H642" s="3"/>
      <c r="I642" s="3"/>
      <c r="J642" s="3"/>
      <c r="K642" s="3"/>
      <c r="L642" s="3"/>
      <c r="M642" s="3"/>
      <c r="N642" s="3"/>
      <c r="O642" s="3"/>
      <c r="P642" s="3"/>
      <c r="Q642" s="3"/>
      <c r="R642" s="3"/>
      <c r="S642" s="3"/>
      <c r="T642" s="3"/>
      <c r="U642" s="3"/>
      <c r="V642" s="3"/>
      <c r="W642" s="3"/>
      <c r="X642" s="3"/>
      <c r="Z642" s="3"/>
      <c r="AA642" s="3"/>
      <c r="AB642" s="3"/>
      <c r="AC642" s="3"/>
      <c r="AD642" s="3"/>
    </row>
    <row r="643" spans="1:30" ht="14">
      <c r="A643" s="3"/>
      <c r="B643" s="3"/>
      <c r="C643" s="3"/>
      <c r="D643" s="3"/>
      <c r="E643" s="3"/>
      <c r="F643" s="3"/>
      <c r="G643" s="3"/>
      <c r="H643" s="3"/>
      <c r="I643" s="3"/>
      <c r="J643" s="3"/>
      <c r="K643" s="3"/>
      <c r="L643" s="3"/>
      <c r="M643" s="3"/>
      <c r="N643" s="3"/>
      <c r="O643" s="3"/>
      <c r="P643" s="3"/>
      <c r="Q643" s="3"/>
      <c r="R643" s="3"/>
      <c r="S643" s="3"/>
      <c r="T643" s="3"/>
      <c r="U643" s="3"/>
      <c r="V643" s="3"/>
      <c r="W643" s="3"/>
      <c r="X643" s="3"/>
      <c r="Z643" s="3"/>
      <c r="AA643" s="3"/>
      <c r="AB643" s="3"/>
      <c r="AC643" s="3"/>
      <c r="AD643" s="3"/>
    </row>
    <row r="644" spans="1:30" ht="14">
      <c r="A644" s="3"/>
      <c r="B644" s="3"/>
      <c r="C644" s="3"/>
      <c r="D644" s="3"/>
      <c r="E644" s="3"/>
      <c r="F644" s="3"/>
      <c r="G644" s="3"/>
      <c r="H644" s="3"/>
      <c r="I644" s="3"/>
      <c r="J644" s="3"/>
      <c r="K644" s="3"/>
      <c r="L644" s="3"/>
      <c r="M644" s="3"/>
      <c r="N644" s="3"/>
      <c r="O644" s="3"/>
      <c r="P644" s="3"/>
      <c r="Q644" s="3"/>
      <c r="R644" s="3"/>
      <c r="S644" s="3"/>
      <c r="T644" s="3"/>
      <c r="U644" s="3"/>
      <c r="V644" s="3"/>
      <c r="W644" s="3"/>
      <c r="X644" s="3"/>
      <c r="Z644" s="3"/>
      <c r="AA644" s="3"/>
      <c r="AB644" s="3"/>
      <c r="AC644" s="3"/>
      <c r="AD644" s="3"/>
    </row>
    <row r="645" spans="1:30" ht="14">
      <c r="A645" s="3"/>
      <c r="B645" s="3"/>
      <c r="C645" s="3"/>
      <c r="D645" s="3"/>
      <c r="E645" s="3"/>
      <c r="F645" s="3"/>
      <c r="G645" s="3"/>
      <c r="H645" s="3"/>
      <c r="I645" s="3"/>
      <c r="J645" s="3"/>
      <c r="K645" s="3"/>
      <c r="L645" s="3"/>
      <c r="M645" s="3"/>
      <c r="N645" s="3"/>
      <c r="O645" s="3"/>
      <c r="P645" s="3"/>
      <c r="Q645" s="3"/>
      <c r="R645" s="3"/>
      <c r="S645" s="3"/>
      <c r="T645" s="3"/>
      <c r="U645" s="3"/>
      <c r="V645" s="3"/>
      <c r="W645" s="3"/>
      <c r="X645" s="3"/>
      <c r="Z645" s="3"/>
      <c r="AA645" s="3"/>
      <c r="AB645" s="3"/>
      <c r="AC645" s="3"/>
      <c r="AD645" s="3"/>
    </row>
    <row r="646" spans="1:30" ht="14">
      <c r="A646" s="3"/>
      <c r="B646" s="3"/>
      <c r="C646" s="3"/>
      <c r="D646" s="3"/>
      <c r="E646" s="3"/>
      <c r="F646" s="3"/>
      <c r="G646" s="3"/>
      <c r="H646" s="3"/>
      <c r="I646" s="3"/>
      <c r="J646" s="3"/>
      <c r="K646" s="3"/>
      <c r="L646" s="3"/>
      <c r="M646" s="3"/>
      <c r="N646" s="3"/>
      <c r="O646" s="3"/>
      <c r="P646" s="3"/>
      <c r="Q646" s="3"/>
      <c r="R646" s="3"/>
      <c r="S646" s="3"/>
      <c r="T646" s="3"/>
      <c r="U646" s="3"/>
      <c r="V646" s="3"/>
      <c r="W646" s="3"/>
      <c r="X646" s="3"/>
      <c r="Z646" s="3"/>
      <c r="AA646" s="3"/>
      <c r="AB646" s="3"/>
      <c r="AC646" s="3"/>
      <c r="AD646" s="3"/>
    </row>
    <row r="647" spans="1:30" ht="14">
      <c r="A647" s="3"/>
      <c r="B647" s="3"/>
      <c r="C647" s="3"/>
      <c r="D647" s="3"/>
      <c r="E647" s="3"/>
      <c r="F647" s="3"/>
      <c r="G647" s="3"/>
      <c r="H647" s="3"/>
      <c r="I647" s="3"/>
      <c r="J647" s="3"/>
      <c r="K647" s="3"/>
      <c r="L647" s="3"/>
      <c r="M647" s="3"/>
      <c r="N647" s="3"/>
      <c r="O647" s="3"/>
      <c r="P647" s="3"/>
      <c r="Q647" s="3"/>
      <c r="R647" s="3"/>
      <c r="S647" s="3"/>
      <c r="T647" s="3"/>
      <c r="U647" s="3"/>
      <c r="V647" s="3"/>
      <c r="W647" s="3"/>
      <c r="X647" s="3"/>
      <c r="Z647" s="3"/>
      <c r="AA647" s="3"/>
      <c r="AB647" s="3"/>
      <c r="AC647" s="3"/>
      <c r="AD647" s="3"/>
    </row>
    <row r="648" spans="1:30" ht="14">
      <c r="A648" s="3"/>
      <c r="B648" s="3"/>
      <c r="C648" s="3"/>
      <c r="D648" s="3"/>
      <c r="E648" s="3"/>
      <c r="F648" s="3"/>
      <c r="G648" s="3"/>
      <c r="H648" s="3"/>
      <c r="I648" s="3"/>
      <c r="J648" s="3"/>
      <c r="K648" s="3"/>
      <c r="L648" s="3"/>
      <c r="M648" s="3"/>
      <c r="N648" s="3"/>
      <c r="O648" s="3"/>
      <c r="P648" s="3"/>
      <c r="Q648" s="3"/>
      <c r="R648" s="3"/>
      <c r="S648" s="3"/>
      <c r="T648" s="3"/>
      <c r="U648" s="3"/>
      <c r="V648" s="3"/>
      <c r="W648" s="3"/>
      <c r="X648" s="3"/>
      <c r="Z648" s="3"/>
      <c r="AA648" s="3"/>
      <c r="AB648" s="3"/>
      <c r="AC648" s="3"/>
      <c r="AD648" s="3"/>
    </row>
    <row r="649" spans="1:30" ht="14">
      <c r="A649" s="3"/>
      <c r="B649" s="3"/>
      <c r="C649" s="3"/>
      <c r="D649" s="3"/>
      <c r="E649" s="3"/>
      <c r="F649" s="3"/>
      <c r="G649" s="3"/>
      <c r="H649" s="3"/>
      <c r="I649" s="3"/>
      <c r="J649" s="3"/>
      <c r="K649" s="3"/>
      <c r="L649" s="3"/>
      <c r="M649" s="3"/>
      <c r="N649" s="3"/>
      <c r="O649" s="3"/>
      <c r="P649" s="3"/>
      <c r="Q649" s="3"/>
      <c r="R649" s="3"/>
      <c r="S649" s="3"/>
      <c r="T649" s="3"/>
      <c r="U649" s="3"/>
      <c r="V649" s="3"/>
      <c r="W649" s="3"/>
      <c r="X649" s="3"/>
      <c r="Z649" s="3"/>
      <c r="AA649" s="3"/>
      <c r="AB649" s="3"/>
      <c r="AC649" s="3"/>
      <c r="AD649" s="3"/>
    </row>
    <row r="650" spans="1:30" ht="14">
      <c r="A650" s="3"/>
      <c r="B650" s="3"/>
      <c r="C650" s="3"/>
      <c r="D650" s="3"/>
      <c r="E650" s="3"/>
      <c r="F650" s="3"/>
      <c r="G650" s="3"/>
      <c r="H650" s="3"/>
      <c r="I650" s="3"/>
      <c r="J650" s="3"/>
      <c r="K650" s="3"/>
      <c r="L650" s="3"/>
      <c r="M650" s="3"/>
      <c r="N650" s="3"/>
      <c r="O650" s="3"/>
      <c r="P650" s="3"/>
      <c r="Q650" s="3"/>
      <c r="R650" s="3"/>
      <c r="S650" s="3"/>
      <c r="T650" s="3"/>
      <c r="U650" s="3"/>
      <c r="V650" s="3"/>
      <c r="W650" s="3"/>
      <c r="X650" s="3"/>
      <c r="Z650" s="3"/>
      <c r="AA650" s="3"/>
      <c r="AB650" s="3"/>
      <c r="AC650" s="3"/>
      <c r="AD650" s="3"/>
    </row>
    <row r="651" spans="1:30" ht="14">
      <c r="A651" s="3"/>
      <c r="B651" s="3"/>
      <c r="C651" s="3"/>
      <c r="D651" s="3"/>
      <c r="E651" s="3"/>
      <c r="F651" s="3"/>
      <c r="G651" s="3"/>
      <c r="H651" s="3"/>
      <c r="I651" s="3"/>
      <c r="J651" s="3"/>
      <c r="K651" s="3"/>
      <c r="L651" s="3"/>
      <c r="M651" s="3"/>
      <c r="N651" s="3"/>
      <c r="O651" s="3"/>
      <c r="P651" s="3"/>
      <c r="Q651" s="3"/>
      <c r="R651" s="3"/>
      <c r="S651" s="3"/>
      <c r="T651" s="3"/>
      <c r="U651" s="3"/>
      <c r="V651" s="3"/>
      <c r="W651" s="3"/>
      <c r="X651" s="3"/>
      <c r="Z651" s="3"/>
      <c r="AA651" s="3"/>
      <c r="AB651" s="3"/>
      <c r="AC651" s="3"/>
      <c r="AD651" s="3"/>
    </row>
    <row r="652" spans="1:30" ht="14">
      <c r="A652" s="3"/>
      <c r="B652" s="3"/>
      <c r="C652" s="3"/>
      <c r="D652" s="3"/>
      <c r="E652" s="3"/>
      <c r="F652" s="3"/>
      <c r="G652" s="3"/>
      <c r="H652" s="3"/>
      <c r="I652" s="3"/>
      <c r="J652" s="3"/>
      <c r="K652" s="3"/>
      <c r="L652" s="3"/>
      <c r="M652" s="3"/>
      <c r="N652" s="3"/>
      <c r="O652" s="3"/>
      <c r="P652" s="3"/>
      <c r="Q652" s="3"/>
      <c r="R652" s="3"/>
      <c r="S652" s="3"/>
      <c r="T652" s="3"/>
      <c r="U652" s="3"/>
      <c r="V652" s="3"/>
      <c r="W652" s="3"/>
      <c r="X652" s="3"/>
      <c r="Z652" s="3"/>
      <c r="AA652" s="3"/>
      <c r="AB652" s="3"/>
      <c r="AC652" s="3"/>
      <c r="AD652" s="3"/>
    </row>
    <row r="653" spans="1:30" ht="14">
      <c r="A653" s="3"/>
      <c r="B653" s="3"/>
      <c r="C653" s="3"/>
      <c r="D653" s="3"/>
      <c r="E653" s="3"/>
      <c r="F653" s="3"/>
      <c r="G653" s="3"/>
      <c r="H653" s="3"/>
      <c r="I653" s="3"/>
      <c r="J653" s="3"/>
      <c r="K653" s="3"/>
      <c r="L653" s="3"/>
      <c r="M653" s="3"/>
      <c r="N653" s="3"/>
      <c r="O653" s="3"/>
      <c r="P653" s="3"/>
      <c r="Q653" s="3"/>
      <c r="R653" s="3"/>
      <c r="S653" s="3"/>
      <c r="T653" s="3"/>
      <c r="U653" s="3"/>
      <c r="V653" s="3"/>
      <c r="W653" s="3"/>
      <c r="X653" s="3"/>
      <c r="Z653" s="3"/>
      <c r="AA653" s="3"/>
      <c r="AB653" s="3"/>
      <c r="AC653" s="3"/>
      <c r="AD653" s="3"/>
    </row>
    <row r="654" spans="1:30" ht="14">
      <c r="A654" s="3"/>
      <c r="B654" s="3"/>
      <c r="C654" s="3"/>
      <c r="D654" s="3"/>
      <c r="E654" s="3"/>
      <c r="F654" s="3"/>
      <c r="G654" s="3"/>
      <c r="H654" s="3"/>
      <c r="I654" s="3"/>
      <c r="J654" s="3"/>
      <c r="K654" s="3"/>
      <c r="L654" s="3"/>
      <c r="M654" s="3"/>
      <c r="N654" s="3"/>
      <c r="O654" s="3"/>
      <c r="P654" s="3"/>
      <c r="Q654" s="3"/>
      <c r="R654" s="3"/>
      <c r="S654" s="3"/>
      <c r="T654" s="3"/>
      <c r="U654" s="3"/>
      <c r="V654" s="3"/>
      <c r="W654" s="3"/>
      <c r="X654" s="3"/>
      <c r="Z654" s="3"/>
      <c r="AA654" s="3"/>
      <c r="AB654" s="3"/>
      <c r="AC654" s="3"/>
      <c r="AD654" s="3"/>
    </row>
    <row r="655" spans="1:30" ht="14">
      <c r="A655" s="3"/>
      <c r="B655" s="3"/>
      <c r="C655" s="3"/>
      <c r="D655" s="3"/>
      <c r="E655" s="3"/>
      <c r="F655" s="3"/>
      <c r="G655" s="3"/>
      <c r="H655" s="3"/>
      <c r="I655" s="3"/>
      <c r="J655" s="3"/>
      <c r="K655" s="3"/>
      <c r="L655" s="3"/>
      <c r="M655" s="3"/>
      <c r="N655" s="3"/>
      <c r="O655" s="3"/>
      <c r="P655" s="3"/>
      <c r="Q655" s="3"/>
      <c r="R655" s="3"/>
      <c r="S655" s="3"/>
      <c r="T655" s="3"/>
      <c r="U655" s="3"/>
      <c r="V655" s="3"/>
      <c r="W655" s="3"/>
      <c r="X655" s="3"/>
      <c r="Z655" s="3"/>
      <c r="AA655" s="3"/>
      <c r="AB655" s="3"/>
      <c r="AC655" s="3"/>
      <c r="AD655" s="3"/>
    </row>
    <row r="656" spans="1:30" ht="14">
      <c r="A656" s="3"/>
      <c r="B656" s="3"/>
      <c r="C656" s="3"/>
      <c r="D656" s="3"/>
      <c r="E656" s="3"/>
      <c r="F656" s="3"/>
      <c r="G656" s="3"/>
      <c r="H656" s="3"/>
      <c r="I656" s="3"/>
      <c r="J656" s="3"/>
      <c r="K656" s="3"/>
      <c r="L656" s="3"/>
      <c r="M656" s="3"/>
      <c r="N656" s="3"/>
      <c r="O656" s="3"/>
      <c r="P656" s="3"/>
      <c r="Q656" s="3"/>
      <c r="R656" s="3"/>
      <c r="S656" s="3"/>
      <c r="T656" s="3"/>
      <c r="U656" s="3"/>
      <c r="V656" s="3"/>
      <c r="W656" s="3"/>
      <c r="X656" s="3"/>
      <c r="Z656" s="3"/>
      <c r="AA656" s="3"/>
      <c r="AB656" s="3"/>
      <c r="AC656" s="3"/>
      <c r="AD656" s="3"/>
    </row>
    <row r="657" spans="1:30" ht="14">
      <c r="A657" s="3"/>
      <c r="B657" s="3"/>
      <c r="C657" s="3"/>
      <c r="D657" s="3"/>
      <c r="E657" s="3"/>
      <c r="F657" s="3"/>
      <c r="G657" s="3"/>
      <c r="H657" s="3"/>
      <c r="I657" s="3"/>
      <c r="J657" s="3"/>
      <c r="K657" s="3"/>
      <c r="L657" s="3"/>
      <c r="M657" s="3"/>
      <c r="N657" s="3"/>
      <c r="O657" s="3"/>
      <c r="P657" s="3"/>
      <c r="Q657" s="3"/>
      <c r="R657" s="3"/>
      <c r="S657" s="3"/>
      <c r="T657" s="3"/>
      <c r="U657" s="3"/>
      <c r="V657" s="3"/>
      <c r="W657" s="3"/>
      <c r="X657" s="3"/>
      <c r="Z657" s="3"/>
      <c r="AA657" s="3"/>
      <c r="AB657" s="3"/>
      <c r="AC657" s="3"/>
      <c r="AD657" s="3"/>
    </row>
    <row r="658" spans="1:30" ht="14">
      <c r="A658" s="3"/>
      <c r="B658" s="3"/>
      <c r="C658" s="3"/>
      <c r="D658" s="3"/>
      <c r="E658" s="3"/>
      <c r="F658" s="3"/>
      <c r="G658" s="3"/>
      <c r="H658" s="3"/>
      <c r="I658" s="3"/>
      <c r="J658" s="3"/>
      <c r="K658" s="3"/>
      <c r="L658" s="3"/>
      <c r="M658" s="3"/>
      <c r="N658" s="3"/>
      <c r="O658" s="3"/>
      <c r="P658" s="3"/>
      <c r="Q658" s="3"/>
      <c r="R658" s="3"/>
      <c r="S658" s="3"/>
      <c r="T658" s="3"/>
      <c r="U658" s="3"/>
      <c r="V658" s="3"/>
      <c r="W658" s="3"/>
      <c r="X658" s="3"/>
      <c r="Z658" s="3"/>
      <c r="AA658" s="3"/>
      <c r="AB658" s="3"/>
      <c r="AC658" s="3"/>
      <c r="AD658" s="3"/>
    </row>
    <row r="659" spans="1:30" ht="14">
      <c r="A659" s="3"/>
      <c r="B659" s="3"/>
      <c r="C659" s="3"/>
      <c r="D659" s="3"/>
      <c r="E659" s="3"/>
      <c r="F659" s="3"/>
      <c r="G659" s="3"/>
      <c r="H659" s="3"/>
      <c r="I659" s="3"/>
      <c r="J659" s="3"/>
      <c r="K659" s="3"/>
      <c r="L659" s="3"/>
      <c r="M659" s="3"/>
      <c r="N659" s="3"/>
      <c r="O659" s="3"/>
      <c r="P659" s="3"/>
      <c r="Q659" s="3"/>
      <c r="R659" s="3"/>
      <c r="S659" s="3"/>
      <c r="T659" s="3"/>
      <c r="U659" s="3"/>
      <c r="V659" s="3"/>
      <c r="W659" s="3"/>
      <c r="X659" s="3"/>
      <c r="Z659" s="3"/>
      <c r="AA659" s="3"/>
      <c r="AB659" s="3"/>
      <c r="AC659" s="3"/>
      <c r="AD659" s="3"/>
    </row>
    <row r="660" spans="1:30" ht="14">
      <c r="A660" s="3"/>
      <c r="B660" s="3"/>
      <c r="C660" s="3"/>
      <c r="D660" s="3"/>
      <c r="E660" s="3"/>
      <c r="F660" s="3"/>
      <c r="G660" s="3"/>
      <c r="H660" s="3"/>
      <c r="I660" s="3"/>
      <c r="J660" s="3"/>
      <c r="K660" s="3"/>
      <c r="L660" s="3"/>
      <c r="M660" s="3"/>
      <c r="N660" s="3"/>
      <c r="O660" s="3"/>
      <c r="P660" s="3"/>
      <c r="Q660" s="3"/>
      <c r="R660" s="3"/>
      <c r="S660" s="3"/>
      <c r="T660" s="3"/>
      <c r="U660" s="3"/>
      <c r="V660" s="3"/>
      <c r="W660" s="3"/>
      <c r="X660" s="3"/>
      <c r="Z660" s="3"/>
      <c r="AA660" s="3"/>
      <c r="AB660" s="3"/>
      <c r="AC660" s="3"/>
      <c r="AD660" s="3"/>
    </row>
    <row r="661" spans="1:30" ht="14">
      <c r="A661" s="3"/>
      <c r="B661" s="3"/>
      <c r="C661" s="3"/>
      <c r="D661" s="3"/>
      <c r="E661" s="3"/>
      <c r="F661" s="3"/>
      <c r="G661" s="3"/>
      <c r="H661" s="3"/>
      <c r="I661" s="3"/>
      <c r="J661" s="3"/>
      <c r="K661" s="3"/>
      <c r="L661" s="3"/>
      <c r="M661" s="3"/>
      <c r="N661" s="3"/>
      <c r="O661" s="3"/>
      <c r="P661" s="3"/>
      <c r="Q661" s="3"/>
      <c r="R661" s="3"/>
      <c r="S661" s="3"/>
      <c r="T661" s="3"/>
      <c r="U661" s="3"/>
      <c r="V661" s="3"/>
      <c r="W661" s="3"/>
      <c r="X661" s="3"/>
      <c r="Z661" s="3"/>
      <c r="AA661" s="3"/>
      <c r="AB661" s="3"/>
      <c r="AC661" s="3"/>
      <c r="AD661" s="3"/>
    </row>
    <row r="662" spans="1:30" ht="14">
      <c r="A662" s="3"/>
      <c r="B662" s="3"/>
      <c r="C662" s="3"/>
      <c r="D662" s="3"/>
      <c r="E662" s="3"/>
      <c r="F662" s="3"/>
      <c r="G662" s="3"/>
      <c r="H662" s="3"/>
      <c r="I662" s="3"/>
      <c r="J662" s="3"/>
      <c r="K662" s="3"/>
      <c r="L662" s="3"/>
      <c r="M662" s="3"/>
      <c r="N662" s="3"/>
      <c r="O662" s="3"/>
      <c r="P662" s="3"/>
      <c r="Q662" s="3"/>
      <c r="R662" s="3"/>
      <c r="S662" s="3"/>
      <c r="T662" s="3"/>
      <c r="U662" s="3"/>
      <c r="V662" s="3"/>
      <c r="W662" s="3"/>
      <c r="X662" s="3"/>
      <c r="Z662" s="3"/>
      <c r="AA662" s="3"/>
      <c r="AB662" s="3"/>
      <c r="AC662" s="3"/>
      <c r="AD662" s="3"/>
    </row>
    <row r="663" spans="1:30" ht="14">
      <c r="A663" s="3"/>
      <c r="B663" s="3"/>
      <c r="C663" s="3"/>
      <c r="D663" s="3"/>
      <c r="E663" s="3"/>
      <c r="F663" s="3"/>
      <c r="G663" s="3"/>
      <c r="H663" s="3"/>
      <c r="I663" s="3"/>
      <c r="J663" s="3"/>
      <c r="K663" s="3"/>
      <c r="L663" s="3"/>
      <c r="M663" s="3"/>
      <c r="N663" s="3"/>
      <c r="O663" s="3"/>
      <c r="P663" s="3"/>
      <c r="Q663" s="3"/>
      <c r="R663" s="3"/>
      <c r="S663" s="3"/>
      <c r="T663" s="3"/>
      <c r="U663" s="3"/>
      <c r="V663" s="3"/>
      <c r="W663" s="3"/>
      <c r="X663" s="3"/>
      <c r="Z663" s="3"/>
      <c r="AA663" s="3"/>
      <c r="AB663" s="3"/>
      <c r="AC663" s="3"/>
      <c r="AD663" s="3"/>
    </row>
    <row r="664" spans="1:30" ht="14">
      <c r="A664" s="3"/>
      <c r="B664" s="3"/>
      <c r="C664" s="3"/>
      <c r="D664" s="3"/>
      <c r="E664" s="3"/>
      <c r="F664" s="3"/>
      <c r="G664" s="3"/>
      <c r="H664" s="3"/>
      <c r="I664" s="3"/>
      <c r="J664" s="3"/>
      <c r="K664" s="3"/>
      <c r="L664" s="3"/>
      <c r="M664" s="3"/>
      <c r="N664" s="3"/>
      <c r="O664" s="3"/>
      <c r="P664" s="3"/>
      <c r="Q664" s="3"/>
      <c r="R664" s="3"/>
      <c r="S664" s="3"/>
      <c r="T664" s="3"/>
      <c r="U664" s="3"/>
      <c r="V664" s="3"/>
      <c r="W664" s="3"/>
      <c r="X664" s="3"/>
      <c r="Z664" s="3"/>
      <c r="AA664" s="3"/>
      <c r="AB664" s="3"/>
      <c r="AC664" s="3"/>
      <c r="AD664" s="3"/>
    </row>
    <row r="665" spans="1:30" ht="14">
      <c r="A665" s="3"/>
      <c r="B665" s="3"/>
      <c r="C665" s="3"/>
      <c r="D665" s="3"/>
      <c r="E665" s="3"/>
      <c r="F665" s="3"/>
      <c r="G665" s="3"/>
      <c r="H665" s="3"/>
      <c r="I665" s="3"/>
      <c r="J665" s="3"/>
      <c r="K665" s="3"/>
      <c r="L665" s="3"/>
      <c r="M665" s="3"/>
      <c r="N665" s="3"/>
      <c r="O665" s="3"/>
      <c r="P665" s="3"/>
      <c r="Q665" s="3"/>
      <c r="R665" s="3"/>
      <c r="S665" s="3"/>
      <c r="T665" s="3"/>
      <c r="U665" s="3"/>
      <c r="V665" s="3"/>
      <c r="W665" s="3"/>
      <c r="X665" s="3"/>
      <c r="Z665" s="3"/>
      <c r="AA665" s="3"/>
      <c r="AB665" s="3"/>
      <c r="AC665" s="3"/>
      <c r="AD665" s="3"/>
    </row>
    <row r="666" spans="1:30" ht="14">
      <c r="A666" s="3"/>
      <c r="B666" s="3"/>
      <c r="C666" s="3"/>
      <c r="D666" s="3"/>
      <c r="E666" s="3"/>
      <c r="F666" s="3"/>
      <c r="G666" s="3"/>
      <c r="H666" s="3"/>
      <c r="I666" s="3"/>
      <c r="J666" s="3"/>
      <c r="K666" s="3"/>
      <c r="L666" s="3"/>
      <c r="M666" s="3"/>
      <c r="N666" s="3"/>
      <c r="O666" s="3"/>
      <c r="P666" s="3"/>
      <c r="Q666" s="3"/>
      <c r="R666" s="3"/>
      <c r="S666" s="3"/>
      <c r="T666" s="3"/>
      <c r="U666" s="3"/>
      <c r="V666" s="3"/>
      <c r="W666" s="3"/>
      <c r="X666" s="3"/>
      <c r="Z666" s="3"/>
      <c r="AA666" s="3"/>
      <c r="AB666" s="3"/>
      <c r="AC666" s="3"/>
      <c r="AD666" s="3"/>
    </row>
    <row r="667" spans="1:30" ht="14">
      <c r="A667" s="3"/>
      <c r="B667" s="3"/>
      <c r="C667" s="3"/>
      <c r="D667" s="3"/>
      <c r="E667" s="3"/>
      <c r="F667" s="3"/>
      <c r="G667" s="3"/>
      <c r="H667" s="3"/>
      <c r="I667" s="3"/>
      <c r="J667" s="3"/>
      <c r="K667" s="3"/>
      <c r="L667" s="3"/>
      <c r="M667" s="3"/>
      <c r="N667" s="3"/>
      <c r="O667" s="3"/>
      <c r="P667" s="3"/>
      <c r="Q667" s="3"/>
      <c r="R667" s="3"/>
      <c r="S667" s="3"/>
      <c r="T667" s="3"/>
      <c r="U667" s="3"/>
      <c r="V667" s="3"/>
      <c r="W667" s="3"/>
      <c r="X667" s="3"/>
      <c r="Z667" s="3"/>
      <c r="AA667" s="3"/>
      <c r="AB667" s="3"/>
      <c r="AC667" s="3"/>
      <c r="AD667" s="3"/>
    </row>
    <row r="668" spans="1:30" ht="14">
      <c r="A668" s="3"/>
      <c r="B668" s="3"/>
      <c r="C668" s="3"/>
      <c r="D668" s="3"/>
      <c r="E668" s="3"/>
      <c r="F668" s="3"/>
      <c r="G668" s="3"/>
      <c r="H668" s="3"/>
      <c r="I668" s="3"/>
      <c r="J668" s="3"/>
      <c r="K668" s="3"/>
      <c r="L668" s="3"/>
      <c r="M668" s="3"/>
      <c r="N668" s="3"/>
      <c r="O668" s="3"/>
      <c r="P668" s="3"/>
      <c r="Q668" s="3"/>
      <c r="R668" s="3"/>
      <c r="S668" s="3"/>
      <c r="T668" s="3"/>
      <c r="U668" s="3"/>
      <c r="V668" s="3"/>
      <c r="W668" s="3"/>
      <c r="X668" s="3"/>
      <c r="Z668" s="3"/>
      <c r="AA668" s="3"/>
      <c r="AB668" s="3"/>
      <c r="AC668" s="3"/>
      <c r="AD668" s="3"/>
    </row>
    <row r="669" spans="1:30" ht="14">
      <c r="A669" s="3"/>
      <c r="B669" s="3"/>
      <c r="C669" s="3"/>
      <c r="D669" s="3"/>
      <c r="E669" s="3"/>
      <c r="F669" s="3"/>
      <c r="G669" s="3"/>
      <c r="H669" s="3"/>
      <c r="I669" s="3"/>
      <c r="J669" s="3"/>
      <c r="K669" s="3"/>
      <c r="L669" s="3"/>
      <c r="M669" s="3"/>
      <c r="N669" s="3"/>
      <c r="O669" s="3"/>
      <c r="P669" s="3"/>
      <c r="Q669" s="3"/>
      <c r="R669" s="3"/>
      <c r="S669" s="3"/>
      <c r="T669" s="3"/>
      <c r="U669" s="3"/>
      <c r="V669" s="3"/>
      <c r="W669" s="3"/>
      <c r="X669" s="3"/>
      <c r="Z669" s="3"/>
      <c r="AA669" s="3"/>
      <c r="AB669" s="3"/>
      <c r="AC669" s="3"/>
      <c r="AD669" s="3"/>
    </row>
    <row r="670" spans="1:30" ht="14">
      <c r="A670" s="3"/>
      <c r="B670" s="3"/>
      <c r="C670" s="3"/>
      <c r="D670" s="3"/>
      <c r="E670" s="3"/>
      <c r="F670" s="3"/>
      <c r="G670" s="3"/>
      <c r="H670" s="3"/>
      <c r="I670" s="3"/>
      <c r="J670" s="3"/>
      <c r="K670" s="3"/>
      <c r="L670" s="3"/>
      <c r="M670" s="3"/>
      <c r="N670" s="3"/>
      <c r="O670" s="3"/>
      <c r="P670" s="3"/>
      <c r="Q670" s="3"/>
      <c r="R670" s="3"/>
      <c r="S670" s="3"/>
      <c r="T670" s="3"/>
      <c r="U670" s="3"/>
      <c r="V670" s="3"/>
      <c r="W670" s="3"/>
      <c r="X670" s="3"/>
      <c r="Z670" s="3"/>
      <c r="AA670" s="3"/>
      <c r="AB670" s="3"/>
      <c r="AC670" s="3"/>
      <c r="AD670" s="3"/>
    </row>
    <row r="671" spans="1:30" ht="14">
      <c r="A671" s="3"/>
      <c r="B671" s="3"/>
      <c r="C671" s="3"/>
      <c r="D671" s="3"/>
      <c r="E671" s="3"/>
      <c r="F671" s="3"/>
      <c r="G671" s="3"/>
      <c r="H671" s="3"/>
      <c r="I671" s="3"/>
      <c r="J671" s="3"/>
      <c r="K671" s="3"/>
      <c r="L671" s="3"/>
      <c r="M671" s="3"/>
      <c r="N671" s="3"/>
      <c r="O671" s="3"/>
      <c r="P671" s="3"/>
      <c r="Q671" s="3"/>
      <c r="R671" s="3"/>
      <c r="S671" s="3"/>
      <c r="T671" s="3"/>
      <c r="U671" s="3"/>
      <c r="V671" s="3"/>
      <c r="W671" s="3"/>
      <c r="X671" s="3"/>
      <c r="Z671" s="3"/>
      <c r="AA671" s="3"/>
      <c r="AB671" s="3"/>
      <c r="AC671" s="3"/>
      <c r="AD671" s="3"/>
    </row>
    <row r="672" spans="1:30" ht="14">
      <c r="A672" s="3"/>
      <c r="B672" s="3"/>
      <c r="C672" s="3"/>
      <c r="D672" s="3"/>
      <c r="E672" s="3"/>
      <c r="F672" s="3"/>
      <c r="G672" s="3"/>
      <c r="H672" s="3"/>
      <c r="I672" s="3"/>
      <c r="J672" s="3"/>
      <c r="K672" s="3"/>
      <c r="L672" s="3"/>
      <c r="M672" s="3"/>
      <c r="N672" s="3"/>
      <c r="O672" s="3"/>
      <c r="P672" s="3"/>
      <c r="Q672" s="3"/>
      <c r="R672" s="3"/>
      <c r="S672" s="3"/>
      <c r="T672" s="3"/>
      <c r="U672" s="3"/>
      <c r="V672" s="3"/>
      <c r="W672" s="3"/>
      <c r="X672" s="3"/>
      <c r="Z672" s="3"/>
      <c r="AA672" s="3"/>
      <c r="AB672" s="3"/>
      <c r="AC672" s="3"/>
      <c r="AD672" s="3"/>
    </row>
    <row r="673" spans="1:30" ht="14">
      <c r="A673" s="3"/>
      <c r="B673" s="3"/>
      <c r="C673" s="3"/>
      <c r="D673" s="3"/>
      <c r="E673" s="3"/>
      <c r="F673" s="3"/>
      <c r="G673" s="3"/>
      <c r="H673" s="3"/>
      <c r="I673" s="3"/>
      <c r="J673" s="3"/>
      <c r="K673" s="3"/>
      <c r="L673" s="3"/>
      <c r="M673" s="3"/>
      <c r="N673" s="3"/>
      <c r="O673" s="3"/>
      <c r="P673" s="3"/>
      <c r="Q673" s="3"/>
      <c r="R673" s="3"/>
      <c r="S673" s="3"/>
      <c r="T673" s="3"/>
      <c r="U673" s="3"/>
      <c r="V673" s="3"/>
      <c r="W673" s="3"/>
      <c r="X673" s="3"/>
      <c r="Z673" s="3"/>
      <c r="AA673" s="3"/>
      <c r="AB673" s="3"/>
      <c r="AC673" s="3"/>
      <c r="AD673" s="3"/>
    </row>
    <row r="674" spans="1:30" ht="14">
      <c r="A674" s="3"/>
      <c r="B674" s="3"/>
      <c r="C674" s="3"/>
      <c r="D674" s="3"/>
      <c r="E674" s="3"/>
      <c r="F674" s="3"/>
      <c r="G674" s="3"/>
      <c r="H674" s="3"/>
      <c r="I674" s="3"/>
      <c r="J674" s="3"/>
      <c r="K674" s="3"/>
      <c r="L674" s="3"/>
      <c r="M674" s="3"/>
      <c r="N674" s="3"/>
      <c r="O674" s="3"/>
      <c r="P674" s="3"/>
      <c r="Q674" s="3"/>
      <c r="R674" s="3"/>
      <c r="S674" s="3"/>
      <c r="T674" s="3"/>
      <c r="U674" s="3"/>
      <c r="V674" s="3"/>
      <c r="W674" s="3"/>
      <c r="X674" s="3"/>
      <c r="Z674" s="3"/>
      <c r="AA674" s="3"/>
      <c r="AB674" s="3"/>
      <c r="AC674" s="3"/>
      <c r="AD674" s="3"/>
    </row>
    <row r="675" spans="1:30" ht="14">
      <c r="A675" s="3"/>
      <c r="B675" s="3"/>
      <c r="C675" s="3"/>
      <c r="D675" s="3"/>
      <c r="E675" s="3"/>
      <c r="F675" s="3"/>
      <c r="G675" s="3"/>
      <c r="H675" s="3"/>
      <c r="I675" s="3"/>
      <c r="J675" s="3"/>
      <c r="K675" s="3"/>
      <c r="L675" s="3"/>
      <c r="M675" s="3"/>
      <c r="N675" s="3"/>
      <c r="O675" s="3"/>
      <c r="P675" s="3"/>
      <c r="Q675" s="3"/>
      <c r="R675" s="3"/>
      <c r="S675" s="3"/>
      <c r="T675" s="3"/>
      <c r="U675" s="3"/>
      <c r="V675" s="3"/>
      <c r="W675" s="3"/>
      <c r="X675" s="3"/>
      <c r="Z675" s="3"/>
      <c r="AA675" s="3"/>
      <c r="AB675" s="3"/>
      <c r="AC675" s="3"/>
      <c r="AD675" s="3"/>
    </row>
    <row r="676" spans="1:30" ht="14">
      <c r="A676" s="3"/>
      <c r="B676" s="3"/>
      <c r="C676" s="3"/>
      <c r="D676" s="3"/>
      <c r="E676" s="3"/>
      <c r="F676" s="3"/>
      <c r="G676" s="3"/>
      <c r="H676" s="3"/>
      <c r="I676" s="3"/>
      <c r="J676" s="3"/>
      <c r="K676" s="3"/>
      <c r="L676" s="3"/>
      <c r="M676" s="3"/>
      <c r="N676" s="3"/>
      <c r="O676" s="3"/>
      <c r="P676" s="3"/>
      <c r="Q676" s="3"/>
      <c r="R676" s="3"/>
      <c r="S676" s="3"/>
      <c r="T676" s="3"/>
      <c r="U676" s="3"/>
      <c r="V676" s="3"/>
      <c r="W676" s="3"/>
      <c r="X676" s="3"/>
      <c r="Z676" s="3"/>
      <c r="AA676" s="3"/>
      <c r="AB676" s="3"/>
      <c r="AC676" s="3"/>
      <c r="AD676" s="3"/>
    </row>
    <row r="677" spans="1:30" ht="14">
      <c r="A677" s="3"/>
      <c r="B677" s="3"/>
      <c r="C677" s="3"/>
      <c r="D677" s="3"/>
      <c r="E677" s="3"/>
      <c r="F677" s="3"/>
      <c r="G677" s="3"/>
      <c r="H677" s="3"/>
      <c r="I677" s="3"/>
      <c r="J677" s="3"/>
      <c r="K677" s="3"/>
      <c r="L677" s="3"/>
      <c r="M677" s="3"/>
      <c r="N677" s="3"/>
      <c r="O677" s="3"/>
      <c r="P677" s="3"/>
      <c r="Q677" s="3"/>
      <c r="R677" s="3"/>
      <c r="S677" s="3"/>
      <c r="T677" s="3"/>
      <c r="U677" s="3"/>
      <c r="V677" s="3"/>
      <c r="W677" s="3"/>
      <c r="X677" s="3"/>
      <c r="Z677" s="3"/>
      <c r="AA677" s="3"/>
      <c r="AB677" s="3"/>
      <c r="AC677" s="3"/>
      <c r="AD677" s="3"/>
    </row>
    <row r="678" spans="1:30" ht="14">
      <c r="A678" s="3"/>
      <c r="B678" s="3"/>
      <c r="C678" s="3"/>
      <c r="D678" s="3"/>
      <c r="E678" s="3"/>
      <c r="F678" s="3"/>
      <c r="G678" s="3"/>
      <c r="H678" s="3"/>
      <c r="I678" s="3"/>
      <c r="J678" s="3"/>
      <c r="K678" s="3"/>
      <c r="L678" s="3"/>
      <c r="M678" s="3"/>
      <c r="N678" s="3"/>
      <c r="O678" s="3"/>
      <c r="P678" s="3"/>
      <c r="Q678" s="3"/>
      <c r="R678" s="3"/>
      <c r="S678" s="3"/>
      <c r="T678" s="3"/>
      <c r="U678" s="3"/>
      <c r="V678" s="3"/>
      <c r="W678" s="3"/>
      <c r="X678" s="3"/>
      <c r="Z678" s="3"/>
      <c r="AA678" s="3"/>
      <c r="AB678" s="3"/>
      <c r="AC678" s="3"/>
      <c r="AD678" s="3"/>
    </row>
    <row r="679" spans="1:30" ht="14">
      <c r="A679" s="3"/>
      <c r="B679" s="3"/>
      <c r="C679" s="3"/>
      <c r="D679" s="3"/>
      <c r="E679" s="3"/>
      <c r="F679" s="3"/>
      <c r="G679" s="3"/>
      <c r="H679" s="3"/>
      <c r="I679" s="3"/>
      <c r="J679" s="3"/>
      <c r="K679" s="3"/>
      <c r="L679" s="3"/>
      <c r="M679" s="3"/>
      <c r="N679" s="3"/>
      <c r="O679" s="3"/>
      <c r="P679" s="3"/>
      <c r="Q679" s="3"/>
      <c r="R679" s="3"/>
      <c r="S679" s="3"/>
      <c r="T679" s="3"/>
      <c r="U679" s="3"/>
      <c r="V679" s="3"/>
      <c r="W679" s="3"/>
      <c r="X679" s="3"/>
      <c r="Z679" s="3"/>
      <c r="AA679" s="3"/>
      <c r="AB679" s="3"/>
      <c r="AC679" s="3"/>
      <c r="AD679" s="3"/>
    </row>
    <row r="680" spans="1:30" ht="14">
      <c r="A680" s="3"/>
      <c r="B680" s="3"/>
      <c r="C680" s="3"/>
      <c r="D680" s="3"/>
      <c r="E680" s="3"/>
      <c r="F680" s="3"/>
      <c r="G680" s="3"/>
      <c r="H680" s="3"/>
      <c r="I680" s="3"/>
      <c r="J680" s="3"/>
      <c r="K680" s="3"/>
      <c r="L680" s="3"/>
      <c r="M680" s="3"/>
      <c r="N680" s="3"/>
      <c r="O680" s="3"/>
      <c r="P680" s="3"/>
      <c r="Q680" s="3"/>
      <c r="R680" s="3"/>
      <c r="S680" s="3"/>
      <c r="T680" s="3"/>
      <c r="U680" s="3"/>
      <c r="V680" s="3"/>
      <c r="W680" s="3"/>
      <c r="X680" s="3"/>
      <c r="Z680" s="3"/>
      <c r="AA680" s="3"/>
      <c r="AB680" s="3"/>
      <c r="AC680" s="3"/>
      <c r="AD680" s="3"/>
    </row>
    <row r="681" spans="1:30" ht="14">
      <c r="A681" s="3"/>
      <c r="B681" s="3"/>
      <c r="C681" s="3"/>
      <c r="D681" s="3"/>
      <c r="E681" s="3"/>
      <c r="F681" s="3"/>
      <c r="G681" s="3"/>
      <c r="H681" s="3"/>
      <c r="I681" s="3"/>
      <c r="J681" s="3"/>
      <c r="K681" s="3"/>
      <c r="L681" s="3"/>
      <c r="M681" s="3"/>
      <c r="N681" s="3"/>
      <c r="O681" s="3"/>
      <c r="P681" s="3"/>
      <c r="Q681" s="3"/>
      <c r="R681" s="3"/>
      <c r="S681" s="3"/>
      <c r="T681" s="3"/>
      <c r="U681" s="3"/>
      <c r="V681" s="3"/>
      <c r="W681" s="3"/>
      <c r="X681" s="3"/>
      <c r="Z681" s="3"/>
      <c r="AA681" s="3"/>
      <c r="AB681" s="3"/>
      <c r="AC681" s="3"/>
      <c r="AD681" s="3"/>
    </row>
    <row r="682" spans="1:30" ht="14">
      <c r="A682" s="3"/>
      <c r="B682" s="3"/>
      <c r="C682" s="3"/>
      <c r="D682" s="3"/>
      <c r="E682" s="3"/>
      <c r="F682" s="3"/>
      <c r="G682" s="3"/>
      <c r="H682" s="3"/>
      <c r="I682" s="3"/>
      <c r="J682" s="3"/>
      <c r="K682" s="3"/>
      <c r="L682" s="3"/>
      <c r="M682" s="3"/>
      <c r="N682" s="3"/>
      <c r="O682" s="3"/>
      <c r="P682" s="3"/>
      <c r="Q682" s="3"/>
      <c r="R682" s="3"/>
      <c r="S682" s="3"/>
      <c r="T682" s="3"/>
      <c r="U682" s="3"/>
      <c r="V682" s="3"/>
      <c r="W682" s="3"/>
      <c r="X682" s="3"/>
      <c r="Z682" s="3"/>
      <c r="AA682" s="3"/>
      <c r="AB682" s="3"/>
      <c r="AC682" s="3"/>
      <c r="AD682" s="3"/>
    </row>
    <row r="683" spans="1:30" ht="14">
      <c r="A683" s="3"/>
      <c r="B683" s="3"/>
      <c r="C683" s="3"/>
      <c r="D683" s="3"/>
      <c r="E683" s="3"/>
      <c r="F683" s="3"/>
      <c r="G683" s="3"/>
      <c r="H683" s="3"/>
      <c r="I683" s="3"/>
      <c r="J683" s="3"/>
      <c r="K683" s="3"/>
      <c r="L683" s="3"/>
      <c r="M683" s="3"/>
      <c r="N683" s="3"/>
      <c r="O683" s="3"/>
      <c r="P683" s="3"/>
      <c r="Q683" s="3"/>
      <c r="R683" s="3"/>
      <c r="S683" s="3"/>
      <c r="T683" s="3"/>
      <c r="U683" s="3"/>
      <c r="V683" s="3"/>
      <c r="W683" s="3"/>
      <c r="X683" s="3"/>
      <c r="Z683" s="3"/>
      <c r="AA683" s="3"/>
      <c r="AB683" s="3"/>
      <c r="AC683" s="3"/>
      <c r="AD683" s="3"/>
    </row>
    <row r="684" spans="1:30" ht="14">
      <c r="A684" s="3"/>
      <c r="B684" s="3"/>
      <c r="C684" s="3"/>
      <c r="D684" s="3"/>
      <c r="E684" s="3"/>
      <c r="F684" s="3"/>
      <c r="G684" s="3"/>
      <c r="H684" s="3"/>
      <c r="I684" s="3"/>
      <c r="J684" s="3"/>
      <c r="K684" s="3"/>
      <c r="L684" s="3"/>
      <c r="M684" s="3"/>
      <c r="N684" s="3"/>
      <c r="O684" s="3"/>
      <c r="P684" s="3"/>
      <c r="Q684" s="3"/>
      <c r="R684" s="3"/>
      <c r="S684" s="3"/>
      <c r="T684" s="3"/>
      <c r="U684" s="3"/>
      <c r="V684" s="3"/>
      <c r="W684" s="3"/>
      <c r="X684" s="3"/>
      <c r="Z684" s="3"/>
      <c r="AA684" s="3"/>
      <c r="AB684" s="3"/>
      <c r="AC684" s="3"/>
      <c r="AD684" s="3"/>
    </row>
    <row r="685" spans="1:30" ht="14">
      <c r="A685" s="3"/>
      <c r="B685" s="3"/>
      <c r="C685" s="3"/>
      <c r="D685" s="3"/>
      <c r="E685" s="3"/>
      <c r="F685" s="3"/>
      <c r="G685" s="3"/>
      <c r="H685" s="3"/>
      <c r="I685" s="3"/>
      <c r="J685" s="3"/>
      <c r="K685" s="3"/>
      <c r="L685" s="3"/>
      <c r="M685" s="3"/>
      <c r="N685" s="3"/>
      <c r="O685" s="3"/>
      <c r="P685" s="3"/>
      <c r="Q685" s="3"/>
      <c r="R685" s="3"/>
      <c r="S685" s="3"/>
      <c r="T685" s="3"/>
      <c r="U685" s="3"/>
      <c r="V685" s="3"/>
      <c r="W685" s="3"/>
      <c r="X685" s="3"/>
      <c r="Z685" s="3"/>
      <c r="AA685" s="3"/>
      <c r="AB685" s="3"/>
      <c r="AC685" s="3"/>
      <c r="AD685" s="3"/>
    </row>
    <row r="686" spans="1:30" ht="14">
      <c r="A686" s="3"/>
      <c r="B686" s="3"/>
      <c r="C686" s="3"/>
      <c r="D686" s="3"/>
      <c r="E686" s="3"/>
      <c r="F686" s="3"/>
      <c r="G686" s="3"/>
      <c r="H686" s="3"/>
      <c r="I686" s="3"/>
      <c r="J686" s="3"/>
      <c r="K686" s="3"/>
      <c r="L686" s="3"/>
      <c r="M686" s="3"/>
      <c r="N686" s="3"/>
      <c r="O686" s="3"/>
      <c r="P686" s="3"/>
      <c r="Q686" s="3"/>
      <c r="R686" s="3"/>
      <c r="S686" s="3"/>
      <c r="T686" s="3"/>
      <c r="U686" s="3"/>
      <c r="V686" s="3"/>
      <c r="W686" s="3"/>
      <c r="X686" s="3"/>
      <c r="Z686" s="3"/>
      <c r="AA686" s="3"/>
      <c r="AB686" s="3"/>
      <c r="AC686" s="3"/>
      <c r="AD686" s="3"/>
    </row>
    <row r="687" spans="1:30" ht="14">
      <c r="A687" s="3"/>
      <c r="B687" s="3"/>
      <c r="C687" s="3"/>
      <c r="D687" s="3"/>
      <c r="E687" s="3"/>
      <c r="F687" s="3"/>
      <c r="G687" s="3"/>
      <c r="H687" s="3"/>
      <c r="I687" s="3"/>
      <c r="J687" s="3"/>
      <c r="K687" s="3"/>
      <c r="L687" s="3"/>
      <c r="M687" s="3"/>
      <c r="N687" s="3"/>
      <c r="O687" s="3"/>
      <c r="P687" s="3"/>
      <c r="Q687" s="3"/>
      <c r="R687" s="3"/>
      <c r="S687" s="3"/>
      <c r="T687" s="3"/>
      <c r="U687" s="3"/>
      <c r="V687" s="3"/>
      <c r="W687" s="3"/>
      <c r="X687" s="3"/>
      <c r="Z687" s="3"/>
      <c r="AA687" s="3"/>
      <c r="AB687" s="3"/>
      <c r="AC687" s="3"/>
      <c r="AD687" s="3"/>
    </row>
    <row r="688" spans="1:30" ht="14">
      <c r="A688" s="3"/>
      <c r="B688" s="3"/>
      <c r="C688" s="3"/>
      <c r="D688" s="3"/>
      <c r="E688" s="3"/>
      <c r="F688" s="3"/>
      <c r="G688" s="3"/>
      <c r="H688" s="3"/>
      <c r="I688" s="3"/>
      <c r="J688" s="3"/>
      <c r="K688" s="3"/>
      <c r="L688" s="3"/>
      <c r="M688" s="3"/>
      <c r="N688" s="3"/>
      <c r="O688" s="3"/>
      <c r="P688" s="3"/>
      <c r="Q688" s="3"/>
      <c r="R688" s="3"/>
      <c r="S688" s="3"/>
      <c r="T688" s="3"/>
      <c r="U688" s="3"/>
      <c r="V688" s="3"/>
      <c r="W688" s="3"/>
      <c r="X688" s="3"/>
      <c r="Z688" s="3"/>
      <c r="AA688" s="3"/>
      <c r="AB688" s="3"/>
      <c r="AC688" s="3"/>
      <c r="AD688" s="3"/>
    </row>
    <row r="689" spans="1:30" ht="14">
      <c r="A689" s="3"/>
      <c r="B689" s="3"/>
      <c r="C689" s="3"/>
      <c r="D689" s="3"/>
      <c r="E689" s="3"/>
      <c r="F689" s="3"/>
      <c r="G689" s="3"/>
      <c r="H689" s="3"/>
      <c r="I689" s="3"/>
      <c r="J689" s="3"/>
      <c r="K689" s="3"/>
      <c r="L689" s="3"/>
      <c r="M689" s="3"/>
      <c r="N689" s="3"/>
      <c r="O689" s="3"/>
      <c r="P689" s="3"/>
      <c r="Q689" s="3"/>
      <c r="R689" s="3"/>
      <c r="S689" s="3"/>
      <c r="T689" s="3"/>
      <c r="U689" s="3"/>
      <c r="V689" s="3"/>
      <c r="W689" s="3"/>
      <c r="X689" s="3"/>
      <c r="Z689" s="3"/>
      <c r="AA689" s="3"/>
      <c r="AB689" s="3"/>
      <c r="AC689" s="3"/>
      <c r="AD689" s="3"/>
    </row>
    <row r="690" spans="1:30" ht="14">
      <c r="A690" s="3"/>
      <c r="B690" s="3"/>
      <c r="C690" s="3"/>
      <c r="D690" s="3"/>
      <c r="E690" s="3"/>
      <c r="F690" s="3"/>
      <c r="G690" s="3"/>
      <c r="H690" s="3"/>
      <c r="I690" s="3"/>
      <c r="J690" s="3"/>
      <c r="K690" s="3"/>
      <c r="L690" s="3"/>
      <c r="M690" s="3"/>
      <c r="N690" s="3"/>
      <c r="O690" s="3"/>
      <c r="P690" s="3"/>
      <c r="Q690" s="3"/>
      <c r="R690" s="3"/>
      <c r="S690" s="3"/>
      <c r="T690" s="3"/>
      <c r="U690" s="3"/>
      <c r="V690" s="3"/>
      <c r="W690" s="3"/>
      <c r="X690" s="3"/>
      <c r="Z690" s="3"/>
      <c r="AA690" s="3"/>
      <c r="AB690" s="3"/>
      <c r="AC690" s="3"/>
      <c r="AD690" s="3"/>
    </row>
    <row r="691" spans="1:30" ht="14">
      <c r="A691" s="3"/>
      <c r="B691" s="3"/>
      <c r="C691" s="3"/>
      <c r="D691" s="3"/>
      <c r="E691" s="3"/>
      <c r="F691" s="3"/>
      <c r="G691" s="3"/>
      <c r="H691" s="3"/>
      <c r="I691" s="3"/>
      <c r="J691" s="3"/>
      <c r="K691" s="3"/>
      <c r="L691" s="3"/>
      <c r="M691" s="3"/>
      <c r="N691" s="3"/>
      <c r="O691" s="3"/>
      <c r="P691" s="3"/>
      <c r="Q691" s="3"/>
      <c r="R691" s="3"/>
      <c r="S691" s="3"/>
      <c r="T691" s="3"/>
      <c r="U691" s="3"/>
      <c r="V691" s="3"/>
      <c r="W691" s="3"/>
      <c r="X691" s="3"/>
      <c r="Z691" s="3"/>
      <c r="AA691" s="3"/>
      <c r="AB691" s="3"/>
      <c r="AC691" s="3"/>
      <c r="AD691" s="3"/>
    </row>
    <row r="692" spans="1:30" ht="14">
      <c r="A692" s="3"/>
      <c r="B692" s="3"/>
      <c r="C692" s="3"/>
      <c r="D692" s="3"/>
      <c r="E692" s="3"/>
      <c r="F692" s="3"/>
      <c r="G692" s="3"/>
      <c r="H692" s="3"/>
      <c r="I692" s="3"/>
      <c r="J692" s="3"/>
      <c r="K692" s="3"/>
      <c r="L692" s="3"/>
      <c r="M692" s="3"/>
      <c r="N692" s="3"/>
      <c r="O692" s="3"/>
      <c r="P692" s="3"/>
      <c r="Q692" s="3"/>
      <c r="R692" s="3"/>
      <c r="S692" s="3"/>
      <c r="T692" s="3"/>
      <c r="U692" s="3"/>
      <c r="V692" s="3"/>
      <c r="W692" s="3"/>
      <c r="X692" s="3"/>
      <c r="Z692" s="3"/>
      <c r="AA692" s="3"/>
      <c r="AB692" s="3"/>
      <c r="AC692" s="3"/>
      <c r="AD692" s="3"/>
    </row>
    <row r="693" spans="1:30" ht="14">
      <c r="A693" s="3"/>
      <c r="B693" s="3"/>
      <c r="C693" s="3"/>
      <c r="D693" s="3"/>
      <c r="E693" s="3"/>
      <c r="F693" s="3"/>
      <c r="G693" s="3"/>
      <c r="H693" s="3"/>
      <c r="I693" s="3"/>
      <c r="J693" s="3"/>
      <c r="K693" s="3"/>
      <c r="L693" s="3"/>
      <c r="M693" s="3"/>
      <c r="N693" s="3"/>
      <c r="O693" s="3"/>
      <c r="P693" s="3"/>
      <c r="Q693" s="3"/>
      <c r="R693" s="3"/>
      <c r="S693" s="3"/>
      <c r="T693" s="3"/>
      <c r="U693" s="3"/>
      <c r="V693" s="3"/>
      <c r="W693" s="3"/>
      <c r="X693" s="3"/>
      <c r="Z693" s="3"/>
      <c r="AA693" s="3"/>
      <c r="AB693" s="3"/>
      <c r="AC693" s="3"/>
      <c r="AD693" s="3"/>
    </row>
    <row r="694" spans="1:30" ht="14">
      <c r="A694" s="3"/>
      <c r="B694" s="3"/>
      <c r="C694" s="3"/>
      <c r="D694" s="3"/>
      <c r="E694" s="3"/>
      <c r="F694" s="3"/>
      <c r="G694" s="3"/>
      <c r="H694" s="3"/>
      <c r="I694" s="3"/>
      <c r="J694" s="3"/>
      <c r="K694" s="3"/>
      <c r="L694" s="3"/>
      <c r="M694" s="3"/>
      <c r="N694" s="3"/>
      <c r="O694" s="3"/>
      <c r="P694" s="3"/>
      <c r="Q694" s="3"/>
      <c r="R694" s="3"/>
      <c r="S694" s="3"/>
      <c r="T694" s="3"/>
      <c r="U694" s="3"/>
      <c r="V694" s="3"/>
      <c r="W694" s="3"/>
      <c r="X694" s="3"/>
      <c r="Z694" s="3"/>
      <c r="AA694" s="3"/>
      <c r="AB694" s="3"/>
      <c r="AC694" s="3"/>
      <c r="AD694" s="3"/>
    </row>
    <row r="695" spans="1:30" ht="14">
      <c r="A695" s="3"/>
      <c r="B695" s="3"/>
      <c r="C695" s="3"/>
      <c r="D695" s="3"/>
      <c r="E695" s="3"/>
      <c r="F695" s="3"/>
      <c r="G695" s="3"/>
      <c r="H695" s="3"/>
      <c r="I695" s="3"/>
      <c r="J695" s="3"/>
      <c r="K695" s="3"/>
      <c r="L695" s="3"/>
      <c r="M695" s="3"/>
      <c r="N695" s="3"/>
      <c r="O695" s="3"/>
      <c r="P695" s="3"/>
      <c r="Q695" s="3"/>
      <c r="R695" s="3"/>
      <c r="S695" s="3"/>
      <c r="T695" s="3"/>
      <c r="U695" s="3"/>
      <c r="V695" s="3"/>
      <c r="W695" s="3"/>
      <c r="X695" s="3"/>
      <c r="Z695" s="3"/>
      <c r="AA695" s="3"/>
      <c r="AB695" s="3"/>
      <c r="AC695" s="3"/>
      <c r="AD695" s="3"/>
    </row>
    <row r="696" spans="1:30" ht="14">
      <c r="A696" s="3"/>
      <c r="B696" s="3"/>
      <c r="C696" s="3"/>
      <c r="D696" s="3"/>
      <c r="E696" s="3"/>
      <c r="F696" s="3"/>
      <c r="G696" s="3"/>
      <c r="H696" s="3"/>
      <c r="I696" s="3"/>
      <c r="J696" s="3"/>
      <c r="K696" s="3"/>
      <c r="L696" s="3"/>
      <c r="M696" s="3"/>
      <c r="N696" s="3"/>
      <c r="O696" s="3"/>
      <c r="P696" s="3"/>
      <c r="Q696" s="3"/>
      <c r="R696" s="3"/>
      <c r="S696" s="3"/>
      <c r="T696" s="3"/>
      <c r="U696" s="3"/>
      <c r="V696" s="3"/>
      <c r="W696" s="3"/>
      <c r="X696" s="3"/>
      <c r="Z696" s="3"/>
      <c r="AA696" s="3"/>
      <c r="AB696" s="3"/>
      <c r="AC696" s="3"/>
      <c r="AD696" s="3"/>
    </row>
    <row r="697" spans="1:30" ht="14">
      <c r="A697" s="3"/>
      <c r="B697" s="3"/>
      <c r="C697" s="3"/>
      <c r="D697" s="3"/>
      <c r="E697" s="3"/>
      <c r="F697" s="3"/>
      <c r="G697" s="3"/>
      <c r="H697" s="3"/>
      <c r="I697" s="3"/>
      <c r="J697" s="3"/>
      <c r="K697" s="3"/>
      <c r="L697" s="3"/>
      <c r="M697" s="3"/>
      <c r="N697" s="3"/>
      <c r="O697" s="3"/>
      <c r="P697" s="3"/>
      <c r="Q697" s="3"/>
      <c r="R697" s="3"/>
      <c r="S697" s="3"/>
      <c r="T697" s="3"/>
      <c r="U697" s="3"/>
      <c r="V697" s="3"/>
      <c r="W697" s="3"/>
      <c r="X697" s="3"/>
      <c r="Z697" s="3"/>
      <c r="AA697" s="3"/>
      <c r="AB697" s="3"/>
      <c r="AC697" s="3"/>
      <c r="AD697" s="3"/>
    </row>
    <row r="698" spans="1:30" ht="14">
      <c r="A698" s="3"/>
      <c r="B698" s="3"/>
      <c r="C698" s="3"/>
      <c r="D698" s="3"/>
      <c r="E698" s="3"/>
      <c r="F698" s="3"/>
      <c r="G698" s="3"/>
      <c r="H698" s="3"/>
      <c r="I698" s="3"/>
      <c r="J698" s="3"/>
      <c r="K698" s="3"/>
      <c r="L698" s="3"/>
      <c r="M698" s="3"/>
      <c r="N698" s="3"/>
      <c r="O698" s="3"/>
      <c r="P698" s="3"/>
      <c r="Q698" s="3"/>
      <c r="R698" s="3"/>
      <c r="S698" s="3"/>
      <c r="T698" s="3"/>
      <c r="U698" s="3"/>
      <c r="V698" s="3"/>
      <c r="W698" s="3"/>
      <c r="X698" s="3"/>
      <c r="Z698" s="3"/>
      <c r="AA698" s="3"/>
      <c r="AB698" s="3"/>
      <c r="AC698" s="3"/>
      <c r="AD698" s="3"/>
    </row>
    <row r="699" spans="1:30" ht="14">
      <c r="A699" s="3"/>
      <c r="B699" s="3"/>
      <c r="C699" s="3"/>
      <c r="D699" s="3"/>
      <c r="E699" s="3"/>
      <c r="F699" s="3"/>
      <c r="G699" s="3"/>
      <c r="H699" s="3"/>
      <c r="I699" s="3"/>
      <c r="J699" s="3"/>
      <c r="K699" s="3"/>
      <c r="L699" s="3"/>
      <c r="M699" s="3"/>
      <c r="N699" s="3"/>
      <c r="O699" s="3"/>
      <c r="P699" s="3"/>
      <c r="Q699" s="3"/>
      <c r="R699" s="3"/>
      <c r="S699" s="3"/>
      <c r="T699" s="3"/>
      <c r="U699" s="3"/>
      <c r="V699" s="3"/>
      <c r="W699" s="3"/>
      <c r="X699" s="3"/>
      <c r="Z699" s="3"/>
      <c r="AA699" s="3"/>
      <c r="AB699" s="3"/>
      <c r="AC699" s="3"/>
      <c r="AD699" s="3"/>
    </row>
    <row r="700" spans="1:30" ht="14">
      <c r="A700" s="3"/>
      <c r="B700" s="3"/>
      <c r="C700" s="3"/>
      <c r="D700" s="3"/>
      <c r="E700" s="3"/>
      <c r="F700" s="3"/>
      <c r="G700" s="3"/>
      <c r="H700" s="3"/>
      <c r="I700" s="3"/>
      <c r="J700" s="3"/>
      <c r="K700" s="3"/>
      <c r="L700" s="3"/>
      <c r="M700" s="3"/>
      <c r="N700" s="3"/>
      <c r="O700" s="3"/>
      <c r="P700" s="3"/>
      <c r="Q700" s="3"/>
      <c r="R700" s="3"/>
      <c r="S700" s="3"/>
      <c r="T700" s="3"/>
      <c r="U700" s="3"/>
      <c r="V700" s="3"/>
      <c r="W700" s="3"/>
      <c r="X700" s="3"/>
      <c r="Z700" s="3"/>
      <c r="AA700" s="3"/>
      <c r="AB700" s="3"/>
      <c r="AC700" s="3"/>
      <c r="AD700" s="3"/>
    </row>
    <row r="701" spans="1:30" ht="14">
      <c r="A701" s="3"/>
      <c r="B701" s="3"/>
      <c r="C701" s="3"/>
      <c r="D701" s="3"/>
      <c r="E701" s="3"/>
      <c r="F701" s="3"/>
      <c r="G701" s="3"/>
      <c r="H701" s="3"/>
      <c r="I701" s="3"/>
      <c r="J701" s="3"/>
      <c r="K701" s="3"/>
      <c r="L701" s="3"/>
      <c r="M701" s="3"/>
      <c r="N701" s="3"/>
      <c r="O701" s="3"/>
      <c r="P701" s="3"/>
      <c r="Q701" s="3"/>
      <c r="R701" s="3"/>
      <c r="S701" s="3"/>
      <c r="T701" s="3"/>
      <c r="U701" s="3"/>
      <c r="V701" s="3"/>
      <c r="W701" s="3"/>
      <c r="X701" s="3"/>
      <c r="Z701" s="3"/>
      <c r="AA701" s="3"/>
      <c r="AB701" s="3"/>
      <c r="AC701" s="3"/>
      <c r="AD701" s="3"/>
    </row>
    <row r="702" spans="1:30" ht="14">
      <c r="A702" s="3"/>
      <c r="B702" s="3"/>
      <c r="C702" s="3"/>
      <c r="D702" s="3"/>
      <c r="E702" s="3"/>
      <c r="F702" s="3"/>
      <c r="G702" s="3"/>
      <c r="H702" s="3"/>
      <c r="I702" s="3"/>
      <c r="J702" s="3"/>
      <c r="K702" s="3"/>
      <c r="L702" s="3"/>
      <c r="M702" s="3"/>
      <c r="N702" s="3"/>
      <c r="O702" s="3"/>
      <c r="P702" s="3"/>
      <c r="Q702" s="3"/>
      <c r="R702" s="3"/>
      <c r="S702" s="3"/>
      <c r="T702" s="3"/>
      <c r="U702" s="3"/>
      <c r="V702" s="3"/>
      <c r="W702" s="3"/>
      <c r="X702" s="3"/>
      <c r="Z702" s="3"/>
      <c r="AA702" s="3"/>
      <c r="AB702" s="3"/>
      <c r="AC702" s="3"/>
      <c r="AD702" s="3"/>
    </row>
    <row r="703" spans="1:30" ht="14">
      <c r="A703" s="3"/>
      <c r="B703" s="3"/>
      <c r="C703" s="3"/>
      <c r="D703" s="3"/>
      <c r="E703" s="3"/>
      <c r="F703" s="3"/>
      <c r="G703" s="3"/>
      <c r="H703" s="3"/>
      <c r="I703" s="3"/>
      <c r="J703" s="3"/>
      <c r="K703" s="3"/>
      <c r="L703" s="3"/>
      <c r="M703" s="3"/>
      <c r="N703" s="3"/>
      <c r="O703" s="3"/>
      <c r="P703" s="3"/>
      <c r="Q703" s="3"/>
      <c r="R703" s="3"/>
      <c r="S703" s="3"/>
      <c r="T703" s="3"/>
      <c r="U703" s="3"/>
      <c r="V703" s="3"/>
      <c r="W703" s="3"/>
      <c r="X703" s="3"/>
      <c r="Z703" s="3"/>
      <c r="AA703" s="3"/>
      <c r="AB703" s="3"/>
      <c r="AC703" s="3"/>
      <c r="AD703" s="3"/>
    </row>
    <row r="704" spans="1:30" ht="14">
      <c r="A704" s="3"/>
      <c r="B704" s="3"/>
      <c r="C704" s="3"/>
      <c r="D704" s="3"/>
      <c r="E704" s="3"/>
      <c r="F704" s="3"/>
      <c r="G704" s="3"/>
      <c r="H704" s="3"/>
      <c r="I704" s="3"/>
      <c r="J704" s="3"/>
      <c r="K704" s="3"/>
      <c r="L704" s="3"/>
      <c r="M704" s="3"/>
      <c r="N704" s="3"/>
      <c r="O704" s="3"/>
      <c r="P704" s="3"/>
      <c r="Q704" s="3"/>
      <c r="R704" s="3"/>
      <c r="S704" s="3"/>
      <c r="T704" s="3"/>
      <c r="U704" s="3"/>
      <c r="V704" s="3"/>
      <c r="W704" s="3"/>
      <c r="X704" s="3"/>
      <c r="Z704" s="3"/>
      <c r="AA704" s="3"/>
      <c r="AB704" s="3"/>
      <c r="AC704" s="3"/>
      <c r="AD704" s="3"/>
    </row>
    <row r="705" spans="1:30" ht="14">
      <c r="A705" s="3"/>
      <c r="B705" s="3"/>
      <c r="C705" s="3"/>
      <c r="D705" s="3"/>
      <c r="E705" s="3"/>
      <c r="F705" s="3"/>
      <c r="G705" s="3"/>
      <c r="H705" s="3"/>
      <c r="I705" s="3"/>
      <c r="J705" s="3"/>
      <c r="K705" s="3"/>
      <c r="L705" s="3"/>
      <c r="M705" s="3"/>
      <c r="N705" s="3"/>
      <c r="O705" s="3"/>
      <c r="P705" s="3"/>
      <c r="Q705" s="3"/>
      <c r="R705" s="3"/>
      <c r="S705" s="3"/>
      <c r="T705" s="3"/>
      <c r="U705" s="3"/>
      <c r="V705" s="3"/>
      <c r="W705" s="3"/>
      <c r="X705" s="3"/>
      <c r="Z705" s="3"/>
      <c r="AA705" s="3"/>
      <c r="AB705" s="3"/>
      <c r="AC705" s="3"/>
      <c r="AD705" s="3"/>
    </row>
    <row r="706" spans="1:30" ht="14">
      <c r="A706" s="3"/>
      <c r="B706" s="3"/>
      <c r="C706" s="3"/>
      <c r="D706" s="3"/>
      <c r="E706" s="3"/>
      <c r="F706" s="3"/>
      <c r="G706" s="3"/>
      <c r="H706" s="3"/>
      <c r="I706" s="3"/>
      <c r="J706" s="3"/>
      <c r="K706" s="3"/>
      <c r="L706" s="3"/>
      <c r="M706" s="3"/>
      <c r="N706" s="3"/>
      <c r="O706" s="3"/>
      <c r="P706" s="3"/>
      <c r="Q706" s="3"/>
      <c r="R706" s="3"/>
      <c r="S706" s="3"/>
      <c r="T706" s="3"/>
      <c r="U706" s="3"/>
      <c r="V706" s="3"/>
      <c r="W706" s="3"/>
      <c r="X706" s="3"/>
      <c r="Z706" s="3"/>
      <c r="AA706" s="3"/>
      <c r="AB706" s="3"/>
      <c r="AC706" s="3"/>
      <c r="AD706" s="3"/>
    </row>
    <row r="707" spans="1:30" ht="14">
      <c r="A707" s="3"/>
      <c r="B707" s="3"/>
      <c r="C707" s="3"/>
      <c r="D707" s="3"/>
      <c r="E707" s="3"/>
      <c r="F707" s="3"/>
      <c r="G707" s="3"/>
      <c r="H707" s="3"/>
      <c r="I707" s="3"/>
      <c r="J707" s="3"/>
      <c r="K707" s="3"/>
      <c r="L707" s="3"/>
      <c r="M707" s="3"/>
      <c r="N707" s="3"/>
      <c r="O707" s="3"/>
      <c r="P707" s="3"/>
      <c r="Q707" s="3"/>
      <c r="R707" s="3"/>
      <c r="S707" s="3"/>
      <c r="T707" s="3"/>
      <c r="U707" s="3"/>
      <c r="V707" s="3"/>
      <c r="W707" s="3"/>
      <c r="X707" s="3"/>
      <c r="Z707" s="3"/>
      <c r="AA707" s="3"/>
      <c r="AB707" s="3"/>
      <c r="AC707" s="3"/>
      <c r="AD707" s="3"/>
    </row>
    <row r="708" spans="1:30" ht="14">
      <c r="A708" s="3"/>
      <c r="B708" s="3"/>
      <c r="C708" s="3"/>
      <c r="D708" s="3"/>
      <c r="E708" s="3"/>
      <c r="F708" s="3"/>
      <c r="G708" s="3"/>
      <c r="H708" s="3"/>
      <c r="I708" s="3"/>
      <c r="J708" s="3"/>
      <c r="K708" s="3"/>
      <c r="L708" s="3"/>
      <c r="M708" s="3"/>
      <c r="N708" s="3"/>
      <c r="O708" s="3"/>
      <c r="P708" s="3"/>
      <c r="Q708" s="3"/>
      <c r="R708" s="3"/>
      <c r="S708" s="3"/>
      <c r="T708" s="3"/>
      <c r="U708" s="3"/>
      <c r="V708" s="3"/>
      <c r="W708" s="3"/>
      <c r="X708" s="3"/>
      <c r="Z708" s="3"/>
      <c r="AA708" s="3"/>
      <c r="AB708" s="3"/>
      <c r="AC708" s="3"/>
      <c r="AD708" s="3"/>
    </row>
    <row r="709" spans="1:30" ht="14">
      <c r="A709" s="3"/>
      <c r="B709" s="3"/>
      <c r="C709" s="3"/>
      <c r="D709" s="3"/>
      <c r="E709" s="3"/>
      <c r="F709" s="3"/>
      <c r="G709" s="3"/>
      <c r="H709" s="3"/>
      <c r="I709" s="3"/>
      <c r="J709" s="3"/>
      <c r="K709" s="3"/>
      <c r="L709" s="3"/>
      <c r="M709" s="3"/>
      <c r="N709" s="3"/>
      <c r="O709" s="3"/>
      <c r="P709" s="3"/>
      <c r="Q709" s="3"/>
      <c r="R709" s="3"/>
      <c r="S709" s="3"/>
      <c r="T709" s="3"/>
      <c r="U709" s="3"/>
      <c r="V709" s="3"/>
      <c r="W709" s="3"/>
      <c r="X709" s="3"/>
      <c r="Z709" s="3"/>
      <c r="AA709" s="3"/>
      <c r="AB709" s="3"/>
      <c r="AC709" s="3"/>
      <c r="AD709" s="3"/>
    </row>
    <row r="710" spans="1:30" ht="14">
      <c r="A710" s="3"/>
      <c r="B710" s="3"/>
      <c r="C710" s="3"/>
      <c r="D710" s="3"/>
      <c r="E710" s="3"/>
      <c r="F710" s="3"/>
      <c r="G710" s="3"/>
      <c r="H710" s="3"/>
      <c r="I710" s="3"/>
      <c r="J710" s="3"/>
      <c r="K710" s="3"/>
      <c r="L710" s="3"/>
      <c r="M710" s="3"/>
      <c r="N710" s="3"/>
      <c r="O710" s="3"/>
      <c r="P710" s="3"/>
      <c r="Q710" s="3"/>
      <c r="R710" s="3"/>
      <c r="S710" s="3"/>
      <c r="T710" s="3"/>
      <c r="U710" s="3"/>
      <c r="V710" s="3"/>
      <c r="W710" s="3"/>
      <c r="X710" s="3"/>
      <c r="Z710" s="3"/>
      <c r="AA710" s="3"/>
      <c r="AB710" s="3"/>
      <c r="AC710" s="3"/>
      <c r="AD710" s="3"/>
    </row>
    <row r="711" spans="1:30" ht="14">
      <c r="A711" s="3"/>
      <c r="B711" s="3"/>
      <c r="C711" s="3"/>
      <c r="D711" s="3"/>
      <c r="E711" s="3"/>
      <c r="F711" s="3"/>
      <c r="G711" s="3"/>
      <c r="H711" s="3"/>
      <c r="I711" s="3"/>
      <c r="J711" s="3"/>
      <c r="K711" s="3"/>
      <c r="L711" s="3"/>
      <c r="M711" s="3"/>
      <c r="N711" s="3"/>
      <c r="O711" s="3"/>
      <c r="P711" s="3"/>
      <c r="Q711" s="3"/>
      <c r="R711" s="3"/>
      <c r="S711" s="3"/>
      <c r="T711" s="3"/>
      <c r="U711" s="3"/>
      <c r="V711" s="3"/>
      <c r="W711" s="3"/>
      <c r="X711" s="3"/>
      <c r="Z711" s="3"/>
      <c r="AA711" s="3"/>
      <c r="AB711" s="3"/>
      <c r="AC711" s="3"/>
      <c r="AD711" s="3"/>
    </row>
    <row r="712" spans="1:30" ht="14">
      <c r="A712" s="3"/>
      <c r="B712" s="3"/>
      <c r="C712" s="3"/>
      <c r="D712" s="3"/>
      <c r="E712" s="3"/>
      <c r="F712" s="3"/>
      <c r="G712" s="3"/>
      <c r="H712" s="3"/>
      <c r="I712" s="3"/>
      <c r="J712" s="3"/>
      <c r="K712" s="3"/>
      <c r="L712" s="3"/>
      <c r="M712" s="3"/>
      <c r="N712" s="3"/>
      <c r="O712" s="3"/>
      <c r="P712" s="3"/>
      <c r="Q712" s="3"/>
      <c r="R712" s="3"/>
      <c r="S712" s="3"/>
      <c r="T712" s="3"/>
      <c r="U712" s="3"/>
      <c r="V712" s="3"/>
      <c r="W712" s="3"/>
      <c r="X712" s="3"/>
      <c r="Z712" s="3"/>
      <c r="AA712" s="3"/>
      <c r="AB712" s="3"/>
      <c r="AC712" s="3"/>
      <c r="AD712" s="3"/>
    </row>
    <row r="713" spans="1:30" ht="14">
      <c r="A713" s="3"/>
      <c r="B713" s="3"/>
      <c r="C713" s="3"/>
      <c r="D713" s="3"/>
      <c r="E713" s="3"/>
      <c r="F713" s="3"/>
      <c r="G713" s="3"/>
      <c r="H713" s="3"/>
      <c r="I713" s="3"/>
      <c r="J713" s="3"/>
      <c r="K713" s="3"/>
      <c r="L713" s="3"/>
      <c r="M713" s="3"/>
      <c r="N713" s="3"/>
      <c r="O713" s="3"/>
      <c r="P713" s="3"/>
      <c r="Q713" s="3"/>
      <c r="R713" s="3"/>
      <c r="S713" s="3"/>
      <c r="T713" s="3"/>
      <c r="U713" s="3"/>
      <c r="V713" s="3"/>
      <c r="W713" s="3"/>
      <c r="X713" s="3"/>
      <c r="Z713" s="3"/>
      <c r="AA713" s="3"/>
      <c r="AB713" s="3"/>
      <c r="AC713" s="3"/>
      <c r="AD713" s="3"/>
    </row>
    <row r="714" spans="1:30" ht="14">
      <c r="A714" s="3"/>
      <c r="B714" s="3"/>
      <c r="C714" s="3"/>
      <c r="D714" s="3"/>
      <c r="E714" s="3"/>
      <c r="F714" s="3"/>
      <c r="G714" s="3"/>
      <c r="H714" s="3"/>
      <c r="I714" s="3"/>
      <c r="J714" s="3"/>
      <c r="K714" s="3"/>
      <c r="L714" s="3"/>
      <c r="M714" s="3"/>
      <c r="N714" s="3"/>
      <c r="O714" s="3"/>
      <c r="P714" s="3"/>
      <c r="Q714" s="3"/>
      <c r="R714" s="3"/>
      <c r="S714" s="3"/>
      <c r="T714" s="3"/>
      <c r="U714" s="3"/>
      <c r="V714" s="3"/>
      <c r="W714" s="3"/>
      <c r="X714" s="3"/>
      <c r="Z714" s="3"/>
      <c r="AA714" s="3"/>
      <c r="AB714" s="3"/>
      <c r="AC714" s="3"/>
      <c r="AD714" s="3"/>
    </row>
    <row r="715" spans="1:30" ht="14">
      <c r="A715" s="3"/>
      <c r="B715" s="3"/>
      <c r="C715" s="3"/>
      <c r="D715" s="3"/>
      <c r="E715" s="3"/>
      <c r="F715" s="3"/>
      <c r="G715" s="3"/>
      <c r="H715" s="3"/>
      <c r="I715" s="3"/>
      <c r="J715" s="3"/>
      <c r="K715" s="3"/>
      <c r="L715" s="3"/>
      <c r="M715" s="3"/>
      <c r="N715" s="3"/>
      <c r="O715" s="3"/>
      <c r="P715" s="3"/>
      <c r="Q715" s="3"/>
      <c r="R715" s="3"/>
      <c r="S715" s="3"/>
      <c r="T715" s="3"/>
      <c r="U715" s="3"/>
      <c r="V715" s="3"/>
      <c r="W715" s="3"/>
      <c r="X715" s="3"/>
      <c r="Z715" s="3"/>
      <c r="AA715" s="3"/>
      <c r="AB715" s="3"/>
      <c r="AC715" s="3"/>
      <c r="AD715" s="3"/>
    </row>
    <row r="716" spans="1:30" ht="14">
      <c r="A716" s="3"/>
      <c r="B716" s="3"/>
      <c r="C716" s="3"/>
      <c r="D716" s="3"/>
      <c r="E716" s="3"/>
      <c r="F716" s="3"/>
      <c r="G716" s="3"/>
      <c r="H716" s="3"/>
      <c r="I716" s="3"/>
      <c r="J716" s="3"/>
      <c r="K716" s="3"/>
      <c r="L716" s="3"/>
      <c r="M716" s="3"/>
      <c r="N716" s="3"/>
      <c r="O716" s="3"/>
      <c r="P716" s="3"/>
      <c r="Q716" s="3"/>
      <c r="R716" s="3"/>
      <c r="S716" s="3"/>
      <c r="T716" s="3"/>
      <c r="U716" s="3"/>
      <c r="V716" s="3"/>
      <c r="W716" s="3"/>
      <c r="X716" s="3"/>
      <c r="Z716" s="3"/>
      <c r="AA716" s="3"/>
      <c r="AB716" s="3"/>
      <c r="AC716" s="3"/>
      <c r="AD716" s="3"/>
    </row>
    <row r="717" spans="1:30" ht="14">
      <c r="A717" s="3"/>
      <c r="B717" s="3"/>
      <c r="C717" s="3"/>
      <c r="D717" s="3"/>
      <c r="E717" s="3"/>
      <c r="F717" s="3"/>
      <c r="G717" s="3"/>
      <c r="H717" s="3"/>
      <c r="I717" s="3"/>
      <c r="J717" s="3"/>
      <c r="K717" s="3"/>
      <c r="L717" s="3"/>
      <c r="M717" s="3"/>
      <c r="N717" s="3"/>
      <c r="O717" s="3"/>
      <c r="P717" s="3"/>
      <c r="Q717" s="3"/>
      <c r="R717" s="3"/>
      <c r="S717" s="3"/>
      <c r="T717" s="3"/>
      <c r="U717" s="3"/>
      <c r="V717" s="3"/>
      <c r="W717" s="3"/>
      <c r="X717" s="3"/>
      <c r="Z717" s="3"/>
      <c r="AA717" s="3"/>
      <c r="AB717" s="3"/>
      <c r="AC717" s="3"/>
      <c r="AD717" s="3"/>
    </row>
    <row r="718" spans="1:30" ht="14">
      <c r="A718" s="3"/>
      <c r="B718" s="3"/>
      <c r="C718" s="3"/>
      <c r="D718" s="3"/>
      <c r="E718" s="3"/>
      <c r="F718" s="3"/>
      <c r="G718" s="3"/>
      <c r="H718" s="3"/>
      <c r="I718" s="3"/>
      <c r="J718" s="3"/>
      <c r="K718" s="3"/>
      <c r="L718" s="3"/>
      <c r="M718" s="3"/>
      <c r="N718" s="3"/>
      <c r="O718" s="3"/>
      <c r="P718" s="3"/>
      <c r="Q718" s="3"/>
      <c r="R718" s="3"/>
      <c r="S718" s="3"/>
      <c r="T718" s="3"/>
      <c r="U718" s="3"/>
      <c r="V718" s="3"/>
      <c r="W718" s="3"/>
      <c r="X718" s="3"/>
      <c r="Z718" s="3"/>
      <c r="AA718" s="3"/>
      <c r="AB718" s="3"/>
      <c r="AC718" s="3"/>
      <c r="AD718" s="3"/>
    </row>
    <row r="719" spans="1:30" ht="14">
      <c r="A719" s="3"/>
      <c r="B719" s="3"/>
      <c r="C719" s="3"/>
      <c r="D719" s="3"/>
      <c r="E719" s="3"/>
      <c r="F719" s="3"/>
      <c r="G719" s="3"/>
      <c r="H719" s="3"/>
      <c r="I719" s="3"/>
      <c r="J719" s="3"/>
      <c r="K719" s="3"/>
      <c r="L719" s="3"/>
      <c r="M719" s="3"/>
      <c r="N719" s="3"/>
      <c r="O719" s="3"/>
      <c r="P719" s="3"/>
      <c r="Q719" s="3"/>
      <c r="R719" s="3"/>
      <c r="S719" s="3"/>
      <c r="T719" s="3"/>
      <c r="U719" s="3"/>
      <c r="V719" s="3"/>
      <c r="W719" s="3"/>
      <c r="X719" s="3"/>
      <c r="Z719" s="3"/>
      <c r="AA719" s="3"/>
      <c r="AB719" s="3"/>
      <c r="AC719" s="3"/>
      <c r="AD719" s="3"/>
    </row>
    <row r="720" spans="1:30" ht="14">
      <c r="A720" s="3"/>
      <c r="B720" s="3"/>
      <c r="C720" s="3"/>
      <c r="D720" s="3"/>
      <c r="E720" s="3"/>
      <c r="F720" s="3"/>
      <c r="G720" s="3"/>
      <c r="H720" s="3"/>
      <c r="I720" s="3"/>
      <c r="J720" s="3"/>
      <c r="K720" s="3"/>
      <c r="L720" s="3"/>
      <c r="M720" s="3"/>
      <c r="N720" s="3"/>
      <c r="O720" s="3"/>
      <c r="P720" s="3"/>
      <c r="Q720" s="3"/>
      <c r="R720" s="3"/>
      <c r="S720" s="3"/>
      <c r="T720" s="3"/>
      <c r="U720" s="3"/>
      <c r="V720" s="3"/>
      <c r="W720" s="3"/>
      <c r="X720" s="3"/>
      <c r="Z720" s="3"/>
      <c r="AA720" s="3"/>
      <c r="AB720" s="3"/>
      <c r="AC720" s="3"/>
      <c r="AD720" s="3"/>
    </row>
    <row r="721" spans="1:30" ht="14">
      <c r="A721" s="3"/>
      <c r="B721" s="3"/>
      <c r="C721" s="3"/>
      <c r="D721" s="3"/>
      <c r="E721" s="3"/>
      <c r="F721" s="3"/>
      <c r="G721" s="3"/>
      <c r="H721" s="3"/>
      <c r="I721" s="3"/>
      <c r="J721" s="3"/>
      <c r="K721" s="3"/>
      <c r="L721" s="3"/>
      <c r="M721" s="3"/>
      <c r="N721" s="3"/>
      <c r="O721" s="3"/>
      <c r="P721" s="3"/>
      <c r="Q721" s="3"/>
      <c r="R721" s="3"/>
      <c r="S721" s="3"/>
      <c r="T721" s="3"/>
      <c r="U721" s="3"/>
      <c r="V721" s="3"/>
      <c r="W721" s="3"/>
      <c r="X721" s="3"/>
      <c r="Z721" s="3"/>
      <c r="AA721" s="3"/>
      <c r="AB721" s="3"/>
      <c r="AC721" s="3"/>
      <c r="AD721" s="3"/>
    </row>
    <row r="722" spans="1:30" ht="14">
      <c r="A722" s="3"/>
      <c r="B722" s="3"/>
      <c r="C722" s="3"/>
      <c r="D722" s="3"/>
      <c r="E722" s="3"/>
      <c r="F722" s="3"/>
      <c r="G722" s="3"/>
      <c r="H722" s="3"/>
      <c r="I722" s="3"/>
      <c r="J722" s="3"/>
      <c r="K722" s="3"/>
      <c r="L722" s="3"/>
      <c r="M722" s="3"/>
      <c r="N722" s="3"/>
      <c r="O722" s="3"/>
      <c r="P722" s="3"/>
      <c r="Q722" s="3"/>
      <c r="R722" s="3"/>
      <c r="S722" s="3"/>
      <c r="T722" s="3"/>
      <c r="U722" s="3"/>
      <c r="V722" s="3"/>
      <c r="W722" s="3"/>
      <c r="X722" s="3"/>
      <c r="Z722" s="3"/>
      <c r="AA722" s="3"/>
      <c r="AB722" s="3"/>
      <c r="AC722" s="3"/>
      <c r="AD722" s="3"/>
    </row>
    <row r="723" spans="1:30" ht="14">
      <c r="A723" s="3"/>
      <c r="B723" s="3"/>
      <c r="C723" s="3"/>
      <c r="D723" s="3"/>
      <c r="E723" s="3"/>
      <c r="F723" s="3"/>
      <c r="G723" s="3"/>
      <c r="H723" s="3"/>
      <c r="I723" s="3"/>
      <c r="J723" s="3"/>
      <c r="K723" s="3"/>
      <c r="L723" s="3"/>
      <c r="M723" s="3"/>
      <c r="N723" s="3"/>
      <c r="O723" s="3"/>
      <c r="P723" s="3"/>
      <c r="Q723" s="3"/>
      <c r="R723" s="3"/>
      <c r="S723" s="3"/>
      <c r="T723" s="3"/>
      <c r="U723" s="3"/>
      <c r="V723" s="3"/>
      <c r="W723" s="3"/>
      <c r="X723" s="3"/>
      <c r="Z723" s="3"/>
      <c r="AA723" s="3"/>
      <c r="AB723" s="3"/>
      <c r="AC723" s="3"/>
      <c r="AD723" s="3"/>
    </row>
    <row r="724" spans="1:30" ht="14">
      <c r="A724" s="3"/>
      <c r="B724" s="3"/>
      <c r="C724" s="3"/>
      <c r="D724" s="3"/>
      <c r="E724" s="3"/>
      <c r="F724" s="3"/>
      <c r="G724" s="3"/>
      <c r="H724" s="3"/>
      <c r="I724" s="3"/>
      <c r="J724" s="3"/>
      <c r="K724" s="3"/>
      <c r="L724" s="3"/>
      <c r="M724" s="3"/>
      <c r="N724" s="3"/>
      <c r="O724" s="3"/>
      <c r="P724" s="3"/>
      <c r="Q724" s="3"/>
      <c r="R724" s="3"/>
      <c r="S724" s="3"/>
      <c r="T724" s="3"/>
      <c r="U724" s="3"/>
      <c r="V724" s="3"/>
      <c r="W724" s="3"/>
      <c r="X724" s="3"/>
      <c r="Z724" s="3"/>
      <c r="AA724" s="3"/>
      <c r="AB724" s="3"/>
      <c r="AC724" s="3"/>
      <c r="AD724" s="3"/>
    </row>
    <row r="725" spans="1:30" ht="14">
      <c r="A725" s="3"/>
      <c r="B725" s="3"/>
      <c r="C725" s="3"/>
      <c r="D725" s="3"/>
      <c r="E725" s="3"/>
      <c r="F725" s="3"/>
      <c r="G725" s="3"/>
      <c r="H725" s="3"/>
      <c r="I725" s="3"/>
      <c r="J725" s="3"/>
      <c r="K725" s="3"/>
      <c r="L725" s="3"/>
      <c r="M725" s="3"/>
      <c r="N725" s="3"/>
      <c r="O725" s="3"/>
      <c r="P725" s="3"/>
      <c r="Q725" s="3"/>
      <c r="R725" s="3"/>
      <c r="S725" s="3"/>
      <c r="T725" s="3"/>
      <c r="U725" s="3"/>
      <c r="V725" s="3"/>
      <c r="W725" s="3"/>
      <c r="X725" s="3"/>
      <c r="Z725" s="3"/>
      <c r="AA725" s="3"/>
      <c r="AB725" s="3"/>
      <c r="AC725" s="3"/>
      <c r="AD725" s="3"/>
    </row>
    <row r="726" spans="1:30" ht="14">
      <c r="A726" s="3"/>
      <c r="B726" s="3"/>
      <c r="C726" s="3"/>
      <c r="D726" s="3"/>
      <c r="E726" s="3"/>
      <c r="F726" s="3"/>
      <c r="G726" s="3"/>
      <c r="H726" s="3"/>
      <c r="I726" s="3"/>
      <c r="J726" s="3"/>
      <c r="K726" s="3"/>
      <c r="L726" s="3"/>
      <c r="M726" s="3"/>
      <c r="N726" s="3"/>
      <c r="O726" s="3"/>
      <c r="P726" s="3"/>
      <c r="Q726" s="3"/>
      <c r="R726" s="3"/>
      <c r="S726" s="3"/>
      <c r="T726" s="3"/>
      <c r="U726" s="3"/>
      <c r="V726" s="3"/>
      <c r="W726" s="3"/>
      <c r="X726" s="3"/>
      <c r="Z726" s="3"/>
      <c r="AA726" s="3"/>
      <c r="AB726" s="3"/>
      <c r="AC726" s="3"/>
      <c r="AD726" s="3"/>
    </row>
    <row r="727" spans="1:30" ht="14">
      <c r="A727" s="3"/>
      <c r="B727" s="3"/>
      <c r="C727" s="3"/>
      <c r="D727" s="3"/>
      <c r="E727" s="3"/>
      <c r="F727" s="3"/>
      <c r="G727" s="3"/>
      <c r="H727" s="3"/>
      <c r="I727" s="3"/>
      <c r="J727" s="3"/>
      <c r="K727" s="3"/>
      <c r="L727" s="3"/>
      <c r="M727" s="3"/>
      <c r="N727" s="3"/>
      <c r="O727" s="3"/>
      <c r="P727" s="3"/>
      <c r="Q727" s="3"/>
      <c r="R727" s="3"/>
      <c r="S727" s="3"/>
      <c r="T727" s="3"/>
      <c r="U727" s="3"/>
      <c r="V727" s="3"/>
      <c r="W727" s="3"/>
      <c r="X727" s="3"/>
      <c r="Z727" s="3"/>
      <c r="AA727" s="3"/>
      <c r="AB727" s="3"/>
      <c r="AC727" s="3"/>
      <c r="AD727" s="3"/>
    </row>
    <row r="728" spans="1:30" ht="14">
      <c r="A728" s="3"/>
      <c r="B728" s="3"/>
      <c r="C728" s="3"/>
      <c r="D728" s="3"/>
      <c r="E728" s="3"/>
      <c r="F728" s="3"/>
      <c r="G728" s="3"/>
      <c r="H728" s="3"/>
      <c r="I728" s="3"/>
      <c r="J728" s="3"/>
      <c r="K728" s="3"/>
      <c r="L728" s="3"/>
      <c r="M728" s="3"/>
      <c r="N728" s="3"/>
      <c r="O728" s="3"/>
      <c r="P728" s="3"/>
      <c r="Q728" s="3"/>
      <c r="R728" s="3"/>
      <c r="S728" s="3"/>
      <c r="T728" s="3"/>
      <c r="U728" s="3"/>
      <c r="V728" s="3"/>
      <c r="W728" s="3"/>
      <c r="X728" s="3"/>
      <c r="Z728" s="3"/>
      <c r="AA728" s="3"/>
      <c r="AB728" s="3"/>
      <c r="AC728" s="3"/>
      <c r="AD728" s="3"/>
    </row>
    <row r="729" spans="1:30" ht="14">
      <c r="A729" s="3"/>
      <c r="B729" s="3"/>
      <c r="C729" s="3"/>
      <c r="D729" s="3"/>
      <c r="E729" s="3"/>
      <c r="F729" s="3"/>
      <c r="G729" s="3"/>
      <c r="H729" s="3"/>
      <c r="I729" s="3"/>
      <c r="J729" s="3"/>
      <c r="K729" s="3"/>
      <c r="L729" s="3"/>
      <c r="M729" s="3"/>
      <c r="N729" s="3"/>
      <c r="O729" s="3"/>
      <c r="P729" s="3"/>
      <c r="Q729" s="3"/>
      <c r="R729" s="3"/>
      <c r="S729" s="3"/>
      <c r="T729" s="3"/>
      <c r="U729" s="3"/>
      <c r="V729" s="3"/>
      <c r="W729" s="3"/>
      <c r="X729" s="3"/>
      <c r="Z729" s="3"/>
      <c r="AA729" s="3"/>
      <c r="AB729" s="3"/>
      <c r="AC729" s="3"/>
      <c r="AD729" s="3"/>
    </row>
    <row r="730" spans="1:30" ht="14">
      <c r="A730" s="3"/>
      <c r="B730" s="3"/>
      <c r="C730" s="3"/>
      <c r="D730" s="3"/>
      <c r="E730" s="3"/>
      <c r="F730" s="3"/>
      <c r="G730" s="3"/>
      <c r="H730" s="3"/>
      <c r="I730" s="3"/>
      <c r="J730" s="3"/>
      <c r="K730" s="3"/>
      <c r="L730" s="3"/>
      <c r="M730" s="3"/>
      <c r="N730" s="3"/>
      <c r="O730" s="3"/>
      <c r="P730" s="3"/>
      <c r="Q730" s="3"/>
      <c r="R730" s="3"/>
      <c r="S730" s="3"/>
      <c r="T730" s="3"/>
      <c r="U730" s="3"/>
      <c r="V730" s="3"/>
      <c r="W730" s="3"/>
      <c r="X730" s="3"/>
      <c r="Z730" s="3"/>
      <c r="AA730" s="3"/>
      <c r="AB730" s="3"/>
      <c r="AC730" s="3"/>
      <c r="AD730" s="3"/>
    </row>
    <row r="731" spans="1:30" ht="14">
      <c r="A731" s="3"/>
      <c r="B731" s="3"/>
      <c r="C731" s="3"/>
      <c r="D731" s="3"/>
      <c r="E731" s="3"/>
      <c r="F731" s="3"/>
      <c r="G731" s="3"/>
      <c r="H731" s="3"/>
      <c r="I731" s="3"/>
      <c r="J731" s="3"/>
      <c r="K731" s="3"/>
      <c r="L731" s="3"/>
      <c r="M731" s="3"/>
      <c r="N731" s="3"/>
      <c r="O731" s="3"/>
      <c r="P731" s="3"/>
      <c r="Q731" s="3"/>
      <c r="R731" s="3"/>
      <c r="S731" s="3"/>
      <c r="T731" s="3"/>
      <c r="U731" s="3"/>
      <c r="V731" s="3"/>
      <c r="W731" s="3"/>
      <c r="X731" s="3"/>
      <c r="Z731" s="3"/>
      <c r="AA731" s="3"/>
      <c r="AB731" s="3"/>
      <c r="AC731" s="3"/>
      <c r="AD731" s="3"/>
    </row>
    <row r="732" spans="1:30" ht="14">
      <c r="A732" s="3"/>
      <c r="B732" s="3"/>
      <c r="C732" s="3"/>
      <c r="D732" s="3"/>
      <c r="E732" s="3"/>
      <c r="F732" s="3"/>
      <c r="G732" s="3"/>
      <c r="H732" s="3"/>
      <c r="I732" s="3"/>
      <c r="J732" s="3"/>
      <c r="K732" s="3"/>
      <c r="L732" s="3"/>
      <c r="M732" s="3"/>
      <c r="N732" s="3"/>
      <c r="O732" s="3"/>
      <c r="P732" s="3"/>
      <c r="Q732" s="3"/>
      <c r="R732" s="3"/>
      <c r="S732" s="3"/>
      <c r="T732" s="3"/>
      <c r="U732" s="3"/>
      <c r="V732" s="3"/>
      <c r="W732" s="3"/>
      <c r="X732" s="3"/>
      <c r="Z732" s="3"/>
      <c r="AA732" s="3"/>
      <c r="AB732" s="3"/>
      <c r="AC732" s="3"/>
      <c r="AD732" s="3"/>
    </row>
    <row r="733" spans="1:30" ht="14">
      <c r="A733" s="3"/>
      <c r="B733" s="3"/>
      <c r="C733" s="3"/>
      <c r="D733" s="3"/>
      <c r="E733" s="3"/>
      <c r="F733" s="3"/>
      <c r="G733" s="3"/>
      <c r="H733" s="3"/>
      <c r="I733" s="3"/>
      <c r="J733" s="3"/>
      <c r="K733" s="3"/>
      <c r="L733" s="3"/>
      <c r="M733" s="3"/>
      <c r="N733" s="3"/>
      <c r="O733" s="3"/>
      <c r="P733" s="3"/>
      <c r="Q733" s="3"/>
      <c r="R733" s="3"/>
      <c r="S733" s="3"/>
      <c r="T733" s="3"/>
      <c r="U733" s="3"/>
      <c r="V733" s="3"/>
      <c r="W733" s="3"/>
      <c r="X733" s="3"/>
      <c r="Z733" s="3"/>
      <c r="AA733" s="3"/>
      <c r="AB733" s="3"/>
      <c r="AC733" s="3"/>
      <c r="AD733" s="3"/>
    </row>
    <row r="734" spans="1:30" ht="14">
      <c r="A734" s="3"/>
      <c r="B734" s="3"/>
      <c r="C734" s="3"/>
      <c r="D734" s="3"/>
      <c r="E734" s="3"/>
      <c r="F734" s="3"/>
      <c r="G734" s="3"/>
      <c r="H734" s="3"/>
      <c r="I734" s="3"/>
      <c r="J734" s="3"/>
      <c r="K734" s="3"/>
      <c r="L734" s="3"/>
      <c r="M734" s="3"/>
      <c r="N734" s="3"/>
      <c r="O734" s="3"/>
      <c r="P734" s="3"/>
      <c r="Q734" s="3"/>
      <c r="R734" s="3"/>
      <c r="S734" s="3"/>
      <c r="T734" s="3"/>
      <c r="U734" s="3"/>
      <c r="V734" s="3"/>
      <c r="W734" s="3"/>
      <c r="X734" s="3"/>
      <c r="Z734" s="3"/>
      <c r="AA734" s="3"/>
      <c r="AB734" s="3"/>
      <c r="AC734" s="3"/>
      <c r="AD734" s="3"/>
    </row>
    <row r="735" spans="1:30" ht="14">
      <c r="A735" s="3"/>
      <c r="B735" s="3"/>
      <c r="C735" s="3"/>
      <c r="D735" s="3"/>
      <c r="E735" s="3"/>
      <c r="F735" s="3"/>
      <c r="G735" s="3"/>
      <c r="H735" s="3"/>
      <c r="I735" s="3"/>
      <c r="J735" s="3"/>
      <c r="K735" s="3"/>
      <c r="L735" s="3"/>
      <c r="M735" s="3"/>
      <c r="N735" s="3"/>
      <c r="O735" s="3"/>
      <c r="P735" s="3"/>
      <c r="Q735" s="3"/>
      <c r="R735" s="3"/>
      <c r="S735" s="3"/>
      <c r="T735" s="3"/>
      <c r="U735" s="3"/>
      <c r="V735" s="3"/>
      <c r="W735" s="3"/>
      <c r="X735" s="3"/>
      <c r="Z735" s="3"/>
      <c r="AA735" s="3"/>
      <c r="AB735" s="3"/>
      <c r="AC735" s="3"/>
      <c r="AD735" s="3"/>
    </row>
    <row r="736" spans="1:30" ht="14">
      <c r="A736" s="3"/>
      <c r="B736" s="3"/>
      <c r="C736" s="3"/>
      <c r="D736" s="3"/>
      <c r="E736" s="3"/>
      <c r="F736" s="3"/>
      <c r="G736" s="3"/>
      <c r="H736" s="3"/>
      <c r="I736" s="3"/>
      <c r="J736" s="3"/>
      <c r="K736" s="3"/>
      <c r="L736" s="3"/>
      <c r="M736" s="3"/>
      <c r="N736" s="3"/>
      <c r="O736" s="3"/>
      <c r="P736" s="3"/>
      <c r="Q736" s="3"/>
      <c r="R736" s="3"/>
      <c r="S736" s="3"/>
      <c r="T736" s="3"/>
      <c r="U736" s="3"/>
      <c r="V736" s="3"/>
      <c r="W736" s="3"/>
      <c r="X736" s="3"/>
      <c r="Z736" s="3"/>
      <c r="AA736" s="3"/>
      <c r="AB736" s="3"/>
      <c r="AC736" s="3"/>
      <c r="AD736" s="3"/>
    </row>
    <row r="737" spans="1:30" ht="14">
      <c r="A737" s="3"/>
      <c r="B737" s="3"/>
      <c r="C737" s="3"/>
      <c r="D737" s="3"/>
      <c r="E737" s="3"/>
      <c r="F737" s="3"/>
      <c r="G737" s="3"/>
      <c r="H737" s="3"/>
      <c r="I737" s="3"/>
      <c r="J737" s="3"/>
      <c r="K737" s="3"/>
      <c r="L737" s="3"/>
      <c r="M737" s="3"/>
      <c r="N737" s="3"/>
      <c r="O737" s="3"/>
      <c r="P737" s="3"/>
      <c r="Q737" s="3"/>
      <c r="R737" s="3"/>
      <c r="S737" s="3"/>
      <c r="T737" s="3"/>
      <c r="U737" s="3"/>
      <c r="V737" s="3"/>
      <c r="W737" s="3"/>
      <c r="X737" s="3"/>
      <c r="Z737" s="3"/>
      <c r="AA737" s="3"/>
      <c r="AB737" s="3"/>
      <c r="AC737" s="3"/>
      <c r="AD737" s="3"/>
    </row>
    <row r="738" spans="1:30" ht="14">
      <c r="A738" s="3"/>
      <c r="B738" s="3"/>
      <c r="C738" s="3"/>
      <c r="D738" s="3"/>
      <c r="E738" s="3"/>
      <c r="F738" s="3"/>
      <c r="G738" s="3"/>
      <c r="H738" s="3"/>
      <c r="I738" s="3"/>
      <c r="J738" s="3"/>
      <c r="K738" s="3"/>
      <c r="L738" s="3"/>
      <c r="M738" s="3"/>
      <c r="N738" s="3"/>
      <c r="O738" s="3"/>
      <c r="P738" s="3"/>
      <c r="Q738" s="3"/>
      <c r="R738" s="3"/>
      <c r="S738" s="3"/>
      <c r="T738" s="3"/>
      <c r="U738" s="3"/>
      <c r="V738" s="3"/>
      <c r="W738" s="3"/>
      <c r="X738" s="3"/>
      <c r="Z738" s="3"/>
      <c r="AA738" s="3"/>
      <c r="AB738" s="3"/>
      <c r="AC738" s="3"/>
      <c r="AD738" s="3"/>
    </row>
    <row r="739" spans="1:30" ht="14">
      <c r="A739" s="3"/>
      <c r="B739" s="3"/>
      <c r="C739" s="3"/>
      <c r="D739" s="3"/>
      <c r="E739" s="3"/>
      <c r="F739" s="3"/>
      <c r="G739" s="3"/>
      <c r="H739" s="3"/>
      <c r="I739" s="3"/>
      <c r="J739" s="3"/>
      <c r="K739" s="3"/>
      <c r="L739" s="3"/>
      <c r="M739" s="3"/>
      <c r="N739" s="3"/>
      <c r="O739" s="3"/>
      <c r="P739" s="3"/>
      <c r="Q739" s="3"/>
      <c r="R739" s="3"/>
      <c r="S739" s="3"/>
      <c r="T739" s="3"/>
      <c r="U739" s="3"/>
      <c r="V739" s="3"/>
      <c r="W739" s="3"/>
      <c r="X739" s="3"/>
      <c r="Z739" s="3"/>
      <c r="AA739" s="3"/>
      <c r="AB739" s="3"/>
      <c r="AC739" s="3"/>
      <c r="AD739" s="3"/>
    </row>
    <row r="740" spans="1:30" ht="14">
      <c r="A740" s="3"/>
      <c r="B740" s="3"/>
      <c r="C740" s="3"/>
      <c r="D740" s="3"/>
      <c r="E740" s="3"/>
      <c r="F740" s="3"/>
      <c r="G740" s="3"/>
      <c r="H740" s="3"/>
      <c r="I740" s="3"/>
      <c r="J740" s="3"/>
      <c r="K740" s="3"/>
      <c r="L740" s="3"/>
      <c r="M740" s="3"/>
      <c r="N740" s="3"/>
      <c r="O740" s="3"/>
      <c r="P740" s="3"/>
      <c r="Q740" s="3"/>
      <c r="R740" s="3"/>
      <c r="S740" s="3"/>
      <c r="T740" s="3"/>
      <c r="U740" s="3"/>
      <c r="V740" s="3"/>
      <c r="W740" s="3"/>
      <c r="X740" s="3"/>
      <c r="Z740" s="3"/>
      <c r="AA740" s="3"/>
      <c r="AB740" s="3"/>
      <c r="AC740" s="3"/>
      <c r="AD740" s="3"/>
    </row>
    <row r="741" spans="1:30" ht="14">
      <c r="A741" s="3"/>
      <c r="B741" s="3"/>
      <c r="C741" s="3"/>
      <c r="D741" s="3"/>
      <c r="E741" s="3"/>
      <c r="F741" s="3"/>
      <c r="G741" s="3"/>
      <c r="H741" s="3"/>
      <c r="I741" s="3"/>
      <c r="J741" s="3"/>
      <c r="K741" s="3"/>
      <c r="L741" s="3"/>
      <c r="M741" s="3"/>
      <c r="N741" s="3"/>
      <c r="O741" s="3"/>
      <c r="P741" s="3"/>
      <c r="Q741" s="3"/>
      <c r="R741" s="3"/>
      <c r="S741" s="3"/>
      <c r="T741" s="3"/>
      <c r="U741" s="3"/>
      <c r="V741" s="3"/>
      <c r="W741" s="3"/>
      <c r="X741" s="3"/>
      <c r="Z741" s="3"/>
      <c r="AA741" s="3"/>
      <c r="AB741" s="3"/>
      <c r="AC741" s="3"/>
      <c r="AD741" s="3"/>
    </row>
    <row r="742" spans="1:30" ht="14">
      <c r="A742" s="3"/>
      <c r="B742" s="3"/>
      <c r="C742" s="3"/>
      <c r="D742" s="3"/>
      <c r="E742" s="3"/>
      <c r="F742" s="3"/>
      <c r="G742" s="3"/>
      <c r="H742" s="3"/>
      <c r="I742" s="3"/>
      <c r="J742" s="3"/>
      <c r="K742" s="3"/>
      <c r="L742" s="3"/>
      <c r="M742" s="3"/>
      <c r="N742" s="3"/>
      <c r="O742" s="3"/>
      <c r="P742" s="3"/>
      <c r="Q742" s="3"/>
      <c r="R742" s="3"/>
      <c r="S742" s="3"/>
      <c r="T742" s="3"/>
      <c r="U742" s="3"/>
      <c r="V742" s="3"/>
      <c r="W742" s="3"/>
      <c r="X742" s="3"/>
      <c r="Z742" s="3"/>
      <c r="AA742" s="3"/>
      <c r="AB742" s="3"/>
      <c r="AC742" s="3"/>
      <c r="AD742" s="3"/>
    </row>
    <row r="743" spans="1:30" ht="14">
      <c r="A743" s="3"/>
      <c r="B743" s="3"/>
      <c r="C743" s="3"/>
      <c r="D743" s="3"/>
      <c r="E743" s="3"/>
      <c r="F743" s="3"/>
      <c r="G743" s="3"/>
      <c r="H743" s="3"/>
      <c r="I743" s="3"/>
      <c r="J743" s="3"/>
      <c r="K743" s="3"/>
      <c r="L743" s="3"/>
      <c r="M743" s="3"/>
      <c r="N743" s="3"/>
      <c r="O743" s="3"/>
      <c r="P743" s="3"/>
      <c r="Q743" s="3"/>
      <c r="R743" s="3"/>
      <c r="S743" s="3"/>
      <c r="T743" s="3"/>
      <c r="U743" s="3"/>
      <c r="V743" s="3"/>
      <c r="W743" s="3"/>
      <c r="X743" s="3"/>
      <c r="Z743" s="3"/>
      <c r="AA743" s="3"/>
      <c r="AB743" s="3"/>
      <c r="AC743" s="3"/>
      <c r="AD743" s="3"/>
    </row>
    <row r="744" spans="1:30" ht="14">
      <c r="A744" s="3"/>
      <c r="B744" s="3"/>
      <c r="C744" s="3"/>
      <c r="D744" s="3"/>
      <c r="E744" s="3"/>
      <c r="F744" s="3"/>
      <c r="G744" s="3"/>
      <c r="H744" s="3"/>
      <c r="I744" s="3"/>
      <c r="J744" s="3"/>
      <c r="K744" s="3"/>
      <c r="L744" s="3"/>
      <c r="M744" s="3"/>
      <c r="N744" s="3"/>
      <c r="O744" s="3"/>
      <c r="P744" s="3"/>
      <c r="Q744" s="3"/>
      <c r="R744" s="3"/>
      <c r="S744" s="3"/>
      <c r="T744" s="3"/>
      <c r="U744" s="3"/>
      <c r="V744" s="3"/>
      <c r="W744" s="3"/>
      <c r="X744" s="3"/>
      <c r="Z744" s="3"/>
      <c r="AA744" s="3"/>
      <c r="AB744" s="3"/>
      <c r="AC744" s="3"/>
      <c r="AD744" s="3"/>
    </row>
    <row r="745" spans="1:30" ht="14">
      <c r="A745" s="3"/>
      <c r="B745" s="3"/>
      <c r="C745" s="3"/>
      <c r="D745" s="3"/>
      <c r="E745" s="3"/>
      <c r="F745" s="3"/>
      <c r="G745" s="3"/>
      <c r="H745" s="3"/>
      <c r="I745" s="3"/>
      <c r="J745" s="3"/>
      <c r="K745" s="3"/>
      <c r="L745" s="3"/>
      <c r="M745" s="3"/>
      <c r="N745" s="3"/>
      <c r="O745" s="3"/>
      <c r="P745" s="3"/>
      <c r="Q745" s="3"/>
      <c r="R745" s="3"/>
      <c r="S745" s="3"/>
      <c r="T745" s="3"/>
      <c r="U745" s="3"/>
      <c r="V745" s="3"/>
      <c r="W745" s="3"/>
      <c r="X745" s="3"/>
      <c r="Z745" s="3"/>
      <c r="AA745" s="3"/>
      <c r="AB745" s="3"/>
      <c r="AC745" s="3"/>
      <c r="AD745" s="3"/>
    </row>
    <row r="746" spans="1:30" ht="14">
      <c r="A746" s="3"/>
      <c r="B746" s="3"/>
      <c r="C746" s="3"/>
      <c r="D746" s="3"/>
      <c r="E746" s="3"/>
      <c r="F746" s="3"/>
      <c r="G746" s="3"/>
      <c r="H746" s="3"/>
      <c r="I746" s="3"/>
      <c r="J746" s="3"/>
      <c r="K746" s="3"/>
      <c r="L746" s="3"/>
      <c r="M746" s="3"/>
      <c r="N746" s="3"/>
      <c r="O746" s="3"/>
      <c r="P746" s="3"/>
      <c r="Q746" s="3"/>
      <c r="R746" s="3"/>
      <c r="S746" s="3"/>
      <c r="T746" s="3"/>
      <c r="U746" s="3"/>
      <c r="V746" s="3"/>
      <c r="W746" s="3"/>
      <c r="X746" s="3"/>
      <c r="Z746" s="3"/>
      <c r="AA746" s="3"/>
      <c r="AB746" s="3"/>
      <c r="AC746" s="3"/>
      <c r="AD746" s="3"/>
    </row>
    <row r="747" spans="1:30" ht="14">
      <c r="A747" s="3"/>
      <c r="B747" s="3"/>
      <c r="C747" s="3"/>
      <c r="D747" s="3"/>
      <c r="E747" s="3"/>
      <c r="F747" s="3"/>
      <c r="G747" s="3"/>
      <c r="H747" s="3"/>
      <c r="I747" s="3"/>
      <c r="J747" s="3"/>
      <c r="K747" s="3"/>
      <c r="L747" s="3"/>
      <c r="M747" s="3"/>
      <c r="N747" s="3"/>
      <c r="O747" s="3"/>
      <c r="P747" s="3"/>
      <c r="Q747" s="3"/>
      <c r="R747" s="3"/>
      <c r="S747" s="3"/>
      <c r="T747" s="3"/>
      <c r="U747" s="3"/>
      <c r="V747" s="3"/>
      <c r="W747" s="3"/>
      <c r="X747" s="3"/>
      <c r="Z747" s="3"/>
      <c r="AA747" s="3"/>
      <c r="AB747" s="3"/>
      <c r="AC747" s="3"/>
      <c r="AD747" s="3"/>
    </row>
    <row r="748" spans="1:30" ht="14">
      <c r="A748" s="3"/>
      <c r="B748" s="3"/>
      <c r="C748" s="3"/>
      <c r="D748" s="3"/>
      <c r="E748" s="3"/>
      <c r="F748" s="3"/>
      <c r="G748" s="3"/>
      <c r="H748" s="3"/>
      <c r="I748" s="3"/>
      <c r="J748" s="3"/>
      <c r="K748" s="3"/>
      <c r="L748" s="3"/>
      <c r="M748" s="3"/>
      <c r="N748" s="3"/>
      <c r="O748" s="3"/>
      <c r="P748" s="3"/>
      <c r="Q748" s="3"/>
      <c r="R748" s="3"/>
      <c r="S748" s="3"/>
      <c r="T748" s="3"/>
      <c r="U748" s="3"/>
      <c r="V748" s="3"/>
      <c r="W748" s="3"/>
      <c r="X748" s="3"/>
      <c r="Z748" s="3"/>
      <c r="AA748" s="3"/>
      <c r="AB748" s="3"/>
      <c r="AC748" s="3"/>
      <c r="AD748" s="3"/>
    </row>
    <row r="749" spans="1:30" ht="14">
      <c r="A749" s="3"/>
      <c r="B749" s="3"/>
      <c r="C749" s="3"/>
      <c r="D749" s="3"/>
      <c r="E749" s="3"/>
      <c r="F749" s="3"/>
      <c r="G749" s="3"/>
      <c r="H749" s="3"/>
      <c r="I749" s="3"/>
      <c r="J749" s="3"/>
      <c r="K749" s="3"/>
      <c r="L749" s="3"/>
      <c r="M749" s="3"/>
      <c r="N749" s="3"/>
      <c r="O749" s="3"/>
      <c r="P749" s="3"/>
      <c r="Q749" s="3"/>
      <c r="R749" s="3"/>
      <c r="S749" s="3"/>
      <c r="T749" s="3"/>
      <c r="U749" s="3"/>
      <c r="V749" s="3"/>
      <c r="W749" s="3"/>
      <c r="X749" s="3"/>
      <c r="Z749" s="3"/>
      <c r="AA749" s="3"/>
      <c r="AB749" s="3"/>
      <c r="AC749" s="3"/>
      <c r="AD749" s="3"/>
    </row>
    <row r="750" spans="1:30" ht="14">
      <c r="A750" s="3"/>
      <c r="B750" s="3"/>
      <c r="C750" s="3"/>
      <c r="D750" s="3"/>
      <c r="E750" s="3"/>
      <c r="F750" s="3"/>
      <c r="G750" s="3"/>
      <c r="H750" s="3"/>
      <c r="I750" s="3"/>
      <c r="J750" s="3"/>
      <c r="K750" s="3"/>
      <c r="L750" s="3"/>
      <c r="M750" s="3"/>
      <c r="N750" s="3"/>
      <c r="O750" s="3"/>
      <c r="P750" s="3"/>
      <c r="Q750" s="3"/>
      <c r="R750" s="3"/>
      <c r="S750" s="3"/>
      <c r="T750" s="3"/>
      <c r="U750" s="3"/>
      <c r="V750" s="3"/>
      <c r="W750" s="3"/>
      <c r="X750" s="3"/>
      <c r="Z750" s="3"/>
      <c r="AA750" s="3"/>
      <c r="AB750" s="3"/>
      <c r="AC750" s="3"/>
      <c r="AD750" s="3"/>
    </row>
    <row r="751" spans="1:30" ht="14">
      <c r="A751" s="3"/>
      <c r="B751" s="3"/>
      <c r="C751" s="3"/>
      <c r="D751" s="3"/>
      <c r="E751" s="3"/>
      <c r="F751" s="3"/>
      <c r="G751" s="3"/>
      <c r="H751" s="3"/>
      <c r="I751" s="3"/>
      <c r="J751" s="3"/>
      <c r="K751" s="3"/>
      <c r="L751" s="3"/>
      <c r="M751" s="3"/>
      <c r="N751" s="3"/>
      <c r="O751" s="3"/>
      <c r="P751" s="3"/>
      <c r="Q751" s="3"/>
      <c r="R751" s="3"/>
      <c r="S751" s="3"/>
      <c r="T751" s="3"/>
      <c r="U751" s="3"/>
      <c r="V751" s="3"/>
      <c r="W751" s="3"/>
      <c r="X751" s="3"/>
      <c r="Z751" s="3"/>
      <c r="AA751" s="3"/>
      <c r="AB751" s="3"/>
      <c r="AC751" s="3"/>
      <c r="AD751" s="3"/>
    </row>
    <row r="752" spans="1:30" ht="14">
      <c r="A752" s="3"/>
      <c r="B752" s="3"/>
      <c r="C752" s="3"/>
      <c r="D752" s="3"/>
      <c r="E752" s="3"/>
      <c r="F752" s="3"/>
      <c r="G752" s="3"/>
      <c r="H752" s="3"/>
      <c r="I752" s="3"/>
      <c r="J752" s="3"/>
      <c r="K752" s="3"/>
      <c r="L752" s="3"/>
      <c r="M752" s="3"/>
      <c r="N752" s="3"/>
      <c r="O752" s="3"/>
      <c r="P752" s="3"/>
      <c r="Q752" s="3"/>
      <c r="R752" s="3"/>
      <c r="S752" s="3"/>
      <c r="T752" s="3"/>
      <c r="U752" s="3"/>
      <c r="V752" s="3"/>
      <c r="W752" s="3"/>
      <c r="X752" s="3"/>
      <c r="Z752" s="3"/>
      <c r="AA752" s="3"/>
      <c r="AB752" s="3"/>
      <c r="AC752" s="3"/>
      <c r="AD752" s="3"/>
    </row>
    <row r="753" spans="1:30" ht="14">
      <c r="A753" s="3"/>
      <c r="B753" s="3"/>
      <c r="C753" s="3"/>
      <c r="D753" s="3"/>
      <c r="E753" s="3"/>
      <c r="F753" s="3"/>
      <c r="G753" s="3"/>
      <c r="H753" s="3"/>
      <c r="I753" s="3"/>
      <c r="J753" s="3"/>
      <c r="K753" s="3"/>
      <c r="L753" s="3"/>
      <c r="M753" s="3"/>
      <c r="N753" s="3"/>
      <c r="O753" s="3"/>
      <c r="P753" s="3"/>
      <c r="Q753" s="3"/>
      <c r="R753" s="3"/>
      <c r="S753" s="3"/>
      <c r="T753" s="3"/>
      <c r="U753" s="3"/>
      <c r="V753" s="3"/>
      <c r="W753" s="3"/>
      <c r="X753" s="3"/>
      <c r="Z753" s="3"/>
      <c r="AA753" s="3"/>
      <c r="AB753" s="3"/>
      <c r="AC753" s="3"/>
      <c r="AD753" s="3"/>
    </row>
    <row r="754" spans="1:30" ht="14">
      <c r="A754" s="3"/>
      <c r="B754" s="3"/>
      <c r="C754" s="3"/>
      <c r="D754" s="3"/>
      <c r="E754" s="3"/>
      <c r="F754" s="3"/>
      <c r="G754" s="3"/>
      <c r="H754" s="3"/>
      <c r="I754" s="3"/>
      <c r="J754" s="3"/>
      <c r="K754" s="3"/>
      <c r="L754" s="3"/>
      <c r="M754" s="3"/>
      <c r="N754" s="3"/>
      <c r="O754" s="3"/>
      <c r="P754" s="3"/>
      <c r="Q754" s="3"/>
      <c r="R754" s="3"/>
      <c r="S754" s="3"/>
      <c r="T754" s="3"/>
      <c r="U754" s="3"/>
      <c r="V754" s="3"/>
      <c r="W754" s="3"/>
      <c r="X754" s="3"/>
      <c r="Z754" s="3"/>
      <c r="AA754" s="3"/>
      <c r="AB754" s="3"/>
      <c r="AC754" s="3"/>
      <c r="AD754" s="3"/>
    </row>
    <row r="755" spans="1:30" ht="14">
      <c r="A755" s="3"/>
      <c r="B755" s="3"/>
      <c r="C755" s="3"/>
      <c r="D755" s="3"/>
      <c r="E755" s="3"/>
      <c r="F755" s="3"/>
      <c r="G755" s="3"/>
      <c r="H755" s="3"/>
      <c r="I755" s="3"/>
      <c r="J755" s="3"/>
      <c r="K755" s="3"/>
      <c r="L755" s="3"/>
      <c r="M755" s="3"/>
      <c r="N755" s="3"/>
      <c r="O755" s="3"/>
      <c r="P755" s="3"/>
      <c r="Q755" s="3"/>
      <c r="R755" s="3"/>
      <c r="S755" s="3"/>
      <c r="T755" s="3"/>
      <c r="U755" s="3"/>
      <c r="V755" s="3"/>
      <c r="W755" s="3"/>
      <c r="X755" s="3"/>
      <c r="Z755" s="3"/>
      <c r="AA755" s="3"/>
      <c r="AB755" s="3"/>
      <c r="AC755" s="3"/>
      <c r="AD755" s="3"/>
    </row>
    <row r="756" spans="1:30" ht="14">
      <c r="A756" s="3"/>
      <c r="B756" s="3"/>
      <c r="C756" s="3"/>
      <c r="D756" s="3"/>
      <c r="E756" s="3"/>
      <c r="F756" s="3"/>
      <c r="G756" s="3"/>
      <c r="H756" s="3"/>
      <c r="I756" s="3"/>
      <c r="J756" s="3"/>
      <c r="K756" s="3"/>
      <c r="L756" s="3"/>
      <c r="M756" s="3"/>
      <c r="N756" s="3"/>
      <c r="O756" s="3"/>
      <c r="P756" s="3"/>
      <c r="Q756" s="3"/>
      <c r="R756" s="3"/>
      <c r="S756" s="3"/>
      <c r="T756" s="3"/>
      <c r="U756" s="3"/>
      <c r="V756" s="3"/>
      <c r="W756" s="3"/>
      <c r="X756" s="3"/>
      <c r="Z756" s="3"/>
      <c r="AA756" s="3"/>
      <c r="AB756" s="3"/>
      <c r="AC756" s="3"/>
      <c r="AD756" s="3"/>
    </row>
    <row r="757" spans="1:30" ht="14">
      <c r="A757" s="3"/>
      <c r="B757" s="3"/>
      <c r="C757" s="3"/>
      <c r="D757" s="3"/>
      <c r="E757" s="3"/>
      <c r="F757" s="3"/>
      <c r="G757" s="3"/>
      <c r="H757" s="3"/>
      <c r="I757" s="3"/>
      <c r="J757" s="3"/>
      <c r="K757" s="3"/>
      <c r="L757" s="3"/>
      <c r="M757" s="3"/>
      <c r="N757" s="3"/>
      <c r="O757" s="3"/>
      <c r="P757" s="3"/>
      <c r="Q757" s="3"/>
      <c r="R757" s="3"/>
      <c r="S757" s="3"/>
      <c r="T757" s="3"/>
      <c r="U757" s="3"/>
      <c r="V757" s="3"/>
      <c r="W757" s="3"/>
      <c r="X757" s="3"/>
      <c r="Z757" s="3"/>
      <c r="AA757" s="3"/>
      <c r="AB757" s="3"/>
      <c r="AC757" s="3"/>
      <c r="AD757" s="3"/>
    </row>
    <row r="758" spans="1:30" ht="14">
      <c r="A758" s="3"/>
      <c r="B758" s="3"/>
      <c r="C758" s="3"/>
      <c r="D758" s="3"/>
      <c r="E758" s="3"/>
      <c r="F758" s="3"/>
      <c r="G758" s="3"/>
      <c r="H758" s="3"/>
      <c r="I758" s="3"/>
      <c r="J758" s="3"/>
      <c r="K758" s="3"/>
      <c r="L758" s="3"/>
      <c r="M758" s="3"/>
      <c r="N758" s="3"/>
      <c r="O758" s="3"/>
      <c r="P758" s="3"/>
      <c r="Q758" s="3"/>
      <c r="R758" s="3"/>
      <c r="S758" s="3"/>
      <c r="T758" s="3"/>
      <c r="U758" s="3"/>
      <c r="V758" s="3"/>
      <c r="W758" s="3"/>
      <c r="X758" s="3"/>
      <c r="Z758" s="3"/>
      <c r="AA758" s="3"/>
      <c r="AB758" s="3"/>
      <c r="AC758" s="3"/>
      <c r="AD758" s="3"/>
    </row>
    <row r="759" spans="1:30" ht="14">
      <c r="A759" s="3"/>
      <c r="B759" s="3"/>
      <c r="C759" s="3"/>
      <c r="D759" s="3"/>
      <c r="E759" s="3"/>
      <c r="F759" s="3"/>
      <c r="G759" s="3"/>
      <c r="H759" s="3"/>
      <c r="I759" s="3"/>
      <c r="J759" s="3"/>
      <c r="K759" s="3"/>
      <c r="L759" s="3"/>
      <c r="M759" s="3"/>
      <c r="N759" s="3"/>
      <c r="O759" s="3"/>
      <c r="P759" s="3"/>
      <c r="Q759" s="3"/>
      <c r="R759" s="3"/>
      <c r="S759" s="3"/>
      <c r="T759" s="3"/>
      <c r="U759" s="3"/>
      <c r="V759" s="3"/>
      <c r="W759" s="3"/>
      <c r="X759" s="3"/>
      <c r="Z759" s="3"/>
      <c r="AA759" s="3"/>
      <c r="AB759" s="3"/>
      <c r="AC759" s="3"/>
      <c r="AD759" s="3"/>
    </row>
    <row r="760" spans="1:30" ht="14">
      <c r="A760" s="3"/>
      <c r="B760" s="3"/>
      <c r="C760" s="3"/>
      <c r="D760" s="3"/>
      <c r="E760" s="3"/>
      <c r="F760" s="3"/>
      <c r="G760" s="3"/>
      <c r="H760" s="3"/>
      <c r="I760" s="3"/>
      <c r="J760" s="3"/>
      <c r="K760" s="3"/>
      <c r="L760" s="3"/>
      <c r="M760" s="3"/>
      <c r="N760" s="3"/>
      <c r="O760" s="3"/>
      <c r="P760" s="3"/>
      <c r="Q760" s="3"/>
      <c r="R760" s="3"/>
      <c r="S760" s="3"/>
      <c r="T760" s="3"/>
      <c r="U760" s="3"/>
      <c r="V760" s="3"/>
      <c r="W760" s="3"/>
      <c r="X760" s="3"/>
      <c r="Z760" s="3"/>
      <c r="AA760" s="3"/>
      <c r="AB760" s="3"/>
      <c r="AC760" s="3"/>
      <c r="AD760" s="3"/>
    </row>
    <row r="761" spans="1:30" ht="14">
      <c r="A761" s="3"/>
      <c r="B761" s="3"/>
      <c r="C761" s="3"/>
      <c r="D761" s="3"/>
      <c r="E761" s="3"/>
      <c r="F761" s="3"/>
      <c r="G761" s="3"/>
      <c r="H761" s="3"/>
      <c r="I761" s="3"/>
      <c r="J761" s="3"/>
      <c r="K761" s="3"/>
      <c r="L761" s="3"/>
      <c r="M761" s="3"/>
      <c r="N761" s="3"/>
      <c r="O761" s="3"/>
      <c r="P761" s="3"/>
      <c r="Q761" s="3"/>
      <c r="R761" s="3"/>
      <c r="S761" s="3"/>
      <c r="T761" s="3"/>
      <c r="U761" s="3"/>
      <c r="V761" s="3"/>
      <c r="W761" s="3"/>
      <c r="X761" s="3"/>
      <c r="Z761" s="3"/>
      <c r="AA761" s="3"/>
      <c r="AB761" s="3"/>
      <c r="AC761" s="3"/>
      <c r="AD761" s="3"/>
    </row>
    <row r="762" spans="1:30" ht="14">
      <c r="A762" s="3"/>
      <c r="B762" s="3"/>
      <c r="C762" s="3"/>
      <c r="D762" s="3"/>
      <c r="E762" s="3"/>
      <c r="F762" s="3"/>
      <c r="G762" s="3"/>
      <c r="H762" s="3"/>
      <c r="I762" s="3"/>
      <c r="J762" s="3"/>
      <c r="K762" s="3"/>
      <c r="L762" s="3"/>
      <c r="M762" s="3"/>
      <c r="N762" s="3"/>
      <c r="O762" s="3"/>
      <c r="P762" s="3"/>
      <c r="Q762" s="3"/>
      <c r="R762" s="3"/>
      <c r="S762" s="3"/>
      <c r="T762" s="3"/>
      <c r="U762" s="3"/>
      <c r="V762" s="3"/>
      <c r="W762" s="3"/>
      <c r="X762" s="3"/>
      <c r="Z762" s="3"/>
      <c r="AA762" s="3"/>
      <c r="AB762" s="3"/>
      <c r="AC762" s="3"/>
      <c r="AD762" s="3"/>
    </row>
    <row r="763" spans="1:30" ht="14">
      <c r="A763" s="3"/>
      <c r="B763" s="3"/>
      <c r="C763" s="3"/>
      <c r="D763" s="3"/>
      <c r="E763" s="3"/>
      <c r="F763" s="3"/>
      <c r="G763" s="3"/>
      <c r="H763" s="3"/>
      <c r="I763" s="3"/>
      <c r="J763" s="3"/>
      <c r="K763" s="3"/>
      <c r="L763" s="3"/>
      <c r="M763" s="3"/>
      <c r="N763" s="3"/>
      <c r="O763" s="3"/>
      <c r="P763" s="3"/>
      <c r="Q763" s="3"/>
      <c r="R763" s="3"/>
      <c r="S763" s="3"/>
      <c r="T763" s="3"/>
      <c r="U763" s="3"/>
      <c r="V763" s="3"/>
      <c r="W763" s="3"/>
      <c r="X763" s="3"/>
      <c r="Z763" s="3"/>
      <c r="AA763" s="3"/>
      <c r="AB763" s="3"/>
      <c r="AC763" s="3"/>
      <c r="AD763" s="3"/>
    </row>
    <row r="764" spans="1:30" ht="14">
      <c r="A764" s="3"/>
      <c r="B764" s="3"/>
      <c r="C764" s="3"/>
      <c r="D764" s="3"/>
      <c r="E764" s="3"/>
      <c r="F764" s="3"/>
      <c r="G764" s="3"/>
      <c r="H764" s="3"/>
      <c r="I764" s="3"/>
      <c r="J764" s="3"/>
      <c r="K764" s="3"/>
      <c r="L764" s="3"/>
      <c r="M764" s="3"/>
      <c r="N764" s="3"/>
      <c r="O764" s="3"/>
      <c r="P764" s="3"/>
      <c r="Q764" s="3"/>
      <c r="R764" s="3"/>
      <c r="S764" s="3"/>
      <c r="T764" s="3"/>
      <c r="U764" s="3"/>
      <c r="V764" s="3"/>
      <c r="W764" s="3"/>
      <c r="X764" s="3"/>
      <c r="Z764" s="3"/>
      <c r="AA764" s="3"/>
      <c r="AB764" s="3"/>
      <c r="AC764" s="3"/>
      <c r="AD764" s="3"/>
    </row>
    <row r="765" spans="1:30" ht="14">
      <c r="A765" s="3"/>
      <c r="B765" s="3"/>
      <c r="C765" s="3"/>
      <c r="D765" s="3"/>
      <c r="E765" s="3"/>
      <c r="F765" s="3"/>
      <c r="G765" s="3"/>
      <c r="H765" s="3"/>
      <c r="I765" s="3"/>
      <c r="J765" s="3"/>
      <c r="K765" s="3"/>
      <c r="L765" s="3"/>
      <c r="M765" s="3"/>
      <c r="N765" s="3"/>
      <c r="O765" s="3"/>
      <c r="P765" s="3"/>
      <c r="Q765" s="3"/>
      <c r="R765" s="3"/>
      <c r="S765" s="3"/>
      <c r="T765" s="3"/>
      <c r="U765" s="3"/>
      <c r="V765" s="3"/>
      <c r="W765" s="3"/>
      <c r="X765" s="3"/>
      <c r="Z765" s="3"/>
      <c r="AA765" s="3"/>
      <c r="AB765" s="3"/>
      <c r="AC765" s="3"/>
      <c r="AD765" s="3"/>
    </row>
    <row r="766" spans="1:30" ht="14">
      <c r="A766" s="3"/>
      <c r="B766" s="3"/>
      <c r="C766" s="3"/>
      <c r="D766" s="3"/>
      <c r="E766" s="3"/>
      <c r="F766" s="3"/>
      <c r="G766" s="3"/>
      <c r="H766" s="3"/>
      <c r="I766" s="3"/>
      <c r="J766" s="3"/>
      <c r="K766" s="3"/>
      <c r="L766" s="3"/>
      <c r="M766" s="3"/>
      <c r="N766" s="3"/>
      <c r="O766" s="3"/>
      <c r="P766" s="3"/>
      <c r="Q766" s="3"/>
      <c r="R766" s="3"/>
      <c r="S766" s="3"/>
      <c r="T766" s="3"/>
      <c r="U766" s="3"/>
      <c r="V766" s="3"/>
      <c r="W766" s="3"/>
      <c r="X766" s="3"/>
      <c r="Z766" s="3"/>
      <c r="AA766" s="3"/>
      <c r="AB766" s="3"/>
      <c r="AC766" s="3"/>
      <c r="AD766" s="3"/>
    </row>
    <row r="767" spans="1:30" ht="14">
      <c r="A767" s="3"/>
      <c r="B767" s="3"/>
      <c r="C767" s="3"/>
      <c r="D767" s="3"/>
      <c r="E767" s="3"/>
      <c r="F767" s="3"/>
      <c r="G767" s="3"/>
      <c r="H767" s="3"/>
      <c r="I767" s="3"/>
      <c r="J767" s="3"/>
      <c r="K767" s="3"/>
      <c r="L767" s="3"/>
      <c r="M767" s="3"/>
      <c r="N767" s="3"/>
      <c r="O767" s="3"/>
      <c r="P767" s="3"/>
      <c r="Q767" s="3"/>
      <c r="R767" s="3"/>
      <c r="S767" s="3"/>
      <c r="T767" s="3"/>
      <c r="U767" s="3"/>
      <c r="V767" s="3"/>
      <c r="W767" s="3"/>
      <c r="X767" s="3"/>
      <c r="Z767" s="3"/>
      <c r="AA767" s="3"/>
      <c r="AB767" s="3"/>
      <c r="AC767" s="3"/>
      <c r="AD767" s="3"/>
    </row>
    <row r="768" spans="1:30" ht="14">
      <c r="A768" s="3"/>
      <c r="B768" s="3"/>
      <c r="C768" s="3"/>
      <c r="D768" s="3"/>
      <c r="E768" s="3"/>
      <c r="F768" s="3"/>
      <c r="G768" s="3"/>
      <c r="H768" s="3"/>
      <c r="I768" s="3"/>
      <c r="J768" s="3"/>
      <c r="K768" s="3"/>
      <c r="L768" s="3"/>
      <c r="M768" s="3"/>
      <c r="N768" s="3"/>
      <c r="O768" s="3"/>
      <c r="P768" s="3"/>
      <c r="Q768" s="3"/>
      <c r="R768" s="3"/>
      <c r="S768" s="3"/>
      <c r="T768" s="3"/>
      <c r="U768" s="3"/>
      <c r="V768" s="3"/>
      <c r="W768" s="3"/>
      <c r="X768" s="3"/>
      <c r="Z768" s="3"/>
      <c r="AA768" s="3"/>
      <c r="AB768" s="3"/>
      <c r="AC768" s="3"/>
      <c r="AD768" s="3"/>
    </row>
    <row r="769" spans="1:30" ht="14">
      <c r="A769" s="3"/>
      <c r="B769" s="3"/>
      <c r="C769" s="3"/>
      <c r="D769" s="3"/>
      <c r="E769" s="3"/>
      <c r="F769" s="3"/>
      <c r="G769" s="3"/>
      <c r="H769" s="3"/>
      <c r="I769" s="3"/>
      <c r="J769" s="3"/>
      <c r="K769" s="3"/>
      <c r="L769" s="3"/>
      <c r="M769" s="3"/>
      <c r="N769" s="3"/>
      <c r="O769" s="3"/>
      <c r="P769" s="3"/>
      <c r="Q769" s="3"/>
      <c r="R769" s="3"/>
      <c r="S769" s="3"/>
      <c r="T769" s="3"/>
      <c r="U769" s="3"/>
      <c r="V769" s="3"/>
      <c r="W769" s="3"/>
      <c r="X769" s="3"/>
      <c r="Z769" s="3"/>
      <c r="AA769" s="3"/>
      <c r="AB769" s="3"/>
      <c r="AC769" s="3"/>
      <c r="AD769" s="3"/>
    </row>
    <row r="770" spans="1:30" ht="14">
      <c r="A770" s="3"/>
      <c r="B770" s="3"/>
      <c r="C770" s="3"/>
      <c r="D770" s="3"/>
      <c r="E770" s="3"/>
      <c r="F770" s="3"/>
      <c r="G770" s="3"/>
      <c r="H770" s="3"/>
      <c r="I770" s="3"/>
      <c r="J770" s="3"/>
      <c r="K770" s="3"/>
      <c r="L770" s="3"/>
      <c r="M770" s="3"/>
      <c r="N770" s="3"/>
      <c r="O770" s="3"/>
      <c r="P770" s="3"/>
      <c r="Q770" s="3"/>
      <c r="R770" s="3"/>
      <c r="S770" s="3"/>
      <c r="T770" s="3"/>
      <c r="U770" s="3"/>
      <c r="V770" s="3"/>
      <c r="W770" s="3"/>
      <c r="X770" s="3"/>
      <c r="Z770" s="3"/>
      <c r="AA770" s="3"/>
      <c r="AB770" s="3"/>
      <c r="AC770" s="3"/>
      <c r="AD770" s="3"/>
    </row>
    <row r="771" spans="1:30" ht="14">
      <c r="A771" s="3"/>
      <c r="B771" s="3"/>
      <c r="C771" s="3"/>
      <c r="D771" s="3"/>
      <c r="E771" s="3"/>
      <c r="F771" s="3"/>
      <c r="G771" s="3"/>
      <c r="H771" s="3"/>
      <c r="I771" s="3"/>
      <c r="J771" s="3"/>
      <c r="K771" s="3"/>
      <c r="L771" s="3"/>
      <c r="M771" s="3"/>
      <c r="N771" s="3"/>
      <c r="O771" s="3"/>
      <c r="P771" s="3"/>
      <c r="Q771" s="3"/>
      <c r="R771" s="3"/>
      <c r="S771" s="3"/>
      <c r="T771" s="3"/>
      <c r="U771" s="3"/>
      <c r="V771" s="3"/>
      <c r="W771" s="3"/>
      <c r="X771" s="3"/>
      <c r="Z771" s="3"/>
      <c r="AA771" s="3"/>
      <c r="AB771" s="3"/>
      <c r="AC771" s="3"/>
      <c r="AD771" s="3"/>
    </row>
    <row r="772" spans="1:30" ht="14">
      <c r="A772" s="3"/>
      <c r="B772" s="3"/>
      <c r="C772" s="3"/>
      <c r="D772" s="3"/>
      <c r="E772" s="3"/>
      <c r="F772" s="3"/>
      <c r="G772" s="3"/>
      <c r="H772" s="3"/>
      <c r="I772" s="3"/>
      <c r="J772" s="3"/>
      <c r="K772" s="3"/>
      <c r="L772" s="3"/>
      <c r="M772" s="3"/>
      <c r="N772" s="3"/>
      <c r="O772" s="3"/>
      <c r="P772" s="3"/>
      <c r="Q772" s="3"/>
      <c r="R772" s="3"/>
      <c r="S772" s="3"/>
      <c r="T772" s="3"/>
      <c r="U772" s="3"/>
      <c r="V772" s="3"/>
      <c r="W772" s="3"/>
      <c r="X772" s="3"/>
      <c r="Z772" s="3"/>
      <c r="AA772" s="3"/>
      <c r="AB772" s="3"/>
      <c r="AC772" s="3"/>
      <c r="AD772" s="3"/>
    </row>
    <row r="773" spans="1:30" ht="14">
      <c r="A773" s="3"/>
      <c r="B773" s="3"/>
      <c r="C773" s="3"/>
      <c r="D773" s="3"/>
      <c r="E773" s="3"/>
      <c r="F773" s="3"/>
      <c r="G773" s="3"/>
      <c r="H773" s="3"/>
      <c r="I773" s="3"/>
      <c r="J773" s="3"/>
      <c r="K773" s="3"/>
      <c r="L773" s="3"/>
      <c r="M773" s="3"/>
      <c r="N773" s="3"/>
      <c r="O773" s="3"/>
      <c r="P773" s="3"/>
      <c r="Q773" s="3"/>
      <c r="R773" s="3"/>
      <c r="S773" s="3"/>
      <c r="T773" s="3"/>
      <c r="U773" s="3"/>
      <c r="V773" s="3"/>
      <c r="W773" s="3"/>
      <c r="X773" s="3"/>
      <c r="Z773" s="3"/>
      <c r="AA773" s="3"/>
      <c r="AB773" s="3"/>
      <c r="AC773" s="3"/>
      <c r="AD773" s="3"/>
    </row>
    <row r="774" spans="1:30" ht="14">
      <c r="A774" s="3"/>
      <c r="B774" s="3"/>
      <c r="C774" s="3"/>
      <c r="D774" s="3"/>
      <c r="E774" s="3"/>
      <c r="F774" s="3"/>
      <c r="G774" s="3"/>
      <c r="H774" s="3"/>
      <c r="I774" s="3"/>
      <c r="J774" s="3"/>
      <c r="K774" s="3"/>
      <c r="L774" s="3"/>
      <c r="M774" s="3"/>
      <c r="N774" s="3"/>
      <c r="O774" s="3"/>
      <c r="P774" s="3"/>
      <c r="Q774" s="3"/>
      <c r="R774" s="3"/>
      <c r="S774" s="3"/>
      <c r="T774" s="3"/>
      <c r="U774" s="3"/>
      <c r="V774" s="3"/>
      <c r="W774" s="3"/>
      <c r="X774" s="3"/>
      <c r="Z774" s="3"/>
      <c r="AA774" s="3"/>
      <c r="AB774" s="3"/>
      <c r="AC774" s="3"/>
      <c r="AD774" s="3"/>
    </row>
    <row r="775" spans="1:30" ht="14">
      <c r="A775" s="3"/>
      <c r="B775" s="3"/>
      <c r="C775" s="3"/>
      <c r="D775" s="3"/>
      <c r="E775" s="3"/>
      <c r="F775" s="3"/>
      <c r="G775" s="3"/>
      <c r="H775" s="3"/>
      <c r="I775" s="3"/>
      <c r="J775" s="3"/>
      <c r="K775" s="3"/>
      <c r="L775" s="3"/>
      <c r="M775" s="3"/>
      <c r="N775" s="3"/>
      <c r="O775" s="3"/>
      <c r="P775" s="3"/>
      <c r="Q775" s="3"/>
      <c r="R775" s="3"/>
      <c r="S775" s="3"/>
      <c r="T775" s="3"/>
      <c r="U775" s="3"/>
      <c r="V775" s="3"/>
      <c r="W775" s="3"/>
      <c r="X775" s="3"/>
      <c r="Z775" s="3"/>
      <c r="AA775" s="3"/>
      <c r="AB775" s="3"/>
      <c r="AC775" s="3"/>
      <c r="AD775" s="3"/>
    </row>
    <row r="776" spans="1:30" ht="14">
      <c r="A776" s="3"/>
      <c r="B776" s="3"/>
      <c r="C776" s="3"/>
      <c r="D776" s="3"/>
      <c r="E776" s="3"/>
      <c r="F776" s="3"/>
      <c r="G776" s="3"/>
      <c r="H776" s="3"/>
      <c r="I776" s="3"/>
      <c r="J776" s="3"/>
      <c r="K776" s="3"/>
      <c r="L776" s="3"/>
      <c r="M776" s="3"/>
      <c r="N776" s="3"/>
      <c r="O776" s="3"/>
      <c r="P776" s="3"/>
      <c r="Q776" s="3"/>
      <c r="R776" s="3"/>
      <c r="S776" s="3"/>
      <c r="T776" s="3"/>
      <c r="U776" s="3"/>
      <c r="V776" s="3"/>
      <c r="W776" s="3"/>
      <c r="X776" s="3"/>
      <c r="Z776" s="3"/>
      <c r="AA776" s="3"/>
      <c r="AB776" s="3"/>
      <c r="AC776" s="3"/>
      <c r="AD776" s="3"/>
    </row>
    <row r="777" spans="1:30" ht="14">
      <c r="A777" s="3"/>
      <c r="B777" s="3"/>
      <c r="C777" s="3"/>
      <c r="D777" s="3"/>
      <c r="E777" s="3"/>
      <c r="F777" s="3"/>
      <c r="G777" s="3"/>
      <c r="H777" s="3"/>
      <c r="I777" s="3"/>
      <c r="J777" s="3"/>
      <c r="K777" s="3"/>
      <c r="L777" s="3"/>
      <c r="M777" s="3"/>
      <c r="N777" s="3"/>
      <c r="O777" s="3"/>
      <c r="P777" s="3"/>
      <c r="Q777" s="3"/>
      <c r="R777" s="3"/>
      <c r="S777" s="3"/>
      <c r="T777" s="3"/>
      <c r="U777" s="3"/>
      <c r="V777" s="3"/>
      <c r="W777" s="3"/>
      <c r="X777" s="3"/>
      <c r="Z777" s="3"/>
      <c r="AA777" s="3"/>
      <c r="AB777" s="3"/>
      <c r="AC777" s="3"/>
      <c r="AD777" s="3"/>
    </row>
    <row r="778" spans="1:30" ht="14">
      <c r="A778" s="3"/>
      <c r="B778" s="3"/>
      <c r="C778" s="3"/>
      <c r="D778" s="3"/>
      <c r="E778" s="3"/>
      <c r="F778" s="3"/>
      <c r="G778" s="3"/>
      <c r="H778" s="3"/>
      <c r="I778" s="3"/>
      <c r="J778" s="3"/>
      <c r="K778" s="3"/>
      <c r="L778" s="3"/>
      <c r="M778" s="3"/>
      <c r="N778" s="3"/>
      <c r="O778" s="3"/>
      <c r="P778" s="3"/>
      <c r="Q778" s="3"/>
      <c r="R778" s="3"/>
      <c r="S778" s="3"/>
      <c r="T778" s="3"/>
      <c r="U778" s="3"/>
      <c r="V778" s="3"/>
      <c r="W778" s="3"/>
      <c r="X778" s="3"/>
      <c r="Z778" s="3"/>
      <c r="AA778" s="3"/>
      <c r="AB778" s="3"/>
      <c r="AC778" s="3"/>
      <c r="AD778" s="3"/>
    </row>
    <row r="779" spans="1:30" ht="14">
      <c r="A779" s="3"/>
      <c r="B779" s="3"/>
      <c r="C779" s="3"/>
      <c r="D779" s="3"/>
      <c r="E779" s="3"/>
      <c r="F779" s="3"/>
      <c r="G779" s="3"/>
      <c r="H779" s="3"/>
      <c r="I779" s="3"/>
      <c r="J779" s="3"/>
      <c r="K779" s="3"/>
      <c r="L779" s="3"/>
      <c r="M779" s="3"/>
      <c r="N779" s="3"/>
      <c r="O779" s="3"/>
      <c r="P779" s="3"/>
      <c r="Q779" s="3"/>
      <c r="R779" s="3"/>
      <c r="S779" s="3"/>
      <c r="T779" s="3"/>
      <c r="U779" s="3"/>
      <c r="V779" s="3"/>
      <c r="W779" s="3"/>
      <c r="X779" s="3"/>
      <c r="Z779" s="3"/>
      <c r="AA779" s="3"/>
      <c r="AB779" s="3"/>
      <c r="AC779" s="3"/>
      <c r="AD779" s="3"/>
    </row>
    <row r="780" spans="1:30" ht="14">
      <c r="A780" s="3"/>
      <c r="B780" s="3"/>
      <c r="C780" s="3"/>
      <c r="D780" s="3"/>
      <c r="E780" s="3"/>
      <c r="F780" s="3"/>
      <c r="G780" s="3"/>
      <c r="H780" s="3"/>
      <c r="I780" s="3"/>
      <c r="J780" s="3"/>
      <c r="K780" s="3"/>
      <c r="L780" s="3"/>
      <c r="M780" s="3"/>
      <c r="N780" s="3"/>
      <c r="O780" s="3"/>
      <c r="P780" s="3"/>
      <c r="Q780" s="3"/>
      <c r="R780" s="3"/>
      <c r="S780" s="3"/>
      <c r="T780" s="3"/>
      <c r="U780" s="3"/>
      <c r="V780" s="3"/>
      <c r="W780" s="3"/>
      <c r="X780" s="3"/>
      <c r="Z780" s="3"/>
      <c r="AA780" s="3"/>
      <c r="AB780" s="3"/>
      <c r="AC780" s="3"/>
      <c r="AD780" s="3"/>
    </row>
    <row r="781" spans="1:30" ht="14">
      <c r="A781" s="3"/>
      <c r="B781" s="3"/>
      <c r="C781" s="3"/>
      <c r="D781" s="3"/>
      <c r="E781" s="3"/>
      <c r="F781" s="3"/>
      <c r="G781" s="3"/>
      <c r="H781" s="3"/>
      <c r="I781" s="3"/>
      <c r="J781" s="3"/>
      <c r="K781" s="3"/>
      <c r="L781" s="3"/>
      <c r="M781" s="3"/>
      <c r="N781" s="3"/>
      <c r="O781" s="3"/>
      <c r="P781" s="3"/>
      <c r="Q781" s="3"/>
      <c r="R781" s="3"/>
      <c r="S781" s="3"/>
      <c r="T781" s="3"/>
      <c r="U781" s="3"/>
      <c r="V781" s="3"/>
      <c r="W781" s="3"/>
      <c r="X781" s="3"/>
      <c r="Z781" s="3"/>
      <c r="AA781" s="3"/>
      <c r="AB781" s="3"/>
      <c r="AC781" s="3"/>
      <c r="AD781" s="3"/>
    </row>
    <row r="782" spans="1:30" ht="14">
      <c r="A782" s="3"/>
      <c r="B782" s="3"/>
      <c r="C782" s="3"/>
      <c r="D782" s="3"/>
      <c r="E782" s="3"/>
      <c r="F782" s="3"/>
      <c r="G782" s="3"/>
      <c r="H782" s="3"/>
      <c r="I782" s="3"/>
      <c r="J782" s="3"/>
      <c r="K782" s="3"/>
      <c r="L782" s="3"/>
      <c r="M782" s="3"/>
      <c r="N782" s="3"/>
      <c r="O782" s="3"/>
      <c r="P782" s="3"/>
      <c r="Q782" s="3"/>
      <c r="R782" s="3"/>
      <c r="S782" s="3"/>
      <c r="T782" s="3"/>
      <c r="U782" s="3"/>
      <c r="V782" s="3"/>
      <c r="W782" s="3"/>
      <c r="X782" s="3"/>
      <c r="Z782" s="3"/>
      <c r="AA782" s="3"/>
      <c r="AB782" s="3"/>
      <c r="AC782" s="3"/>
      <c r="AD782" s="3"/>
    </row>
    <row r="783" spans="1:30" ht="14">
      <c r="A783" s="3"/>
      <c r="B783" s="3"/>
      <c r="C783" s="3"/>
      <c r="D783" s="3"/>
      <c r="E783" s="3"/>
      <c r="F783" s="3"/>
      <c r="G783" s="3"/>
      <c r="H783" s="3"/>
      <c r="I783" s="3"/>
      <c r="J783" s="3"/>
      <c r="K783" s="3"/>
      <c r="L783" s="3"/>
      <c r="M783" s="3"/>
      <c r="N783" s="3"/>
      <c r="O783" s="3"/>
      <c r="P783" s="3"/>
      <c r="Q783" s="3"/>
      <c r="R783" s="3"/>
      <c r="S783" s="3"/>
      <c r="T783" s="3"/>
      <c r="U783" s="3"/>
      <c r="V783" s="3"/>
      <c r="W783" s="3"/>
      <c r="X783" s="3"/>
      <c r="Z783" s="3"/>
      <c r="AA783" s="3"/>
      <c r="AB783" s="3"/>
      <c r="AC783" s="3"/>
      <c r="AD783" s="3"/>
    </row>
    <row r="784" spans="1:30" ht="14">
      <c r="A784" s="3"/>
      <c r="B784" s="3"/>
      <c r="C784" s="3"/>
      <c r="D784" s="3"/>
      <c r="E784" s="3"/>
      <c r="F784" s="3"/>
      <c r="G784" s="3"/>
      <c r="H784" s="3"/>
      <c r="I784" s="3"/>
      <c r="J784" s="3"/>
      <c r="K784" s="3"/>
      <c r="L784" s="3"/>
      <c r="M784" s="3"/>
      <c r="N784" s="3"/>
      <c r="O784" s="3"/>
      <c r="P784" s="3"/>
      <c r="Q784" s="3"/>
      <c r="R784" s="3"/>
      <c r="S784" s="3"/>
      <c r="T784" s="3"/>
      <c r="U784" s="3"/>
      <c r="V784" s="3"/>
      <c r="W784" s="3"/>
      <c r="X784" s="3"/>
      <c r="Z784" s="3"/>
      <c r="AA784" s="3"/>
      <c r="AB784" s="3"/>
      <c r="AC784" s="3"/>
      <c r="AD784" s="3"/>
    </row>
    <row r="785" spans="1:30" ht="14">
      <c r="A785" s="3"/>
      <c r="B785" s="3"/>
      <c r="C785" s="3"/>
      <c r="D785" s="3"/>
      <c r="E785" s="3"/>
      <c r="F785" s="3"/>
      <c r="G785" s="3"/>
      <c r="H785" s="3"/>
      <c r="I785" s="3"/>
      <c r="J785" s="3"/>
      <c r="K785" s="3"/>
      <c r="L785" s="3"/>
      <c r="M785" s="3"/>
      <c r="N785" s="3"/>
      <c r="O785" s="3"/>
      <c r="P785" s="3"/>
      <c r="Q785" s="3"/>
      <c r="R785" s="3"/>
      <c r="S785" s="3"/>
      <c r="T785" s="3"/>
      <c r="U785" s="3"/>
      <c r="V785" s="3"/>
      <c r="W785" s="3"/>
      <c r="X785" s="3"/>
      <c r="Z785" s="3"/>
      <c r="AA785" s="3"/>
      <c r="AB785" s="3"/>
      <c r="AC785" s="3"/>
      <c r="AD785" s="3"/>
    </row>
    <row r="786" spans="1:30" ht="14">
      <c r="A786" s="3"/>
      <c r="B786" s="3"/>
      <c r="C786" s="3"/>
      <c r="D786" s="3"/>
      <c r="E786" s="3"/>
      <c r="F786" s="3"/>
      <c r="G786" s="3"/>
      <c r="H786" s="3"/>
      <c r="I786" s="3"/>
      <c r="J786" s="3"/>
      <c r="K786" s="3"/>
      <c r="L786" s="3"/>
      <c r="M786" s="3"/>
      <c r="N786" s="3"/>
      <c r="O786" s="3"/>
      <c r="P786" s="3"/>
      <c r="Q786" s="3"/>
      <c r="R786" s="3"/>
      <c r="S786" s="3"/>
      <c r="T786" s="3"/>
      <c r="U786" s="3"/>
      <c r="V786" s="3"/>
      <c r="W786" s="3"/>
      <c r="X786" s="3"/>
      <c r="Z786" s="3"/>
      <c r="AA786" s="3"/>
      <c r="AB786" s="3"/>
      <c r="AC786" s="3"/>
      <c r="AD786" s="3"/>
    </row>
    <row r="787" spans="1:30" ht="14">
      <c r="A787" s="3"/>
      <c r="B787" s="3"/>
      <c r="C787" s="3"/>
      <c r="D787" s="3"/>
      <c r="E787" s="3"/>
      <c r="F787" s="3"/>
      <c r="G787" s="3"/>
      <c r="H787" s="3"/>
      <c r="I787" s="3"/>
      <c r="J787" s="3"/>
      <c r="K787" s="3"/>
      <c r="L787" s="3"/>
      <c r="M787" s="3"/>
      <c r="N787" s="3"/>
      <c r="O787" s="3"/>
      <c r="P787" s="3"/>
      <c r="Q787" s="3"/>
      <c r="R787" s="3"/>
      <c r="S787" s="3"/>
      <c r="T787" s="3"/>
      <c r="U787" s="3"/>
      <c r="V787" s="3"/>
      <c r="W787" s="3"/>
      <c r="X787" s="3"/>
      <c r="Z787" s="3"/>
      <c r="AA787" s="3"/>
      <c r="AB787" s="3"/>
      <c r="AC787" s="3"/>
      <c r="AD787" s="3"/>
    </row>
    <row r="788" spans="1:30" ht="14">
      <c r="A788" s="3"/>
      <c r="B788" s="3"/>
      <c r="C788" s="3"/>
      <c r="D788" s="3"/>
      <c r="E788" s="3"/>
      <c r="F788" s="3"/>
      <c r="G788" s="3"/>
      <c r="H788" s="3"/>
      <c r="I788" s="3"/>
      <c r="J788" s="3"/>
      <c r="K788" s="3"/>
      <c r="L788" s="3"/>
      <c r="M788" s="3"/>
      <c r="N788" s="3"/>
      <c r="O788" s="3"/>
      <c r="P788" s="3"/>
      <c r="Q788" s="3"/>
      <c r="R788" s="3"/>
      <c r="S788" s="3"/>
      <c r="T788" s="3"/>
      <c r="U788" s="3"/>
      <c r="V788" s="3"/>
      <c r="W788" s="3"/>
      <c r="X788" s="3"/>
      <c r="Z788" s="3"/>
      <c r="AA788" s="3"/>
      <c r="AB788" s="3"/>
      <c r="AC788" s="3"/>
      <c r="AD788" s="3"/>
    </row>
    <row r="789" spans="1:30" ht="14">
      <c r="A789" s="3"/>
      <c r="B789" s="3"/>
      <c r="C789" s="3"/>
      <c r="D789" s="3"/>
      <c r="E789" s="3"/>
      <c r="F789" s="3"/>
      <c r="G789" s="3"/>
      <c r="H789" s="3"/>
      <c r="I789" s="3"/>
      <c r="J789" s="3"/>
      <c r="K789" s="3"/>
      <c r="L789" s="3"/>
      <c r="M789" s="3"/>
      <c r="N789" s="3"/>
      <c r="O789" s="3"/>
      <c r="P789" s="3"/>
      <c r="Q789" s="3"/>
      <c r="R789" s="3"/>
      <c r="S789" s="3"/>
      <c r="T789" s="3"/>
      <c r="U789" s="3"/>
      <c r="V789" s="3"/>
      <c r="W789" s="3"/>
      <c r="X789" s="3"/>
      <c r="Z789" s="3"/>
      <c r="AA789" s="3"/>
      <c r="AB789" s="3"/>
      <c r="AC789" s="3"/>
      <c r="AD789" s="3"/>
    </row>
    <row r="790" spans="1:30" ht="14">
      <c r="A790" s="3"/>
      <c r="B790" s="3"/>
      <c r="C790" s="3"/>
      <c r="D790" s="3"/>
      <c r="E790" s="3"/>
      <c r="F790" s="3"/>
      <c r="G790" s="3"/>
      <c r="H790" s="3"/>
      <c r="I790" s="3"/>
      <c r="J790" s="3"/>
      <c r="K790" s="3"/>
      <c r="L790" s="3"/>
      <c r="M790" s="3"/>
      <c r="N790" s="3"/>
      <c r="O790" s="3"/>
      <c r="P790" s="3"/>
      <c r="Q790" s="3"/>
      <c r="R790" s="3"/>
      <c r="S790" s="3"/>
      <c r="T790" s="3"/>
      <c r="U790" s="3"/>
      <c r="V790" s="3"/>
      <c r="W790" s="3"/>
      <c r="X790" s="3"/>
      <c r="Z790" s="3"/>
      <c r="AA790" s="3"/>
      <c r="AB790" s="3"/>
      <c r="AC790" s="3"/>
      <c r="AD790" s="3"/>
    </row>
    <row r="791" spans="1:30" ht="14">
      <c r="A791" s="3"/>
      <c r="B791" s="3"/>
      <c r="C791" s="3"/>
      <c r="D791" s="3"/>
      <c r="E791" s="3"/>
      <c r="F791" s="3"/>
      <c r="G791" s="3"/>
      <c r="H791" s="3"/>
      <c r="I791" s="3"/>
      <c r="J791" s="3"/>
      <c r="K791" s="3"/>
      <c r="L791" s="3"/>
      <c r="M791" s="3"/>
      <c r="N791" s="3"/>
      <c r="O791" s="3"/>
      <c r="P791" s="3"/>
      <c r="Q791" s="3"/>
      <c r="R791" s="3"/>
      <c r="S791" s="3"/>
      <c r="T791" s="3"/>
      <c r="U791" s="3"/>
      <c r="V791" s="3"/>
      <c r="W791" s="3"/>
      <c r="X791" s="3"/>
      <c r="Z791" s="3"/>
      <c r="AA791" s="3"/>
      <c r="AB791" s="3"/>
      <c r="AC791" s="3"/>
      <c r="AD791" s="3"/>
    </row>
    <row r="792" spans="1:30" ht="14">
      <c r="A792" s="3"/>
      <c r="B792" s="3"/>
      <c r="C792" s="3"/>
      <c r="D792" s="3"/>
      <c r="E792" s="3"/>
      <c r="F792" s="3"/>
      <c r="G792" s="3"/>
      <c r="H792" s="3"/>
      <c r="I792" s="3"/>
      <c r="J792" s="3"/>
      <c r="K792" s="3"/>
      <c r="L792" s="3"/>
      <c r="M792" s="3"/>
      <c r="N792" s="3"/>
      <c r="O792" s="3"/>
      <c r="P792" s="3"/>
      <c r="Q792" s="3"/>
      <c r="R792" s="3"/>
      <c r="S792" s="3"/>
      <c r="T792" s="3"/>
      <c r="U792" s="3"/>
      <c r="V792" s="3"/>
      <c r="W792" s="3"/>
      <c r="X792" s="3"/>
      <c r="Z792" s="3"/>
      <c r="AA792" s="3"/>
      <c r="AB792" s="3"/>
      <c r="AC792" s="3"/>
      <c r="AD792" s="3"/>
    </row>
    <row r="793" spans="1:30" ht="14">
      <c r="A793" s="3"/>
      <c r="B793" s="3"/>
      <c r="C793" s="3"/>
      <c r="D793" s="3"/>
      <c r="E793" s="3"/>
      <c r="F793" s="3"/>
      <c r="G793" s="3"/>
      <c r="H793" s="3"/>
      <c r="I793" s="3"/>
      <c r="J793" s="3"/>
      <c r="K793" s="3"/>
      <c r="L793" s="3"/>
      <c r="M793" s="3"/>
      <c r="N793" s="3"/>
      <c r="O793" s="3"/>
      <c r="P793" s="3"/>
      <c r="Q793" s="3"/>
      <c r="R793" s="3"/>
      <c r="S793" s="3"/>
      <c r="T793" s="3"/>
      <c r="U793" s="3"/>
      <c r="V793" s="3"/>
      <c r="W793" s="3"/>
      <c r="X793" s="3"/>
      <c r="Z793" s="3"/>
      <c r="AA793" s="3"/>
      <c r="AB793" s="3"/>
      <c r="AC793" s="3"/>
      <c r="AD793" s="3"/>
    </row>
    <row r="794" spans="1:30" ht="14">
      <c r="A794" s="3"/>
      <c r="B794" s="3"/>
      <c r="C794" s="3"/>
      <c r="D794" s="3"/>
      <c r="E794" s="3"/>
      <c r="F794" s="3"/>
      <c r="G794" s="3"/>
      <c r="H794" s="3"/>
      <c r="I794" s="3"/>
      <c r="J794" s="3"/>
      <c r="K794" s="3"/>
      <c r="L794" s="3"/>
      <c r="M794" s="3"/>
      <c r="N794" s="3"/>
      <c r="O794" s="3"/>
      <c r="P794" s="3"/>
      <c r="Q794" s="3"/>
      <c r="R794" s="3"/>
      <c r="S794" s="3"/>
      <c r="T794" s="3"/>
      <c r="U794" s="3"/>
      <c r="V794" s="3"/>
      <c r="W794" s="3"/>
      <c r="X794" s="3"/>
      <c r="Z794" s="3"/>
      <c r="AA794" s="3"/>
      <c r="AB794" s="3"/>
      <c r="AC794" s="3"/>
      <c r="AD794" s="3"/>
    </row>
    <row r="795" spans="1:30" ht="14">
      <c r="A795" s="3"/>
      <c r="B795" s="3"/>
      <c r="C795" s="3"/>
      <c r="D795" s="3"/>
      <c r="E795" s="3"/>
      <c r="F795" s="3"/>
      <c r="G795" s="3"/>
      <c r="H795" s="3"/>
      <c r="I795" s="3"/>
      <c r="J795" s="3"/>
      <c r="K795" s="3"/>
      <c r="L795" s="3"/>
      <c r="M795" s="3"/>
      <c r="N795" s="3"/>
      <c r="O795" s="3"/>
      <c r="P795" s="3"/>
      <c r="Q795" s="3"/>
      <c r="R795" s="3"/>
      <c r="S795" s="3"/>
      <c r="T795" s="3"/>
      <c r="U795" s="3"/>
      <c r="V795" s="3"/>
      <c r="W795" s="3"/>
      <c r="X795" s="3"/>
      <c r="Z795" s="3"/>
      <c r="AA795" s="3"/>
      <c r="AB795" s="3"/>
      <c r="AC795" s="3"/>
      <c r="AD795" s="3"/>
    </row>
    <row r="796" spans="1:30" ht="14">
      <c r="A796" s="3"/>
      <c r="B796" s="3"/>
      <c r="C796" s="3"/>
      <c r="D796" s="3"/>
      <c r="E796" s="3"/>
      <c r="F796" s="3"/>
      <c r="G796" s="3"/>
      <c r="H796" s="3"/>
      <c r="I796" s="3"/>
      <c r="J796" s="3"/>
      <c r="K796" s="3"/>
      <c r="L796" s="3"/>
      <c r="M796" s="3"/>
      <c r="N796" s="3"/>
      <c r="O796" s="3"/>
      <c r="P796" s="3"/>
      <c r="Q796" s="3"/>
      <c r="R796" s="3"/>
      <c r="S796" s="3"/>
      <c r="T796" s="3"/>
      <c r="U796" s="3"/>
      <c r="V796" s="3"/>
      <c r="W796" s="3"/>
      <c r="X796" s="3"/>
      <c r="Z796" s="3"/>
      <c r="AA796" s="3"/>
      <c r="AB796" s="3"/>
      <c r="AC796" s="3"/>
      <c r="AD796" s="3"/>
    </row>
    <row r="797" spans="1:30" ht="14">
      <c r="A797" s="3"/>
      <c r="B797" s="3"/>
      <c r="C797" s="3"/>
      <c r="D797" s="3"/>
      <c r="E797" s="3"/>
      <c r="F797" s="3"/>
      <c r="G797" s="3"/>
      <c r="H797" s="3"/>
      <c r="I797" s="3"/>
      <c r="J797" s="3"/>
      <c r="K797" s="3"/>
      <c r="L797" s="3"/>
      <c r="M797" s="3"/>
      <c r="N797" s="3"/>
      <c r="O797" s="3"/>
      <c r="P797" s="3"/>
      <c r="Q797" s="3"/>
      <c r="R797" s="3"/>
      <c r="S797" s="3"/>
      <c r="T797" s="3"/>
      <c r="U797" s="3"/>
      <c r="V797" s="3"/>
      <c r="W797" s="3"/>
      <c r="X797" s="3"/>
      <c r="Z797" s="3"/>
      <c r="AA797" s="3"/>
      <c r="AB797" s="3"/>
      <c r="AC797" s="3"/>
      <c r="AD797" s="3"/>
    </row>
    <row r="798" spans="1:30" ht="14">
      <c r="A798" s="3"/>
      <c r="B798" s="3"/>
      <c r="C798" s="3"/>
      <c r="D798" s="3"/>
      <c r="E798" s="3"/>
      <c r="F798" s="3"/>
      <c r="G798" s="3"/>
      <c r="H798" s="3"/>
      <c r="I798" s="3"/>
      <c r="J798" s="3"/>
      <c r="K798" s="3"/>
      <c r="L798" s="3"/>
      <c r="M798" s="3"/>
      <c r="N798" s="3"/>
      <c r="O798" s="3"/>
      <c r="P798" s="3"/>
      <c r="Q798" s="3"/>
      <c r="R798" s="3"/>
      <c r="S798" s="3"/>
      <c r="T798" s="3"/>
      <c r="U798" s="3"/>
      <c r="V798" s="3"/>
      <c r="W798" s="3"/>
      <c r="X798" s="3"/>
      <c r="Z798" s="3"/>
      <c r="AA798" s="3"/>
      <c r="AB798" s="3"/>
      <c r="AC798" s="3"/>
      <c r="AD798" s="3"/>
    </row>
    <row r="799" spans="1:30" ht="14">
      <c r="A799" s="3"/>
      <c r="B799" s="3"/>
      <c r="C799" s="3"/>
      <c r="D799" s="3"/>
      <c r="E799" s="3"/>
      <c r="F799" s="3"/>
      <c r="G799" s="3"/>
      <c r="H799" s="3"/>
      <c r="I799" s="3"/>
      <c r="J799" s="3"/>
      <c r="K799" s="3"/>
      <c r="L799" s="3"/>
      <c r="M799" s="3"/>
      <c r="N799" s="3"/>
      <c r="O799" s="3"/>
      <c r="P799" s="3"/>
      <c r="Q799" s="3"/>
      <c r="R799" s="3"/>
      <c r="S799" s="3"/>
      <c r="T799" s="3"/>
      <c r="U799" s="3"/>
      <c r="V799" s="3"/>
      <c r="W799" s="3"/>
      <c r="X799" s="3"/>
      <c r="Z799" s="3"/>
      <c r="AA799" s="3"/>
      <c r="AB799" s="3"/>
      <c r="AC799" s="3"/>
      <c r="AD799" s="3"/>
    </row>
    <row r="800" spans="1:30" ht="14">
      <c r="A800" s="3"/>
      <c r="B800" s="3"/>
      <c r="C800" s="3"/>
      <c r="D800" s="3"/>
      <c r="E800" s="3"/>
      <c r="F800" s="3"/>
      <c r="G800" s="3"/>
      <c r="H800" s="3"/>
      <c r="I800" s="3"/>
      <c r="J800" s="3"/>
      <c r="K800" s="3"/>
      <c r="L800" s="3"/>
      <c r="M800" s="3"/>
      <c r="N800" s="3"/>
      <c r="O800" s="3"/>
      <c r="P800" s="3"/>
      <c r="Q800" s="3"/>
      <c r="R800" s="3"/>
      <c r="S800" s="3"/>
      <c r="T800" s="3"/>
      <c r="U800" s="3"/>
      <c r="V800" s="3"/>
      <c r="W800" s="3"/>
      <c r="X800" s="3"/>
      <c r="Z800" s="3"/>
      <c r="AA800" s="3"/>
      <c r="AB800" s="3"/>
      <c r="AC800" s="3"/>
      <c r="AD800" s="3"/>
    </row>
    <row r="801" spans="1:30" ht="14">
      <c r="A801" s="3"/>
      <c r="B801" s="3"/>
      <c r="C801" s="3"/>
      <c r="D801" s="3"/>
      <c r="E801" s="3"/>
      <c r="F801" s="3"/>
      <c r="G801" s="3"/>
      <c r="H801" s="3"/>
      <c r="I801" s="3"/>
      <c r="J801" s="3"/>
      <c r="K801" s="3"/>
      <c r="L801" s="3"/>
      <c r="M801" s="3"/>
      <c r="N801" s="3"/>
      <c r="O801" s="3"/>
      <c r="P801" s="3"/>
      <c r="Q801" s="3"/>
      <c r="R801" s="3"/>
      <c r="S801" s="3"/>
      <c r="T801" s="3"/>
      <c r="U801" s="3"/>
      <c r="V801" s="3"/>
      <c r="W801" s="3"/>
      <c r="X801" s="3"/>
      <c r="Z801" s="3"/>
      <c r="AA801" s="3"/>
      <c r="AB801" s="3"/>
      <c r="AC801" s="3"/>
      <c r="AD801" s="3"/>
    </row>
    <row r="802" spans="1:30" ht="14">
      <c r="A802" s="3"/>
      <c r="B802" s="3"/>
      <c r="C802" s="3"/>
      <c r="D802" s="3"/>
      <c r="E802" s="3"/>
      <c r="F802" s="3"/>
      <c r="G802" s="3"/>
      <c r="H802" s="3"/>
      <c r="I802" s="3"/>
      <c r="J802" s="3"/>
      <c r="K802" s="3"/>
      <c r="L802" s="3"/>
      <c r="M802" s="3"/>
      <c r="N802" s="3"/>
      <c r="O802" s="3"/>
      <c r="P802" s="3"/>
      <c r="Q802" s="3"/>
      <c r="R802" s="3"/>
      <c r="S802" s="3"/>
      <c r="T802" s="3"/>
      <c r="U802" s="3"/>
      <c r="V802" s="3"/>
      <c r="W802" s="3"/>
      <c r="X802" s="3"/>
      <c r="Z802" s="3"/>
      <c r="AA802" s="3"/>
      <c r="AB802" s="3"/>
      <c r="AC802" s="3"/>
      <c r="AD802" s="3"/>
    </row>
    <row r="803" spans="1:30" ht="14">
      <c r="A803" s="3"/>
      <c r="B803" s="3"/>
      <c r="C803" s="3"/>
      <c r="D803" s="3"/>
      <c r="E803" s="3"/>
      <c r="F803" s="3"/>
      <c r="G803" s="3"/>
      <c r="H803" s="3"/>
      <c r="I803" s="3"/>
      <c r="J803" s="3"/>
      <c r="K803" s="3"/>
      <c r="L803" s="3"/>
      <c r="M803" s="3"/>
      <c r="N803" s="3"/>
      <c r="O803" s="3"/>
      <c r="P803" s="3"/>
      <c r="Q803" s="3"/>
      <c r="R803" s="3"/>
      <c r="S803" s="3"/>
      <c r="T803" s="3"/>
      <c r="U803" s="3"/>
      <c r="V803" s="3"/>
      <c r="W803" s="3"/>
      <c r="X803" s="3"/>
      <c r="Z803" s="3"/>
      <c r="AA803" s="3"/>
      <c r="AB803" s="3"/>
      <c r="AC803" s="3"/>
      <c r="AD803" s="3"/>
    </row>
    <row r="804" spans="1:30" ht="14">
      <c r="A804" s="3"/>
      <c r="B804" s="3"/>
      <c r="C804" s="3"/>
      <c r="D804" s="3"/>
      <c r="E804" s="3"/>
      <c r="F804" s="3"/>
      <c r="G804" s="3"/>
      <c r="H804" s="3"/>
      <c r="I804" s="3"/>
      <c r="J804" s="3"/>
      <c r="K804" s="3"/>
      <c r="L804" s="3"/>
      <c r="M804" s="3"/>
      <c r="N804" s="3"/>
      <c r="O804" s="3"/>
      <c r="P804" s="3"/>
      <c r="Q804" s="3"/>
      <c r="R804" s="3"/>
      <c r="S804" s="3"/>
      <c r="T804" s="3"/>
      <c r="U804" s="3"/>
      <c r="V804" s="3"/>
      <c r="W804" s="3"/>
      <c r="X804" s="3"/>
      <c r="Z804" s="3"/>
      <c r="AA804" s="3"/>
      <c r="AB804" s="3"/>
      <c r="AC804" s="3"/>
      <c r="AD804" s="3"/>
    </row>
    <row r="805" spans="1:30" ht="14">
      <c r="A805" s="3"/>
      <c r="B805" s="3"/>
      <c r="C805" s="3"/>
      <c r="D805" s="3"/>
      <c r="E805" s="3"/>
      <c r="F805" s="3"/>
      <c r="G805" s="3"/>
      <c r="H805" s="3"/>
      <c r="I805" s="3"/>
      <c r="J805" s="3"/>
      <c r="K805" s="3"/>
      <c r="L805" s="3"/>
      <c r="M805" s="3"/>
      <c r="N805" s="3"/>
      <c r="O805" s="3"/>
      <c r="P805" s="3"/>
      <c r="Q805" s="3"/>
      <c r="R805" s="3"/>
      <c r="S805" s="3"/>
      <c r="T805" s="3"/>
      <c r="U805" s="3"/>
      <c r="V805" s="3"/>
      <c r="W805" s="3"/>
      <c r="X805" s="3"/>
      <c r="Z805" s="3"/>
      <c r="AA805" s="3"/>
      <c r="AB805" s="3"/>
      <c r="AC805" s="3"/>
      <c r="AD805" s="3"/>
    </row>
    <row r="806" spans="1:30" ht="14">
      <c r="A806" s="3"/>
      <c r="B806" s="3"/>
      <c r="C806" s="3"/>
      <c r="D806" s="3"/>
      <c r="E806" s="3"/>
      <c r="F806" s="3"/>
      <c r="G806" s="3"/>
      <c r="H806" s="3"/>
      <c r="I806" s="3"/>
      <c r="J806" s="3"/>
      <c r="K806" s="3"/>
      <c r="L806" s="3"/>
      <c r="M806" s="3"/>
      <c r="N806" s="3"/>
      <c r="O806" s="3"/>
      <c r="P806" s="3"/>
      <c r="Q806" s="3"/>
      <c r="R806" s="3"/>
      <c r="S806" s="3"/>
      <c r="T806" s="3"/>
      <c r="U806" s="3"/>
      <c r="V806" s="3"/>
      <c r="W806" s="3"/>
      <c r="X806" s="3"/>
      <c r="Z806" s="3"/>
      <c r="AA806" s="3"/>
      <c r="AB806" s="3"/>
      <c r="AC806" s="3"/>
      <c r="AD806" s="3"/>
    </row>
    <row r="807" spans="1:30" ht="14">
      <c r="A807" s="3"/>
      <c r="B807" s="3"/>
      <c r="C807" s="3"/>
      <c r="D807" s="3"/>
      <c r="E807" s="3"/>
      <c r="F807" s="3"/>
      <c r="G807" s="3"/>
      <c r="H807" s="3"/>
      <c r="I807" s="3"/>
      <c r="J807" s="3"/>
      <c r="K807" s="3"/>
      <c r="L807" s="3"/>
      <c r="M807" s="3"/>
      <c r="N807" s="3"/>
      <c r="O807" s="3"/>
      <c r="P807" s="3"/>
      <c r="Q807" s="3"/>
      <c r="R807" s="3"/>
      <c r="S807" s="3"/>
      <c r="T807" s="3"/>
      <c r="U807" s="3"/>
      <c r="V807" s="3"/>
      <c r="W807" s="3"/>
      <c r="X807" s="3"/>
      <c r="Z807" s="3"/>
      <c r="AA807" s="3"/>
      <c r="AB807" s="3"/>
      <c r="AC807" s="3"/>
      <c r="AD807" s="3"/>
    </row>
    <row r="808" spans="1:30" ht="14">
      <c r="A808" s="3"/>
      <c r="B808" s="3"/>
      <c r="C808" s="3"/>
      <c r="D808" s="3"/>
      <c r="E808" s="3"/>
      <c r="F808" s="3"/>
      <c r="G808" s="3"/>
      <c r="H808" s="3"/>
      <c r="I808" s="3"/>
      <c r="J808" s="3"/>
      <c r="K808" s="3"/>
      <c r="L808" s="3"/>
      <c r="M808" s="3"/>
      <c r="N808" s="3"/>
      <c r="O808" s="3"/>
      <c r="P808" s="3"/>
      <c r="Q808" s="3"/>
      <c r="R808" s="3"/>
      <c r="S808" s="3"/>
      <c r="T808" s="3"/>
      <c r="U808" s="3"/>
      <c r="V808" s="3"/>
      <c r="W808" s="3"/>
      <c r="X808" s="3"/>
      <c r="Z808" s="3"/>
      <c r="AA808" s="3"/>
      <c r="AB808" s="3"/>
      <c r="AC808" s="3"/>
      <c r="AD808" s="3"/>
    </row>
    <row r="809" spans="1:30" ht="14">
      <c r="A809" s="3"/>
      <c r="B809" s="3"/>
      <c r="C809" s="3"/>
      <c r="D809" s="3"/>
      <c r="E809" s="3"/>
      <c r="F809" s="3"/>
      <c r="G809" s="3"/>
      <c r="H809" s="3"/>
      <c r="I809" s="3"/>
      <c r="J809" s="3"/>
      <c r="K809" s="3"/>
      <c r="L809" s="3"/>
      <c r="M809" s="3"/>
      <c r="N809" s="3"/>
      <c r="O809" s="3"/>
      <c r="P809" s="3"/>
      <c r="Q809" s="3"/>
      <c r="R809" s="3"/>
      <c r="S809" s="3"/>
      <c r="T809" s="3"/>
      <c r="U809" s="3"/>
      <c r="V809" s="3"/>
      <c r="W809" s="3"/>
      <c r="X809" s="3"/>
      <c r="Z809" s="3"/>
      <c r="AA809" s="3"/>
      <c r="AB809" s="3"/>
      <c r="AC809" s="3"/>
      <c r="AD809" s="3"/>
    </row>
    <row r="810" spans="1:30" ht="14">
      <c r="A810" s="3"/>
      <c r="B810" s="3"/>
      <c r="C810" s="3"/>
      <c r="D810" s="3"/>
      <c r="E810" s="3"/>
      <c r="F810" s="3"/>
      <c r="G810" s="3"/>
      <c r="H810" s="3"/>
      <c r="I810" s="3"/>
      <c r="J810" s="3"/>
      <c r="K810" s="3"/>
      <c r="L810" s="3"/>
      <c r="M810" s="3"/>
      <c r="N810" s="3"/>
      <c r="O810" s="3"/>
      <c r="P810" s="3"/>
      <c r="Q810" s="3"/>
      <c r="R810" s="3"/>
      <c r="S810" s="3"/>
      <c r="T810" s="3"/>
      <c r="U810" s="3"/>
      <c r="V810" s="3"/>
      <c r="W810" s="3"/>
      <c r="X810" s="3"/>
      <c r="Z810" s="3"/>
      <c r="AA810" s="3"/>
      <c r="AB810" s="3"/>
      <c r="AC810" s="3"/>
      <c r="AD810" s="3"/>
    </row>
    <row r="811" spans="1:30" ht="14">
      <c r="A811" s="3"/>
      <c r="B811" s="3"/>
      <c r="C811" s="3"/>
      <c r="D811" s="3"/>
      <c r="E811" s="3"/>
      <c r="F811" s="3"/>
      <c r="G811" s="3"/>
      <c r="H811" s="3"/>
      <c r="I811" s="3"/>
      <c r="J811" s="3"/>
      <c r="K811" s="3"/>
      <c r="L811" s="3"/>
      <c r="M811" s="3"/>
      <c r="N811" s="3"/>
      <c r="O811" s="3"/>
      <c r="P811" s="3"/>
      <c r="Q811" s="3"/>
      <c r="R811" s="3"/>
      <c r="S811" s="3"/>
      <c r="T811" s="3"/>
      <c r="U811" s="3"/>
      <c r="V811" s="3"/>
      <c r="W811" s="3"/>
      <c r="X811" s="3"/>
      <c r="Z811" s="3"/>
      <c r="AA811" s="3"/>
      <c r="AB811" s="3"/>
      <c r="AC811" s="3"/>
      <c r="AD811" s="3"/>
    </row>
    <row r="812" spans="1:30" ht="14">
      <c r="A812" s="3"/>
      <c r="B812" s="3"/>
      <c r="C812" s="3"/>
      <c r="D812" s="3"/>
      <c r="E812" s="3"/>
      <c r="F812" s="3"/>
      <c r="G812" s="3"/>
      <c r="H812" s="3"/>
      <c r="I812" s="3"/>
      <c r="J812" s="3"/>
      <c r="K812" s="3"/>
      <c r="L812" s="3"/>
      <c r="M812" s="3"/>
      <c r="N812" s="3"/>
      <c r="O812" s="3"/>
      <c r="P812" s="3"/>
      <c r="Q812" s="3"/>
      <c r="R812" s="3"/>
      <c r="S812" s="3"/>
      <c r="T812" s="3"/>
      <c r="U812" s="3"/>
      <c r="V812" s="3"/>
      <c r="W812" s="3"/>
      <c r="X812" s="3"/>
      <c r="Z812" s="3"/>
      <c r="AA812" s="3"/>
      <c r="AB812" s="3"/>
      <c r="AC812" s="3"/>
      <c r="AD812" s="3"/>
    </row>
    <row r="813" spans="1:30" ht="14">
      <c r="A813" s="3"/>
      <c r="B813" s="3"/>
      <c r="C813" s="3"/>
      <c r="D813" s="3"/>
      <c r="E813" s="3"/>
      <c r="F813" s="3"/>
      <c r="G813" s="3"/>
      <c r="H813" s="3"/>
      <c r="I813" s="3"/>
      <c r="J813" s="3"/>
      <c r="K813" s="3"/>
      <c r="L813" s="3"/>
      <c r="M813" s="3"/>
      <c r="N813" s="3"/>
      <c r="O813" s="3"/>
      <c r="P813" s="3"/>
      <c r="Q813" s="3"/>
      <c r="R813" s="3"/>
      <c r="S813" s="3"/>
      <c r="T813" s="3"/>
      <c r="U813" s="3"/>
      <c r="V813" s="3"/>
      <c r="W813" s="3"/>
      <c r="X813" s="3"/>
      <c r="Z813" s="3"/>
      <c r="AA813" s="3"/>
      <c r="AB813" s="3"/>
      <c r="AC813" s="3"/>
      <c r="AD813" s="3"/>
    </row>
    <row r="814" spans="1:30" ht="14">
      <c r="A814" s="3"/>
      <c r="B814" s="3"/>
      <c r="C814" s="3"/>
      <c r="D814" s="3"/>
      <c r="E814" s="3"/>
      <c r="F814" s="3"/>
      <c r="G814" s="3"/>
      <c r="H814" s="3"/>
      <c r="I814" s="3"/>
      <c r="J814" s="3"/>
      <c r="K814" s="3"/>
      <c r="L814" s="3"/>
      <c r="M814" s="3"/>
      <c r="N814" s="3"/>
      <c r="O814" s="3"/>
      <c r="P814" s="3"/>
      <c r="Q814" s="3"/>
      <c r="R814" s="3"/>
      <c r="S814" s="3"/>
      <c r="T814" s="3"/>
      <c r="U814" s="3"/>
      <c r="V814" s="3"/>
      <c r="W814" s="3"/>
      <c r="X814" s="3"/>
      <c r="Z814" s="3"/>
      <c r="AA814" s="3"/>
      <c r="AB814" s="3"/>
      <c r="AC814" s="3"/>
      <c r="AD814" s="3"/>
    </row>
    <row r="815" spans="1:30" ht="14">
      <c r="A815" s="3"/>
      <c r="B815" s="3"/>
      <c r="C815" s="3"/>
      <c r="D815" s="3"/>
      <c r="E815" s="3"/>
      <c r="F815" s="3"/>
      <c r="G815" s="3"/>
      <c r="H815" s="3"/>
      <c r="I815" s="3"/>
      <c r="J815" s="3"/>
      <c r="K815" s="3"/>
      <c r="L815" s="3"/>
      <c r="M815" s="3"/>
      <c r="N815" s="3"/>
      <c r="O815" s="3"/>
      <c r="P815" s="3"/>
      <c r="Q815" s="3"/>
      <c r="R815" s="3"/>
      <c r="S815" s="3"/>
      <c r="T815" s="3"/>
      <c r="U815" s="3"/>
      <c r="V815" s="3"/>
      <c r="W815" s="3"/>
      <c r="X815" s="3"/>
      <c r="Z815" s="3"/>
      <c r="AA815" s="3"/>
      <c r="AB815" s="3"/>
      <c r="AC815" s="3"/>
      <c r="AD815" s="3"/>
    </row>
    <row r="816" spans="1:30" ht="14">
      <c r="A816" s="3"/>
      <c r="B816" s="3"/>
      <c r="C816" s="3"/>
      <c r="D816" s="3"/>
      <c r="E816" s="3"/>
      <c r="F816" s="3"/>
      <c r="G816" s="3"/>
      <c r="H816" s="3"/>
      <c r="I816" s="3"/>
      <c r="J816" s="3"/>
      <c r="K816" s="3"/>
      <c r="L816" s="3"/>
      <c r="M816" s="3"/>
      <c r="N816" s="3"/>
      <c r="O816" s="3"/>
      <c r="P816" s="3"/>
      <c r="Q816" s="3"/>
      <c r="R816" s="3"/>
      <c r="S816" s="3"/>
      <c r="T816" s="3"/>
      <c r="U816" s="3"/>
      <c r="V816" s="3"/>
      <c r="W816" s="3"/>
      <c r="X816" s="3"/>
      <c r="Z816" s="3"/>
      <c r="AA816" s="3"/>
      <c r="AB816" s="3"/>
      <c r="AC816" s="3"/>
      <c r="AD816" s="3"/>
    </row>
    <row r="817" spans="1:30" ht="14">
      <c r="A817" s="3"/>
      <c r="B817" s="3"/>
      <c r="C817" s="3"/>
      <c r="D817" s="3"/>
      <c r="E817" s="3"/>
      <c r="F817" s="3"/>
      <c r="G817" s="3"/>
      <c r="H817" s="3"/>
      <c r="I817" s="3"/>
      <c r="J817" s="3"/>
      <c r="K817" s="3"/>
      <c r="L817" s="3"/>
      <c r="M817" s="3"/>
      <c r="N817" s="3"/>
      <c r="O817" s="3"/>
      <c r="P817" s="3"/>
      <c r="Q817" s="3"/>
      <c r="R817" s="3"/>
      <c r="S817" s="3"/>
      <c r="T817" s="3"/>
      <c r="U817" s="3"/>
      <c r="V817" s="3"/>
      <c r="W817" s="3"/>
      <c r="X817" s="3"/>
      <c r="Z817" s="3"/>
      <c r="AA817" s="3"/>
      <c r="AB817" s="3"/>
      <c r="AC817" s="3"/>
      <c r="AD817" s="3"/>
    </row>
    <row r="818" spans="1:30" ht="14">
      <c r="A818" s="3"/>
      <c r="B818" s="3"/>
      <c r="C818" s="3"/>
      <c r="D818" s="3"/>
      <c r="E818" s="3"/>
      <c r="F818" s="3"/>
      <c r="G818" s="3"/>
      <c r="H818" s="3"/>
      <c r="I818" s="3"/>
      <c r="J818" s="3"/>
      <c r="K818" s="3"/>
      <c r="L818" s="3"/>
      <c r="M818" s="3"/>
      <c r="N818" s="3"/>
      <c r="O818" s="3"/>
      <c r="P818" s="3"/>
      <c r="Q818" s="3"/>
      <c r="R818" s="3"/>
      <c r="S818" s="3"/>
      <c r="T818" s="3"/>
      <c r="U818" s="3"/>
      <c r="V818" s="3"/>
      <c r="W818" s="3"/>
      <c r="X818" s="3"/>
      <c r="Z818" s="3"/>
      <c r="AA818" s="3"/>
      <c r="AB818" s="3"/>
      <c r="AC818" s="3"/>
      <c r="AD818" s="3"/>
    </row>
    <row r="819" spans="1:30" ht="14">
      <c r="A819" s="3"/>
      <c r="B819" s="3"/>
      <c r="C819" s="3"/>
      <c r="D819" s="3"/>
      <c r="E819" s="3"/>
      <c r="F819" s="3"/>
      <c r="G819" s="3"/>
      <c r="H819" s="3"/>
      <c r="I819" s="3"/>
      <c r="J819" s="3"/>
      <c r="K819" s="3"/>
      <c r="L819" s="3"/>
      <c r="M819" s="3"/>
      <c r="N819" s="3"/>
      <c r="O819" s="3"/>
      <c r="P819" s="3"/>
      <c r="Q819" s="3"/>
      <c r="R819" s="3"/>
      <c r="S819" s="3"/>
      <c r="T819" s="3"/>
      <c r="U819" s="3"/>
      <c r="V819" s="3"/>
      <c r="W819" s="3"/>
      <c r="X819" s="3"/>
      <c r="Z819" s="3"/>
      <c r="AA819" s="3"/>
      <c r="AB819" s="3"/>
      <c r="AC819" s="3"/>
      <c r="AD819" s="3"/>
    </row>
    <row r="820" spans="1:30" ht="14">
      <c r="A820" s="3"/>
      <c r="B820" s="3"/>
      <c r="C820" s="3"/>
      <c r="D820" s="3"/>
      <c r="E820" s="3"/>
      <c r="F820" s="3"/>
      <c r="G820" s="3"/>
      <c r="H820" s="3"/>
      <c r="I820" s="3"/>
      <c r="J820" s="3"/>
      <c r="K820" s="3"/>
      <c r="L820" s="3"/>
      <c r="M820" s="3"/>
      <c r="N820" s="3"/>
      <c r="O820" s="3"/>
      <c r="P820" s="3"/>
      <c r="Q820" s="3"/>
      <c r="R820" s="3"/>
      <c r="S820" s="3"/>
      <c r="T820" s="3"/>
      <c r="U820" s="3"/>
      <c r="V820" s="3"/>
      <c r="W820" s="3"/>
      <c r="X820" s="3"/>
      <c r="Z820" s="3"/>
      <c r="AA820" s="3"/>
      <c r="AB820" s="3"/>
      <c r="AC820" s="3"/>
      <c r="AD820" s="3"/>
    </row>
    <row r="821" spans="1:30" ht="14">
      <c r="A821" s="3"/>
      <c r="B821" s="3"/>
      <c r="C821" s="3"/>
      <c r="D821" s="3"/>
      <c r="E821" s="3"/>
      <c r="F821" s="3"/>
      <c r="G821" s="3"/>
      <c r="H821" s="3"/>
      <c r="I821" s="3"/>
      <c r="J821" s="3"/>
      <c r="K821" s="3"/>
      <c r="L821" s="3"/>
      <c r="M821" s="3"/>
      <c r="N821" s="3"/>
      <c r="O821" s="3"/>
      <c r="P821" s="3"/>
      <c r="Q821" s="3"/>
      <c r="R821" s="3"/>
      <c r="S821" s="3"/>
      <c r="T821" s="3"/>
      <c r="U821" s="3"/>
      <c r="V821" s="3"/>
      <c r="W821" s="3"/>
      <c r="X821" s="3"/>
      <c r="Z821" s="3"/>
      <c r="AA821" s="3"/>
      <c r="AB821" s="3"/>
      <c r="AC821" s="3"/>
      <c r="AD821" s="3"/>
    </row>
    <row r="822" spans="1:30" ht="14">
      <c r="A822" s="3"/>
      <c r="B822" s="3"/>
      <c r="C822" s="3"/>
      <c r="D822" s="3"/>
      <c r="E822" s="3"/>
      <c r="F822" s="3"/>
      <c r="G822" s="3"/>
      <c r="H822" s="3"/>
      <c r="I822" s="3"/>
      <c r="J822" s="3"/>
      <c r="K822" s="3"/>
      <c r="L822" s="3"/>
      <c r="M822" s="3"/>
      <c r="N822" s="3"/>
      <c r="O822" s="3"/>
      <c r="P822" s="3"/>
      <c r="Q822" s="3"/>
      <c r="R822" s="3"/>
      <c r="S822" s="3"/>
      <c r="T822" s="3"/>
      <c r="U822" s="3"/>
      <c r="V822" s="3"/>
      <c r="W822" s="3"/>
      <c r="X822" s="3"/>
      <c r="Z822" s="3"/>
      <c r="AA822" s="3"/>
      <c r="AB822" s="3"/>
      <c r="AC822" s="3"/>
      <c r="AD822" s="3"/>
    </row>
    <row r="823" spans="1:30" ht="14">
      <c r="A823" s="3"/>
      <c r="B823" s="3"/>
      <c r="C823" s="3"/>
      <c r="D823" s="3"/>
      <c r="E823" s="3"/>
      <c r="F823" s="3"/>
      <c r="G823" s="3"/>
      <c r="H823" s="3"/>
      <c r="I823" s="3"/>
      <c r="J823" s="3"/>
      <c r="K823" s="3"/>
      <c r="L823" s="3"/>
      <c r="M823" s="3"/>
      <c r="N823" s="3"/>
      <c r="O823" s="3"/>
      <c r="P823" s="3"/>
      <c r="Q823" s="3"/>
      <c r="R823" s="3"/>
      <c r="S823" s="3"/>
      <c r="T823" s="3"/>
      <c r="U823" s="3"/>
      <c r="V823" s="3"/>
      <c r="W823" s="3"/>
      <c r="X823" s="3"/>
      <c r="Z823" s="3"/>
      <c r="AA823" s="3"/>
      <c r="AB823" s="3"/>
      <c r="AC823" s="3"/>
      <c r="AD823" s="3"/>
    </row>
    <row r="824" spans="1:30" ht="14">
      <c r="A824" s="3"/>
      <c r="B824" s="3"/>
      <c r="C824" s="3"/>
      <c r="D824" s="3"/>
      <c r="E824" s="3"/>
      <c r="F824" s="3"/>
      <c r="G824" s="3"/>
      <c r="H824" s="3"/>
      <c r="I824" s="3"/>
      <c r="J824" s="3"/>
      <c r="K824" s="3"/>
      <c r="L824" s="3"/>
      <c r="M824" s="3"/>
      <c r="N824" s="3"/>
      <c r="O824" s="3"/>
      <c r="P824" s="3"/>
      <c r="Q824" s="3"/>
      <c r="R824" s="3"/>
      <c r="S824" s="3"/>
      <c r="T824" s="3"/>
      <c r="U824" s="3"/>
      <c r="V824" s="3"/>
      <c r="W824" s="3"/>
      <c r="X824" s="3"/>
      <c r="Z824" s="3"/>
      <c r="AA824" s="3"/>
      <c r="AB824" s="3"/>
      <c r="AC824" s="3"/>
      <c r="AD824" s="3"/>
    </row>
    <row r="825" spans="1:30" ht="14">
      <c r="A825" s="3"/>
      <c r="B825" s="3"/>
      <c r="C825" s="3"/>
      <c r="D825" s="3"/>
      <c r="E825" s="3"/>
      <c r="F825" s="3"/>
      <c r="G825" s="3"/>
      <c r="H825" s="3"/>
      <c r="I825" s="3"/>
      <c r="J825" s="3"/>
      <c r="K825" s="3"/>
      <c r="L825" s="3"/>
      <c r="M825" s="3"/>
      <c r="N825" s="3"/>
      <c r="O825" s="3"/>
      <c r="P825" s="3"/>
      <c r="Q825" s="3"/>
      <c r="R825" s="3"/>
      <c r="S825" s="3"/>
      <c r="T825" s="3"/>
      <c r="U825" s="3"/>
      <c r="V825" s="3"/>
      <c r="W825" s="3"/>
      <c r="X825" s="3"/>
      <c r="Z825" s="3"/>
      <c r="AA825" s="3"/>
      <c r="AB825" s="3"/>
      <c r="AC825" s="3"/>
      <c r="AD825" s="3"/>
    </row>
    <row r="826" spans="1:30" ht="14">
      <c r="A826" s="3"/>
      <c r="B826" s="3"/>
      <c r="C826" s="3"/>
      <c r="D826" s="3"/>
      <c r="E826" s="3"/>
      <c r="F826" s="3"/>
      <c r="G826" s="3"/>
      <c r="H826" s="3"/>
      <c r="I826" s="3"/>
      <c r="J826" s="3"/>
      <c r="K826" s="3"/>
      <c r="L826" s="3"/>
      <c r="M826" s="3"/>
      <c r="N826" s="3"/>
      <c r="O826" s="3"/>
      <c r="P826" s="3"/>
      <c r="Q826" s="3"/>
      <c r="R826" s="3"/>
      <c r="S826" s="3"/>
      <c r="T826" s="3"/>
      <c r="U826" s="3"/>
      <c r="V826" s="3"/>
      <c r="W826" s="3"/>
      <c r="X826" s="3"/>
      <c r="Z826" s="3"/>
      <c r="AA826" s="3"/>
      <c r="AB826" s="3"/>
      <c r="AC826" s="3"/>
      <c r="AD826" s="3"/>
    </row>
    <row r="827" spans="1:30" ht="14">
      <c r="A827" s="3"/>
      <c r="B827" s="3"/>
      <c r="C827" s="3"/>
      <c r="D827" s="3"/>
      <c r="E827" s="3"/>
      <c r="F827" s="3"/>
      <c r="G827" s="3"/>
      <c r="H827" s="3"/>
      <c r="I827" s="3"/>
      <c r="J827" s="3"/>
      <c r="K827" s="3"/>
      <c r="L827" s="3"/>
      <c r="M827" s="3"/>
      <c r="N827" s="3"/>
      <c r="O827" s="3"/>
      <c r="P827" s="3"/>
      <c r="Q827" s="3"/>
      <c r="R827" s="3"/>
      <c r="S827" s="3"/>
      <c r="T827" s="3"/>
      <c r="U827" s="3"/>
      <c r="V827" s="3"/>
      <c r="W827" s="3"/>
      <c r="X827" s="3"/>
      <c r="Z827" s="3"/>
      <c r="AA827" s="3"/>
      <c r="AB827" s="3"/>
      <c r="AC827" s="3"/>
      <c r="AD827" s="3"/>
    </row>
    <row r="828" spans="1:30" ht="14">
      <c r="A828" s="3"/>
      <c r="B828" s="3"/>
      <c r="C828" s="3"/>
      <c r="D828" s="3"/>
      <c r="E828" s="3"/>
      <c r="F828" s="3"/>
      <c r="G828" s="3"/>
      <c r="H828" s="3"/>
      <c r="I828" s="3"/>
      <c r="J828" s="3"/>
      <c r="K828" s="3"/>
      <c r="L828" s="3"/>
      <c r="M828" s="3"/>
      <c r="N828" s="3"/>
      <c r="O828" s="3"/>
      <c r="P828" s="3"/>
      <c r="Q828" s="3"/>
      <c r="R828" s="3"/>
      <c r="S828" s="3"/>
      <c r="T828" s="3"/>
      <c r="U828" s="3"/>
      <c r="V828" s="3"/>
      <c r="W828" s="3"/>
      <c r="X828" s="3"/>
      <c r="Z828" s="3"/>
      <c r="AA828" s="3"/>
      <c r="AB828" s="3"/>
      <c r="AC828" s="3"/>
      <c r="AD828" s="3"/>
    </row>
    <row r="829" spans="1:30" ht="14">
      <c r="A829" s="3"/>
      <c r="B829" s="3"/>
      <c r="C829" s="3"/>
      <c r="D829" s="3"/>
      <c r="E829" s="3"/>
      <c r="F829" s="3"/>
      <c r="G829" s="3"/>
      <c r="H829" s="3"/>
      <c r="I829" s="3"/>
      <c r="J829" s="3"/>
      <c r="K829" s="3"/>
      <c r="L829" s="3"/>
      <c r="M829" s="3"/>
      <c r="N829" s="3"/>
      <c r="O829" s="3"/>
      <c r="P829" s="3"/>
      <c r="Q829" s="3"/>
      <c r="R829" s="3"/>
      <c r="S829" s="3"/>
      <c r="T829" s="3"/>
      <c r="U829" s="3"/>
      <c r="V829" s="3"/>
      <c r="W829" s="3"/>
      <c r="X829" s="3"/>
      <c r="Z829" s="3"/>
      <c r="AA829" s="3"/>
      <c r="AB829" s="3"/>
      <c r="AC829" s="3"/>
      <c r="AD829" s="3"/>
    </row>
    <row r="830" spans="1:30" ht="14">
      <c r="A830" s="3"/>
      <c r="B830" s="3"/>
      <c r="C830" s="3"/>
      <c r="D830" s="3"/>
      <c r="E830" s="3"/>
      <c r="F830" s="3"/>
      <c r="G830" s="3"/>
      <c r="H830" s="3"/>
      <c r="I830" s="3"/>
      <c r="J830" s="3"/>
      <c r="K830" s="3"/>
      <c r="L830" s="3"/>
      <c r="M830" s="3"/>
      <c r="N830" s="3"/>
      <c r="O830" s="3"/>
      <c r="P830" s="3"/>
      <c r="Q830" s="3"/>
      <c r="R830" s="3"/>
      <c r="S830" s="3"/>
      <c r="T830" s="3"/>
      <c r="U830" s="3"/>
      <c r="V830" s="3"/>
      <c r="W830" s="3"/>
      <c r="X830" s="3"/>
      <c r="Z830" s="3"/>
      <c r="AA830" s="3"/>
      <c r="AB830" s="3"/>
      <c r="AC830" s="3"/>
      <c r="AD830" s="3"/>
    </row>
    <row r="831" spans="1:30" ht="14">
      <c r="A831" s="3"/>
      <c r="B831" s="3"/>
      <c r="C831" s="3"/>
      <c r="D831" s="3"/>
      <c r="E831" s="3"/>
      <c r="F831" s="3"/>
      <c r="G831" s="3"/>
      <c r="H831" s="3"/>
      <c r="I831" s="3"/>
      <c r="J831" s="3"/>
      <c r="K831" s="3"/>
      <c r="L831" s="3"/>
      <c r="M831" s="3"/>
      <c r="N831" s="3"/>
      <c r="O831" s="3"/>
      <c r="P831" s="3"/>
      <c r="Q831" s="3"/>
      <c r="R831" s="3"/>
      <c r="S831" s="3"/>
      <c r="T831" s="3"/>
      <c r="U831" s="3"/>
      <c r="V831" s="3"/>
      <c r="W831" s="3"/>
      <c r="X831" s="3"/>
      <c r="Z831" s="3"/>
      <c r="AA831" s="3"/>
      <c r="AB831" s="3"/>
      <c r="AC831" s="3"/>
      <c r="AD831" s="3"/>
    </row>
    <row r="832" spans="1:30" ht="14">
      <c r="A832" s="3"/>
      <c r="B832" s="3"/>
      <c r="C832" s="3"/>
      <c r="D832" s="3"/>
      <c r="E832" s="3"/>
      <c r="F832" s="3"/>
      <c r="G832" s="3"/>
      <c r="H832" s="3"/>
      <c r="I832" s="3"/>
      <c r="J832" s="3"/>
      <c r="K832" s="3"/>
      <c r="L832" s="3"/>
      <c r="M832" s="3"/>
      <c r="N832" s="3"/>
      <c r="O832" s="3"/>
      <c r="P832" s="3"/>
      <c r="Q832" s="3"/>
      <c r="R832" s="3"/>
      <c r="S832" s="3"/>
      <c r="T832" s="3"/>
      <c r="U832" s="3"/>
      <c r="V832" s="3"/>
      <c r="W832" s="3"/>
      <c r="X832" s="3"/>
      <c r="Z832" s="3"/>
      <c r="AA832" s="3"/>
      <c r="AB832" s="3"/>
      <c r="AC832" s="3"/>
      <c r="AD832" s="3"/>
    </row>
    <row r="833" spans="1:30" ht="14">
      <c r="A833" s="3"/>
      <c r="B833" s="3"/>
      <c r="C833" s="3"/>
      <c r="D833" s="3"/>
      <c r="E833" s="3"/>
      <c r="F833" s="3"/>
      <c r="G833" s="3"/>
      <c r="H833" s="3"/>
      <c r="I833" s="3"/>
      <c r="J833" s="3"/>
      <c r="K833" s="3"/>
      <c r="L833" s="3"/>
      <c r="M833" s="3"/>
      <c r="N833" s="3"/>
      <c r="O833" s="3"/>
      <c r="P833" s="3"/>
      <c r="Q833" s="3"/>
      <c r="R833" s="3"/>
      <c r="S833" s="3"/>
      <c r="T833" s="3"/>
      <c r="U833" s="3"/>
      <c r="V833" s="3"/>
      <c r="W833" s="3"/>
      <c r="X833" s="3"/>
      <c r="Z833" s="3"/>
      <c r="AA833" s="3"/>
      <c r="AB833" s="3"/>
      <c r="AC833" s="3"/>
      <c r="AD833" s="3"/>
    </row>
    <row r="834" spans="1:30" ht="14">
      <c r="A834" s="3"/>
      <c r="B834" s="3"/>
      <c r="C834" s="3"/>
      <c r="D834" s="3"/>
      <c r="E834" s="3"/>
      <c r="F834" s="3"/>
      <c r="G834" s="3"/>
      <c r="H834" s="3"/>
      <c r="I834" s="3"/>
      <c r="J834" s="3"/>
      <c r="K834" s="3"/>
      <c r="L834" s="3"/>
      <c r="M834" s="3"/>
      <c r="N834" s="3"/>
      <c r="O834" s="3"/>
      <c r="P834" s="3"/>
      <c r="Q834" s="3"/>
      <c r="R834" s="3"/>
      <c r="S834" s="3"/>
      <c r="T834" s="3"/>
      <c r="U834" s="3"/>
      <c r="V834" s="3"/>
      <c r="W834" s="3"/>
      <c r="X834" s="3"/>
      <c r="Z834" s="3"/>
      <c r="AA834" s="3"/>
      <c r="AB834" s="3"/>
      <c r="AC834" s="3"/>
      <c r="AD834" s="3"/>
    </row>
    <row r="835" spans="1:30" ht="14">
      <c r="A835" s="3"/>
      <c r="B835" s="3"/>
      <c r="C835" s="3"/>
      <c r="D835" s="3"/>
      <c r="E835" s="3"/>
      <c r="F835" s="3"/>
      <c r="G835" s="3"/>
      <c r="H835" s="3"/>
      <c r="I835" s="3"/>
      <c r="J835" s="3"/>
      <c r="K835" s="3"/>
      <c r="L835" s="3"/>
      <c r="M835" s="3"/>
      <c r="N835" s="3"/>
      <c r="O835" s="3"/>
      <c r="P835" s="3"/>
      <c r="Q835" s="3"/>
      <c r="R835" s="3"/>
      <c r="S835" s="3"/>
      <c r="T835" s="3"/>
      <c r="U835" s="3"/>
      <c r="V835" s="3"/>
      <c r="W835" s="3"/>
      <c r="X835" s="3"/>
      <c r="Z835" s="3"/>
      <c r="AA835" s="3"/>
      <c r="AB835" s="3"/>
      <c r="AC835" s="3"/>
      <c r="AD835" s="3"/>
    </row>
    <row r="836" spans="1:30" ht="14">
      <c r="A836" s="3"/>
      <c r="B836" s="3"/>
      <c r="C836" s="3"/>
      <c r="D836" s="3"/>
      <c r="E836" s="3"/>
      <c r="F836" s="3"/>
      <c r="G836" s="3"/>
      <c r="H836" s="3"/>
      <c r="I836" s="3"/>
      <c r="J836" s="3"/>
      <c r="K836" s="3"/>
      <c r="L836" s="3"/>
      <c r="M836" s="3"/>
      <c r="N836" s="3"/>
      <c r="O836" s="3"/>
      <c r="P836" s="3"/>
      <c r="Q836" s="3"/>
      <c r="R836" s="3"/>
      <c r="S836" s="3"/>
      <c r="T836" s="3"/>
      <c r="U836" s="3"/>
      <c r="V836" s="3"/>
      <c r="W836" s="3"/>
      <c r="X836" s="3"/>
      <c r="Z836" s="3"/>
      <c r="AA836" s="3"/>
      <c r="AB836" s="3"/>
      <c r="AC836" s="3"/>
      <c r="AD836" s="3"/>
    </row>
    <row r="837" spans="1:30" ht="14">
      <c r="A837" s="3"/>
      <c r="B837" s="3"/>
      <c r="C837" s="3"/>
      <c r="D837" s="3"/>
      <c r="E837" s="3"/>
      <c r="F837" s="3"/>
      <c r="G837" s="3"/>
      <c r="H837" s="3"/>
      <c r="I837" s="3"/>
      <c r="J837" s="3"/>
      <c r="K837" s="3"/>
      <c r="L837" s="3"/>
      <c r="M837" s="3"/>
      <c r="N837" s="3"/>
      <c r="O837" s="3"/>
      <c r="P837" s="3"/>
      <c r="Q837" s="3"/>
      <c r="R837" s="3"/>
      <c r="S837" s="3"/>
      <c r="T837" s="3"/>
      <c r="U837" s="3"/>
      <c r="V837" s="3"/>
      <c r="W837" s="3"/>
      <c r="X837" s="3"/>
      <c r="Z837" s="3"/>
      <c r="AA837" s="3"/>
      <c r="AB837" s="3"/>
      <c r="AC837" s="3"/>
      <c r="AD837" s="3"/>
    </row>
    <row r="838" spans="1:30" ht="14">
      <c r="A838" s="3"/>
      <c r="B838" s="3"/>
      <c r="C838" s="3"/>
      <c r="D838" s="3"/>
      <c r="E838" s="3"/>
      <c r="F838" s="3"/>
      <c r="G838" s="3"/>
      <c r="H838" s="3"/>
      <c r="I838" s="3"/>
      <c r="J838" s="3"/>
      <c r="K838" s="3"/>
      <c r="L838" s="3"/>
      <c r="M838" s="3"/>
      <c r="N838" s="3"/>
      <c r="O838" s="3"/>
      <c r="P838" s="3"/>
      <c r="Q838" s="3"/>
      <c r="R838" s="3"/>
      <c r="S838" s="3"/>
      <c r="T838" s="3"/>
      <c r="U838" s="3"/>
      <c r="V838" s="3"/>
      <c r="W838" s="3"/>
      <c r="X838" s="3"/>
      <c r="Z838" s="3"/>
      <c r="AA838" s="3"/>
      <c r="AB838" s="3"/>
      <c r="AC838" s="3"/>
      <c r="AD838" s="3"/>
    </row>
    <row r="839" spans="1:30" ht="14">
      <c r="A839" s="3"/>
      <c r="B839" s="3"/>
      <c r="C839" s="3"/>
      <c r="D839" s="3"/>
      <c r="E839" s="3"/>
      <c r="F839" s="3"/>
      <c r="G839" s="3"/>
      <c r="H839" s="3"/>
      <c r="I839" s="3"/>
      <c r="J839" s="3"/>
      <c r="K839" s="3"/>
      <c r="L839" s="3"/>
      <c r="M839" s="3"/>
      <c r="N839" s="3"/>
      <c r="O839" s="3"/>
      <c r="P839" s="3"/>
      <c r="Q839" s="3"/>
      <c r="R839" s="3"/>
      <c r="S839" s="3"/>
      <c r="T839" s="3"/>
      <c r="U839" s="3"/>
      <c r="V839" s="3"/>
      <c r="W839" s="3"/>
      <c r="X839" s="3"/>
      <c r="Z839" s="3"/>
      <c r="AA839" s="3"/>
      <c r="AB839" s="3"/>
      <c r="AC839" s="3"/>
      <c r="AD839" s="3"/>
    </row>
    <row r="840" spans="1:30" ht="14">
      <c r="A840" s="3"/>
      <c r="B840" s="3"/>
      <c r="C840" s="3"/>
      <c r="D840" s="3"/>
      <c r="E840" s="3"/>
      <c r="F840" s="3"/>
      <c r="G840" s="3"/>
      <c r="H840" s="3"/>
      <c r="I840" s="3"/>
      <c r="J840" s="3"/>
      <c r="K840" s="3"/>
      <c r="L840" s="3"/>
      <c r="M840" s="3"/>
      <c r="N840" s="3"/>
      <c r="O840" s="3"/>
      <c r="P840" s="3"/>
      <c r="Q840" s="3"/>
      <c r="R840" s="3"/>
      <c r="S840" s="3"/>
      <c r="T840" s="3"/>
      <c r="U840" s="3"/>
      <c r="V840" s="3"/>
      <c r="W840" s="3"/>
      <c r="X840" s="3"/>
      <c r="Z840" s="3"/>
      <c r="AA840" s="3"/>
      <c r="AB840" s="3"/>
      <c r="AC840" s="3"/>
      <c r="AD840" s="3"/>
    </row>
    <row r="841" spans="1:30" ht="14">
      <c r="A841" s="3"/>
      <c r="B841" s="3"/>
      <c r="C841" s="3"/>
      <c r="D841" s="3"/>
      <c r="E841" s="3"/>
      <c r="F841" s="3"/>
      <c r="G841" s="3"/>
      <c r="H841" s="3"/>
      <c r="I841" s="3"/>
      <c r="J841" s="3"/>
      <c r="K841" s="3"/>
      <c r="L841" s="3"/>
      <c r="M841" s="3"/>
      <c r="N841" s="3"/>
      <c r="O841" s="3"/>
      <c r="P841" s="3"/>
      <c r="Q841" s="3"/>
      <c r="R841" s="3"/>
      <c r="S841" s="3"/>
      <c r="T841" s="3"/>
      <c r="U841" s="3"/>
      <c r="V841" s="3"/>
      <c r="W841" s="3"/>
      <c r="X841" s="3"/>
      <c r="Z841" s="3"/>
      <c r="AA841" s="3"/>
      <c r="AB841" s="3"/>
      <c r="AC841" s="3"/>
      <c r="AD841" s="3"/>
    </row>
    <row r="842" spans="1:30" ht="14">
      <c r="A842" s="3"/>
      <c r="B842" s="3"/>
      <c r="C842" s="3"/>
      <c r="D842" s="3"/>
      <c r="E842" s="3"/>
      <c r="F842" s="3"/>
      <c r="G842" s="3"/>
      <c r="H842" s="3"/>
      <c r="I842" s="3"/>
      <c r="J842" s="3"/>
      <c r="K842" s="3"/>
      <c r="L842" s="3"/>
      <c r="M842" s="3"/>
      <c r="N842" s="3"/>
      <c r="O842" s="3"/>
      <c r="P842" s="3"/>
      <c r="Q842" s="3"/>
      <c r="R842" s="3"/>
      <c r="S842" s="3"/>
      <c r="T842" s="3"/>
      <c r="U842" s="3"/>
      <c r="V842" s="3"/>
      <c r="W842" s="3"/>
      <c r="X842" s="3"/>
      <c r="Z842" s="3"/>
      <c r="AA842" s="3"/>
      <c r="AB842" s="3"/>
      <c r="AC842" s="3"/>
      <c r="AD842" s="3"/>
    </row>
    <row r="843" spans="1:30" ht="14">
      <c r="A843" s="3"/>
      <c r="B843" s="3"/>
      <c r="C843" s="3"/>
      <c r="D843" s="3"/>
      <c r="E843" s="3"/>
      <c r="F843" s="3"/>
      <c r="G843" s="3"/>
      <c r="H843" s="3"/>
      <c r="I843" s="3"/>
      <c r="J843" s="3"/>
      <c r="K843" s="3"/>
      <c r="L843" s="3"/>
      <c r="M843" s="3"/>
      <c r="N843" s="3"/>
      <c r="O843" s="3"/>
      <c r="P843" s="3"/>
      <c r="Q843" s="3"/>
      <c r="R843" s="3"/>
      <c r="S843" s="3"/>
      <c r="T843" s="3"/>
      <c r="U843" s="3"/>
      <c r="V843" s="3"/>
      <c r="W843" s="3"/>
      <c r="X843" s="3"/>
      <c r="Z843" s="3"/>
      <c r="AA843" s="3"/>
      <c r="AB843" s="3"/>
      <c r="AC843" s="3"/>
      <c r="AD843" s="3"/>
    </row>
    <row r="844" spans="1:30" ht="14">
      <c r="A844" s="3"/>
      <c r="B844" s="3"/>
      <c r="C844" s="3"/>
      <c r="D844" s="3"/>
      <c r="E844" s="3"/>
      <c r="F844" s="3"/>
      <c r="G844" s="3"/>
      <c r="H844" s="3"/>
      <c r="I844" s="3"/>
      <c r="J844" s="3"/>
      <c r="K844" s="3"/>
      <c r="L844" s="3"/>
      <c r="M844" s="3"/>
      <c r="N844" s="3"/>
      <c r="O844" s="3"/>
      <c r="P844" s="3"/>
      <c r="Q844" s="3"/>
      <c r="R844" s="3"/>
      <c r="S844" s="3"/>
      <c r="T844" s="3"/>
      <c r="U844" s="3"/>
      <c r="V844" s="3"/>
      <c r="W844" s="3"/>
      <c r="X844" s="3"/>
      <c r="Z844" s="3"/>
      <c r="AA844" s="3"/>
      <c r="AB844" s="3"/>
      <c r="AC844" s="3"/>
      <c r="AD844" s="3"/>
    </row>
    <row r="845" spans="1:30" ht="14">
      <c r="A845" s="3"/>
      <c r="B845" s="3"/>
      <c r="C845" s="3"/>
      <c r="D845" s="3"/>
      <c r="E845" s="3"/>
      <c r="F845" s="3"/>
      <c r="G845" s="3"/>
      <c r="H845" s="3"/>
      <c r="I845" s="3"/>
      <c r="J845" s="3"/>
      <c r="K845" s="3"/>
      <c r="L845" s="3"/>
      <c r="M845" s="3"/>
      <c r="N845" s="3"/>
      <c r="O845" s="3"/>
      <c r="P845" s="3"/>
      <c r="Q845" s="3"/>
      <c r="R845" s="3"/>
      <c r="S845" s="3"/>
      <c r="T845" s="3"/>
      <c r="U845" s="3"/>
      <c r="V845" s="3"/>
      <c r="W845" s="3"/>
      <c r="X845" s="3"/>
      <c r="Z845" s="3"/>
      <c r="AA845" s="3"/>
      <c r="AB845" s="3"/>
      <c r="AC845" s="3"/>
      <c r="AD845" s="3"/>
    </row>
    <row r="846" spans="1:30" ht="14">
      <c r="A846" s="3"/>
      <c r="B846" s="3"/>
      <c r="C846" s="3"/>
      <c r="D846" s="3"/>
      <c r="E846" s="3"/>
      <c r="F846" s="3"/>
      <c r="G846" s="3"/>
      <c r="H846" s="3"/>
      <c r="I846" s="3"/>
      <c r="J846" s="3"/>
      <c r="K846" s="3"/>
      <c r="L846" s="3"/>
      <c r="M846" s="3"/>
      <c r="N846" s="3"/>
      <c r="O846" s="3"/>
      <c r="P846" s="3"/>
      <c r="Q846" s="3"/>
      <c r="R846" s="3"/>
      <c r="S846" s="3"/>
      <c r="T846" s="3"/>
      <c r="U846" s="3"/>
      <c r="V846" s="3"/>
      <c r="W846" s="3"/>
      <c r="X846" s="3"/>
      <c r="Z846" s="3"/>
      <c r="AA846" s="3"/>
      <c r="AB846" s="3"/>
      <c r="AC846" s="3"/>
      <c r="AD846" s="3"/>
    </row>
    <row r="847" spans="1:30" ht="14">
      <c r="A847" s="3"/>
      <c r="B847" s="3"/>
      <c r="C847" s="3"/>
      <c r="D847" s="3"/>
      <c r="E847" s="3"/>
      <c r="F847" s="3"/>
      <c r="G847" s="3"/>
      <c r="H847" s="3"/>
      <c r="I847" s="3"/>
      <c r="J847" s="3"/>
      <c r="K847" s="3"/>
      <c r="L847" s="3"/>
      <c r="M847" s="3"/>
      <c r="N847" s="3"/>
      <c r="O847" s="3"/>
      <c r="P847" s="3"/>
      <c r="Q847" s="3"/>
      <c r="R847" s="3"/>
      <c r="S847" s="3"/>
      <c r="T847" s="3"/>
      <c r="U847" s="3"/>
      <c r="V847" s="3"/>
      <c r="W847" s="3"/>
      <c r="X847" s="3"/>
      <c r="Z847" s="3"/>
      <c r="AA847" s="3"/>
      <c r="AB847" s="3"/>
      <c r="AC847" s="3"/>
      <c r="AD847" s="3"/>
    </row>
    <row r="848" spans="1:30" ht="14">
      <c r="A848" s="3"/>
      <c r="B848" s="3"/>
      <c r="C848" s="3"/>
      <c r="D848" s="3"/>
      <c r="E848" s="3"/>
      <c r="F848" s="3"/>
      <c r="G848" s="3"/>
      <c r="H848" s="3"/>
      <c r="I848" s="3"/>
      <c r="J848" s="3"/>
      <c r="K848" s="3"/>
      <c r="L848" s="3"/>
      <c r="M848" s="3"/>
      <c r="N848" s="3"/>
      <c r="O848" s="3"/>
      <c r="P848" s="3"/>
      <c r="Q848" s="3"/>
      <c r="R848" s="3"/>
      <c r="S848" s="3"/>
      <c r="T848" s="3"/>
      <c r="U848" s="3"/>
      <c r="V848" s="3"/>
      <c r="W848" s="3"/>
      <c r="X848" s="3"/>
      <c r="Z848" s="3"/>
      <c r="AA848" s="3"/>
      <c r="AB848" s="3"/>
      <c r="AC848" s="3"/>
      <c r="AD848" s="3"/>
    </row>
    <row r="849" spans="1:30" ht="14">
      <c r="A849" s="3"/>
      <c r="B849" s="3"/>
      <c r="C849" s="3"/>
      <c r="D849" s="3"/>
      <c r="E849" s="3"/>
      <c r="F849" s="3"/>
      <c r="G849" s="3"/>
      <c r="H849" s="3"/>
      <c r="I849" s="3"/>
      <c r="J849" s="3"/>
      <c r="K849" s="3"/>
      <c r="L849" s="3"/>
      <c r="M849" s="3"/>
      <c r="N849" s="3"/>
      <c r="O849" s="3"/>
      <c r="P849" s="3"/>
      <c r="Q849" s="3"/>
      <c r="R849" s="3"/>
      <c r="S849" s="3"/>
      <c r="T849" s="3"/>
      <c r="U849" s="3"/>
      <c r="V849" s="3"/>
      <c r="W849" s="3"/>
      <c r="X849" s="3"/>
      <c r="Z849" s="3"/>
      <c r="AA849" s="3"/>
      <c r="AB849" s="3"/>
      <c r="AC849" s="3"/>
      <c r="AD849" s="3"/>
    </row>
    <row r="850" spans="1:30" ht="14">
      <c r="A850" s="3"/>
      <c r="B850" s="3"/>
      <c r="C850" s="3"/>
      <c r="D850" s="3"/>
      <c r="E850" s="3"/>
      <c r="F850" s="3"/>
      <c r="G850" s="3"/>
      <c r="H850" s="3"/>
      <c r="I850" s="3"/>
      <c r="J850" s="3"/>
      <c r="K850" s="3"/>
      <c r="L850" s="3"/>
      <c r="M850" s="3"/>
      <c r="N850" s="3"/>
      <c r="O850" s="3"/>
      <c r="P850" s="3"/>
      <c r="Q850" s="3"/>
      <c r="R850" s="3"/>
      <c r="S850" s="3"/>
      <c r="T850" s="3"/>
      <c r="U850" s="3"/>
      <c r="V850" s="3"/>
      <c r="W850" s="3"/>
      <c r="X850" s="3"/>
      <c r="Z850" s="3"/>
      <c r="AA850" s="3"/>
      <c r="AB850" s="3"/>
      <c r="AC850" s="3"/>
      <c r="AD850" s="3"/>
    </row>
    <row r="851" spans="1:30" ht="14">
      <c r="A851" s="3"/>
      <c r="B851" s="3"/>
      <c r="C851" s="3"/>
      <c r="D851" s="3"/>
      <c r="E851" s="3"/>
      <c r="F851" s="3"/>
      <c r="G851" s="3"/>
      <c r="H851" s="3"/>
      <c r="I851" s="3"/>
      <c r="J851" s="3"/>
      <c r="K851" s="3"/>
      <c r="L851" s="3"/>
      <c r="M851" s="3"/>
      <c r="N851" s="3"/>
      <c r="O851" s="3"/>
      <c r="P851" s="3"/>
      <c r="Q851" s="3"/>
      <c r="R851" s="3"/>
      <c r="S851" s="3"/>
      <c r="T851" s="3"/>
      <c r="U851" s="3"/>
      <c r="V851" s="3"/>
      <c r="W851" s="3"/>
      <c r="X851" s="3"/>
      <c r="Z851" s="3"/>
      <c r="AA851" s="3"/>
      <c r="AB851" s="3"/>
      <c r="AC851" s="3"/>
      <c r="AD851" s="3"/>
    </row>
    <row r="852" spans="1:30" ht="14">
      <c r="A852" s="3"/>
      <c r="B852" s="3"/>
      <c r="C852" s="3"/>
      <c r="D852" s="3"/>
      <c r="E852" s="3"/>
      <c r="F852" s="3"/>
      <c r="G852" s="3"/>
      <c r="H852" s="3"/>
      <c r="I852" s="3"/>
      <c r="J852" s="3"/>
      <c r="K852" s="3"/>
      <c r="L852" s="3"/>
      <c r="M852" s="3"/>
      <c r="N852" s="3"/>
      <c r="O852" s="3"/>
      <c r="P852" s="3"/>
      <c r="Q852" s="3"/>
      <c r="R852" s="3"/>
      <c r="S852" s="3"/>
      <c r="T852" s="3"/>
      <c r="U852" s="3"/>
      <c r="V852" s="3"/>
      <c r="W852" s="3"/>
      <c r="X852" s="3"/>
      <c r="Z852" s="3"/>
      <c r="AA852" s="3"/>
      <c r="AB852" s="3"/>
      <c r="AC852" s="3"/>
      <c r="AD852" s="3"/>
    </row>
    <row r="853" spans="1:30" ht="14">
      <c r="A853" s="3"/>
      <c r="B853" s="3"/>
      <c r="C853" s="3"/>
      <c r="D853" s="3"/>
      <c r="E853" s="3"/>
      <c r="F853" s="3"/>
      <c r="G853" s="3"/>
      <c r="H853" s="3"/>
      <c r="I853" s="3"/>
      <c r="J853" s="3"/>
      <c r="K853" s="3"/>
      <c r="L853" s="3"/>
      <c r="M853" s="3"/>
      <c r="N853" s="3"/>
      <c r="O853" s="3"/>
      <c r="P853" s="3"/>
      <c r="Q853" s="3"/>
      <c r="R853" s="3"/>
      <c r="S853" s="3"/>
      <c r="T853" s="3"/>
      <c r="U853" s="3"/>
      <c r="V853" s="3"/>
      <c r="W853" s="3"/>
      <c r="X853" s="3"/>
      <c r="Z853" s="3"/>
      <c r="AA853" s="3"/>
      <c r="AB853" s="3"/>
      <c r="AC853" s="3"/>
      <c r="AD853" s="3"/>
    </row>
    <row r="854" spans="1:30" ht="14">
      <c r="A854" s="3"/>
      <c r="B854" s="3"/>
      <c r="C854" s="3"/>
      <c r="D854" s="3"/>
      <c r="E854" s="3"/>
      <c r="F854" s="3"/>
      <c r="G854" s="3"/>
      <c r="H854" s="3"/>
      <c r="I854" s="3"/>
      <c r="J854" s="3"/>
      <c r="K854" s="3"/>
      <c r="L854" s="3"/>
      <c r="M854" s="3"/>
      <c r="N854" s="3"/>
      <c r="O854" s="3"/>
      <c r="P854" s="3"/>
      <c r="Q854" s="3"/>
      <c r="R854" s="3"/>
      <c r="S854" s="3"/>
      <c r="T854" s="3"/>
      <c r="U854" s="3"/>
      <c r="V854" s="3"/>
      <c r="W854" s="3"/>
      <c r="X854" s="3"/>
      <c r="Z854" s="3"/>
      <c r="AA854" s="3"/>
      <c r="AB854" s="3"/>
      <c r="AC854" s="3"/>
      <c r="AD854" s="3"/>
    </row>
    <row r="855" spans="1:30" ht="14">
      <c r="A855" s="3"/>
      <c r="B855" s="3"/>
      <c r="C855" s="3"/>
      <c r="D855" s="3"/>
      <c r="E855" s="3"/>
      <c r="F855" s="3"/>
      <c r="G855" s="3"/>
      <c r="H855" s="3"/>
      <c r="I855" s="3"/>
      <c r="J855" s="3"/>
      <c r="K855" s="3"/>
      <c r="L855" s="3"/>
      <c r="M855" s="3"/>
      <c r="N855" s="3"/>
      <c r="O855" s="3"/>
      <c r="P855" s="3"/>
      <c r="Q855" s="3"/>
      <c r="R855" s="3"/>
      <c r="S855" s="3"/>
      <c r="T855" s="3"/>
      <c r="U855" s="3"/>
      <c r="V855" s="3"/>
      <c r="W855" s="3"/>
      <c r="X855" s="3"/>
      <c r="Z855" s="3"/>
      <c r="AA855" s="3"/>
      <c r="AB855" s="3"/>
      <c r="AC855" s="3"/>
      <c r="AD855" s="3"/>
    </row>
    <row r="856" spans="1:30" ht="14">
      <c r="A856" s="3"/>
      <c r="B856" s="3"/>
      <c r="C856" s="3"/>
      <c r="D856" s="3"/>
      <c r="E856" s="3"/>
      <c r="F856" s="3"/>
      <c r="G856" s="3"/>
      <c r="H856" s="3"/>
      <c r="I856" s="3"/>
      <c r="J856" s="3"/>
      <c r="K856" s="3"/>
      <c r="L856" s="3"/>
      <c r="M856" s="3"/>
      <c r="N856" s="3"/>
      <c r="O856" s="3"/>
      <c r="P856" s="3"/>
      <c r="Q856" s="3"/>
      <c r="R856" s="3"/>
      <c r="S856" s="3"/>
      <c r="T856" s="3"/>
      <c r="U856" s="3"/>
      <c r="V856" s="3"/>
      <c r="W856" s="3"/>
      <c r="X856" s="3"/>
      <c r="Z856" s="3"/>
      <c r="AA856" s="3"/>
      <c r="AB856" s="3"/>
      <c r="AC856" s="3"/>
      <c r="AD856" s="3"/>
    </row>
    <row r="857" spans="1:30" ht="14">
      <c r="A857" s="3"/>
      <c r="B857" s="3"/>
      <c r="C857" s="3"/>
      <c r="D857" s="3"/>
      <c r="E857" s="3"/>
      <c r="F857" s="3"/>
      <c r="G857" s="3"/>
      <c r="H857" s="3"/>
      <c r="I857" s="3"/>
      <c r="J857" s="3"/>
      <c r="K857" s="3"/>
      <c r="L857" s="3"/>
      <c r="M857" s="3"/>
      <c r="N857" s="3"/>
      <c r="O857" s="3"/>
      <c r="P857" s="3"/>
      <c r="Q857" s="3"/>
      <c r="R857" s="3"/>
      <c r="S857" s="3"/>
      <c r="T857" s="3"/>
      <c r="U857" s="3"/>
      <c r="V857" s="3"/>
      <c r="W857" s="3"/>
      <c r="X857" s="3"/>
      <c r="Z857" s="3"/>
      <c r="AA857" s="3"/>
      <c r="AB857" s="3"/>
      <c r="AC857" s="3"/>
      <c r="AD857" s="3"/>
    </row>
    <row r="858" spans="1:30" ht="14">
      <c r="A858" s="3"/>
      <c r="B858" s="3"/>
      <c r="C858" s="3"/>
      <c r="D858" s="3"/>
      <c r="E858" s="3"/>
      <c r="F858" s="3"/>
      <c r="G858" s="3"/>
      <c r="H858" s="3"/>
      <c r="I858" s="3"/>
      <c r="J858" s="3"/>
      <c r="K858" s="3"/>
      <c r="L858" s="3"/>
      <c r="M858" s="3"/>
      <c r="N858" s="3"/>
      <c r="O858" s="3"/>
      <c r="P858" s="3"/>
      <c r="Q858" s="3"/>
      <c r="R858" s="3"/>
      <c r="S858" s="3"/>
      <c r="T858" s="3"/>
      <c r="U858" s="3"/>
      <c r="V858" s="3"/>
      <c r="W858" s="3"/>
      <c r="X858" s="3"/>
      <c r="Z858" s="3"/>
      <c r="AA858" s="3"/>
      <c r="AB858" s="3"/>
      <c r="AC858" s="3"/>
      <c r="AD858" s="3"/>
    </row>
    <row r="859" spans="1:30" ht="14">
      <c r="A859" s="3"/>
      <c r="B859" s="3"/>
      <c r="C859" s="3"/>
      <c r="D859" s="3"/>
      <c r="E859" s="3"/>
      <c r="F859" s="3"/>
      <c r="G859" s="3"/>
      <c r="H859" s="3"/>
      <c r="I859" s="3"/>
      <c r="J859" s="3"/>
      <c r="K859" s="3"/>
      <c r="L859" s="3"/>
      <c r="M859" s="3"/>
      <c r="N859" s="3"/>
      <c r="O859" s="3"/>
      <c r="P859" s="3"/>
      <c r="Q859" s="3"/>
      <c r="R859" s="3"/>
      <c r="S859" s="3"/>
      <c r="T859" s="3"/>
      <c r="U859" s="3"/>
      <c r="V859" s="3"/>
      <c r="W859" s="3"/>
      <c r="X859" s="3"/>
      <c r="Z859" s="3"/>
      <c r="AA859" s="3"/>
      <c r="AB859" s="3"/>
      <c r="AC859" s="3"/>
      <c r="AD859" s="3"/>
    </row>
    <row r="860" spans="1:30" ht="14">
      <c r="A860" s="3"/>
      <c r="B860" s="3"/>
      <c r="C860" s="3"/>
      <c r="D860" s="3"/>
      <c r="E860" s="3"/>
      <c r="F860" s="3"/>
      <c r="G860" s="3"/>
      <c r="H860" s="3"/>
      <c r="I860" s="3"/>
      <c r="J860" s="3"/>
      <c r="K860" s="3"/>
      <c r="L860" s="3"/>
      <c r="M860" s="3"/>
      <c r="N860" s="3"/>
      <c r="O860" s="3"/>
      <c r="P860" s="3"/>
      <c r="Q860" s="3"/>
      <c r="R860" s="3"/>
      <c r="S860" s="3"/>
      <c r="T860" s="3"/>
      <c r="U860" s="3"/>
      <c r="V860" s="3"/>
      <c r="W860" s="3"/>
      <c r="X860" s="3"/>
      <c r="Z860" s="3"/>
      <c r="AA860" s="3"/>
      <c r="AB860" s="3"/>
      <c r="AC860" s="3"/>
      <c r="AD860" s="3"/>
    </row>
    <row r="861" spans="1:30" ht="14">
      <c r="A861" s="3"/>
      <c r="B861" s="3"/>
      <c r="C861" s="3"/>
      <c r="D861" s="3"/>
      <c r="E861" s="3"/>
      <c r="F861" s="3"/>
      <c r="G861" s="3"/>
      <c r="H861" s="3"/>
      <c r="I861" s="3"/>
      <c r="J861" s="3"/>
      <c r="K861" s="3"/>
      <c r="L861" s="3"/>
      <c r="M861" s="3"/>
      <c r="N861" s="3"/>
      <c r="O861" s="3"/>
      <c r="P861" s="3"/>
      <c r="Q861" s="3"/>
      <c r="R861" s="3"/>
      <c r="S861" s="3"/>
      <c r="T861" s="3"/>
      <c r="U861" s="3"/>
      <c r="V861" s="3"/>
      <c r="W861" s="3"/>
      <c r="X861" s="3"/>
      <c r="Z861" s="3"/>
      <c r="AA861" s="3"/>
      <c r="AB861" s="3"/>
      <c r="AC861" s="3"/>
      <c r="AD861" s="3"/>
    </row>
    <row r="862" spans="1:30" ht="14">
      <c r="A862" s="3"/>
      <c r="B862" s="3"/>
      <c r="C862" s="3"/>
      <c r="D862" s="3"/>
      <c r="E862" s="3"/>
      <c r="F862" s="3"/>
      <c r="G862" s="3"/>
      <c r="H862" s="3"/>
      <c r="I862" s="3"/>
      <c r="J862" s="3"/>
      <c r="K862" s="3"/>
      <c r="L862" s="3"/>
      <c r="M862" s="3"/>
      <c r="N862" s="3"/>
      <c r="O862" s="3"/>
      <c r="P862" s="3"/>
      <c r="Q862" s="3"/>
      <c r="R862" s="3"/>
      <c r="S862" s="3"/>
      <c r="T862" s="3"/>
      <c r="U862" s="3"/>
      <c r="V862" s="3"/>
      <c r="W862" s="3"/>
      <c r="X862" s="3"/>
      <c r="Z862" s="3"/>
      <c r="AA862" s="3"/>
      <c r="AB862" s="3"/>
      <c r="AC862" s="3"/>
      <c r="AD862" s="3"/>
    </row>
    <row r="863" spans="1:30" ht="14">
      <c r="A863" s="3"/>
      <c r="B863" s="3"/>
      <c r="C863" s="3"/>
      <c r="D863" s="3"/>
      <c r="E863" s="3"/>
      <c r="F863" s="3"/>
      <c r="G863" s="3"/>
      <c r="H863" s="3"/>
      <c r="I863" s="3"/>
      <c r="J863" s="3"/>
      <c r="K863" s="3"/>
      <c r="L863" s="3"/>
      <c r="M863" s="3"/>
      <c r="N863" s="3"/>
      <c r="O863" s="3"/>
      <c r="P863" s="3"/>
      <c r="Q863" s="3"/>
      <c r="R863" s="3"/>
      <c r="S863" s="3"/>
      <c r="T863" s="3"/>
      <c r="U863" s="3"/>
      <c r="V863" s="3"/>
      <c r="W863" s="3"/>
      <c r="X863" s="3"/>
      <c r="Z863" s="3"/>
      <c r="AA863" s="3"/>
      <c r="AB863" s="3"/>
      <c r="AC863" s="3"/>
      <c r="AD863" s="3"/>
    </row>
    <row r="864" spans="1:30" ht="14">
      <c r="A864" s="3"/>
      <c r="B864" s="3"/>
      <c r="C864" s="3"/>
      <c r="D864" s="3"/>
      <c r="E864" s="3"/>
      <c r="F864" s="3"/>
      <c r="G864" s="3"/>
      <c r="H864" s="3"/>
      <c r="I864" s="3"/>
      <c r="J864" s="3"/>
      <c r="K864" s="3"/>
      <c r="L864" s="3"/>
      <c r="M864" s="3"/>
      <c r="N864" s="3"/>
      <c r="O864" s="3"/>
      <c r="P864" s="3"/>
      <c r="Q864" s="3"/>
      <c r="R864" s="3"/>
      <c r="S864" s="3"/>
      <c r="T864" s="3"/>
      <c r="U864" s="3"/>
      <c r="V864" s="3"/>
      <c r="W864" s="3"/>
      <c r="X864" s="3"/>
      <c r="Z864" s="3"/>
      <c r="AA864" s="3"/>
      <c r="AB864" s="3"/>
      <c r="AC864" s="3"/>
      <c r="AD864" s="3"/>
    </row>
    <row r="865" spans="1:30" ht="14">
      <c r="A865" s="3"/>
      <c r="B865" s="3"/>
      <c r="C865" s="3"/>
      <c r="D865" s="3"/>
      <c r="E865" s="3"/>
      <c r="F865" s="3"/>
      <c r="G865" s="3"/>
      <c r="H865" s="3"/>
      <c r="I865" s="3"/>
      <c r="J865" s="3"/>
      <c r="K865" s="3"/>
      <c r="L865" s="3"/>
      <c r="M865" s="3"/>
      <c r="N865" s="3"/>
      <c r="O865" s="3"/>
      <c r="P865" s="3"/>
      <c r="Q865" s="3"/>
      <c r="R865" s="3"/>
      <c r="S865" s="3"/>
      <c r="T865" s="3"/>
      <c r="U865" s="3"/>
      <c r="V865" s="3"/>
      <c r="W865" s="3"/>
      <c r="X865" s="3"/>
      <c r="Z865" s="3"/>
      <c r="AA865" s="3"/>
      <c r="AB865" s="3"/>
      <c r="AC865" s="3"/>
      <c r="AD865" s="3"/>
    </row>
    <row r="866" spans="1:30" ht="14">
      <c r="A866" s="3"/>
      <c r="B866" s="3"/>
      <c r="C866" s="3"/>
      <c r="D866" s="3"/>
      <c r="E866" s="3"/>
      <c r="F866" s="3"/>
      <c r="G866" s="3"/>
      <c r="H866" s="3"/>
      <c r="I866" s="3"/>
      <c r="J866" s="3"/>
      <c r="K866" s="3"/>
      <c r="L866" s="3"/>
      <c r="M866" s="3"/>
      <c r="N866" s="3"/>
      <c r="O866" s="3"/>
      <c r="P866" s="3"/>
      <c r="Q866" s="3"/>
      <c r="R866" s="3"/>
      <c r="S866" s="3"/>
      <c r="T866" s="3"/>
      <c r="U866" s="3"/>
      <c r="V866" s="3"/>
      <c r="W866" s="3"/>
      <c r="X866" s="3"/>
      <c r="Z866" s="3"/>
      <c r="AA866" s="3"/>
      <c r="AB866" s="3"/>
      <c r="AC866" s="3"/>
      <c r="AD866" s="3"/>
    </row>
    <row r="867" spans="1:30" ht="14">
      <c r="A867" s="3"/>
      <c r="B867" s="3"/>
      <c r="C867" s="3"/>
      <c r="D867" s="3"/>
      <c r="E867" s="3"/>
      <c r="F867" s="3"/>
      <c r="G867" s="3"/>
      <c r="H867" s="3"/>
      <c r="I867" s="3"/>
      <c r="J867" s="3"/>
      <c r="K867" s="3"/>
      <c r="L867" s="3"/>
      <c r="M867" s="3"/>
      <c r="N867" s="3"/>
      <c r="O867" s="3"/>
      <c r="P867" s="3"/>
      <c r="Q867" s="3"/>
      <c r="R867" s="3"/>
      <c r="S867" s="3"/>
      <c r="T867" s="3"/>
      <c r="U867" s="3"/>
      <c r="V867" s="3"/>
      <c r="W867" s="3"/>
      <c r="X867" s="3"/>
      <c r="Z867" s="3"/>
      <c r="AA867" s="3"/>
      <c r="AB867" s="3"/>
      <c r="AC867" s="3"/>
      <c r="AD867" s="3"/>
    </row>
    <row r="868" spans="1:30" ht="14">
      <c r="A868" s="3"/>
      <c r="B868" s="3"/>
      <c r="C868" s="3"/>
      <c r="D868" s="3"/>
      <c r="E868" s="3"/>
      <c r="F868" s="3"/>
      <c r="G868" s="3"/>
      <c r="H868" s="3"/>
      <c r="I868" s="3"/>
      <c r="J868" s="3"/>
      <c r="K868" s="3"/>
      <c r="L868" s="3"/>
      <c r="M868" s="3"/>
      <c r="N868" s="3"/>
      <c r="O868" s="3"/>
      <c r="P868" s="3"/>
      <c r="Q868" s="3"/>
      <c r="R868" s="3"/>
      <c r="S868" s="3"/>
      <c r="T868" s="3"/>
      <c r="U868" s="3"/>
      <c r="V868" s="3"/>
      <c r="W868" s="3"/>
      <c r="X868" s="3"/>
      <c r="Z868" s="3"/>
      <c r="AA868" s="3"/>
      <c r="AB868" s="3"/>
      <c r="AC868" s="3"/>
      <c r="AD868" s="3"/>
    </row>
    <row r="869" spans="1:30" ht="14">
      <c r="A869" s="3"/>
      <c r="B869" s="3"/>
      <c r="C869" s="3"/>
      <c r="D869" s="3"/>
      <c r="E869" s="3"/>
      <c r="F869" s="3"/>
      <c r="G869" s="3"/>
      <c r="H869" s="3"/>
      <c r="I869" s="3"/>
      <c r="J869" s="3"/>
      <c r="K869" s="3"/>
      <c r="L869" s="3"/>
      <c r="M869" s="3"/>
      <c r="N869" s="3"/>
      <c r="O869" s="3"/>
      <c r="P869" s="3"/>
      <c r="Q869" s="3"/>
      <c r="R869" s="3"/>
      <c r="S869" s="3"/>
      <c r="T869" s="3"/>
      <c r="U869" s="3"/>
      <c r="V869" s="3"/>
      <c r="W869" s="3"/>
      <c r="X869" s="3"/>
      <c r="Z869" s="3"/>
      <c r="AA869" s="3"/>
      <c r="AB869" s="3"/>
      <c r="AC869" s="3"/>
      <c r="AD869" s="3"/>
    </row>
    <row r="870" spans="1:30" ht="14">
      <c r="A870" s="3"/>
      <c r="B870" s="3"/>
      <c r="C870" s="3"/>
      <c r="D870" s="3"/>
      <c r="E870" s="3"/>
      <c r="F870" s="3"/>
      <c r="G870" s="3"/>
      <c r="H870" s="3"/>
      <c r="I870" s="3"/>
      <c r="J870" s="3"/>
      <c r="K870" s="3"/>
      <c r="L870" s="3"/>
      <c r="M870" s="3"/>
      <c r="N870" s="3"/>
      <c r="O870" s="3"/>
      <c r="P870" s="3"/>
      <c r="Q870" s="3"/>
      <c r="R870" s="3"/>
      <c r="S870" s="3"/>
      <c r="T870" s="3"/>
      <c r="U870" s="3"/>
      <c r="V870" s="3"/>
      <c r="W870" s="3"/>
      <c r="X870" s="3"/>
      <c r="Z870" s="3"/>
      <c r="AA870" s="3"/>
      <c r="AB870" s="3"/>
      <c r="AC870" s="3"/>
      <c r="AD870" s="3"/>
    </row>
    <row r="871" spans="1:30" ht="14">
      <c r="A871" s="3"/>
      <c r="B871" s="3"/>
      <c r="C871" s="3"/>
      <c r="D871" s="3"/>
      <c r="E871" s="3"/>
      <c r="F871" s="3"/>
      <c r="G871" s="3"/>
      <c r="H871" s="3"/>
      <c r="I871" s="3"/>
      <c r="J871" s="3"/>
      <c r="K871" s="3"/>
      <c r="L871" s="3"/>
      <c r="M871" s="3"/>
      <c r="N871" s="3"/>
      <c r="O871" s="3"/>
      <c r="P871" s="3"/>
      <c r="Q871" s="3"/>
      <c r="R871" s="3"/>
      <c r="S871" s="3"/>
      <c r="T871" s="3"/>
      <c r="U871" s="3"/>
      <c r="V871" s="3"/>
      <c r="W871" s="3"/>
      <c r="X871" s="3"/>
      <c r="Z871" s="3"/>
      <c r="AA871" s="3"/>
      <c r="AB871" s="3"/>
      <c r="AC871" s="3"/>
      <c r="AD871" s="3"/>
    </row>
    <row r="872" spans="1:30" ht="14">
      <c r="A872" s="3"/>
      <c r="B872" s="3"/>
      <c r="C872" s="3"/>
      <c r="D872" s="3"/>
      <c r="E872" s="3"/>
      <c r="F872" s="3"/>
      <c r="G872" s="3"/>
      <c r="H872" s="3"/>
      <c r="I872" s="3"/>
      <c r="J872" s="3"/>
      <c r="K872" s="3"/>
      <c r="L872" s="3"/>
      <c r="M872" s="3"/>
      <c r="N872" s="3"/>
      <c r="O872" s="3"/>
      <c r="P872" s="3"/>
      <c r="Q872" s="3"/>
      <c r="R872" s="3"/>
      <c r="S872" s="3"/>
      <c r="T872" s="3"/>
      <c r="U872" s="3"/>
      <c r="V872" s="3"/>
      <c r="W872" s="3"/>
      <c r="X872" s="3"/>
      <c r="Z872" s="3"/>
      <c r="AA872" s="3"/>
      <c r="AB872" s="3"/>
      <c r="AC872" s="3"/>
      <c r="AD872" s="3"/>
    </row>
    <row r="873" spans="1:30" ht="14">
      <c r="A873" s="3"/>
      <c r="B873" s="3"/>
      <c r="C873" s="3"/>
      <c r="D873" s="3"/>
      <c r="E873" s="3"/>
      <c r="F873" s="3"/>
      <c r="G873" s="3"/>
      <c r="H873" s="3"/>
      <c r="I873" s="3"/>
      <c r="J873" s="3"/>
      <c r="K873" s="3"/>
      <c r="L873" s="3"/>
      <c r="M873" s="3"/>
      <c r="N873" s="3"/>
      <c r="O873" s="3"/>
      <c r="P873" s="3"/>
      <c r="Q873" s="3"/>
      <c r="R873" s="3"/>
      <c r="S873" s="3"/>
      <c r="T873" s="3"/>
      <c r="U873" s="3"/>
      <c r="V873" s="3"/>
      <c r="W873" s="3"/>
      <c r="X873" s="3"/>
      <c r="Z873" s="3"/>
      <c r="AA873" s="3"/>
      <c r="AB873" s="3"/>
      <c r="AC873" s="3"/>
      <c r="AD873" s="3"/>
    </row>
    <row r="874" spans="1:30" ht="14">
      <c r="A874" s="3"/>
      <c r="B874" s="3"/>
      <c r="C874" s="3"/>
      <c r="D874" s="3"/>
      <c r="E874" s="3"/>
      <c r="F874" s="3"/>
      <c r="G874" s="3"/>
      <c r="H874" s="3"/>
      <c r="I874" s="3"/>
      <c r="J874" s="3"/>
      <c r="K874" s="3"/>
      <c r="L874" s="3"/>
      <c r="M874" s="3"/>
      <c r="N874" s="3"/>
      <c r="O874" s="3"/>
      <c r="P874" s="3"/>
      <c r="Q874" s="3"/>
      <c r="R874" s="3"/>
      <c r="S874" s="3"/>
      <c r="T874" s="3"/>
      <c r="U874" s="3"/>
      <c r="V874" s="3"/>
      <c r="W874" s="3"/>
      <c r="X874" s="3"/>
      <c r="Z874" s="3"/>
      <c r="AA874" s="3"/>
      <c r="AB874" s="3"/>
      <c r="AC874" s="3"/>
      <c r="AD874" s="3"/>
    </row>
    <row r="875" spans="1:30" ht="14">
      <c r="A875" s="3"/>
      <c r="B875" s="3"/>
      <c r="C875" s="3"/>
      <c r="D875" s="3"/>
      <c r="E875" s="3"/>
      <c r="F875" s="3"/>
      <c r="G875" s="3"/>
      <c r="H875" s="3"/>
      <c r="I875" s="3"/>
      <c r="J875" s="3"/>
      <c r="K875" s="3"/>
      <c r="L875" s="3"/>
      <c r="M875" s="3"/>
      <c r="N875" s="3"/>
      <c r="O875" s="3"/>
      <c r="P875" s="3"/>
      <c r="Q875" s="3"/>
      <c r="R875" s="3"/>
      <c r="S875" s="3"/>
      <c r="T875" s="3"/>
      <c r="U875" s="3"/>
      <c r="V875" s="3"/>
      <c r="W875" s="3"/>
      <c r="X875" s="3"/>
      <c r="Z875" s="3"/>
      <c r="AA875" s="3"/>
      <c r="AB875" s="3"/>
      <c r="AC875" s="3"/>
      <c r="AD875" s="3"/>
    </row>
    <row r="876" spans="1:30" ht="14">
      <c r="A876" s="3"/>
      <c r="B876" s="3"/>
      <c r="C876" s="3"/>
      <c r="D876" s="3"/>
      <c r="E876" s="3"/>
      <c r="F876" s="3"/>
      <c r="G876" s="3"/>
      <c r="H876" s="3"/>
      <c r="I876" s="3"/>
      <c r="J876" s="3"/>
      <c r="K876" s="3"/>
      <c r="L876" s="3"/>
      <c r="M876" s="3"/>
      <c r="N876" s="3"/>
      <c r="O876" s="3"/>
      <c r="P876" s="3"/>
      <c r="Q876" s="3"/>
      <c r="R876" s="3"/>
      <c r="S876" s="3"/>
      <c r="T876" s="3"/>
      <c r="U876" s="3"/>
      <c r="V876" s="3"/>
      <c r="W876" s="3"/>
      <c r="X876" s="3"/>
      <c r="Z876" s="3"/>
      <c r="AA876" s="3"/>
      <c r="AB876" s="3"/>
      <c r="AC876" s="3"/>
      <c r="AD876" s="3"/>
    </row>
    <row r="877" spans="1:30" ht="14">
      <c r="A877" s="3"/>
      <c r="B877" s="3"/>
      <c r="C877" s="3"/>
      <c r="D877" s="3"/>
      <c r="E877" s="3"/>
      <c r="F877" s="3"/>
      <c r="G877" s="3"/>
      <c r="H877" s="3"/>
      <c r="I877" s="3"/>
      <c r="J877" s="3"/>
      <c r="K877" s="3"/>
      <c r="L877" s="3"/>
      <c r="M877" s="3"/>
      <c r="N877" s="3"/>
      <c r="O877" s="3"/>
      <c r="P877" s="3"/>
      <c r="Q877" s="3"/>
      <c r="R877" s="3"/>
      <c r="S877" s="3"/>
      <c r="T877" s="3"/>
      <c r="U877" s="3"/>
      <c r="V877" s="3"/>
      <c r="W877" s="3"/>
      <c r="X877" s="3"/>
      <c r="Z877" s="3"/>
      <c r="AA877" s="3"/>
      <c r="AB877" s="3"/>
      <c r="AC877" s="3"/>
      <c r="AD877" s="3"/>
    </row>
    <row r="878" spans="1:30" ht="14">
      <c r="A878" s="3"/>
      <c r="B878" s="3"/>
      <c r="C878" s="3"/>
      <c r="D878" s="3"/>
      <c r="E878" s="3"/>
      <c r="F878" s="3"/>
      <c r="G878" s="3"/>
      <c r="H878" s="3"/>
      <c r="I878" s="3"/>
      <c r="J878" s="3"/>
      <c r="K878" s="3"/>
      <c r="L878" s="3"/>
      <c r="M878" s="3"/>
      <c r="N878" s="3"/>
      <c r="O878" s="3"/>
      <c r="P878" s="3"/>
      <c r="Q878" s="3"/>
      <c r="R878" s="3"/>
      <c r="S878" s="3"/>
      <c r="T878" s="3"/>
      <c r="U878" s="3"/>
      <c r="V878" s="3"/>
      <c r="W878" s="3"/>
      <c r="X878" s="3"/>
      <c r="Z878" s="3"/>
      <c r="AA878" s="3"/>
      <c r="AB878" s="3"/>
      <c r="AC878" s="3"/>
      <c r="AD878" s="3"/>
    </row>
    <row r="879" spans="1:30" ht="14">
      <c r="A879" s="3"/>
      <c r="B879" s="3"/>
      <c r="C879" s="3"/>
      <c r="D879" s="3"/>
      <c r="E879" s="3"/>
      <c r="F879" s="3"/>
      <c r="G879" s="3"/>
      <c r="H879" s="3"/>
      <c r="I879" s="3"/>
      <c r="J879" s="3"/>
      <c r="K879" s="3"/>
      <c r="L879" s="3"/>
      <c r="M879" s="3"/>
      <c r="N879" s="3"/>
      <c r="O879" s="3"/>
      <c r="P879" s="3"/>
      <c r="Q879" s="3"/>
      <c r="R879" s="3"/>
      <c r="S879" s="3"/>
      <c r="T879" s="3"/>
      <c r="U879" s="3"/>
      <c r="V879" s="3"/>
      <c r="W879" s="3"/>
      <c r="X879" s="3"/>
      <c r="Z879" s="3"/>
      <c r="AA879" s="3"/>
      <c r="AB879" s="3"/>
      <c r="AC879" s="3"/>
      <c r="AD879" s="3"/>
    </row>
    <row r="880" spans="1:30" ht="14">
      <c r="A880" s="3"/>
      <c r="B880" s="3"/>
      <c r="C880" s="3"/>
      <c r="D880" s="3"/>
      <c r="E880" s="3"/>
      <c r="F880" s="3"/>
      <c r="G880" s="3"/>
      <c r="H880" s="3"/>
      <c r="I880" s="3"/>
      <c r="J880" s="3"/>
      <c r="K880" s="3"/>
      <c r="L880" s="3"/>
      <c r="M880" s="3"/>
      <c r="N880" s="3"/>
      <c r="O880" s="3"/>
      <c r="P880" s="3"/>
      <c r="Q880" s="3"/>
      <c r="R880" s="3"/>
      <c r="S880" s="3"/>
      <c r="T880" s="3"/>
      <c r="U880" s="3"/>
      <c r="V880" s="3"/>
      <c r="W880" s="3"/>
      <c r="X880" s="3"/>
      <c r="Z880" s="3"/>
      <c r="AA880" s="3"/>
      <c r="AB880" s="3"/>
      <c r="AC880" s="3"/>
      <c r="AD880" s="3"/>
    </row>
    <row r="881" spans="1:30" ht="14">
      <c r="A881" s="3"/>
      <c r="B881" s="3"/>
      <c r="C881" s="3"/>
      <c r="D881" s="3"/>
      <c r="E881" s="3"/>
      <c r="F881" s="3"/>
      <c r="G881" s="3"/>
      <c r="H881" s="3"/>
      <c r="I881" s="3"/>
      <c r="J881" s="3"/>
      <c r="K881" s="3"/>
      <c r="L881" s="3"/>
      <c r="M881" s="3"/>
      <c r="N881" s="3"/>
      <c r="O881" s="3"/>
      <c r="P881" s="3"/>
      <c r="Q881" s="3"/>
      <c r="R881" s="3"/>
      <c r="S881" s="3"/>
      <c r="T881" s="3"/>
      <c r="U881" s="3"/>
      <c r="V881" s="3"/>
      <c r="W881" s="3"/>
      <c r="X881" s="3"/>
      <c r="Z881" s="3"/>
      <c r="AA881" s="3"/>
      <c r="AB881" s="3"/>
      <c r="AC881" s="3"/>
      <c r="AD881" s="3"/>
    </row>
    <row r="882" spans="1:30" ht="14">
      <c r="A882" s="3"/>
      <c r="B882" s="3"/>
      <c r="C882" s="3"/>
      <c r="D882" s="3"/>
      <c r="E882" s="3"/>
      <c r="F882" s="3"/>
      <c r="G882" s="3"/>
      <c r="H882" s="3"/>
      <c r="I882" s="3"/>
      <c r="J882" s="3"/>
      <c r="K882" s="3"/>
      <c r="L882" s="3"/>
      <c r="M882" s="3"/>
      <c r="N882" s="3"/>
      <c r="O882" s="3"/>
      <c r="P882" s="3"/>
      <c r="Q882" s="3"/>
      <c r="R882" s="3"/>
      <c r="S882" s="3"/>
      <c r="T882" s="3"/>
      <c r="U882" s="3"/>
      <c r="V882" s="3"/>
      <c r="W882" s="3"/>
      <c r="X882" s="3"/>
      <c r="Z882" s="3"/>
      <c r="AA882" s="3"/>
      <c r="AB882" s="3"/>
      <c r="AC882" s="3"/>
      <c r="AD882" s="3"/>
    </row>
    <row r="883" spans="1:30" ht="14">
      <c r="A883" s="3"/>
      <c r="B883" s="3"/>
      <c r="C883" s="3"/>
      <c r="D883" s="3"/>
      <c r="E883" s="3"/>
      <c r="F883" s="3"/>
      <c r="G883" s="3"/>
      <c r="H883" s="3"/>
      <c r="I883" s="3"/>
      <c r="J883" s="3"/>
      <c r="K883" s="3"/>
      <c r="L883" s="3"/>
      <c r="M883" s="3"/>
      <c r="N883" s="3"/>
      <c r="O883" s="3"/>
      <c r="P883" s="3"/>
      <c r="Q883" s="3"/>
      <c r="R883" s="3"/>
      <c r="S883" s="3"/>
      <c r="T883" s="3"/>
      <c r="U883" s="3"/>
      <c r="V883" s="3"/>
      <c r="W883" s="3"/>
      <c r="X883" s="3"/>
      <c r="Z883" s="3"/>
      <c r="AA883" s="3"/>
      <c r="AB883" s="3"/>
      <c r="AC883" s="3"/>
      <c r="AD883" s="3"/>
    </row>
    <row r="884" spans="1:30" ht="14">
      <c r="A884" s="3"/>
      <c r="B884" s="3"/>
      <c r="C884" s="3"/>
      <c r="D884" s="3"/>
      <c r="E884" s="3"/>
      <c r="F884" s="3"/>
      <c r="G884" s="3"/>
      <c r="H884" s="3"/>
      <c r="I884" s="3"/>
      <c r="J884" s="3"/>
      <c r="K884" s="3"/>
      <c r="L884" s="3"/>
      <c r="M884" s="3"/>
      <c r="N884" s="3"/>
      <c r="O884" s="3"/>
      <c r="P884" s="3"/>
      <c r="Q884" s="3"/>
      <c r="R884" s="3"/>
      <c r="S884" s="3"/>
      <c r="T884" s="3"/>
      <c r="U884" s="3"/>
      <c r="V884" s="3"/>
      <c r="W884" s="3"/>
      <c r="X884" s="3"/>
      <c r="Z884" s="3"/>
      <c r="AA884" s="3"/>
      <c r="AB884" s="3"/>
      <c r="AC884" s="3"/>
      <c r="AD884" s="3"/>
    </row>
    <row r="885" spans="1:30" ht="14">
      <c r="A885" s="3"/>
      <c r="B885" s="3"/>
      <c r="C885" s="3"/>
      <c r="D885" s="3"/>
      <c r="E885" s="3"/>
      <c r="F885" s="3"/>
      <c r="G885" s="3"/>
      <c r="H885" s="3"/>
      <c r="I885" s="3"/>
      <c r="J885" s="3"/>
      <c r="K885" s="3"/>
      <c r="L885" s="3"/>
      <c r="M885" s="3"/>
      <c r="N885" s="3"/>
      <c r="O885" s="3"/>
      <c r="P885" s="3"/>
      <c r="Q885" s="3"/>
      <c r="R885" s="3"/>
      <c r="S885" s="3"/>
      <c r="T885" s="3"/>
      <c r="U885" s="3"/>
      <c r="V885" s="3"/>
      <c r="W885" s="3"/>
      <c r="X885" s="3"/>
      <c r="Z885" s="3"/>
      <c r="AA885" s="3"/>
      <c r="AB885" s="3"/>
      <c r="AC885" s="3"/>
      <c r="AD885" s="3"/>
    </row>
    <row r="886" spans="1:30" ht="14">
      <c r="A886" s="3"/>
      <c r="B886" s="3"/>
      <c r="C886" s="3"/>
      <c r="D886" s="3"/>
      <c r="E886" s="3"/>
      <c r="F886" s="3"/>
      <c r="G886" s="3"/>
      <c r="H886" s="3"/>
      <c r="I886" s="3"/>
      <c r="J886" s="3"/>
      <c r="K886" s="3"/>
      <c r="L886" s="3"/>
      <c r="M886" s="3"/>
      <c r="N886" s="3"/>
      <c r="O886" s="3"/>
      <c r="P886" s="3"/>
      <c r="Q886" s="3"/>
      <c r="R886" s="3"/>
      <c r="S886" s="3"/>
      <c r="T886" s="3"/>
      <c r="U886" s="3"/>
      <c r="V886" s="3"/>
      <c r="W886" s="3"/>
      <c r="X886" s="3"/>
      <c r="Z886" s="3"/>
      <c r="AA886" s="3"/>
      <c r="AB886" s="3"/>
      <c r="AC886" s="3"/>
      <c r="AD886" s="3"/>
    </row>
    <row r="887" spans="1:30" ht="14">
      <c r="A887" s="3"/>
      <c r="B887" s="3"/>
      <c r="C887" s="3"/>
      <c r="D887" s="3"/>
      <c r="E887" s="3"/>
      <c r="F887" s="3"/>
      <c r="G887" s="3"/>
      <c r="H887" s="3"/>
      <c r="I887" s="3"/>
      <c r="J887" s="3"/>
      <c r="K887" s="3"/>
      <c r="L887" s="3"/>
      <c r="M887" s="3"/>
      <c r="N887" s="3"/>
      <c r="O887" s="3"/>
      <c r="P887" s="3"/>
      <c r="Q887" s="3"/>
      <c r="R887" s="3"/>
      <c r="S887" s="3"/>
      <c r="T887" s="3"/>
      <c r="U887" s="3"/>
      <c r="V887" s="3"/>
      <c r="W887" s="3"/>
      <c r="X887" s="3"/>
      <c r="Z887" s="3"/>
      <c r="AA887" s="3"/>
      <c r="AB887" s="3"/>
      <c r="AC887" s="3"/>
      <c r="AD887" s="3"/>
    </row>
    <row r="888" spans="1:30" ht="14">
      <c r="A888" s="3"/>
      <c r="B888" s="3"/>
      <c r="C888" s="3"/>
      <c r="D888" s="3"/>
      <c r="E888" s="3"/>
      <c r="F888" s="3"/>
      <c r="G888" s="3"/>
      <c r="H888" s="3"/>
      <c r="I888" s="3"/>
      <c r="J888" s="3"/>
      <c r="K888" s="3"/>
      <c r="L888" s="3"/>
      <c r="M888" s="3"/>
      <c r="N888" s="3"/>
      <c r="O888" s="3"/>
      <c r="P888" s="3"/>
      <c r="Q888" s="3"/>
      <c r="R888" s="3"/>
      <c r="S888" s="3"/>
      <c r="T888" s="3"/>
      <c r="U888" s="3"/>
      <c r="V888" s="3"/>
      <c r="W888" s="3"/>
      <c r="X888" s="3"/>
      <c r="Z888" s="3"/>
      <c r="AA888" s="3"/>
      <c r="AB888" s="3"/>
      <c r="AC888" s="3"/>
      <c r="AD888" s="3"/>
    </row>
    <row r="889" spans="1:30" ht="14">
      <c r="A889" s="3"/>
      <c r="B889" s="3"/>
      <c r="C889" s="3"/>
      <c r="D889" s="3"/>
      <c r="E889" s="3"/>
      <c r="F889" s="3"/>
      <c r="G889" s="3"/>
      <c r="H889" s="3"/>
      <c r="I889" s="3"/>
      <c r="J889" s="3"/>
      <c r="K889" s="3"/>
      <c r="L889" s="3"/>
      <c r="M889" s="3"/>
      <c r="N889" s="3"/>
      <c r="O889" s="3"/>
      <c r="P889" s="3"/>
      <c r="Q889" s="3"/>
      <c r="R889" s="3"/>
      <c r="S889" s="3"/>
      <c r="T889" s="3"/>
      <c r="U889" s="3"/>
      <c r="V889" s="3"/>
      <c r="W889" s="3"/>
      <c r="X889" s="3"/>
      <c r="Z889" s="3"/>
      <c r="AA889" s="3"/>
      <c r="AB889" s="3"/>
      <c r="AC889" s="3"/>
      <c r="AD889" s="3"/>
    </row>
    <row r="890" spans="1:30" ht="14">
      <c r="A890" s="3"/>
      <c r="B890" s="3"/>
      <c r="C890" s="3"/>
      <c r="D890" s="3"/>
      <c r="E890" s="3"/>
      <c r="F890" s="3"/>
      <c r="G890" s="3"/>
      <c r="H890" s="3"/>
      <c r="I890" s="3"/>
      <c r="J890" s="3"/>
      <c r="K890" s="3"/>
      <c r="L890" s="3"/>
      <c r="M890" s="3"/>
      <c r="N890" s="3"/>
      <c r="O890" s="3"/>
      <c r="P890" s="3"/>
      <c r="Q890" s="3"/>
      <c r="R890" s="3"/>
      <c r="S890" s="3"/>
      <c r="T890" s="3"/>
      <c r="U890" s="3"/>
      <c r="V890" s="3"/>
      <c r="W890" s="3"/>
      <c r="X890" s="3"/>
      <c r="Z890" s="3"/>
      <c r="AA890" s="3"/>
      <c r="AB890" s="3"/>
      <c r="AC890" s="3"/>
      <c r="AD890" s="3"/>
    </row>
    <row r="891" spans="1:30" ht="14">
      <c r="A891" s="3"/>
      <c r="B891" s="3"/>
      <c r="C891" s="3"/>
      <c r="D891" s="3"/>
      <c r="E891" s="3"/>
      <c r="F891" s="3"/>
      <c r="G891" s="3"/>
      <c r="H891" s="3"/>
      <c r="I891" s="3"/>
      <c r="J891" s="3"/>
      <c r="K891" s="3"/>
      <c r="L891" s="3"/>
      <c r="M891" s="3"/>
      <c r="N891" s="3"/>
      <c r="O891" s="3"/>
      <c r="P891" s="3"/>
      <c r="Q891" s="3"/>
      <c r="R891" s="3"/>
      <c r="S891" s="3"/>
      <c r="T891" s="3"/>
      <c r="U891" s="3"/>
      <c r="V891" s="3"/>
      <c r="W891" s="3"/>
      <c r="X891" s="3"/>
      <c r="Z891" s="3"/>
      <c r="AA891" s="3"/>
      <c r="AB891" s="3"/>
      <c r="AC891" s="3"/>
      <c r="AD891" s="3"/>
    </row>
    <row r="892" spans="1:30" ht="14">
      <c r="A892" s="3"/>
      <c r="B892" s="3"/>
      <c r="C892" s="3"/>
      <c r="D892" s="3"/>
      <c r="E892" s="3"/>
      <c r="F892" s="3"/>
      <c r="G892" s="3"/>
      <c r="H892" s="3"/>
      <c r="I892" s="3"/>
      <c r="J892" s="3"/>
      <c r="K892" s="3"/>
      <c r="L892" s="3"/>
      <c r="M892" s="3"/>
      <c r="N892" s="3"/>
      <c r="O892" s="3"/>
      <c r="P892" s="3"/>
      <c r="Q892" s="3"/>
      <c r="R892" s="3"/>
      <c r="S892" s="3"/>
      <c r="T892" s="3"/>
      <c r="U892" s="3"/>
      <c r="V892" s="3"/>
      <c r="W892" s="3"/>
      <c r="X892" s="3"/>
      <c r="Z892" s="3"/>
      <c r="AA892" s="3"/>
      <c r="AB892" s="3"/>
      <c r="AC892" s="3"/>
      <c r="AD892" s="3"/>
    </row>
    <row r="893" spans="1:30" ht="14">
      <c r="A893" s="3"/>
      <c r="B893" s="3"/>
      <c r="C893" s="3"/>
      <c r="D893" s="3"/>
      <c r="E893" s="3"/>
      <c r="F893" s="3"/>
      <c r="G893" s="3"/>
      <c r="H893" s="3"/>
      <c r="I893" s="3"/>
      <c r="J893" s="3"/>
      <c r="K893" s="3"/>
      <c r="L893" s="3"/>
      <c r="M893" s="3"/>
      <c r="N893" s="3"/>
      <c r="O893" s="3"/>
      <c r="P893" s="3"/>
      <c r="Q893" s="3"/>
      <c r="R893" s="3"/>
      <c r="S893" s="3"/>
      <c r="T893" s="3"/>
      <c r="U893" s="3"/>
      <c r="V893" s="3"/>
      <c r="W893" s="3"/>
      <c r="X893" s="3"/>
      <c r="Z893" s="3"/>
      <c r="AA893" s="3"/>
      <c r="AB893" s="3"/>
      <c r="AC893" s="3"/>
      <c r="AD893" s="3"/>
    </row>
    <row r="894" spans="1:30" ht="14">
      <c r="A894" s="3"/>
      <c r="B894" s="3"/>
      <c r="C894" s="3"/>
      <c r="D894" s="3"/>
      <c r="E894" s="3"/>
      <c r="F894" s="3"/>
      <c r="G894" s="3"/>
      <c r="H894" s="3"/>
      <c r="I894" s="3"/>
      <c r="J894" s="3"/>
      <c r="K894" s="3"/>
      <c r="L894" s="3"/>
      <c r="M894" s="3"/>
      <c r="N894" s="3"/>
      <c r="O894" s="3"/>
      <c r="P894" s="3"/>
      <c r="Q894" s="3"/>
      <c r="R894" s="3"/>
      <c r="S894" s="3"/>
      <c r="T894" s="3"/>
      <c r="U894" s="3"/>
      <c r="V894" s="3"/>
      <c r="W894" s="3"/>
      <c r="X894" s="3"/>
      <c r="Z894" s="3"/>
      <c r="AA894" s="3"/>
      <c r="AB894" s="3"/>
      <c r="AC894" s="3"/>
      <c r="AD894" s="3"/>
    </row>
    <row r="895" spans="1:30" ht="14">
      <c r="A895" s="3"/>
      <c r="B895" s="3"/>
      <c r="C895" s="3"/>
      <c r="D895" s="3"/>
      <c r="E895" s="3"/>
      <c r="F895" s="3"/>
      <c r="G895" s="3"/>
      <c r="H895" s="3"/>
      <c r="I895" s="3"/>
      <c r="J895" s="3"/>
      <c r="K895" s="3"/>
      <c r="L895" s="3"/>
      <c r="M895" s="3"/>
      <c r="N895" s="3"/>
      <c r="O895" s="3"/>
      <c r="P895" s="3"/>
      <c r="Q895" s="3"/>
      <c r="R895" s="3"/>
      <c r="S895" s="3"/>
      <c r="T895" s="3"/>
      <c r="U895" s="3"/>
      <c r="V895" s="3"/>
      <c r="W895" s="3"/>
      <c r="X895" s="3"/>
      <c r="Z895" s="3"/>
      <c r="AA895" s="3"/>
      <c r="AB895" s="3"/>
      <c r="AC895" s="3"/>
      <c r="AD895" s="3"/>
    </row>
    <row r="896" spans="1:30" ht="14">
      <c r="A896" s="3"/>
      <c r="B896" s="3"/>
      <c r="C896" s="3"/>
      <c r="D896" s="3"/>
      <c r="E896" s="3"/>
      <c r="F896" s="3"/>
      <c r="G896" s="3"/>
      <c r="H896" s="3"/>
      <c r="I896" s="3"/>
      <c r="J896" s="3"/>
      <c r="K896" s="3"/>
      <c r="L896" s="3"/>
      <c r="M896" s="3"/>
      <c r="N896" s="3"/>
      <c r="O896" s="3"/>
      <c r="P896" s="3"/>
      <c r="Q896" s="3"/>
      <c r="R896" s="3"/>
      <c r="S896" s="3"/>
      <c r="T896" s="3"/>
      <c r="U896" s="3"/>
      <c r="V896" s="3"/>
      <c r="W896" s="3"/>
      <c r="X896" s="3"/>
      <c r="Z896" s="3"/>
      <c r="AA896" s="3"/>
      <c r="AB896" s="3"/>
      <c r="AC896" s="3"/>
      <c r="AD896" s="3"/>
    </row>
    <row r="897" spans="1:30" ht="14">
      <c r="A897" s="3"/>
      <c r="B897" s="3"/>
      <c r="C897" s="3"/>
      <c r="D897" s="3"/>
      <c r="E897" s="3"/>
      <c r="F897" s="3"/>
      <c r="G897" s="3"/>
      <c r="H897" s="3"/>
      <c r="I897" s="3"/>
      <c r="J897" s="3"/>
      <c r="K897" s="3"/>
      <c r="L897" s="3"/>
      <c r="M897" s="3"/>
      <c r="N897" s="3"/>
      <c r="O897" s="3"/>
      <c r="P897" s="3"/>
      <c r="Q897" s="3"/>
      <c r="R897" s="3"/>
      <c r="S897" s="3"/>
      <c r="T897" s="3"/>
      <c r="U897" s="3"/>
      <c r="V897" s="3"/>
      <c r="W897" s="3"/>
      <c r="X897" s="3"/>
      <c r="Z897" s="3"/>
      <c r="AA897" s="3"/>
      <c r="AB897" s="3"/>
      <c r="AC897" s="3"/>
      <c r="AD897" s="3"/>
    </row>
    <row r="898" spans="1:30" ht="14">
      <c r="A898" s="3"/>
      <c r="B898" s="3"/>
      <c r="C898" s="3"/>
      <c r="D898" s="3"/>
      <c r="E898" s="3"/>
      <c r="F898" s="3"/>
      <c r="G898" s="3"/>
      <c r="H898" s="3"/>
      <c r="I898" s="3"/>
      <c r="J898" s="3"/>
      <c r="K898" s="3"/>
      <c r="L898" s="3"/>
      <c r="M898" s="3"/>
      <c r="N898" s="3"/>
      <c r="O898" s="3"/>
      <c r="P898" s="3"/>
      <c r="Q898" s="3"/>
      <c r="R898" s="3"/>
      <c r="S898" s="3"/>
      <c r="T898" s="3"/>
      <c r="U898" s="3"/>
      <c r="V898" s="3"/>
      <c r="W898" s="3"/>
      <c r="X898" s="3"/>
      <c r="Z898" s="3"/>
      <c r="AA898" s="3"/>
      <c r="AB898" s="3"/>
      <c r="AC898" s="3"/>
      <c r="AD898" s="3"/>
    </row>
    <row r="899" spans="1:30" ht="14">
      <c r="A899" s="3"/>
      <c r="B899" s="3"/>
      <c r="C899" s="3"/>
      <c r="D899" s="3"/>
      <c r="E899" s="3"/>
      <c r="F899" s="3"/>
      <c r="G899" s="3"/>
      <c r="H899" s="3"/>
      <c r="I899" s="3"/>
      <c r="J899" s="3"/>
      <c r="K899" s="3"/>
      <c r="L899" s="3"/>
      <c r="M899" s="3"/>
      <c r="N899" s="3"/>
      <c r="O899" s="3"/>
      <c r="P899" s="3"/>
      <c r="Q899" s="3"/>
      <c r="R899" s="3"/>
      <c r="S899" s="3"/>
      <c r="T899" s="3"/>
      <c r="U899" s="3"/>
      <c r="V899" s="3"/>
      <c r="W899" s="3"/>
      <c r="X899" s="3"/>
      <c r="Z899" s="3"/>
      <c r="AA899" s="3"/>
      <c r="AB899" s="3"/>
      <c r="AC899" s="3"/>
      <c r="AD899" s="3"/>
    </row>
    <row r="900" spans="1:30" ht="14">
      <c r="A900" s="3"/>
      <c r="B900" s="3"/>
      <c r="C900" s="3"/>
      <c r="D900" s="3"/>
      <c r="E900" s="3"/>
      <c r="F900" s="3"/>
      <c r="G900" s="3"/>
      <c r="H900" s="3"/>
      <c r="I900" s="3"/>
      <c r="J900" s="3"/>
      <c r="K900" s="3"/>
      <c r="L900" s="3"/>
      <c r="M900" s="3"/>
      <c r="N900" s="3"/>
      <c r="O900" s="3"/>
      <c r="P900" s="3"/>
      <c r="Q900" s="3"/>
      <c r="R900" s="3"/>
      <c r="S900" s="3"/>
      <c r="T900" s="3"/>
      <c r="U900" s="3"/>
      <c r="V900" s="3"/>
      <c r="W900" s="3"/>
      <c r="X900" s="3"/>
      <c r="Z900" s="3"/>
      <c r="AA900" s="3"/>
      <c r="AB900" s="3"/>
      <c r="AC900" s="3"/>
      <c r="AD900" s="3"/>
    </row>
    <row r="901" spans="1:30" ht="14">
      <c r="A901" s="3"/>
      <c r="B901" s="3"/>
      <c r="C901" s="3"/>
      <c r="D901" s="3"/>
      <c r="E901" s="3"/>
      <c r="F901" s="3"/>
      <c r="G901" s="3"/>
      <c r="H901" s="3"/>
      <c r="I901" s="3"/>
      <c r="J901" s="3"/>
      <c r="K901" s="3"/>
      <c r="L901" s="3"/>
      <c r="M901" s="3"/>
      <c r="N901" s="3"/>
      <c r="O901" s="3"/>
      <c r="P901" s="3"/>
      <c r="Q901" s="3"/>
      <c r="R901" s="3"/>
      <c r="S901" s="3"/>
      <c r="T901" s="3"/>
      <c r="U901" s="3"/>
      <c r="V901" s="3"/>
      <c r="W901" s="3"/>
      <c r="X901" s="3"/>
      <c r="Z901" s="3"/>
      <c r="AA901" s="3"/>
      <c r="AB901" s="3"/>
      <c r="AC901" s="3"/>
      <c r="AD901" s="3"/>
    </row>
    <row r="902" spans="1:30" ht="14">
      <c r="A902" s="3"/>
      <c r="B902" s="3"/>
      <c r="C902" s="3"/>
      <c r="D902" s="3"/>
      <c r="E902" s="3"/>
      <c r="F902" s="3"/>
      <c r="G902" s="3"/>
      <c r="H902" s="3"/>
      <c r="I902" s="3"/>
      <c r="J902" s="3"/>
      <c r="K902" s="3"/>
      <c r="L902" s="3"/>
      <c r="M902" s="3"/>
      <c r="N902" s="3"/>
      <c r="O902" s="3"/>
      <c r="P902" s="3"/>
      <c r="Q902" s="3"/>
      <c r="R902" s="3"/>
      <c r="S902" s="3"/>
      <c r="T902" s="3"/>
      <c r="U902" s="3"/>
      <c r="V902" s="3"/>
      <c r="W902" s="3"/>
      <c r="X902" s="3"/>
      <c r="Z902" s="3"/>
      <c r="AA902" s="3"/>
      <c r="AB902" s="3"/>
      <c r="AC902" s="3"/>
      <c r="AD902" s="3"/>
    </row>
    <row r="903" spans="1:30" ht="14">
      <c r="A903" s="3"/>
      <c r="B903" s="3"/>
      <c r="C903" s="3"/>
      <c r="D903" s="3"/>
      <c r="E903" s="3"/>
      <c r="F903" s="3"/>
      <c r="G903" s="3"/>
      <c r="H903" s="3"/>
      <c r="I903" s="3"/>
      <c r="J903" s="3"/>
      <c r="K903" s="3"/>
      <c r="L903" s="3"/>
      <c r="M903" s="3"/>
      <c r="N903" s="3"/>
      <c r="O903" s="3"/>
      <c r="P903" s="3"/>
      <c r="Q903" s="3"/>
      <c r="R903" s="3"/>
      <c r="S903" s="3"/>
      <c r="T903" s="3"/>
      <c r="U903" s="3"/>
      <c r="V903" s="3"/>
      <c r="W903" s="3"/>
      <c r="X903" s="3"/>
      <c r="Z903" s="3"/>
      <c r="AA903" s="3"/>
      <c r="AB903" s="3"/>
      <c r="AC903" s="3"/>
      <c r="AD903" s="3"/>
    </row>
    <row r="904" spans="1:30" ht="14">
      <c r="A904" s="3"/>
      <c r="B904" s="3"/>
      <c r="C904" s="3"/>
      <c r="D904" s="3"/>
      <c r="E904" s="3"/>
      <c r="F904" s="3"/>
      <c r="G904" s="3"/>
      <c r="H904" s="3"/>
      <c r="I904" s="3"/>
      <c r="J904" s="3"/>
      <c r="K904" s="3"/>
      <c r="L904" s="3"/>
      <c r="M904" s="3"/>
      <c r="N904" s="3"/>
      <c r="O904" s="3"/>
      <c r="P904" s="3"/>
      <c r="Q904" s="3"/>
      <c r="R904" s="3"/>
      <c r="S904" s="3"/>
      <c r="T904" s="3"/>
      <c r="U904" s="3"/>
      <c r="V904" s="3"/>
      <c r="W904" s="3"/>
      <c r="X904" s="3"/>
      <c r="Z904" s="3"/>
      <c r="AA904" s="3"/>
      <c r="AB904" s="3"/>
      <c r="AC904" s="3"/>
      <c r="AD904" s="3"/>
    </row>
    <row r="905" spans="1:30" ht="14">
      <c r="A905" s="3"/>
      <c r="B905" s="3"/>
      <c r="C905" s="3"/>
      <c r="D905" s="3"/>
      <c r="E905" s="3"/>
      <c r="F905" s="3"/>
      <c r="G905" s="3"/>
      <c r="H905" s="3"/>
      <c r="I905" s="3"/>
      <c r="J905" s="3"/>
      <c r="K905" s="3"/>
      <c r="L905" s="3"/>
      <c r="M905" s="3"/>
      <c r="N905" s="3"/>
      <c r="O905" s="3"/>
      <c r="P905" s="3"/>
      <c r="Q905" s="3"/>
      <c r="R905" s="3"/>
      <c r="S905" s="3"/>
      <c r="T905" s="3"/>
      <c r="U905" s="3"/>
      <c r="V905" s="3"/>
      <c r="W905" s="3"/>
      <c r="X905" s="3"/>
      <c r="Z905" s="3"/>
      <c r="AA905" s="3"/>
      <c r="AB905" s="3"/>
      <c r="AC905" s="3"/>
      <c r="AD905" s="3"/>
    </row>
    <row r="906" spans="1:30" ht="14">
      <c r="A906" s="3"/>
      <c r="B906" s="3"/>
      <c r="C906" s="3"/>
      <c r="D906" s="3"/>
      <c r="E906" s="3"/>
      <c r="F906" s="3"/>
      <c r="G906" s="3"/>
      <c r="H906" s="3"/>
      <c r="I906" s="3"/>
      <c r="J906" s="3"/>
      <c r="K906" s="3"/>
      <c r="L906" s="3"/>
      <c r="M906" s="3"/>
      <c r="N906" s="3"/>
      <c r="O906" s="3"/>
      <c r="P906" s="3"/>
      <c r="Q906" s="3"/>
      <c r="R906" s="3"/>
      <c r="S906" s="3"/>
      <c r="T906" s="3"/>
      <c r="U906" s="3"/>
      <c r="V906" s="3"/>
      <c r="W906" s="3"/>
      <c r="X906" s="3"/>
      <c r="Z906" s="3"/>
      <c r="AA906" s="3"/>
      <c r="AB906" s="3"/>
      <c r="AC906" s="3"/>
      <c r="AD906" s="3"/>
    </row>
    <row r="907" spans="1:30" ht="14">
      <c r="A907" s="3"/>
      <c r="B907" s="3"/>
      <c r="C907" s="3"/>
      <c r="D907" s="3"/>
      <c r="E907" s="3"/>
      <c r="F907" s="3"/>
      <c r="G907" s="3"/>
      <c r="H907" s="3"/>
      <c r="I907" s="3"/>
      <c r="J907" s="3"/>
      <c r="K907" s="3"/>
      <c r="L907" s="3"/>
      <c r="M907" s="3"/>
      <c r="N907" s="3"/>
      <c r="O907" s="3"/>
      <c r="P907" s="3"/>
      <c r="Q907" s="3"/>
      <c r="R907" s="3"/>
      <c r="S907" s="3"/>
      <c r="T907" s="3"/>
      <c r="U907" s="3"/>
      <c r="V907" s="3"/>
      <c r="W907" s="3"/>
      <c r="X907" s="3"/>
      <c r="Z907" s="3"/>
      <c r="AA907" s="3"/>
      <c r="AB907" s="3"/>
      <c r="AC907" s="3"/>
      <c r="AD907" s="3"/>
    </row>
    <row r="908" spans="1:30" ht="14">
      <c r="A908" s="3"/>
      <c r="B908" s="3"/>
      <c r="C908" s="3"/>
      <c r="D908" s="3"/>
      <c r="E908" s="3"/>
      <c r="F908" s="3"/>
      <c r="G908" s="3"/>
      <c r="H908" s="3"/>
      <c r="I908" s="3"/>
      <c r="J908" s="3"/>
      <c r="K908" s="3"/>
      <c r="L908" s="3"/>
      <c r="M908" s="3"/>
      <c r="N908" s="3"/>
      <c r="O908" s="3"/>
      <c r="P908" s="3"/>
      <c r="Q908" s="3"/>
      <c r="R908" s="3"/>
      <c r="S908" s="3"/>
      <c r="T908" s="3"/>
      <c r="U908" s="3"/>
      <c r="V908" s="3"/>
      <c r="W908" s="3"/>
      <c r="X908" s="3"/>
      <c r="Z908" s="3"/>
      <c r="AA908" s="3"/>
      <c r="AB908" s="3"/>
      <c r="AC908" s="3"/>
      <c r="AD908" s="3"/>
    </row>
    <row r="909" spans="1:30" ht="14">
      <c r="A909" s="3"/>
      <c r="B909" s="3"/>
      <c r="C909" s="3"/>
      <c r="D909" s="3"/>
      <c r="E909" s="3"/>
      <c r="F909" s="3"/>
      <c r="G909" s="3"/>
      <c r="H909" s="3"/>
      <c r="I909" s="3"/>
      <c r="J909" s="3"/>
      <c r="K909" s="3"/>
      <c r="L909" s="3"/>
      <c r="M909" s="3"/>
      <c r="N909" s="3"/>
      <c r="O909" s="3"/>
      <c r="P909" s="3"/>
      <c r="Q909" s="3"/>
      <c r="R909" s="3"/>
      <c r="S909" s="3"/>
      <c r="T909" s="3"/>
      <c r="U909" s="3"/>
      <c r="V909" s="3"/>
      <c r="W909" s="3"/>
      <c r="X909" s="3"/>
      <c r="Z909" s="3"/>
      <c r="AA909" s="3"/>
      <c r="AB909" s="3"/>
      <c r="AC909" s="3"/>
      <c r="AD909" s="3"/>
    </row>
    <row r="910" spans="1:30" ht="14">
      <c r="A910" s="3"/>
      <c r="B910" s="3"/>
      <c r="C910" s="3"/>
      <c r="D910" s="3"/>
      <c r="E910" s="3"/>
      <c r="F910" s="3"/>
      <c r="G910" s="3"/>
      <c r="H910" s="3"/>
      <c r="I910" s="3"/>
      <c r="J910" s="3"/>
      <c r="K910" s="3"/>
      <c r="L910" s="3"/>
      <c r="M910" s="3"/>
      <c r="N910" s="3"/>
      <c r="O910" s="3"/>
      <c r="P910" s="3"/>
      <c r="Q910" s="3"/>
      <c r="R910" s="3"/>
      <c r="S910" s="3"/>
      <c r="T910" s="3"/>
      <c r="U910" s="3"/>
      <c r="V910" s="3"/>
      <c r="W910" s="3"/>
      <c r="X910" s="3"/>
      <c r="Z910" s="3"/>
      <c r="AA910" s="3"/>
      <c r="AB910" s="3"/>
      <c r="AC910" s="3"/>
      <c r="AD910" s="3"/>
    </row>
    <row r="911" spans="1:30" ht="14">
      <c r="A911" s="3"/>
      <c r="B911" s="3"/>
      <c r="C911" s="3"/>
      <c r="D911" s="3"/>
      <c r="E911" s="3"/>
      <c r="F911" s="3"/>
      <c r="G911" s="3"/>
      <c r="H911" s="3"/>
      <c r="I911" s="3"/>
      <c r="J911" s="3"/>
      <c r="K911" s="3"/>
      <c r="L911" s="3"/>
      <c r="M911" s="3"/>
      <c r="N911" s="3"/>
      <c r="O911" s="3"/>
      <c r="P911" s="3"/>
      <c r="Q911" s="3"/>
      <c r="R911" s="3"/>
      <c r="S911" s="3"/>
      <c r="T911" s="3"/>
      <c r="U911" s="3"/>
      <c r="V911" s="3"/>
      <c r="W911" s="3"/>
      <c r="X911" s="3"/>
      <c r="Z911" s="3"/>
      <c r="AA911" s="3"/>
      <c r="AB911" s="3"/>
      <c r="AC911" s="3"/>
      <c r="AD911" s="3"/>
    </row>
    <row r="912" spans="1:30" ht="14">
      <c r="A912" s="3"/>
      <c r="B912" s="3"/>
      <c r="C912" s="3"/>
      <c r="D912" s="3"/>
      <c r="E912" s="3"/>
      <c r="F912" s="3"/>
      <c r="G912" s="3"/>
      <c r="H912" s="3"/>
      <c r="I912" s="3"/>
      <c r="J912" s="3"/>
      <c r="K912" s="3"/>
      <c r="L912" s="3"/>
      <c r="M912" s="3"/>
      <c r="N912" s="3"/>
      <c r="O912" s="3"/>
      <c r="P912" s="3"/>
      <c r="Q912" s="3"/>
      <c r="R912" s="3"/>
      <c r="S912" s="3"/>
      <c r="T912" s="3"/>
      <c r="U912" s="3"/>
      <c r="V912" s="3"/>
      <c r="W912" s="3"/>
      <c r="X912" s="3"/>
      <c r="Z912" s="3"/>
      <c r="AA912" s="3"/>
      <c r="AB912" s="3"/>
      <c r="AC912" s="3"/>
      <c r="AD912" s="3"/>
    </row>
    <row r="913" spans="1:30" ht="14">
      <c r="A913" s="3"/>
      <c r="B913" s="3"/>
      <c r="C913" s="3"/>
      <c r="D913" s="3"/>
      <c r="E913" s="3"/>
      <c r="F913" s="3"/>
      <c r="G913" s="3"/>
      <c r="H913" s="3"/>
      <c r="I913" s="3"/>
      <c r="J913" s="3"/>
      <c r="K913" s="3"/>
      <c r="L913" s="3"/>
      <c r="M913" s="3"/>
      <c r="N913" s="3"/>
      <c r="O913" s="3"/>
      <c r="P913" s="3"/>
      <c r="Q913" s="3"/>
      <c r="R913" s="3"/>
      <c r="S913" s="3"/>
      <c r="T913" s="3"/>
      <c r="U913" s="3"/>
      <c r="V913" s="3"/>
      <c r="W913" s="3"/>
      <c r="X913" s="3"/>
      <c r="Z913" s="3"/>
      <c r="AA913" s="3"/>
      <c r="AB913" s="3"/>
      <c r="AC913" s="3"/>
      <c r="AD913" s="3"/>
    </row>
    <row r="914" spans="1:30" ht="14">
      <c r="A914" s="3"/>
      <c r="B914" s="3"/>
      <c r="C914" s="3"/>
      <c r="D914" s="3"/>
      <c r="E914" s="3"/>
      <c r="F914" s="3"/>
      <c r="G914" s="3"/>
      <c r="H914" s="3"/>
      <c r="I914" s="3"/>
      <c r="J914" s="3"/>
      <c r="K914" s="3"/>
      <c r="L914" s="3"/>
      <c r="M914" s="3"/>
      <c r="N914" s="3"/>
      <c r="O914" s="3"/>
      <c r="P914" s="3"/>
      <c r="Q914" s="3"/>
      <c r="R914" s="3"/>
      <c r="S914" s="3"/>
      <c r="T914" s="3"/>
      <c r="U914" s="3"/>
      <c r="V914" s="3"/>
      <c r="W914" s="3"/>
      <c r="X914" s="3"/>
      <c r="Z914" s="3"/>
      <c r="AA914" s="3"/>
      <c r="AB914" s="3"/>
      <c r="AC914" s="3"/>
      <c r="AD914" s="3"/>
    </row>
    <row r="915" spans="1:30" ht="14">
      <c r="A915" s="3"/>
      <c r="B915" s="3"/>
      <c r="C915" s="3"/>
      <c r="D915" s="3"/>
      <c r="E915" s="3"/>
      <c r="F915" s="3"/>
      <c r="G915" s="3"/>
      <c r="H915" s="3"/>
      <c r="I915" s="3"/>
      <c r="J915" s="3"/>
      <c r="K915" s="3"/>
      <c r="L915" s="3"/>
      <c r="M915" s="3"/>
      <c r="N915" s="3"/>
      <c r="O915" s="3"/>
      <c r="P915" s="3"/>
      <c r="Q915" s="3"/>
      <c r="R915" s="3"/>
      <c r="S915" s="3"/>
      <c r="T915" s="3"/>
      <c r="U915" s="3"/>
      <c r="V915" s="3"/>
      <c r="W915" s="3"/>
      <c r="X915" s="3"/>
      <c r="Z915" s="3"/>
      <c r="AA915" s="3"/>
      <c r="AB915" s="3"/>
      <c r="AC915" s="3"/>
      <c r="AD915" s="3"/>
    </row>
    <row r="916" spans="1:30" ht="14">
      <c r="A916" s="3"/>
      <c r="B916" s="3"/>
      <c r="C916" s="3"/>
      <c r="D916" s="3"/>
      <c r="E916" s="3"/>
      <c r="F916" s="3"/>
      <c r="G916" s="3"/>
      <c r="H916" s="3"/>
      <c r="I916" s="3"/>
      <c r="J916" s="3"/>
      <c r="K916" s="3"/>
      <c r="L916" s="3"/>
      <c r="M916" s="3"/>
      <c r="N916" s="3"/>
      <c r="O916" s="3"/>
      <c r="P916" s="3"/>
      <c r="Q916" s="3"/>
      <c r="R916" s="3"/>
      <c r="S916" s="3"/>
      <c r="T916" s="3"/>
      <c r="U916" s="3"/>
      <c r="V916" s="3"/>
      <c r="W916" s="3"/>
      <c r="X916" s="3"/>
      <c r="Z916" s="3"/>
      <c r="AA916" s="3"/>
      <c r="AB916" s="3"/>
      <c r="AC916" s="3"/>
      <c r="AD916" s="3"/>
    </row>
    <row r="917" spans="1:30" ht="14">
      <c r="A917" s="3"/>
      <c r="B917" s="3"/>
      <c r="C917" s="3"/>
      <c r="D917" s="3"/>
      <c r="E917" s="3"/>
      <c r="F917" s="3"/>
      <c r="G917" s="3"/>
      <c r="H917" s="3"/>
      <c r="I917" s="3"/>
      <c r="J917" s="3"/>
      <c r="K917" s="3"/>
      <c r="L917" s="3"/>
      <c r="M917" s="3"/>
      <c r="N917" s="3"/>
      <c r="O917" s="3"/>
      <c r="P917" s="3"/>
      <c r="Q917" s="3"/>
      <c r="R917" s="3"/>
      <c r="S917" s="3"/>
      <c r="T917" s="3"/>
      <c r="U917" s="3"/>
      <c r="V917" s="3"/>
      <c r="W917" s="3"/>
      <c r="X917" s="3"/>
      <c r="Z917" s="3"/>
      <c r="AA917" s="3"/>
      <c r="AB917" s="3"/>
      <c r="AC917" s="3"/>
      <c r="AD917" s="3"/>
    </row>
    <row r="918" spans="1:30" ht="14">
      <c r="A918" s="3"/>
      <c r="B918" s="3"/>
      <c r="C918" s="3"/>
      <c r="D918" s="3"/>
      <c r="E918" s="3"/>
      <c r="F918" s="3"/>
      <c r="G918" s="3"/>
      <c r="H918" s="3"/>
      <c r="I918" s="3"/>
      <c r="J918" s="3"/>
      <c r="K918" s="3"/>
      <c r="L918" s="3"/>
      <c r="M918" s="3"/>
      <c r="N918" s="3"/>
      <c r="O918" s="3"/>
      <c r="P918" s="3"/>
      <c r="Q918" s="3"/>
      <c r="R918" s="3"/>
      <c r="S918" s="3"/>
      <c r="T918" s="3"/>
      <c r="U918" s="3"/>
      <c r="V918" s="3"/>
      <c r="W918" s="3"/>
      <c r="X918" s="3"/>
      <c r="Z918" s="3"/>
      <c r="AA918" s="3"/>
      <c r="AB918" s="3"/>
      <c r="AC918" s="3"/>
      <c r="AD918" s="3"/>
    </row>
    <row r="919" spans="1:30" ht="14">
      <c r="A919" s="3"/>
      <c r="B919" s="3"/>
      <c r="C919" s="3"/>
      <c r="D919" s="3"/>
      <c r="E919" s="3"/>
      <c r="F919" s="3"/>
      <c r="G919" s="3"/>
      <c r="H919" s="3"/>
      <c r="I919" s="3"/>
      <c r="J919" s="3"/>
      <c r="K919" s="3"/>
      <c r="L919" s="3"/>
      <c r="M919" s="3"/>
      <c r="N919" s="3"/>
      <c r="O919" s="3"/>
      <c r="P919" s="3"/>
      <c r="Q919" s="3"/>
      <c r="R919" s="3"/>
      <c r="S919" s="3"/>
      <c r="T919" s="3"/>
      <c r="U919" s="3"/>
      <c r="V919" s="3"/>
      <c r="W919" s="3"/>
      <c r="X919" s="3"/>
      <c r="Z919" s="3"/>
      <c r="AA919" s="3"/>
      <c r="AB919" s="3"/>
      <c r="AC919" s="3"/>
      <c r="AD919" s="3"/>
    </row>
    <row r="920" spans="1:30" ht="14">
      <c r="A920" s="3"/>
      <c r="B920" s="3"/>
      <c r="C920" s="3"/>
      <c r="D920" s="3"/>
      <c r="E920" s="3"/>
      <c r="F920" s="3"/>
      <c r="G920" s="3"/>
      <c r="H920" s="3"/>
      <c r="I920" s="3"/>
      <c r="J920" s="3"/>
      <c r="K920" s="3"/>
      <c r="L920" s="3"/>
      <c r="M920" s="3"/>
      <c r="N920" s="3"/>
      <c r="O920" s="3"/>
      <c r="P920" s="3"/>
      <c r="Q920" s="3"/>
      <c r="R920" s="3"/>
      <c r="S920" s="3"/>
      <c r="T920" s="3"/>
      <c r="U920" s="3"/>
      <c r="V920" s="3"/>
      <c r="W920" s="3"/>
      <c r="X920" s="3"/>
      <c r="Z920" s="3"/>
      <c r="AA920" s="3"/>
      <c r="AB920" s="3"/>
      <c r="AC920" s="3"/>
      <c r="AD920" s="3"/>
    </row>
    <row r="921" spans="1:30" ht="14">
      <c r="A921" s="3"/>
      <c r="B921" s="3"/>
      <c r="C921" s="3"/>
      <c r="D921" s="3"/>
      <c r="E921" s="3"/>
      <c r="F921" s="3"/>
      <c r="G921" s="3"/>
      <c r="H921" s="3"/>
      <c r="I921" s="3"/>
      <c r="J921" s="3"/>
      <c r="K921" s="3"/>
      <c r="L921" s="3"/>
      <c r="M921" s="3"/>
      <c r="N921" s="3"/>
      <c r="O921" s="3"/>
      <c r="P921" s="3"/>
      <c r="Q921" s="3"/>
      <c r="R921" s="3"/>
      <c r="S921" s="3"/>
      <c r="T921" s="3"/>
      <c r="U921" s="3"/>
      <c r="V921" s="3"/>
      <c r="W921" s="3"/>
      <c r="X921" s="3"/>
      <c r="Z921" s="3"/>
      <c r="AA921" s="3"/>
      <c r="AB921" s="3"/>
      <c r="AC921" s="3"/>
      <c r="AD921" s="3"/>
    </row>
    <row r="922" spans="1:30" ht="14">
      <c r="A922" s="3"/>
      <c r="B922" s="3"/>
      <c r="C922" s="3"/>
      <c r="D922" s="3"/>
      <c r="E922" s="3"/>
      <c r="F922" s="3"/>
      <c r="G922" s="3"/>
      <c r="H922" s="3"/>
      <c r="I922" s="3"/>
      <c r="J922" s="3"/>
      <c r="K922" s="3"/>
      <c r="L922" s="3"/>
      <c r="M922" s="3"/>
      <c r="N922" s="3"/>
      <c r="O922" s="3"/>
      <c r="P922" s="3"/>
      <c r="Q922" s="3"/>
      <c r="R922" s="3"/>
      <c r="S922" s="3"/>
      <c r="T922" s="3"/>
      <c r="U922" s="3"/>
      <c r="V922" s="3"/>
      <c r="W922" s="3"/>
      <c r="X922" s="3"/>
      <c r="Z922" s="3"/>
      <c r="AA922" s="3"/>
      <c r="AB922" s="3"/>
      <c r="AC922" s="3"/>
      <c r="AD922" s="3"/>
    </row>
    <row r="923" spans="1:30" ht="14">
      <c r="A923" s="3"/>
      <c r="B923" s="3"/>
      <c r="C923" s="3"/>
      <c r="D923" s="3"/>
      <c r="E923" s="3"/>
      <c r="F923" s="3"/>
      <c r="G923" s="3"/>
      <c r="H923" s="3"/>
      <c r="I923" s="3"/>
      <c r="J923" s="3"/>
      <c r="K923" s="3"/>
      <c r="L923" s="3"/>
      <c r="M923" s="3"/>
      <c r="N923" s="3"/>
      <c r="O923" s="3"/>
      <c r="P923" s="3"/>
      <c r="Q923" s="3"/>
      <c r="R923" s="3"/>
      <c r="S923" s="3"/>
      <c r="T923" s="3"/>
      <c r="U923" s="3"/>
      <c r="V923" s="3"/>
      <c r="W923" s="3"/>
      <c r="X923" s="3"/>
      <c r="Z923" s="3"/>
      <c r="AA923" s="3"/>
      <c r="AB923" s="3"/>
      <c r="AC923" s="3"/>
      <c r="AD923" s="3"/>
    </row>
    <row r="924" spans="1:30" ht="14">
      <c r="A924" s="3"/>
      <c r="B924" s="3"/>
      <c r="C924" s="3"/>
      <c r="D924" s="3"/>
      <c r="E924" s="3"/>
      <c r="F924" s="3"/>
      <c r="G924" s="3"/>
      <c r="H924" s="3"/>
      <c r="I924" s="3"/>
      <c r="J924" s="3"/>
      <c r="K924" s="3"/>
      <c r="L924" s="3"/>
      <c r="M924" s="3"/>
      <c r="N924" s="3"/>
      <c r="O924" s="3"/>
      <c r="P924" s="3"/>
      <c r="Q924" s="3"/>
      <c r="R924" s="3"/>
      <c r="S924" s="3"/>
      <c r="T924" s="3"/>
      <c r="U924" s="3"/>
      <c r="V924" s="3"/>
      <c r="W924" s="3"/>
      <c r="X924" s="3"/>
      <c r="Z924" s="3"/>
      <c r="AA924" s="3"/>
      <c r="AB924" s="3"/>
      <c r="AC924" s="3"/>
      <c r="AD924" s="3"/>
    </row>
    <row r="925" spans="1:30" ht="14">
      <c r="A925" s="3"/>
      <c r="B925" s="3"/>
      <c r="C925" s="3"/>
      <c r="D925" s="3"/>
      <c r="E925" s="3"/>
      <c r="F925" s="3"/>
      <c r="G925" s="3"/>
      <c r="H925" s="3"/>
      <c r="I925" s="3"/>
      <c r="J925" s="3"/>
      <c r="K925" s="3"/>
      <c r="L925" s="3"/>
      <c r="M925" s="3"/>
      <c r="N925" s="3"/>
      <c r="O925" s="3"/>
      <c r="P925" s="3"/>
      <c r="Q925" s="3"/>
      <c r="R925" s="3"/>
      <c r="S925" s="3"/>
      <c r="T925" s="3"/>
      <c r="U925" s="3"/>
      <c r="V925" s="3"/>
      <c r="W925" s="3"/>
      <c r="X925" s="3"/>
      <c r="Z925" s="3"/>
      <c r="AA925" s="3"/>
      <c r="AB925" s="3"/>
      <c r="AC925" s="3"/>
      <c r="AD925" s="3"/>
    </row>
    <row r="926" spans="1:30" ht="14">
      <c r="A926" s="3"/>
      <c r="B926" s="3"/>
      <c r="C926" s="3"/>
      <c r="D926" s="3"/>
      <c r="E926" s="3"/>
      <c r="F926" s="3"/>
      <c r="G926" s="3"/>
      <c r="H926" s="3"/>
      <c r="I926" s="3"/>
      <c r="J926" s="3"/>
      <c r="K926" s="3"/>
      <c r="L926" s="3"/>
      <c r="M926" s="3"/>
      <c r="N926" s="3"/>
      <c r="O926" s="3"/>
      <c r="P926" s="3"/>
      <c r="Q926" s="3"/>
      <c r="R926" s="3"/>
      <c r="S926" s="3"/>
      <c r="T926" s="3"/>
      <c r="U926" s="3"/>
      <c r="V926" s="3"/>
      <c r="W926" s="3"/>
      <c r="X926" s="3"/>
      <c r="Z926" s="3"/>
      <c r="AA926" s="3"/>
      <c r="AB926" s="3"/>
      <c r="AC926" s="3"/>
      <c r="AD926" s="3"/>
    </row>
    <row r="927" spans="1:30" ht="14">
      <c r="A927" s="3"/>
      <c r="B927" s="3"/>
      <c r="C927" s="3"/>
      <c r="D927" s="3"/>
      <c r="E927" s="3"/>
      <c r="F927" s="3"/>
      <c r="G927" s="3"/>
      <c r="H927" s="3"/>
      <c r="I927" s="3"/>
      <c r="J927" s="3"/>
      <c r="K927" s="3"/>
      <c r="L927" s="3"/>
      <c r="M927" s="3"/>
      <c r="N927" s="3"/>
      <c r="O927" s="3"/>
      <c r="P927" s="3"/>
      <c r="Q927" s="3"/>
      <c r="R927" s="3"/>
      <c r="S927" s="3"/>
      <c r="T927" s="3"/>
      <c r="U927" s="3"/>
      <c r="V927" s="3"/>
      <c r="W927" s="3"/>
      <c r="X927" s="3"/>
      <c r="Z927" s="3"/>
      <c r="AA927" s="3"/>
      <c r="AB927" s="3"/>
      <c r="AC927" s="3"/>
      <c r="AD927" s="3"/>
    </row>
    <row r="928" spans="1:30" ht="14">
      <c r="A928" s="3"/>
      <c r="B928" s="3"/>
      <c r="C928" s="3"/>
      <c r="D928" s="3"/>
      <c r="E928" s="3"/>
      <c r="F928" s="3"/>
      <c r="G928" s="3"/>
      <c r="H928" s="3"/>
      <c r="I928" s="3"/>
      <c r="J928" s="3"/>
      <c r="K928" s="3"/>
      <c r="L928" s="3"/>
      <c r="M928" s="3"/>
      <c r="N928" s="3"/>
      <c r="O928" s="3"/>
      <c r="P928" s="3"/>
      <c r="Q928" s="3"/>
      <c r="R928" s="3"/>
      <c r="S928" s="3"/>
      <c r="T928" s="3"/>
      <c r="U928" s="3"/>
      <c r="V928" s="3"/>
      <c r="W928" s="3"/>
      <c r="X928" s="3"/>
      <c r="Z928" s="3"/>
      <c r="AA928" s="3"/>
      <c r="AB928" s="3"/>
      <c r="AC928" s="3"/>
      <c r="AD928" s="3"/>
    </row>
    <row r="929" spans="1:30" ht="14">
      <c r="A929" s="3"/>
      <c r="B929" s="3"/>
      <c r="C929" s="3"/>
      <c r="D929" s="3"/>
      <c r="E929" s="3"/>
      <c r="F929" s="3"/>
      <c r="G929" s="3"/>
      <c r="H929" s="3"/>
      <c r="I929" s="3"/>
      <c r="J929" s="3"/>
      <c r="K929" s="3"/>
      <c r="L929" s="3"/>
      <c r="M929" s="3"/>
      <c r="N929" s="3"/>
      <c r="O929" s="3"/>
      <c r="P929" s="3"/>
      <c r="Q929" s="3"/>
      <c r="R929" s="3"/>
      <c r="S929" s="3"/>
      <c r="T929" s="3"/>
      <c r="U929" s="3"/>
      <c r="V929" s="3"/>
      <c r="W929" s="3"/>
      <c r="X929" s="3"/>
      <c r="Z929" s="3"/>
      <c r="AA929" s="3"/>
      <c r="AB929" s="3"/>
      <c r="AC929" s="3"/>
      <c r="AD929" s="3"/>
    </row>
    <row r="930" spans="1:30" ht="14">
      <c r="A930" s="3"/>
      <c r="B930" s="3"/>
      <c r="C930" s="3"/>
      <c r="D930" s="3"/>
      <c r="E930" s="3"/>
      <c r="F930" s="3"/>
      <c r="G930" s="3"/>
      <c r="H930" s="3"/>
      <c r="I930" s="3"/>
      <c r="J930" s="3"/>
      <c r="K930" s="3"/>
      <c r="L930" s="3"/>
      <c r="M930" s="3"/>
      <c r="N930" s="3"/>
      <c r="O930" s="3"/>
      <c r="P930" s="3"/>
      <c r="Q930" s="3"/>
      <c r="R930" s="3"/>
      <c r="S930" s="3"/>
      <c r="T930" s="3"/>
      <c r="U930" s="3"/>
      <c r="V930" s="3"/>
      <c r="W930" s="3"/>
      <c r="X930" s="3"/>
      <c r="Z930" s="3"/>
      <c r="AA930" s="3"/>
      <c r="AB930" s="3"/>
      <c r="AC930" s="3"/>
      <c r="AD930" s="3"/>
    </row>
    <row r="931" spans="1:30" ht="14">
      <c r="A931" s="3"/>
      <c r="B931" s="3"/>
      <c r="C931" s="3"/>
      <c r="D931" s="3"/>
      <c r="E931" s="3"/>
      <c r="F931" s="3"/>
      <c r="G931" s="3"/>
      <c r="H931" s="3"/>
      <c r="I931" s="3"/>
      <c r="J931" s="3"/>
      <c r="K931" s="3"/>
      <c r="L931" s="3"/>
      <c r="M931" s="3"/>
      <c r="N931" s="3"/>
      <c r="O931" s="3"/>
      <c r="P931" s="3"/>
      <c r="Q931" s="3"/>
      <c r="R931" s="3"/>
      <c r="S931" s="3"/>
      <c r="T931" s="3"/>
      <c r="U931" s="3"/>
      <c r="V931" s="3"/>
      <c r="W931" s="3"/>
      <c r="X931" s="3"/>
      <c r="Z931" s="3"/>
      <c r="AA931" s="3"/>
      <c r="AB931" s="3"/>
      <c r="AC931" s="3"/>
      <c r="AD931" s="3"/>
    </row>
    <row r="932" spans="1:30" ht="14">
      <c r="A932" s="3"/>
      <c r="B932" s="3"/>
      <c r="C932" s="3"/>
      <c r="D932" s="3"/>
      <c r="E932" s="3"/>
      <c r="F932" s="3"/>
      <c r="G932" s="3"/>
      <c r="H932" s="3"/>
      <c r="I932" s="3"/>
      <c r="J932" s="3"/>
      <c r="K932" s="3"/>
      <c r="L932" s="3"/>
      <c r="M932" s="3"/>
      <c r="N932" s="3"/>
      <c r="O932" s="3"/>
      <c r="P932" s="3"/>
      <c r="Q932" s="3"/>
      <c r="R932" s="3"/>
      <c r="S932" s="3"/>
      <c r="T932" s="3"/>
      <c r="U932" s="3"/>
      <c r="V932" s="3"/>
      <c r="W932" s="3"/>
      <c r="X932" s="3"/>
      <c r="Z932" s="3"/>
      <c r="AA932" s="3"/>
      <c r="AB932" s="3"/>
      <c r="AC932" s="3"/>
      <c r="AD932" s="3"/>
    </row>
    <row r="933" spans="1:30" ht="14">
      <c r="A933" s="3"/>
      <c r="B933" s="3"/>
      <c r="C933" s="3"/>
      <c r="D933" s="3"/>
      <c r="E933" s="3"/>
      <c r="F933" s="3"/>
      <c r="G933" s="3"/>
      <c r="H933" s="3"/>
      <c r="I933" s="3"/>
      <c r="J933" s="3"/>
      <c r="K933" s="3"/>
      <c r="L933" s="3"/>
      <c r="M933" s="3"/>
      <c r="N933" s="3"/>
      <c r="O933" s="3"/>
      <c r="P933" s="3"/>
      <c r="Q933" s="3"/>
      <c r="R933" s="3"/>
      <c r="S933" s="3"/>
      <c r="T933" s="3"/>
      <c r="U933" s="3"/>
      <c r="V933" s="3"/>
      <c r="W933" s="3"/>
      <c r="X933" s="3"/>
      <c r="Z933" s="3"/>
      <c r="AA933" s="3"/>
      <c r="AB933" s="3"/>
      <c r="AC933" s="3"/>
      <c r="AD933" s="3"/>
    </row>
    <row r="934" spans="1:30" ht="14">
      <c r="A934" s="3"/>
      <c r="B934" s="3"/>
      <c r="C934" s="3"/>
      <c r="D934" s="3"/>
      <c r="E934" s="3"/>
      <c r="F934" s="3"/>
      <c r="G934" s="3"/>
      <c r="H934" s="3"/>
      <c r="I934" s="3"/>
      <c r="J934" s="3"/>
      <c r="K934" s="3"/>
      <c r="L934" s="3"/>
      <c r="M934" s="3"/>
      <c r="N934" s="3"/>
      <c r="O934" s="3"/>
      <c r="P934" s="3"/>
      <c r="Q934" s="3"/>
      <c r="R934" s="3"/>
      <c r="S934" s="3"/>
      <c r="T934" s="3"/>
      <c r="U934" s="3"/>
      <c r="V934" s="3"/>
      <c r="W934" s="3"/>
      <c r="X934" s="3"/>
      <c r="Z934" s="3"/>
      <c r="AA934" s="3"/>
      <c r="AB934" s="3"/>
      <c r="AC934" s="3"/>
      <c r="AD934" s="3"/>
    </row>
    <row r="935" spans="1:30" ht="14">
      <c r="A935" s="3"/>
      <c r="B935" s="3"/>
      <c r="C935" s="3"/>
      <c r="D935" s="3"/>
      <c r="E935" s="3"/>
      <c r="F935" s="3"/>
      <c r="G935" s="3"/>
      <c r="H935" s="3"/>
      <c r="I935" s="3"/>
      <c r="J935" s="3"/>
      <c r="K935" s="3"/>
      <c r="L935" s="3"/>
      <c r="M935" s="3"/>
      <c r="N935" s="3"/>
      <c r="O935" s="3"/>
      <c r="P935" s="3"/>
      <c r="Q935" s="3"/>
      <c r="R935" s="3"/>
      <c r="S935" s="3"/>
      <c r="T935" s="3"/>
      <c r="U935" s="3"/>
      <c r="V935" s="3"/>
      <c r="W935" s="3"/>
      <c r="X935" s="3"/>
      <c r="Z935" s="3"/>
      <c r="AA935" s="3"/>
      <c r="AB935" s="3"/>
      <c r="AC935" s="3"/>
      <c r="AD935" s="3"/>
    </row>
    <row r="936" spans="1:30" ht="14">
      <c r="A936" s="3"/>
      <c r="B936" s="3"/>
      <c r="C936" s="3"/>
      <c r="D936" s="3"/>
      <c r="E936" s="3"/>
      <c r="F936" s="3"/>
      <c r="G936" s="3"/>
      <c r="H936" s="3"/>
      <c r="I936" s="3"/>
      <c r="J936" s="3"/>
      <c r="K936" s="3"/>
      <c r="L936" s="3"/>
      <c r="M936" s="3"/>
      <c r="N936" s="3"/>
      <c r="O936" s="3"/>
      <c r="P936" s="3"/>
      <c r="Q936" s="3"/>
      <c r="R936" s="3"/>
      <c r="S936" s="3"/>
      <c r="T936" s="3"/>
      <c r="U936" s="3"/>
      <c r="V936" s="3"/>
      <c r="W936" s="3"/>
      <c r="X936" s="3"/>
      <c r="Z936" s="3"/>
      <c r="AA936" s="3"/>
      <c r="AB936" s="3"/>
      <c r="AC936" s="3"/>
      <c r="AD936" s="3"/>
    </row>
    <row r="937" spans="1:30" ht="14">
      <c r="A937" s="3"/>
      <c r="B937" s="3"/>
      <c r="C937" s="3"/>
      <c r="D937" s="3"/>
      <c r="E937" s="3"/>
      <c r="F937" s="3"/>
      <c r="G937" s="3"/>
      <c r="H937" s="3"/>
      <c r="I937" s="3"/>
      <c r="J937" s="3"/>
      <c r="K937" s="3"/>
      <c r="L937" s="3"/>
      <c r="M937" s="3"/>
      <c r="N937" s="3"/>
      <c r="O937" s="3"/>
      <c r="P937" s="3"/>
      <c r="Q937" s="3"/>
      <c r="R937" s="3"/>
      <c r="S937" s="3"/>
      <c r="T937" s="3"/>
      <c r="U937" s="3"/>
      <c r="V937" s="3"/>
      <c r="W937" s="3"/>
      <c r="X937" s="3"/>
      <c r="Z937" s="3"/>
      <c r="AA937" s="3"/>
      <c r="AB937" s="3"/>
      <c r="AC937" s="3"/>
      <c r="AD937" s="3"/>
    </row>
    <row r="938" spans="1:30" ht="14">
      <c r="A938" s="3"/>
      <c r="B938" s="3"/>
      <c r="C938" s="3"/>
      <c r="D938" s="3"/>
      <c r="E938" s="3"/>
      <c r="F938" s="3"/>
      <c r="G938" s="3"/>
      <c r="H938" s="3"/>
      <c r="I938" s="3"/>
      <c r="J938" s="3"/>
      <c r="K938" s="3"/>
      <c r="L938" s="3"/>
      <c r="M938" s="3"/>
      <c r="N938" s="3"/>
      <c r="O938" s="3"/>
      <c r="P938" s="3"/>
      <c r="Q938" s="3"/>
      <c r="R938" s="3"/>
      <c r="S938" s="3"/>
      <c r="T938" s="3"/>
      <c r="U938" s="3"/>
      <c r="V938" s="3"/>
      <c r="W938" s="3"/>
      <c r="X938" s="3"/>
      <c r="Z938" s="3"/>
      <c r="AA938" s="3"/>
      <c r="AB938" s="3"/>
      <c r="AC938" s="3"/>
      <c r="AD938" s="3"/>
    </row>
    <row r="939" spans="1:30" ht="14">
      <c r="A939" s="3"/>
      <c r="B939" s="3"/>
      <c r="C939" s="3"/>
      <c r="D939" s="3"/>
      <c r="E939" s="3"/>
      <c r="F939" s="3"/>
      <c r="G939" s="3"/>
      <c r="H939" s="3"/>
      <c r="I939" s="3"/>
      <c r="J939" s="3"/>
      <c r="K939" s="3"/>
      <c r="L939" s="3"/>
      <c r="M939" s="3"/>
      <c r="N939" s="3"/>
      <c r="O939" s="3"/>
      <c r="P939" s="3"/>
      <c r="Q939" s="3"/>
      <c r="R939" s="3"/>
      <c r="S939" s="3"/>
      <c r="T939" s="3"/>
      <c r="U939" s="3"/>
      <c r="V939" s="3"/>
      <c r="W939" s="3"/>
      <c r="X939" s="3"/>
      <c r="Z939" s="3"/>
      <c r="AA939" s="3"/>
      <c r="AB939" s="3"/>
      <c r="AC939" s="3"/>
      <c r="AD939" s="3"/>
    </row>
    <row r="940" spans="1:30" ht="14">
      <c r="A940" s="3"/>
      <c r="B940" s="3"/>
      <c r="C940" s="3"/>
      <c r="D940" s="3"/>
      <c r="E940" s="3"/>
      <c r="F940" s="3"/>
      <c r="G940" s="3"/>
      <c r="H940" s="3"/>
      <c r="I940" s="3"/>
      <c r="J940" s="3"/>
      <c r="K940" s="3"/>
      <c r="L940" s="3"/>
      <c r="M940" s="3"/>
      <c r="N940" s="3"/>
      <c r="O940" s="3"/>
      <c r="P940" s="3"/>
      <c r="Q940" s="3"/>
      <c r="R940" s="3"/>
      <c r="S940" s="3"/>
      <c r="T940" s="3"/>
      <c r="U940" s="3"/>
      <c r="V940" s="3"/>
      <c r="W940" s="3"/>
      <c r="X940" s="3"/>
      <c r="Z940" s="3"/>
      <c r="AA940" s="3"/>
      <c r="AB940" s="3"/>
      <c r="AC940" s="3"/>
      <c r="AD940" s="3"/>
    </row>
    <row r="941" spans="1:30" ht="14">
      <c r="A941" s="3"/>
      <c r="B941" s="3"/>
      <c r="C941" s="3"/>
      <c r="D941" s="3"/>
      <c r="E941" s="3"/>
      <c r="F941" s="3"/>
      <c r="G941" s="3"/>
      <c r="H941" s="3"/>
      <c r="I941" s="3"/>
      <c r="J941" s="3"/>
      <c r="K941" s="3"/>
      <c r="L941" s="3"/>
      <c r="M941" s="3"/>
      <c r="N941" s="3"/>
      <c r="O941" s="3"/>
      <c r="P941" s="3"/>
      <c r="Q941" s="3"/>
      <c r="R941" s="3"/>
      <c r="S941" s="3"/>
      <c r="T941" s="3"/>
      <c r="U941" s="3"/>
      <c r="V941" s="3"/>
      <c r="W941" s="3"/>
      <c r="X941" s="3"/>
      <c r="Z941" s="3"/>
      <c r="AA941" s="3"/>
      <c r="AB941" s="3"/>
      <c r="AC941" s="3"/>
      <c r="AD941" s="3"/>
    </row>
    <row r="942" spans="1:30" ht="14">
      <c r="A942" s="3"/>
      <c r="B942" s="3"/>
      <c r="C942" s="3"/>
      <c r="D942" s="3"/>
      <c r="E942" s="3"/>
      <c r="F942" s="3"/>
      <c r="G942" s="3"/>
      <c r="H942" s="3"/>
      <c r="I942" s="3"/>
      <c r="J942" s="3"/>
      <c r="K942" s="3"/>
      <c r="L942" s="3"/>
      <c r="M942" s="3"/>
      <c r="N942" s="3"/>
      <c r="O942" s="3"/>
      <c r="P942" s="3"/>
      <c r="Q942" s="3"/>
      <c r="R942" s="3"/>
      <c r="S942" s="3"/>
      <c r="T942" s="3"/>
      <c r="U942" s="3"/>
      <c r="V942" s="3"/>
      <c r="W942" s="3"/>
      <c r="X942" s="3"/>
      <c r="Z942" s="3"/>
      <c r="AA942" s="3"/>
      <c r="AB942" s="3"/>
      <c r="AC942" s="3"/>
      <c r="AD942" s="3"/>
    </row>
    <row r="943" spans="1:30" ht="14">
      <c r="A943" s="3"/>
      <c r="B943" s="3"/>
      <c r="C943" s="3"/>
      <c r="D943" s="3"/>
      <c r="E943" s="3"/>
      <c r="F943" s="3"/>
      <c r="G943" s="3"/>
      <c r="H943" s="3"/>
      <c r="I943" s="3"/>
      <c r="J943" s="3"/>
      <c r="K943" s="3"/>
      <c r="L943" s="3"/>
      <c r="M943" s="3"/>
      <c r="N943" s="3"/>
      <c r="O943" s="3"/>
      <c r="P943" s="3"/>
      <c r="Q943" s="3"/>
      <c r="R943" s="3"/>
      <c r="S943" s="3"/>
      <c r="T943" s="3"/>
      <c r="U943" s="3"/>
      <c r="V943" s="3"/>
      <c r="W943" s="3"/>
      <c r="X943" s="3"/>
      <c r="Z943" s="3"/>
      <c r="AA943" s="3"/>
      <c r="AB943" s="3"/>
      <c r="AC943" s="3"/>
      <c r="AD943" s="3"/>
    </row>
    <row r="944" spans="1:30" ht="14">
      <c r="A944" s="3"/>
      <c r="B944" s="3"/>
      <c r="C944" s="3"/>
      <c r="D944" s="3"/>
      <c r="E944" s="3"/>
      <c r="F944" s="3"/>
      <c r="G944" s="3"/>
      <c r="H944" s="3"/>
      <c r="I944" s="3"/>
      <c r="J944" s="3"/>
      <c r="K944" s="3"/>
      <c r="L944" s="3"/>
      <c r="M944" s="3"/>
      <c r="N944" s="3"/>
      <c r="O944" s="3"/>
      <c r="P944" s="3"/>
      <c r="Q944" s="3"/>
      <c r="R944" s="3"/>
      <c r="S944" s="3"/>
      <c r="T944" s="3"/>
      <c r="U944" s="3"/>
      <c r="V944" s="3"/>
      <c r="W944" s="3"/>
      <c r="X944" s="3"/>
      <c r="Z944" s="3"/>
      <c r="AA944" s="3"/>
      <c r="AB944" s="3"/>
      <c r="AC944" s="3"/>
      <c r="AD944" s="3"/>
    </row>
    <row r="945" spans="1:30" ht="14">
      <c r="A945" s="3"/>
      <c r="B945" s="3"/>
      <c r="C945" s="3"/>
      <c r="D945" s="3"/>
      <c r="E945" s="3"/>
      <c r="F945" s="3"/>
      <c r="G945" s="3"/>
      <c r="H945" s="3"/>
      <c r="I945" s="3"/>
      <c r="J945" s="3"/>
      <c r="K945" s="3"/>
      <c r="L945" s="3"/>
      <c r="M945" s="3"/>
      <c r="N945" s="3"/>
      <c r="O945" s="3"/>
      <c r="P945" s="3"/>
      <c r="Q945" s="3"/>
      <c r="R945" s="3"/>
      <c r="S945" s="3"/>
      <c r="T945" s="3"/>
      <c r="U945" s="3"/>
      <c r="V945" s="3"/>
      <c r="W945" s="3"/>
      <c r="X945" s="3"/>
      <c r="Z945" s="3"/>
      <c r="AA945" s="3"/>
      <c r="AB945" s="3"/>
      <c r="AC945" s="3"/>
      <c r="AD945" s="3"/>
    </row>
    <row r="946" spans="1:30" ht="14">
      <c r="A946" s="3"/>
      <c r="B946" s="3"/>
      <c r="C946" s="3"/>
      <c r="D946" s="3"/>
      <c r="E946" s="3"/>
      <c r="F946" s="3"/>
      <c r="G946" s="3"/>
      <c r="H946" s="3"/>
      <c r="I946" s="3"/>
      <c r="J946" s="3"/>
      <c r="K946" s="3"/>
      <c r="L946" s="3"/>
      <c r="M946" s="3"/>
      <c r="N946" s="3"/>
      <c r="O946" s="3"/>
      <c r="P946" s="3"/>
      <c r="Q946" s="3"/>
      <c r="R946" s="3"/>
      <c r="S946" s="3"/>
      <c r="T946" s="3"/>
      <c r="U946" s="3"/>
      <c r="V946" s="3"/>
      <c r="W946" s="3"/>
      <c r="X946" s="3"/>
      <c r="Z946" s="3"/>
      <c r="AA946" s="3"/>
      <c r="AB946" s="3"/>
      <c r="AC946" s="3"/>
      <c r="AD946" s="3"/>
    </row>
    <row r="947" spans="1:30" ht="14">
      <c r="A947" s="3"/>
      <c r="B947" s="3"/>
      <c r="C947" s="3"/>
      <c r="D947" s="3"/>
      <c r="E947" s="3"/>
      <c r="F947" s="3"/>
      <c r="G947" s="3"/>
      <c r="H947" s="3"/>
      <c r="I947" s="3"/>
      <c r="J947" s="3"/>
      <c r="K947" s="3"/>
      <c r="L947" s="3"/>
      <c r="M947" s="3"/>
      <c r="N947" s="3"/>
      <c r="O947" s="3"/>
      <c r="P947" s="3"/>
      <c r="Q947" s="3"/>
      <c r="R947" s="3"/>
      <c r="S947" s="3"/>
      <c r="T947" s="3"/>
      <c r="U947" s="3"/>
      <c r="V947" s="3"/>
      <c r="W947" s="3"/>
      <c r="X947" s="3"/>
      <c r="Z947" s="3"/>
      <c r="AA947" s="3"/>
      <c r="AB947" s="3"/>
      <c r="AC947" s="3"/>
      <c r="AD947" s="3"/>
    </row>
    <row r="948" spans="1:30" ht="14">
      <c r="A948" s="3"/>
      <c r="B948" s="3"/>
      <c r="C948" s="3"/>
      <c r="D948" s="3"/>
      <c r="E948" s="3"/>
      <c r="F948" s="3"/>
      <c r="G948" s="3"/>
      <c r="H948" s="3"/>
      <c r="I948" s="3"/>
      <c r="J948" s="3"/>
      <c r="K948" s="3"/>
      <c r="L948" s="3"/>
      <c r="M948" s="3"/>
      <c r="N948" s="3"/>
      <c r="O948" s="3"/>
      <c r="P948" s="3"/>
      <c r="Q948" s="3"/>
      <c r="R948" s="3"/>
      <c r="S948" s="3"/>
      <c r="T948" s="3"/>
      <c r="U948" s="3"/>
      <c r="V948" s="3"/>
      <c r="W948" s="3"/>
      <c r="X948" s="3"/>
      <c r="Z948" s="3"/>
      <c r="AA948" s="3"/>
      <c r="AB948" s="3"/>
      <c r="AC948" s="3"/>
      <c r="AD948" s="3"/>
    </row>
    <row r="949" spans="1:30" ht="14">
      <c r="A949" s="3"/>
      <c r="B949" s="3"/>
      <c r="C949" s="3"/>
      <c r="D949" s="3"/>
      <c r="E949" s="3"/>
      <c r="F949" s="3"/>
      <c r="G949" s="3"/>
      <c r="H949" s="3"/>
      <c r="I949" s="3"/>
      <c r="J949" s="3"/>
      <c r="K949" s="3"/>
      <c r="L949" s="3"/>
      <c r="M949" s="3"/>
      <c r="N949" s="3"/>
      <c r="O949" s="3"/>
      <c r="P949" s="3"/>
      <c r="Q949" s="3"/>
      <c r="R949" s="3"/>
      <c r="S949" s="3"/>
      <c r="T949" s="3"/>
      <c r="U949" s="3"/>
      <c r="V949" s="3"/>
      <c r="W949" s="3"/>
      <c r="X949" s="3"/>
      <c r="Z949" s="3"/>
      <c r="AA949" s="3"/>
      <c r="AB949" s="3"/>
      <c r="AC949" s="3"/>
      <c r="AD949" s="3"/>
    </row>
    <row r="950" spans="1:30" ht="14">
      <c r="A950" s="3"/>
      <c r="B950" s="3"/>
      <c r="C950" s="3"/>
      <c r="D950" s="3"/>
      <c r="E950" s="3"/>
      <c r="F950" s="3"/>
      <c r="G950" s="3"/>
      <c r="H950" s="3"/>
      <c r="I950" s="3"/>
      <c r="J950" s="3"/>
      <c r="K950" s="3"/>
      <c r="L950" s="3"/>
      <c r="M950" s="3"/>
      <c r="N950" s="3"/>
      <c r="O950" s="3"/>
      <c r="P950" s="3"/>
      <c r="Q950" s="3"/>
      <c r="R950" s="3"/>
      <c r="S950" s="3"/>
      <c r="T950" s="3"/>
      <c r="U950" s="3"/>
      <c r="V950" s="3"/>
      <c r="W950" s="3"/>
      <c r="X950" s="3"/>
      <c r="Z950" s="3"/>
      <c r="AA950" s="3"/>
      <c r="AB950" s="3"/>
      <c r="AC950" s="3"/>
      <c r="AD950" s="3"/>
    </row>
    <row r="951" spans="1:30" ht="14">
      <c r="A951" s="3"/>
      <c r="B951" s="3"/>
      <c r="C951" s="3"/>
      <c r="D951" s="3"/>
      <c r="E951" s="3"/>
      <c r="F951" s="3"/>
      <c r="G951" s="3"/>
      <c r="H951" s="3"/>
      <c r="I951" s="3"/>
      <c r="J951" s="3"/>
      <c r="K951" s="3"/>
      <c r="L951" s="3"/>
      <c r="M951" s="3"/>
      <c r="N951" s="3"/>
      <c r="O951" s="3"/>
      <c r="P951" s="3"/>
      <c r="Q951" s="3"/>
      <c r="R951" s="3"/>
      <c r="S951" s="3"/>
      <c r="T951" s="3"/>
      <c r="U951" s="3"/>
      <c r="V951" s="3"/>
      <c r="W951" s="3"/>
      <c r="X951" s="3"/>
      <c r="Z951" s="3"/>
      <c r="AA951" s="3"/>
      <c r="AB951" s="3"/>
      <c r="AC951" s="3"/>
      <c r="AD951" s="3"/>
    </row>
    <row r="952" spans="1:30" ht="14">
      <c r="A952" s="3"/>
      <c r="B952" s="3"/>
      <c r="C952" s="3"/>
      <c r="D952" s="3"/>
      <c r="E952" s="3"/>
      <c r="F952" s="3"/>
      <c r="G952" s="3"/>
      <c r="H952" s="3"/>
      <c r="I952" s="3"/>
      <c r="J952" s="3"/>
      <c r="K952" s="3"/>
      <c r="L952" s="3"/>
      <c r="M952" s="3"/>
      <c r="N952" s="3"/>
      <c r="O952" s="3"/>
      <c r="P952" s="3"/>
      <c r="Q952" s="3"/>
      <c r="R952" s="3"/>
      <c r="S952" s="3"/>
      <c r="T952" s="3"/>
      <c r="U952" s="3"/>
      <c r="V952" s="3"/>
      <c r="W952" s="3"/>
      <c r="X952" s="3"/>
      <c r="Z952" s="3"/>
      <c r="AA952" s="3"/>
      <c r="AB952" s="3"/>
      <c r="AC952" s="3"/>
      <c r="AD952" s="3"/>
    </row>
    <row r="953" spans="1:30" ht="14">
      <c r="A953" s="3"/>
      <c r="B953" s="3"/>
      <c r="C953" s="3"/>
      <c r="D953" s="3"/>
      <c r="E953" s="3"/>
      <c r="F953" s="3"/>
      <c r="G953" s="3"/>
      <c r="H953" s="3"/>
      <c r="I953" s="3"/>
      <c r="J953" s="3"/>
      <c r="K953" s="3"/>
      <c r="L953" s="3"/>
      <c r="M953" s="3"/>
      <c r="N953" s="3"/>
      <c r="O953" s="3"/>
      <c r="P953" s="3"/>
      <c r="Q953" s="3"/>
      <c r="R953" s="3"/>
      <c r="S953" s="3"/>
      <c r="T953" s="3"/>
      <c r="U953" s="3"/>
      <c r="V953" s="3"/>
      <c r="W953" s="3"/>
      <c r="X953" s="3"/>
      <c r="Z953" s="3"/>
      <c r="AA953" s="3"/>
      <c r="AB953" s="3"/>
      <c r="AC953" s="3"/>
      <c r="AD953" s="3"/>
    </row>
    <row r="954" spans="1:30" ht="14">
      <c r="A954" s="3"/>
      <c r="B954" s="3"/>
      <c r="C954" s="3"/>
      <c r="D954" s="3"/>
      <c r="E954" s="3"/>
      <c r="F954" s="3"/>
      <c r="G954" s="3"/>
      <c r="H954" s="3"/>
      <c r="I954" s="3"/>
      <c r="J954" s="3"/>
      <c r="K954" s="3"/>
      <c r="L954" s="3"/>
      <c r="M954" s="3"/>
      <c r="N954" s="3"/>
      <c r="O954" s="3"/>
      <c r="P954" s="3"/>
      <c r="Q954" s="3"/>
      <c r="R954" s="3"/>
      <c r="S954" s="3"/>
      <c r="T954" s="3"/>
      <c r="U954" s="3"/>
      <c r="V954" s="3"/>
      <c r="W954" s="3"/>
      <c r="X954" s="3"/>
      <c r="Z954" s="3"/>
      <c r="AA954" s="3"/>
      <c r="AB954" s="3"/>
      <c r="AC954" s="3"/>
      <c r="AD954" s="3"/>
    </row>
    <row r="955" spans="1:30" ht="14">
      <c r="A955" s="3"/>
      <c r="B955" s="3"/>
      <c r="C955" s="3"/>
      <c r="D955" s="3"/>
      <c r="E955" s="3"/>
      <c r="F955" s="3"/>
      <c r="G955" s="3"/>
      <c r="H955" s="3"/>
      <c r="I955" s="3"/>
      <c r="J955" s="3"/>
      <c r="K955" s="3"/>
      <c r="L955" s="3"/>
      <c r="M955" s="3"/>
      <c r="N955" s="3"/>
      <c r="O955" s="3"/>
      <c r="P955" s="3"/>
      <c r="Q955" s="3"/>
      <c r="R955" s="3"/>
      <c r="S955" s="3"/>
      <c r="T955" s="3"/>
      <c r="U955" s="3"/>
      <c r="V955" s="3"/>
      <c r="W955" s="3"/>
      <c r="X955" s="3"/>
      <c r="Z955" s="3"/>
      <c r="AA955" s="3"/>
      <c r="AB955" s="3"/>
      <c r="AC955" s="3"/>
      <c r="AD955" s="3"/>
    </row>
    <row r="956" spans="1:30" ht="14">
      <c r="A956" s="3"/>
      <c r="B956" s="3"/>
      <c r="C956" s="3"/>
      <c r="D956" s="3"/>
      <c r="E956" s="3"/>
      <c r="F956" s="3"/>
      <c r="G956" s="3"/>
      <c r="H956" s="3"/>
      <c r="I956" s="3"/>
      <c r="J956" s="3"/>
      <c r="K956" s="3"/>
      <c r="L956" s="3"/>
      <c r="M956" s="3"/>
      <c r="N956" s="3"/>
      <c r="O956" s="3"/>
      <c r="P956" s="3"/>
      <c r="Q956" s="3"/>
      <c r="R956" s="3"/>
      <c r="S956" s="3"/>
      <c r="T956" s="3"/>
      <c r="U956" s="3"/>
      <c r="V956" s="3"/>
      <c r="W956" s="3"/>
      <c r="X956" s="3"/>
      <c r="Z956" s="3"/>
      <c r="AA956" s="3"/>
      <c r="AB956" s="3"/>
      <c r="AC956" s="3"/>
      <c r="AD956" s="3"/>
    </row>
    <row r="957" spans="1:30" ht="14">
      <c r="A957" s="3"/>
      <c r="B957" s="3"/>
      <c r="C957" s="3"/>
      <c r="D957" s="3"/>
      <c r="E957" s="3"/>
      <c r="F957" s="3"/>
      <c r="G957" s="3"/>
      <c r="H957" s="3"/>
      <c r="I957" s="3"/>
      <c r="J957" s="3"/>
      <c r="K957" s="3"/>
      <c r="L957" s="3"/>
      <c r="M957" s="3"/>
      <c r="N957" s="3"/>
      <c r="O957" s="3"/>
      <c r="P957" s="3"/>
      <c r="Q957" s="3"/>
      <c r="R957" s="3"/>
      <c r="S957" s="3"/>
      <c r="T957" s="3"/>
      <c r="U957" s="3"/>
      <c r="V957" s="3"/>
      <c r="W957" s="3"/>
      <c r="X957" s="3"/>
      <c r="Z957" s="3"/>
      <c r="AA957" s="3"/>
      <c r="AB957" s="3"/>
      <c r="AC957" s="3"/>
      <c r="AD957" s="3"/>
    </row>
    <row r="958" spans="1:30" ht="14">
      <c r="A958" s="3"/>
      <c r="B958" s="3"/>
      <c r="C958" s="3"/>
      <c r="D958" s="3"/>
      <c r="E958" s="3"/>
      <c r="F958" s="3"/>
      <c r="G958" s="3"/>
      <c r="H958" s="3"/>
      <c r="I958" s="3"/>
      <c r="J958" s="3"/>
      <c r="K958" s="3"/>
      <c r="L958" s="3"/>
      <c r="M958" s="3"/>
      <c r="N958" s="3"/>
      <c r="O958" s="3"/>
      <c r="P958" s="3"/>
      <c r="Q958" s="3"/>
      <c r="R958" s="3"/>
      <c r="S958" s="3"/>
      <c r="T958" s="3"/>
      <c r="U958" s="3"/>
      <c r="V958" s="3"/>
      <c r="W958" s="3"/>
      <c r="X958" s="3"/>
      <c r="Z958" s="3"/>
      <c r="AA958" s="3"/>
      <c r="AB958" s="3"/>
      <c r="AC958" s="3"/>
      <c r="AD958" s="3"/>
    </row>
    <row r="959" spans="1:30" ht="14">
      <c r="A959" s="3"/>
      <c r="B959" s="3"/>
      <c r="C959" s="3"/>
      <c r="D959" s="3"/>
      <c r="E959" s="3"/>
      <c r="F959" s="3"/>
      <c r="G959" s="3"/>
      <c r="H959" s="3"/>
      <c r="I959" s="3"/>
      <c r="J959" s="3"/>
      <c r="K959" s="3"/>
      <c r="L959" s="3"/>
      <c r="M959" s="3"/>
      <c r="N959" s="3"/>
      <c r="O959" s="3"/>
      <c r="P959" s="3"/>
      <c r="Q959" s="3"/>
      <c r="R959" s="3"/>
      <c r="S959" s="3"/>
      <c r="T959" s="3"/>
      <c r="U959" s="3"/>
      <c r="V959" s="3"/>
      <c r="W959" s="3"/>
      <c r="X959" s="3"/>
      <c r="Z959" s="3"/>
      <c r="AA959" s="3"/>
      <c r="AB959" s="3"/>
      <c r="AC959" s="3"/>
      <c r="AD959" s="3"/>
    </row>
    <row r="960" spans="1:30" ht="14">
      <c r="A960" s="3"/>
      <c r="B960" s="3"/>
      <c r="C960" s="3"/>
      <c r="D960" s="3"/>
      <c r="E960" s="3"/>
      <c r="F960" s="3"/>
      <c r="G960" s="3"/>
      <c r="H960" s="3"/>
      <c r="I960" s="3"/>
      <c r="J960" s="3"/>
      <c r="K960" s="3"/>
      <c r="L960" s="3"/>
      <c r="M960" s="3"/>
      <c r="N960" s="3"/>
      <c r="O960" s="3"/>
      <c r="P960" s="3"/>
      <c r="Q960" s="3"/>
      <c r="R960" s="3"/>
      <c r="S960" s="3"/>
      <c r="T960" s="3"/>
      <c r="U960" s="3"/>
      <c r="V960" s="3"/>
      <c r="W960" s="3"/>
      <c r="X960" s="3"/>
      <c r="Z960" s="3"/>
      <c r="AA960" s="3"/>
      <c r="AB960" s="3"/>
      <c r="AC960" s="3"/>
      <c r="AD960" s="3"/>
    </row>
    <row r="961" spans="1:30" ht="14">
      <c r="A961" s="3"/>
      <c r="B961" s="3"/>
      <c r="C961" s="3"/>
      <c r="D961" s="3"/>
      <c r="E961" s="3"/>
      <c r="F961" s="3"/>
      <c r="G961" s="3"/>
      <c r="H961" s="3"/>
      <c r="I961" s="3"/>
      <c r="J961" s="3"/>
      <c r="K961" s="3"/>
      <c r="L961" s="3"/>
      <c r="M961" s="3"/>
      <c r="N961" s="3"/>
      <c r="O961" s="3"/>
      <c r="P961" s="3"/>
      <c r="Q961" s="3"/>
      <c r="R961" s="3"/>
      <c r="S961" s="3"/>
      <c r="T961" s="3"/>
      <c r="U961" s="3"/>
      <c r="V961" s="3"/>
      <c r="W961" s="3"/>
      <c r="X961" s="3"/>
      <c r="Z961" s="3"/>
      <c r="AA961" s="3"/>
      <c r="AB961" s="3"/>
      <c r="AC961" s="3"/>
      <c r="AD961" s="3"/>
    </row>
    <row r="962" spans="1:30" ht="14">
      <c r="A962" s="3"/>
      <c r="B962" s="3"/>
      <c r="C962" s="3"/>
      <c r="D962" s="3"/>
      <c r="E962" s="3"/>
      <c r="F962" s="3"/>
      <c r="G962" s="3"/>
      <c r="H962" s="3"/>
      <c r="I962" s="3"/>
      <c r="J962" s="3"/>
      <c r="K962" s="3"/>
      <c r="L962" s="3"/>
      <c r="M962" s="3"/>
      <c r="N962" s="3"/>
      <c r="O962" s="3"/>
      <c r="P962" s="3"/>
      <c r="Q962" s="3"/>
      <c r="R962" s="3"/>
      <c r="S962" s="3"/>
      <c r="T962" s="3"/>
      <c r="U962" s="3"/>
      <c r="V962" s="3"/>
      <c r="W962" s="3"/>
      <c r="X962" s="3"/>
      <c r="Z962" s="3"/>
      <c r="AA962" s="3"/>
      <c r="AB962" s="3"/>
      <c r="AC962" s="3"/>
      <c r="AD962" s="3"/>
    </row>
    <row r="963" spans="1:30" ht="14">
      <c r="A963" s="3"/>
      <c r="B963" s="3"/>
      <c r="C963" s="3"/>
      <c r="D963" s="3"/>
      <c r="E963" s="3"/>
      <c r="F963" s="3"/>
      <c r="G963" s="3"/>
      <c r="H963" s="3"/>
      <c r="I963" s="3"/>
      <c r="J963" s="3"/>
      <c r="K963" s="3"/>
      <c r="L963" s="3"/>
      <c r="M963" s="3"/>
      <c r="N963" s="3"/>
      <c r="O963" s="3"/>
      <c r="P963" s="3"/>
      <c r="Q963" s="3"/>
      <c r="R963" s="3"/>
      <c r="S963" s="3"/>
      <c r="T963" s="3"/>
      <c r="U963" s="3"/>
      <c r="V963" s="3"/>
      <c r="W963" s="3"/>
      <c r="X963" s="3"/>
      <c r="Z963" s="3"/>
      <c r="AA963" s="3"/>
      <c r="AB963" s="3"/>
      <c r="AC963" s="3"/>
      <c r="AD963" s="3"/>
    </row>
    <row r="964" spans="1:30" ht="14">
      <c r="A964" s="3"/>
      <c r="B964" s="3"/>
      <c r="C964" s="3"/>
      <c r="D964" s="3"/>
      <c r="E964" s="3"/>
      <c r="F964" s="3"/>
      <c r="G964" s="3"/>
      <c r="H964" s="3"/>
      <c r="I964" s="3"/>
      <c r="J964" s="3"/>
      <c r="K964" s="3"/>
      <c r="L964" s="3"/>
      <c r="M964" s="3"/>
      <c r="N964" s="3"/>
      <c r="O964" s="3"/>
      <c r="P964" s="3"/>
      <c r="Q964" s="3"/>
      <c r="R964" s="3"/>
      <c r="S964" s="3"/>
      <c r="T964" s="3"/>
      <c r="U964" s="3"/>
      <c r="V964" s="3"/>
      <c r="W964" s="3"/>
      <c r="X964" s="3"/>
      <c r="Z964" s="3"/>
      <c r="AA964" s="3"/>
      <c r="AB964" s="3"/>
      <c r="AC964" s="3"/>
      <c r="AD964" s="3"/>
    </row>
    <row r="965" spans="1:30" ht="14">
      <c r="A965" s="3"/>
      <c r="B965" s="3"/>
      <c r="C965" s="3"/>
      <c r="D965" s="3"/>
      <c r="E965" s="3"/>
      <c r="F965" s="3"/>
      <c r="G965" s="3"/>
      <c r="H965" s="3"/>
      <c r="I965" s="3"/>
      <c r="J965" s="3"/>
      <c r="K965" s="3"/>
      <c r="L965" s="3"/>
      <c r="M965" s="3"/>
      <c r="N965" s="3"/>
      <c r="O965" s="3"/>
      <c r="P965" s="3"/>
      <c r="Q965" s="3"/>
      <c r="R965" s="3"/>
      <c r="S965" s="3"/>
      <c r="T965" s="3"/>
      <c r="U965" s="3"/>
      <c r="V965" s="3"/>
      <c r="W965" s="3"/>
      <c r="X965" s="3"/>
      <c r="Z965" s="3"/>
      <c r="AA965" s="3"/>
      <c r="AB965" s="3"/>
      <c r="AC965" s="3"/>
      <c r="AD965" s="3"/>
    </row>
    <row r="966" spans="1:30" ht="14">
      <c r="A966" s="3"/>
      <c r="B966" s="3"/>
      <c r="C966" s="3"/>
      <c r="D966" s="3"/>
      <c r="E966" s="3"/>
      <c r="F966" s="3"/>
      <c r="G966" s="3"/>
      <c r="H966" s="3"/>
      <c r="I966" s="3"/>
      <c r="J966" s="3"/>
      <c r="K966" s="3"/>
      <c r="L966" s="3"/>
      <c r="M966" s="3"/>
      <c r="N966" s="3"/>
      <c r="O966" s="3"/>
      <c r="P966" s="3"/>
      <c r="Q966" s="3"/>
      <c r="R966" s="3"/>
      <c r="S966" s="3"/>
      <c r="T966" s="3"/>
      <c r="U966" s="3"/>
      <c r="V966" s="3"/>
      <c r="W966" s="3"/>
      <c r="X966" s="3"/>
      <c r="Z966" s="3"/>
      <c r="AA966" s="3"/>
      <c r="AB966" s="3"/>
      <c r="AC966" s="3"/>
      <c r="AD966" s="3"/>
    </row>
    <row r="967" spans="1:30" ht="14">
      <c r="A967" s="3"/>
      <c r="B967" s="3"/>
      <c r="C967" s="3"/>
      <c r="D967" s="3"/>
      <c r="E967" s="3"/>
      <c r="F967" s="3"/>
      <c r="G967" s="3"/>
      <c r="H967" s="3"/>
      <c r="I967" s="3"/>
      <c r="J967" s="3"/>
      <c r="K967" s="3"/>
      <c r="L967" s="3"/>
      <c r="M967" s="3"/>
      <c r="N967" s="3"/>
      <c r="O967" s="3"/>
      <c r="P967" s="3"/>
      <c r="Q967" s="3"/>
      <c r="R967" s="3"/>
      <c r="S967" s="3"/>
      <c r="T967" s="3"/>
      <c r="U967" s="3"/>
      <c r="V967" s="3"/>
      <c r="W967" s="3"/>
      <c r="X967" s="3"/>
      <c r="Z967" s="3"/>
      <c r="AA967" s="3"/>
      <c r="AB967" s="3"/>
      <c r="AC967" s="3"/>
      <c r="AD967" s="3"/>
    </row>
    <row r="968" spans="1:30" ht="14">
      <c r="A968" s="3"/>
      <c r="B968" s="3"/>
      <c r="C968" s="3"/>
      <c r="D968" s="3"/>
      <c r="E968" s="3"/>
      <c r="F968" s="3"/>
      <c r="G968" s="3"/>
      <c r="H968" s="3"/>
      <c r="I968" s="3"/>
      <c r="J968" s="3"/>
      <c r="K968" s="3"/>
      <c r="L968" s="3"/>
      <c r="M968" s="3"/>
      <c r="N968" s="3"/>
      <c r="O968" s="3"/>
      <c r="P968" s="3"/>
      <c r="Q968" s="3"/>
      <c r="R968" s="3"/>
      <c r="S968" s="3"/>
      <c r="T968" s="3"/>
      <c r="U968" s="3"/>
      <c r="V968" s="3"/>
      <c r="W968" s="3"/>
      <c r="X968" s="3"/>
      <c r="Z968" s="3"/>
      <c r="AA968" s="3"/>
      <c r="AB968" s="3"/>
      <c r="AC968" s="3"/>
      <c r="AD968" s="3"/>
    </row>
    <row r="969" spans="1:30" ht="14">
      <c r="A969" s="3"/>
      <c r="B969" s="3"/>
      <c r="C969" s="3"/>
      <c r="D969" s="3"/>
      <c r="E969" s="3"/>
      <c r="F969" s="3"/>
      <c r="G969" s="3"/>
      <c r="H969" s="3"/>
      <c r="I969" s="3"/>
      <c r="J969" s="3"/>
      <c r="K969" s="3"/>
      <c r="L969" s="3"/>
      <c r="M969" s="3"/>
      <c r="N969" s="3"/>
      <c r="O969" s="3"/>
      <c r="P969" s="3"/>
      <c r="Q969" s="3"/>
      <c r="R969" s="3"/>
      <c r="S969" s="3"/>
      <c r="T969" s="3"/>
      <c r="U969" s="3"/>
      <c r="V969" s="3"/>
      <c r="W969" s="3"/>
      <c r="X969" s="3"/>
      <c r="Z969" s="3"/>
      <c r="AA969" s="3"/>
      <c r="AB969" s="3"/>
      <c r="AC969" s="3"/>
      <c r="AD969" s="3"/>
    </row>
    <row r="970" spans="1:30" ht="14">
      <c r="A970" s="3"/>
      <c r="B970" s="3"/>
      <c r="C970" s="3"/>
      <c r="D970" s="3"/>
      <c r="E970" s="3"/>
      <c r="F970" s="3"/>
      <c r="G970" s="3"/>
      <c r="H970" s="3"/>
      <c r="I970" s="3"/>
      <c r="J970" s="3"/>
      <c r="K970" s="3"/>
      <c r="L970" s="3"/>
      <c r="M970" s="3"/>
      <c r="N970" s="3"/>
      <c r="O970" s="3"/>
      <c r="P970" s="3"/>
      <c r="Q970" s="3"/>
      <c r="R970" s="3"/>
      <c r="S970" s="3"/>
      <c r="T970" s="3"/>
      <c r="U970" s="3"/>
      <c r="V970" s="3"/>
      <c r="W970" s="3"/>
      <c r="X970" s="3"/>
      <c r="Z970" s="3"/>
      <c r="AA970" s="3"/>
      <c r="AB970" s="3"/>
      <c r="AC970" s="3"/>
      <c r="AD970" s="3"/>
    </row>
    <row r="971" spans="1:30" ht="14">
      <c r="A971" s="3"/>
      <c r="B971" s="3"/>
      <c r="C971" s="3"/>
      <c r="D971" s="3"/>
      <c r="E971" s="3"/>
      <c r="F971" s="3"/>
      <c r="G971" s="3"/>
      <c r="H971" s="3"/>
      <c r="I971" s="3"/>
      <c r="J971" s="3"/>
      <c r="K971" s="3"/>
      <c r="L971" s="3"/>
      <c r="M971" s="3"/>
      <c r="N971" s="3"/>
      <c r="O971" s="3"/>
      <c r="P971" s="3"/>
      <c r="Q971" s="3"/>
      <c r="R971" s="3"/>
      <c r="S971" s="3"/>
      <c r="T971" s="3"/>
      <c r="U971" s="3"/>
      <c r="V971" s="3"/>
      <c r="W971" s="3"/>
      <c r="X971" s="3"/>
      <c r="Z971" s="3"/>
      <c r="AA971" s="3"/>
      <c r="AB971" s="3"/>
      <c r="AC971" s="3"/>
      <c r="AD971" s="3"/>
    </row>
    <row r="972" spans="1:30" ht="14">
      <c r="A972" s="3"/>
      <c r="B972" s="3"/>
      <c r="C972" s="3"/>
      <c r="D972" s="3"/>
      <c r="E972" s="3"/>
      <c r="F972" s="3"/>
      <c r="G972" s="3"/>
      <c r="H972" s="3"/>
      <c r="I972" s="3"/>
      <c r="J972" s="3"/>
      <c r="K972" s="3"/>
      <c r="L972" s="3"/>
      <c r="M972" s="3"/>
      <c r="N972" s="3"/>
      <c r="O972" s="3"/>
      <c r="P972" s="3"/>
      <c r="Q972" s="3"/>
      <c r="R972" s="3"/>
      <c r="S972" s="3"/>
      <c r="T972" s="3"/>
      <c r="U972" s="3"/>
      <c r="V972" s="3"/>
      <c r="W972" s="3"/>
      <c r="X972" s="3"/>
      <c r="Z972" s="3"/>
      <c r="AA972" s="3"/>
      <c r="AB972" s="3"/>
      <c r="AC972" s="3"/>
      <c r="AD972" s="3"/>
    </row>
    <row r="973" spans="1:30" ht="14">
      <c r="A973" s="3"/>
      <c r="B973" s="3"/>
      <c r="C973" s="3"/>
      <c r="D973" s="3"/>
      <c r="E973" s="3"/>
      <c r="F973" s="3"/>
      <c r="G973" s="3"/>
      <c r="H973" s="3"/>
      <c r="I973" s="3"/>
      <c r="J973" s="3"/>
      <c r="K973" s="3"/>
      <c r="L973" s="3"/>
      <c r="M973" s="3"/>
      <c r="N973" s="3"/>
      <c r="O973" s="3"/>
      <c r="P973" s="3"/>
      <c r="Q973" s="3"/>
      <c r="R973" s="3"/>
      <c r="S973" s="3"/>
      <c r="T973" s="3"/>
      <c r="U973" s="3"/>
      <c r="V973" s="3"/>
      <c r="W973" s="3"/>
      <c r="X973" s="3"/>
      <c r="Z973" s="3"/>
      <c r="AA973" s="3"/>
      <c r="AB973" s="3"/>
      <c r="AC973" s="3"/>
      <c r="AD973" s="3"/>
    </row>
    <row r="974" spans="1:30" ht="14">
      <c r="A974" s="3"/>
      <c r="B974" s="3"/>
      <c r="C974" s="3"/>
      <c r="D974" s="3"/>
      <c r="E974" s="3"/>
      <c r="F974" s="3"/>
      <c r="G974" s="3"/>
      <c r="H974" s="3"/>
      <c r="I974" s="3"/>
      <c r="J974" s="3"/>
      <c r="K974" s="3"/>
      <c r="L974" s="3"/>
      <c r="M974" s="3"/>
      <c r="N974" s="3"/>
      <c r="O974" s="3"/>
      <c r="P974" s="3"/>
      <c r="Q974" s="3"/>
      <c r="R974" s="3"/>
      <c r="S974" s="3"/>
      <c r="T974" s="3"/>
      <c r="U974" s="3"/>
      <c r="V974" s="3"/>
      <c r="W974" s="3"/>
      <c r="X974" s="3"/>
      <c r="Z974" s="3"/>
      <c r="AA974" s="3"/>
      <c r="AB974" s="3"/>
      <c r="AC974" s="3"/>
      <c r="AD974" s="3"/>
    </row>
    <row r="975" spans="1:30" ht="14">
      <c r="A975" s="3"/>
      <c r="B975" s="3"/>
      <c r="C975" s="3"/>
      <c r="D975" s="3"/>
      <c r="E975" s="3"/>
      <c r="F975" s="3"/>
      <c r="G975" s="3"/>
      <c r="H975" s="3"/>
      <c r="I975" s="3"/>
      <c r="J975" s="3"/>
      <c r="K975" s="3"/>
      <c r="L975" s="3"/>
      <c r="M975" s="3"/>
      <c r="N975" s="3"/>
      <c r="O975" s="3"/>
      <c r="P975" s="3"/>
      <c r="Q975" s="3"/>
      <c r="R975" s="3"/>
      <c r="S975" s="3"/>
      <c r="T975" s="3"/>
      <c r="U975" s="3"/>
      <c r="V975" s="3"/>
      <c r="W975" s="3"/>
      <c r="X975" s="3"/>
      <c r="Z975" s="3"/>
      <c r="AA975" s="3"/>
      <c r="AB975" s="3"/>
      <c r="AC975" s="3"/>
      <c r="AD975" s="3"/>
    </row>
    <row r="976" spans="1:30" ht="14">
      <c r="A976" s="3"/>
      <c r="B976" s="3"/>
      <c r="C976" s="3"/>
      <c r="D976" s="3"/>
      <c r="E976" s="3"/>
      <c r="F976" s="3"/>
      <c r="G976" s="3"/>
      <c r="H976" s="3"/>
      <c r="I976" s="3"/>
      <c r="J976" s="3"/>
      <c r="K976" s="3"/>
      <c r="L976" s="3"/>
      <c r="M976" s="3"/>
      <c r="N976" s="3"/>
      <c r="O976" s="3"/>
      <c r="P976" s="3"/>
      <c r="Q976" s="3"/>
      <c r="R976" s="3"/>
      <c r="S976" s="3"/>
      <c r="T976" s="3"/>
      <c r="U976" s="3"/>
      <c r="V976" s="3"/>
      <c r="W976" s="3"/>
      <c r="X976" s="3"/>
      <c r="Z976" s="3"/>
      <c r="AA976" s="3"/>
      <c r="AB976" s="3"/>
      <c r="AC976" s="3"/>
      <c r="AD976" s="3"/>
    </row>
    <row r="977" spans="1:30" ht="14">
      <c r="A977" s="3"/>
      <c r="B977" s="3"/>
      <c r="C977" s="3"/>
      <c r="D977" s="3"/>
      <c r="E977" s="3"/>
      <c r="F977" s="3"/>
      <c r="G977" s="3"/>
      <c r="H977" s="3"/>
      <c r="I977" s="3"/>
      <c r="J977" s="3"/>
      <c r="K977" s="3"/>
      <c r="L977" s="3"/>
      <c r="M977" s="3"/>
      <c r="N977" s="3"/>
      <c r="O977" s="3"/>
      <c r="P977" s="3"/>
      <c r="Q977" s="3"/>
      <c r="R977" s="3"/>
      <c r="S977" s="3"/>
      <c r="T977" s="3"/>
      <c r="U977" s="3"/>
      <c r="V977" s="3"/>
      <c r="W977" s="3"/>
      <c r="X977" s="3"/>
      <c r="Z977" s="3"/>
      <c r="AA977" s="3"/>
      <c r="AB977" s="3"/>
      <c r="AC977" s="3"/>
      <c r="AD977" s="3"/>
    </row>
    <row r="978" spans="1:30" ht="14">
      <c r="A978" s="3"/>
      <c r="B978" s="3"/>
      <c r="C978" s="3"/>
      <c r="D978" s="3"/>
      <c r="E978" s="3"/>
      <c r="F978" s="3"/>
      <c r="G978" s="3"/>
      <c r="H978" s="3"/>
      <c r="I978" s="3"/>
      <c r="J978" s="3"/>
      <c r="K978" s="3"/>
      <c r="L978" s="3"/>
      <c r="M978" s="3"/>
      <c r="N978" s="3"/>
      <c r="O978" s="3"/>
      <c r="P978" s="3"/>
      <c r="Q978" s="3"/>
      <c r="R978" s="3"/>
      <c r="S978" s="3"/>
      <c r="T978" s="3"/>
      <c r="U978" s="3"/>
      <c r="V978" s="3"/>
      <c r="W978" s="3"/>
      <c r="X978" s="3"/>
      <c r="Z978" s="3"/>
      <c r="AA978" s="3"/>
      <c r="AB978" s="3"/>
      <c r="AC978" s="3"/>
      <c r="AD978" s="3"/>
    </row>
    <row r="979" spans="1:30" ht="14">
      <c r="A979" s="3"/>
      <c r="B979" s="3"/>
      <c r="C979" s="3"/>
      <c r="D979" s="3"/>
      <c r="E979" s="3"/>
      <c r="F979" s="3"/>
      <c r="G979" s="3"/>
      <c r="H979" s="3"/>
      <c r="I979" s="3"/>
      <c r="J979" s="3"/>
      <c r="K979" s="3"/>
      <c r="L979" s="3"/>
      <c r="M979" s="3"/>
      <c r="N979" s="3"/>
      <c r="O979" s="3"/>
      <c r="P979" s="3"/>
      <c r="Q979" s="3"/>
      <c r="R979" s="3"/>
      <c r="S979" s="3"/>
      <c r="T979" s="3"/>
      <c r="U979" s="3"/>
      <c r="V979" s="3"/>
      <c r="W979" s="3"/>
      <c r="X979" s="3"/>
      <c r="Z979" s="3"/>
      <c r="AA979" s="3"/>
      <c r="AB979" s="3"/>
      <c r="AC979" s="3"/>
      <c r="AD979" s="3"/>
    </row>
    <row r="980" spans="1:30" ht="14">
      <c r="A980" s="3"/>
      <c r="B980" s="3"/>
      <c r="C980" s="3"/>
      <c r="D980" s="3"/>
      <c r="E980" s="3"/>
      <c r="F980" s="3"/>
      <c r="G980" s="3"/>
      <c r="H980" s="3"/>
      <c r="I980" s="3"/>
      <c r="J980" s="3"/>
      <c r="K980" s="3"/>
      <c r="L980" s="3"/>
      <c r="M980" s="3"/>
      <c r="N980" s="3"/>
      <c r="O980" s="3"/>
      <c r="P980" s="3"/>
      <c r="Q980" s="3"/>
      <c r="R980" s="3"/>
      <c r="S980" s="3"/>
      <c r="T980" s="3"/>
      <c r="U980" s="3"/>
      <c r="V980" s="3"/>
      <c r="W980" s="3"/>
      <c r="X980" s="3"/>
      <c r="Z980" s="3"/>
      <c r="AA980" s="3"/>
      <c r="AB980" s="3"/>
      <c r="AC980" s="3"/>
      <c r="AD980" s="3"/>
    </row>
    <row r="981" spans="1:30" ht="14">
      <c r="A981" s="3"/>
      <c r="B981" s="3"/>
      <c r="C981" s="3"/>
      <c r="D981" s="3"/>
      <c r="E981" s="3"/>
      <c r="F981" s="3"/>
      <c r="G981" s="3"/>
      <c r="H981" s="3"/>
      <c r="I981" s="3"/>
      <c r="J981" s="3"/>
      <c r="K981" s="3"/>
      <c r="L981" s="3"/>
      <c r="M981" s="3"/>
      <c r="N981" s="3"/>
      <c r="O981" s="3"/>
      <c r="P981" s="3"/>
      <c r="Q981" s="3"/>
      <c r="R981" s="3"/>
      <c r="S981" s="3"/>
      <c r="T981" s="3"/>
      <c r="U981" s="3"/>
      <c r="V981" s="3"/>
      <c r="W981" s="3"/>
      <c r="X981" s="3"/>
      <c r="Z981" s="3"/>
      <c r="AA981" s="3"/>
      <c r="AB981" s="3"/>
      <c r="AC981" s="3"/>
      <c r="AD981" s="3"/>
    </row>
    <row r="982" spans="1:30" ht="14">
      <c r="A982" s="3"/>
      <c r="B982" s="3"/>
      <c r="C982" s="3"/>
      <c r="D982" s="3"/>
      <c r="E982" s="3"/>
      <c r="F982" s="3"/>
      <c r="G982" s="3"/>
      <c r="H982" s="3"/>
      <c r="I982" s="3"/>
      <c r="J982" s="3"/>
      <c r="K982" s="3"/>
      <c r="L982" s="3"/>
      <c r="M982" s="3"/>
      <c r="N982" s="3"/>
      <c r="O982" s="3"/>
      <c r="P982" s="3"/>
      <c r="Q982" s="3"/>
      <c r="R982" s="3"/>
      <c r="S982" s="3"/>
      <c r="T982" s="3"/>
      <c r="U982" s="3"/>
      <c r="V982" s="3"/>
      <c r="W982" s="3"/>
      <c r="X982" s="3"/>
      <c r="Z982" s="3"/>
      <c r="AA982" s="3"/>
      <c r="AB982" s="3"/>
      <c r="AC982" s="3"/>
      <c r="AD982" s="3"/>
    </row>
    <row r="983" spans="1:30" ht="14">
      <c r="A983" s="3"/>
      <c r="B983" s="3"/>
      <c r="C983" s="3"/>
      <c r="D983" s="3"/>
      <c r="E983" s="3"/>
      <c r="F983" s="3"/>
      <c r="G983" s="3"/>
      <c r="H983" s="3"/>
      <c r="I983" s="3"/>
      <c r="J983" s="3"/>
      <c r="K983" s="3"/>
      <c r="L983" s="3"/>
      <c r="M983" s="3"/>
      <c r="N983" s="3"/>
      <c r="O983" s="3"/>
      <c r="P983" s="3"/>
      <c r="Q983" s="3"/>
      <c r="R983" s="3"/>
      <c r="S983" s="3"/>
      <c r="T983" s="3"/>
      <c r="U983" s="3"/>
      <c r="V983" s="3"/>
      <c r="W983" s="3"/>
      <c r="X983" s="3"/>
      <c r="Z983" s="3"/>
      <c r="AA983" s="3"/>
      <c r="AB983" s="3"/>
      <c r="AC983" s="3"/>
      <c r="AD983" s="3"/>
    </row>
    <row r="984" spans="1:30" ht="14">
      <c r="A984" s="3"/>
      <c r="B984" s="3"/>
      <c r="C984" s="3"/>
      <c r="D984" s="3"/>
      <c r="E984" s="3"/>
      <c r="F984" s="3"/>
      <c r="G984" s="3"/>
      <c r="H984" s="3"/>
      <c r="I984" s="3"/>
      <c r="J984" s="3"/>
      <c r="K984" s="3"/>
      <c r="L984" s="3"/>
      <c r="M984" s="3"/>
      <c r="N984" s="3"/>
      <c r="O984" s="3"/>
      <c r="P984" s="3"/>
      <c r="Q984" s="3"/>
      <c r="R984" s="3"/>
      <c r="S984" s="3"/>
      <c r="T984" s="3"/>
      <c r="U984" s="3"/>
      <c r="V984" s="3"/>
      <c r="W984" s="3"/>
      <c r="X984" s="3"/>
      <c r="Z984" s="3"/>
      <c r="AA984" s="3"/>
      <c r="AB984" s="3"/>
      <c r="AC984" s="3"/>
      <c r="AD984" s="3"/>
    </row>
    <row r="985" spans="1:30" ht="14">
      <c r="A985" s="3"/>
      <c r="B985" s="3"/>
      <c r="C985" s="3"/>
      <c r="D985" s="3"/>
      <c r="E985" s="3"/>
      <c r="F985" s="3"/>
      <c r="G985" s="3"/>
      <c r="H985" s="3"/>
      <c r="I985" s="3"/>
      <c r="J985" s="3"/>
      <c r="K985" s="3"/>
      <c r="L985" s="3"/>
      <c r="M985" s="3"/>
      <c r="N985" s="3"/>
      <c r="O985" s="3"/>
      <c r="P985" s="3"/>
      <c r="Q985" s="3"/>
      <c r="R985" s="3"/>
      <c r="S985" s="3"/>
      <c r="T985" s="3"/>
      <c r="U985" s="3"/>
      <c r="V985" s="3"/>
      <c r="W985" s="3"/>
      <c r="X985" s="3"/>
      <c r="Z985" s="3"/>
      <c r="AA985" s="3"/>
      <c r="AB985" s="3"/>
      <c r="AC985" s="3"/>
      <c r="AD985" s="3"/>
    </row>
    <row r="986" spans="1:30" ht="14">
      <c r="A986" s="3"/>
      <c r="B986" s="3"/>
      <c r="C986" s="3"/>
      <c r="D986" s="3"/>
      <c r="E986" s="3"/>
      <c r="F986" s="3"/>
      <c r="G986" s="3"/>
      <c r="H986" s="3"/>
      <c r="I986" s="3"/>
      <c r="J986" s="3"/>
      <c r="K986" s="3"/>
      <c r="L986" s="3"/>
      <c r="M986" s="3"/>
      <c r="N986" s="3"/>
      <c r="O986" s="3"/>
      <c r="P986" s="3"/>
      <c r="Q986" s="3"/>
      <c r="R986" s="3"/>
      <c r="S986" s="3"/>
      <c r="T986" s="3"/>
      <c r="U986" s="3"/>
      <c r="V986" s="3"/>
      <c r="W986" s="3"/>
      <c r="X986" s="3"/>
      <c r="Z986" s="3"/>
      <c r="AA986" s="3"/>
      <c r="AB986" s="3"/>
      <c r="AC986" s="3"/>
      <c r="AD986" s="3"/>
    </row>
    <row r="987" spans="1:30" ht="14">
      <c r="A987" s="3"/>
      <c r="B987" s="3"/>
      <c r="C987" s="3"/>
      <c r="D987" s="3"/>
      <c r="E987" s="3"/>
      <c r="F987" s="3"/>
      <c r="G987" s="3"/>
      <c r="H987" s="3"/>
      <c r="I987" s="3"/>
      <c r="J987" s="3"/>
      <c r="K987" s="3"/>
      <c r="L987" s="3"/>
      <c r="M987" s="3"/>
      <c r="N987" s="3"/>
      <c r="O987" s="3"/>
      <c r="P987" s="3"/>
      <c r="Q987" s="3"/>
      <c r="R987" s="3"/>
      <c r="S987" s="3"/>
      <c r="T987" s="3"/>
      <c r="U987" s="3"/>
      <c r="V987" s="3"/>
      <c r="W987" s="3"/>
      <c r="X987" s="3"/>
      <c r="Z987" s="3"/>
      <c r="AA987" s="3"/>
      <c r="AB987" s="3"/>
      <c r="AC987" s="3"/>
      <c r="AD987" s="3"/>
    </row>
    <row r="988" spans="1:30" ht="14">
      <c r="A988" s="3"/>
      <c r="B988" s="3"/>
      <c r="C988" s="3"/>
      <c r="D988" s="3"/>
      <c r="E988" s="3"/>
      <c r="F988" s="3"/>
      <c r="G988" s="3"/>
      <c r="H988" s="3"/>
      <c r="I988" s="3"/>
      <c r="J988" s="3"/>
      <c r="K988" s="3"/>
      <c r="L988" s="3"/>
      <c r="M988" s="3"/>
      <c r="N988" s="3"/>
      <c r="O988" s="3"/>
      <c r="P988" s="3"/>
      <c r="Q988" s="3"/>
      <c r="R988" s="3"/>
      <c r="S988" s="3"/>
      <c r="T988" s="3"/>
      <c r="U988" s="3"/>
      <c r="V988" s="3"/>
      <c r="W988" s="3"/>
      <c r="X988" s="3"/>
      <c r="Z988" s="3"/>
      <c r="AA988" s="3"/>
      <c r="AB988" s="3"/>
      <c r="AC988" s="3"/>
      <c r="AD988" s="3"/>
    </row>
    <row r="989" spans="1:30" ht="14">
      <c r="A989" s="3"/>
      <c r="B989" s="3"/>
      <c r="C989" s="3"/>
      <c r="D989" s="3"/>
      <c r="E989" s="3"/>
      <c r="F989" s="3"/>
      <c r="G989" s="3"/>
      <c r="H989" s="3"/>
      <c r="I989" s="3"/>
      <c r="J989" s="3"/>
      <c r="K989" s="3"/>
      <c r="L989" s="3"/>
      <c r="M989" s="3"/>
      <c r="N989" s="3"/>
      <c r="O989" s="3"/>
      <c r="P989" s="3"/>
      <c r="Q989" s="3"/>
      <c r="R989" s="3"/>
      <c r="S989" s="3"/>
      <c r="T989" s="3"/>
      <c r="U989" s="3"/>
      <c r="V989" s="3"/>
      <c r="W989" s="3"/>
      <c r="X989" s="3"/>
      <c r="Z989" s="3"/>
      <c r="AA989" s="3"/>
      <c r="AB989" s="3"/>
      <c r="AC989" s="3"/>
      <c r="AD989" s="3"/>
    </row>
    <row r="990" spans="1:30" ht="14">
      <c r="A990" s="3"/>
      <c r="B990" s="3"/>
      <c r="C990" s="3"/>
      <c r="D990" s="3"/>
      <c r="E990" s="3"/>
      <c r="F990" s="3"/>
      <c r="G990" s="3"/>
      <c r="H990" s="3"/>
      <c r="I990" s="3"/>
      <c r="J990" s="3"/>
      <c r="K990" s="3"/>
      <c r="L990" s="3"/>
      <c r="M990" s="3"/>
      <c r="N990" s="3"/>
      <c r="O990" s="3"/>
      <c r="P990" s="3"/>
      <c r="Q990" s="3"/>
      <c r="R990" s="3"/>
      <c r="S990" s="3"/>
      <c r="T990" s="3"/>
      <c r="U990" s="3"/>
      <c r="V990" s="3"/>
      <c r="W990" s="3"/>
      <c r="X990" s="3"/>
      <c r="Z990" s="3"/>
      <c r="AA990" s="3"/>
      <c r="AB990" s="3"/>
      <c r="AC990" s="3"/>
      <c r="AD990" s="3"/>
    </row>
    <row r="991" spans="1:30" ht="14">
      <c r="A991" s="3"/>
      <c r="B991" s="3"/>
      <c r="C991" s="3"/>
      <c r="D991" s="3"/>
      <c r="E991" s="3"/>
      <c r="F991" s="3"/>
      <c r="G991" s="3"/>
      <c r="H991" s="3"/>
      <c r="I991" s="3"/>
      <c r="J991" s="3"/>
      <c r="K991" s="3"/>
      <c r="L991" s="3"/>
      <c r="M991" s="3"/>
      <c r="N991" s="3"/>
      <c r="O991" s="3"/>
      <c r="P991" s="3"/>
      <c r="Q991" s="3"/>
      <c r="R991" s="3"/>
      <c r="S991" s="3"/>
      <c r="T991" s="3"/>
      <c r="U991" s="3"/>
      <c r="V991" s="3"/>
      <c r="W991" s="3"/>
      <c r="X991" s="3"/>
      <c r="Z991" s="3"/>
      <c r="AA991" s="3"/>
      <c r="AB991" s="3"/>
      <c r="AC991" s="3"/>
      <c r="AD991" s="3"/>
    </row>
    <row r="992" spans="1:30" ht="14">
      <c r="A992" s="3"/>
      <c r="B992" s="3"/>
      <c r="C992" s="3"/>
      <c r="D992" s="3"/>
      <c r="E992" s="3"/>
      <c r="F992" s="3"/>
      <c r="G992" s="3"/>
      <c r="H992" s="3"/>
      <c r="I992" s="3"/>
      <c r="J992" s="3"/>
      <c r="K992" s="3"/>
      <c r="L992" s="3"/>
      <c r="M992" s="3"/>
      <c r="N992" s="3"/>
      <c r="O992" s="3"/>
      <c r="P992" s="3"/>
      <c r="Q992" s="3"/>
      <c r="R992" s="3"/>
      <c r="S992" s="3"/>
      <c r="T992" s="3"/>
      <c r="U992" s="3"/>
      <c r="V992" s="3"/>
      <c r="W992" s="3"/>
      <c r="X992" s="3"/>
      <c r="Z992" s="3"/>
      <c r="AA992" s="3"/>
      <c r="AB992" s="3"/>
      <c r="AC992" s="3"/>
      <c r="AD992" s="3"/>
    </row>
    <row r="993" spans="1:30" ht="14">
      <c r="A993" s="3"/>
      <c r="B993" s="3"/>
      <c r="C993" s="3"/>
      <c r="D993" s="3"/>
      <c r="E993" s="3"/>
      <c r="F993" s="3"/>
      <c r="G993" s="3"/>
      <c r="H993" s="3"/>
      <c r="I993" s="3"/>
      <c r="J993" s="3"/>
      <c r="K993" s="3"/>
      <c r="L993" s="3"/>
      <c r="M993" s="3"/>
      <c r="N993" s="3"/>
      <c r="O993" s="3"/>
      <c r="P993" s="3"/>
      <c r="Q993" s="3"/>
      <c r="R993" s="3"/>
      <c r="S993" s="3"/>
      <c r="T993" s="3"/>
      <c r="U993" s="3"/>
      <c r="V993" s="3"/>
      <c r="W993" s="3"/>
      <c r="X993" s="3"/>
      <c r="Z993" s="3"/>
      <c r="AA993" s="3"/>
      <c r="AB993" s="3"/>
      <c r="AC993" s="3"/>
      <c r="AD993" s="3"/>
    </row>
    <row r="994" spans="1:30" ht="14">
      <c r="A994" s="3"/>
      <c r="B994" s="3"/>
      <c r="C994" s="3"/>
      <c r="D994" s="3"/>
      <c r="E994" s="3"/>
      <c r="F994" s="3"/>
      <c r="G994" s="3"/>
      <c r="H994" s="3"/>
      <c r="I994" s="3"/>
      <c r="J994" s="3"/>
      <c r="K994" s="3"/>
      <c r="L994" s="3"/>
      <c r="M994" s="3"/>
      <c r="N994" s="3"/>
      <c r="O994" s="3"/>
      <c r="P994" s="3"/>
      <c r="Q994" s="3"/>
      <c r="R994" s="3"/>
      <c r="S994" s="3"/>
      <c r="T994" s="3"/>
      <c r="U994" s="3"/>
      <c r="V994" s="3"/>
      <c r="W994" s="3"/>
      <c r="X994" s="3"/>
      <c r="Z994" s="3"/>
      <c r="AA994" s="3"/>
      <c r="AB994" s="3"/>
      <c r="AC994" s="3"/>
      <c r="AD994" s="3"/>
    </row>
    <row r="995" spans="1:30" ht="14">
      <c r="A995" s="3"/>
      <c r="B995" s="3"/>
      <c r="C995" s="3"/>
      <c r="D995" s="3"/>
      <c r="E995" s="3"/>
      <c r="F995" s="3"/>
      <c r="G995" s="3"/>
      <c r="H995" s="3"/>
      <c r="I995" s="3"/>
      <c r="J995" s="3"/>
      <c r="K995" s="3"/>
      <c r="L995" s="3"/>
      <c r="M995" s="3"/>
      <c r="N995" s="3"/>
      <c r="O995" s="3"/>
      <c r="P995" s="3"/>
      <c r="Q995" s="3"/>
      <c r="R995" s="3"/>
      <c r="S995" s="3"/>
      <c r="T995" s="3"/>
      <c r="U995" s="3"/>
      <c r="V995" s="3"/>
      <c r="W995" s="3"/>
      <c r="X995" s="3"/>
      <c r="Z995" s="3"/>
      <c r="AA995" s="3"/>
      <c r="AB995" s="3"/>
      <c r="AC995" s="3"/>
      <c r="AD995" s="3"/>
    </row>
    <row r="996" spans="1:30" ht="14">
      <c r="A996" s="3"/>
      <c r="B996" s="3"/>
      <c r="C996" s="3"/>
      <c r="D996" s="3"/>
      <c r="E996" s="3"/>
      <c r="F996" s="3"/>
      <c r="G996" s="3"/>
      <c r="H996" s="3"/>
      <c r="I996" s="3"/>
      <c r="J996" s="3"/>
      <c r="K996" s="3"/>
      <c r="L996" s="3"/>
      <c r="M996" s="3"/>
      <c r="N996" s="3"/>
      <c r="O996" s="3"/>
      <c r="P996" s="3"/>
      <c r="Q996" s="3"/>
      <c r="R996" s="3"/>
      <c r="S996" s="3"/>
      <c r="T996" s="3"/>
      <c r="U996" s="3"/>
      <c r="V996" s="3"/>
      <c r="W996" s="3"/>
      <c r="X996" s="3"/>
      <c r="Z996" s="3"/>
      <c r="AA996" s="3"/>
      <c r="AB996" s="3"/>
      <c r="AC996" s="3"/>
      <c r="AD996" s="3"/>
    </row>
    <row r="997" spans="1:30" ht="14">
      <c r="A997" s="3"/>
      <c r="B997" s="3"/>
      <c r="C997" s="3"/>
      <c r="D997" s="3"/>
      <c r="E997" s="3"/>
      <c r="F997" s="3"/>
      <c r="G997" s="3"/>
      <c r="H997" s="3"/>
      <c r="I997" s="3"/>
      <c r="J997" s="3"/>
      <c r="K997" s="3"/>
      <c r="L997" s="3"/>
      <c r="M997" s="3"/>
      <c r="N997" s="3"/>
      <c r="O997" s="3"/>
      <c r="P997" s="3"/>
      <c r="Q997" s="3"/>
      <c r="R997" s="3"/>
      <c r="S997" s="3"/>
      <c r="T997" s="3"/>
      <c r="U997" s="3"/>
      <c r="V997" s="3"/>
      <c r="W997" s="3"/>
      <c r="X997" s="3"/>
      <c r="Z997" s="3"/>
      <c r="AA997" s="3"/>
      <c r="AB997" s="3"/>
      <c r="AC997" s="3"/>
      <c r="AD997" s="3"/>
    </row>
    <row r="998" spans="1:30" ht="14">
      <c r="A998" s="3"/>
      <c r="B998" s="3"/>
      <c r="C998" s="3"/>
      <c r="D998" s="3"/>
      <c r="E998" s="3"/>
      <c r="F998" s="3"/>
      <c r="G998" s="3"/>
      <c r="H998" s="3"/>
      <c r="I998" s="3"/>
      <c r="J998" s="3"/>
      <c r="K998" s="3"/>
      <c r="L998" s="3"/>
      <c r="M998" s="3"/>
      <c r="N998" s="3"/>
      <c r="O998" s="3"/>
      <c r="P998" s="3"/>
      <c r="Q998" s="3"/>
      <c r="R998" s="3"/>
      <c r="S998" s="3"/>
      <c r="T998" s="3"/>
      <c r="U998" s="3"/>
      <c r="V998" s="3"/>
      <c r="W998" s="3"/>
      <c r="X998" s="3"/>
      <c r="Z998" s="3"/>
      <c r="AA998" s="3"/>
      <c r="AB998" s="3"/>
      <c r="AC998" s="3"/>
      <c r="AD998" s="3"/>
    </row>
    <row r="999" spans="1:30" ht="14">
      <c r="A999" s="3"/>
      <c r="B999" s="3"/>
      <c r="C999" s="3"/>
      <c r="D999" s="3"/>
      <c r="E999" s="3"/>
      <c r="F999" s="3"/>
      <c r="G999" s="3"/>
      <c r="H999" s="3"/>
      <c r="I999" s="3"/>
      <c r="J999" s="3"/>
      <c r="K999" s="3"/>
      <c r="L999" s="3"/>
      <c r="M999" s="3"/>
      <c r="N999" s="3"/>
      <c r="O999" s="3"/>
      <c r="P999" s="3"/>
      <c r="Q999" s="3"/>
      <c r="R999" s="3"/>
      <c r="S999" s="3"/>
      <c r="T999" s="3"/>
      <c r="U999" s="3"/>
      <c r="V999" s="3"/>
      <c r="W999" s="3"/>
      <c r="X999" s="3"/>
      <c r="Z999" s="3"/>
      <c r="AA999" s="3"/>
      <c r="AB999" s="3"/>
      <c r="AC999" s="3"/>
      <c r="AD999" s="3"/>
    </row>
    <row r="1000" spans="1:30" ht="1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Z1000" s="3"/>
      <c r="AA1000" s="3"/>
      <c r="AB1000" s="3"/>
      <c r="AC1000" s="3"/>
      <c r="AD1000" s="3"/>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1"/>
  <sheetViews>
    <sheetView workbookViewId="0">
      <pane ySplit="1" topLeftCell="A242" activePane="bottomLeft" state="frozen"/>
      <selection pane="bottomLeft" activeCell="A246" sqref="A246"/>
    </sheetView>
  </sheetViews>
  <sheetFormatPr baseColWidth="10" defaultColWidth="14.5" defaultRowHeight="15" customHeight="1" x14ac:dyDescent="0"/>
  <cols>
    <col min="1" max="3" width="9.6640625" customWidth="1"/>
    <col min="4" max="5" width="8.83203125" customWidth="1"/>
    <col min="6" max="14" width="8.83203125" hidden="1" customWidth="1"/>
    <col min="15" max="15" width="12" hidden="1" customWidth="1"/>
    <col min="16" max="16" width="12.1640625" hidden="1" customWidth="1"/>
    <col min="17" max="17" width="11.6640625" style="50" customWidth="1"/>
    <col min="18" max="20" width="8.83203125" customWidth="1"/>
    <col min="21" max="21" width="16.33203125" style="30" bestFit="1" customWidth="1"/>
    <col min="22" max="22" width="8.83203125" style="30" customWidth="1"/>
    <col min="23" max="25" width="8.83203125" style="79" customWidth="1"/>
    <col min="26" max="28" width="8.83203125" customWidth="1"/>
  </cols>
  <sheetData>
    <row r="1" spans="1:29" s="1" customFormat="1" ht="70">
      <c r="A1" s="1" t="s">
        <v>129</v>
      </c>
      <c r="B1" s="1" t="s">
        <v>130</v>
      </c>
      <c r="C1" s="1" t="s">
        <v>131</v>
      </c>
      <c r="D1" s="1" t="s">
        <v>4</v>
      </c>
      <c r="E1" s="1" t="s">
        <v>132</v>
      </c>
      <c r="F1" s="1" t="s">
        <v>133</v>
      </c>
      <c r="G1" s="1" t="s">
        <v>134</v>
      </c>
      <c r="H1" s="1" t="s">
        <v>135</v>
      </c>
      <c r="I1" s="1" t="s">
        <v>136</v>
      </c>
      <c r="J1" s="1" t="s">
        <v>137</v>
      </c>
      <c r="K1" s="1" t="s">
        <v>138</v>
      </c>
      <c r="L1" s="1" t="s">
        <v>139</v>
      </c>
      <c r="M1" s="1" t="s">
        <v>140</v>
      </c>
      <c r="N1" s="1" t="s">
        <v>611</v>
      </c>
      <c r="O1" s="1" t="s">
        <v>582</v>
      </c>
      <c r="P1" s="1" t="s">
        <v>612</v>
      </c>
      <c r="Q1" s="73" t="s">
        <v>609</v>
      </c>
      <c r="R1" s="1" t="s">
        <v>610</v>
      </c>
      <c r="S1" s="1" t="s">
        <v>141</v>
      </c>
      <c r="T1" s="1" t="s">
        <v>142</v>
      </c>
      <c r="U1" s="27" t="s">
        <v>602</v>
      </c>
      <c r="V1" s="27" t="s">
        <v>589</v>
      </c>
      <c r="W1" s="81" t="s">
        <v>590</v>
      </c>
      <c r="X1" s="81" t="s">
        <v>591</v>
      </c>
      <c r="Y1" s="81" t="s">
        <v>603</v>
      </c>
      <c r="Z1" s="20" t="s">
        <v>143</v>
      </c>
      <c r="AB1" s="1" t="s">
        <v>25</v>
      </c>
    </row>
    <row r="2" spans="1:29" ht="14">
      <c r="A2" s="3" t="s">
        <v>28</v>
      </c>
      <c r="B2" s="3">
        <v>2013</v>
      </c>
      <c r="C2" s="3" t="s">
        <v>144</v>
      </c>
      <c r="D2" s="3">
        <v>8</v>
      </c>
      <c r="E2" s="3">
        <v>250</v>
      </c>
      <c r="F2" s="3" t="s">
        <v>145</v>
      </c>
      <c r="G2" s="3" t="s">
        <v>146</v>
      </c>
      <c r="H2" s="3">
        <v>16774</v>
      </c>
      <c r="I2" s="3">
        <v>16814</v>
      </c>
      <c r="J2" s="3">
        <f t="shared" ref="J2:J113" si="0">I2-H2</f>
        <v>40</v>
      </c>
      <c r="K2" s="3">
        <f t="shared" ref="K2:K201" si="1">J2*0.245</f>
        <v>9.8000000000000007</v>
      </c>
      <c r="L2" s="3">
        <v>64</v>
      </c>
      <c r="M2" s="3" t="s">
        <v>147</v>
      </c>
      <c r="N2" s="3">
        <f t="shared" ref="N2:N57" si="2">((I2-H2)/3.6)*0.44156</f>
        <v>4.9062222222222225</v>
      </c>
      <c r="O2" s="3">
        <f t="shared" ref="O2:O201" si="3">(J2/3.6)*0.7854</f>
        <v>8.7266666666666666</v>
      </c>
      <c r="P2" s="3">
        <v>40100.800000000003</v>
      </c>
      <c r="Q2" s="48">
        <f t="shared" ref="Q2:Q7" si="4">P2/N2</f>
        <v>8173.4577407373854</v>
      </c>
      <c r="R2" s="3">
        <f t="shared" ref="R2:R5" si="5">Q2/1000</f>
        <v>8.1734577407373852</v>
      </c>
      <c r="S2" s="3">
        <v>37841</v>
      </c>
      <c r="T2" s="3">
        <f t="shared" ref="T2:T5" si="6">S2/N2</f>
        <v>7712.8589546154535</v>
      </c>
      <c r="U2" s="28"/>
      <c r="V2" s="28"/>
      <c r="W2" s="77"/>
      <c r="X2" s="77"/>
      <c r="Y2" s="77"/>
      <c r="Z2" s="3"/>
      <c r="AA2" s="3"/>
      <c r="AB2" s="3"/>
    </row>
    <row r="3" spans="1:29" ht="14">
      <c r="A3" s="3" t="s">
        <v>28</v>
      </c>
      <c r="B3" s="3">
        <v>2013</v>
      </c>
      <c r="C3" s="3" t="s">
        <v>144</v>
      </c>
      <c r="D3" s="3">
        <v>5</v>
      </c>
      <c r="E3" s="3">
        <v>250</v>
      </c>
      <c r="F3" s="3" t="s">
        <v>145</v>
      </c>
      <c r="G3" s="3" t="s">
        <v>146</v>
      </c>
      <c r="H3" s="3">
        <v>17357</v>
      </c>
      <c r="I3" s="3">
        <v>17431</v>
      </c>
      <c r="J3" s="3">
        <f t="shared" si="0"/>
        <v>74</v>
      </c>
      <c r="K3" s="3">
        <f t="shared" si="1"/>
        <v>18.13</v>
      </c>
      <c r="L3" s="3" t="s">
        <v>148</v>
      </c>
      <c r="M3" s="3" t="s">
        <v>147</v>
      </c>
      <c r="N3" s="3">
        <f t="shared" si="2"/>
        <v>9.0765111111111096</v>
      </c>
      <c r="O3" s="3">
        <f t="shared" si="3"/>
        <v>16.144333333333332</v>
      </c>
      <c r="P3" s="3">
        <v>55967.5</v>
      </c>
      <c r="Q3" s="48">
        <f t="shared" si="4"/>
        <v>6166.1908760830775</v>
      </c>
      <c r="R3" s="3">
        <f t="shared" si="5"/>
        <v>6.1661908760830775</v>
      </c>
      <c r="S3" s="3">
        <v>94005</v>
      </c>
      <c r="T3" s="3">
        <f t="shared" si="6"/>
        <v>10356.953112184567</v>
      </c>
      <c r="U3" s="28"/>
      <c r="V3" s="28"/>
      <c r="W3" s="77"/>
      <c r="X3" s="77"/>
      <c r="Y3" s="77"/>
      <c r="Z3" s="3"/>
      <c r="AA3" s="3"/>
      <c r="AB3" s="3"/>
    </row>
    <row r="4" spans="1:29" ht="14">
      <c r="A4" s="3" t="s">
        <v>28</v>
      </c>
      <c r="B4" s="3">
        <v>2013</v>
      </c>
      <c r="C4" s="3" t="s">
        <v>144</v>
      </c>
      <c r="D4" s="3">
        <v>4</v>
      </c>
      <c r="E4" s="3">
        <v>250</v>
      </c>
      <c r="F4" s="3" t="s">
        <v>145</v>
      </c>
      <c r="G4" s="3" t="s">
        <v>146</v>
      </c>
      <c r="H4" s="3">
        <v>17719</v>
      </c>
      <c r="I4" s="3">
        <v>17747</v>
      </c>
      <c r="J4" s="3">
        <f t="shared" si="0"/>
        <v>28</v>
      </c>
      <c r="K4" s="3">
        <f t="shared" si="1"/>
        <v>6.8599999999999994</v>
      </c>
      <c r="L4" s="3" t="s">
        <v>149</v>
      </c>
      <c r="M4" s="3" t="s">
        <v>147</v>
      </c>
      <c r="N4" s="3">
        <f t="shared" si="2"/>
        <v>3.4343555555555554</v>
      </c>
      <c r="O4" s="3">
        <f t="shared" si="3"/>
        <v>6.1086666666666662</v>
      </c>
      <c r="P4" s="3">
        <v>23680</v>
      </c>
      <c r="Q4" s="48">
        <f t="shared" si="4"/>
        <v>6895.0344881135716</v>
      </c>
      <c r="R4" s="3">
        <f t="shared" si="5"/>
        <v>6.8950344881135717</v>
      </c>
      <c r="S4" s="3">
        <v>59585</v>
      </c>
      <c r="T4" s="3">
        <f t="shared" si="6"/>
        <v>17349.688765804356</v>
      </c>
      <c r="U4" s="28"/>
      <c r="V4" s="28"/>
      <c r="W4" s="77"/>
      <c r="X4" s="77"/>
      <c r="Y4" s="77"/>
      <c r="Z4" s="3"/>
      <c r="AA4" s="3"/>
      <c r="AB4" s="3"/>
    </row>
    <row r="5" spans="1:29" ht="14">
      <c r="A5" s="3" t="s">
        <v>28</v>
      </c>
      <c r="B5" s="3">
        <v>2013</v>
      </c>
      <c r="C5" s="3" t="s">
        <v>144</v>
      </c>
      <c r="D5" s="3">
        <v>2</v>
      </c>
      <c r="E5" s="3">
        <v>250</v>
      </c>
      <c r="F5" s="3" t="s">
        <v>145</v>
      </c>
      <c r="G5" s="3" t="s">
        <v>146</v>
      </c>
      <c r="H5" s="3">
        <v>17837</v>
      </c>
      <c r="I5" s="3">
        <v>17869</v>
      </c>
      <c r="J5" s="3">
        <f t="shared" si="0"/>
        <v>32</v>
      </c>
      <c r="K5" s="3">
        <f t="shared" si="1"/>
        <v>7.84</v>
      </c>
      <c r="L5" s="3" t="s">
        <v>150</v>
      </c>
      <c r="M5" s="3" t="s">
        <v>147</v>
      </c>
      <c r="N5" s="3">
        <f t="shared" si="2"/>
        <v>3.9249777777777779</v>
      </c>
      <c r="O5" s="3">
        <f t="shared" si="3"/>
        <v>6.9813333333333336</v>
      </c>
      <c r="P5" s="3">
        <v>7291</v>
      </c>
      <c r="Q5" s="48">
        <f t="shared" si="4"/>
        <v>1857.590134975994</v>
      </c>
      <c r="R5" s="3">
        <f t="shared" si="5"/>
        <v>1.857590134975994</v>
      </c>
      <c r="S5" s="3">
        <v>11196</v>
      </c>
      <c r="T5" s="3">
        <f t="shared" si="6"/>
        <v>2852.5002264697887</v>
      </c>
      <c r="U5" s="28"/>
      <c r="V5" s="28"/>
      <c r="W5" s="77"/>
      <c r="X5" s="77"/>
      <c r="Y5" s="77"/>
      <c r="Z5" s="3"/>
      <c r="AA5" s="3"/>
      <c r="AB5" s="3"/>
    </row>
    <row r="6" spans="1:29" ht="14">
      <c r="A6" s="3" t="s">
        <v>28</v>
      </c>
      <c r="B6" s="3">
        <v>2013</v>
      </c>
      <c r="C6" s="3" t="s">
        <v>144</v>
      </c>
      <c r="D6" s="3">
        <v>8</v>
      </c>
      <c r="E6" s="3">
        <v>1000</v>
      </c>
      <c r="F6" s="3" t="s">
        <v>145</v>
      </c>
      <c r="G6" s="3" t="s">
        <v>146</v>
      </c>
      <c r="H6" s="3">
        <v>5267.1</v>
      </c>
      <c r="I6" s="3">
        <v>5309</v>
      </c>
      <c r="J6" s="3">
        <f t="shared" si="0"/>
        <v>41.899999999999636</v>
      </c>
      <c r="K6" s="3">
        <f t="shared" si="1"/>
        <v>10.265499999999911</v>
      </c>
      <c r="L6" s="3">
        <v>55</v>
      </c>
      <c r="M6" s="3" t="s">
        <v>147</v>
      </c>
      <c r="N6" s="3">
        <f t="shared" si="2"/>
        <v>5.1392677777777331</v>
      </c>
      <c r="O6" s="3">
        <f t="shared" si="3"/>
        <v>9.1411833333332542</v>
      </c>
      <c r="P6" s="3">
        <v>19</v>
      </c>
      <c r="Q6" s="48">
        <f t="shared" si="4"/>
        <v>3.6970247166641657</v>
      </c>
      <c r="R6" s="3"/>
      <c r="S6" s="3"/>
      <c r="T6" s="3">
        <f>19/O6</f>
        <v>2.0785055180675185</v>
      </c>
      <c r="U6" s="28">
        <f t="shared" ref="U6:U9" si="7">V6/O6</f>
        <v>1.5315303817339609</v>
      </c>
      <c r="V6" s="28">
        <v>14</v>
      </c>
      <c r="W6" s="77">
        <v>5</v>
      </c>
      <c r="X6" s="77">
        <f t="shared" ref="X6:X8" si="8">SUM(W6+V6)</f>
        <v>19</v>
      </c>
      <c r="Y6" s="77">
        <f t="shared" ref="Y6:Y57" si="9">(X6/O6)</f>
        <v>2.0785055180675185</v>
      </c>
      <c r="Z6" s="3"/>
      <c r="AA6" s="3"/>
      <c r="AB6" s="80" t="s">
        <v>585</v>
      </c>
      <c r="AC6" s="89" t="s">
        <v>604</v>
      </c>
    </row>
    <row r="7" spans="1:29" s="38" customFormat="1" ht="14">
      <c r="A7" s="36" t="s">
        <v>28</v>
      </c>
      <c r="B7" s="36">
        <v>2013</v>
      </c>
      <c r="C7" s="36" t="s">
        <v>144</v>
      </c>
      <c r="D7" s="36">
        <v>5</v>
      </c>
      <c r="E7" s="36">
        <v>1000</v>
      </c>
      <c r="F7" s="36" t="s">
        <v>145</v>
      </c>
      <c r="G7" s="36" t="s">
        <v>146</v>
      </c>
      <c r="H7" s="36">
        <v>6103.6</v>
      </c>
      <c r="I7" s="36">
        <v>6201.4</v>
      </c>
      <c r="J7" s="36">
        <f t="shared" si="0"/>
        <v>97.799999999999272</v>
      </c>
      <c r="K7" s="36">
        <f t="shared" si="1"/>
        <v>23.960999999999821</v>
      </c>
      <c r="L7" s="36">
        <v>53</v>
      </c>
      <c r="M7" s="36" t="s">
        <v>147</v>
      </c>
      <c r="N7" s="36">
        <f t="shared" si="2"/>
        <v>11.995713333333244</v>
      </c>
      <c r="O7" s="36">
        <f t="shared" si="3"/>
        <v>21.336699999999841</v>
      </c>
      <c r="P7" s="36">
        <v>0</v>
      </c>
      <c r="Q7" s="48">
        <f t="shared" si="4"/>
        <v>0</v>
      </c>
      <c r="R7" s="36"/>
      <c r="S7" s="36"/>
      <c r="T7" s="36"/>
      <c r="U7" s="28">
        <f t="shared" si="7"/>
        <v>0</v>
      </c>
      <c r="V7" s="62">
        <v>0</v>
      </c>
      <c r="W7" s="77">
        <v>0</v>
      </c>
      <c r="X7" s="77">
        <f t="shared" si="8"/>
        <v>0</v>
      </c>
      <c r="Y7" s="77">
        <f t="shared" si="9"/>
        <v>0</v>
      </c>
      <c r="Z7" s="36"/>
      <c r="AA7" s="36"/>
      <c r="AB7" s="36"/>
    </row>
    <row r="8" spans="1:29" ht="14">
      <c r="A8" s="3" t="s">
        <v>28</v>
      </c>
      <c r="B8" s="3">
        <v>2013</v>
      </c>
      <c r="C8" s="3" t="s">
        <v>144</v>
      </c>
      <c r="D8" s="3">
        <v>4</v>
      </c>
      <c r="E8" s="3">
        <v>1000</v>
      </c>
      <c r="F8" s="3" t="s">
        <v>145</v>
      </c>
      <c r="G8" s="3" t="s">
        <v>146</v>
      </c>
      <c r="H8" s="3">
        <v>7114.3</v>
      </c>
      <c r="I8" s="3">
        <v>7153.9</v>
      </c>
      <c r="J8" s="3">
        <f t="shared" si="0"/>
        <v>39.599999999999454</v>
      </c>
      <c r="K8" s="3">
        <f t="shared" si="1"/>
        <v>9.7019999999998667</v>
      </c>
      <c r="L8" s="3">
        <v>63</v>
      </c>
      <c r="M8" s="3" t="s">
        <v>147</v>
      </c>
      <c r="N8" s="3">
        <f t="shared" si="2"/>
        <v>4.8571599999999338</v>
      </c>
      <c r="O8" s="3">
        <f t="shared" si="3"/>
        <v>8.6393999999998812</v>
      </c>
      <c r="P8" s="3">
        <v>88</v>
      </c>
      <c r="Q8" s="48">
        <f t="shared" ref="Q8:Q18" si="10">P8/N8</f>
        <v>18.117583114412785</v>
      </c>
      <c r="R8" s="3"/>
      <c r="S8" s="3"/>
      <c r="T8" s="3"/>
      <c r="U8" s="28">
        <f t="shared" si="7"/>
        <v>5.9031877213696209</v>
      </c>
      <c r="V8" s="28">
        <v>51</v>
      </c>
      <c r="W8" s="77">
        <v>37</v>
      </c>
      <c r="X8" s="77">
        <f t="shared" si="8"/>
        <v>88</v>
      </c>
      <c r="Y8" s="77">
        <f t="shared" si="9"/>
        <v>10.185892538833855</v>
      </c>
      <c r="Z8" s="3"/>
      <c r="AA8" s="3"/>
      <c r="AB8" s="3"/>
    </row>
    <row r="9" spans="1:29" ht="14">
      <c r="A9" s="3" t="s">
        <v>28</v>
      </c>
      <c r="B9" s="3">
        <v>2013</v>
      </c>
      <c r="C9" s="3" t="s">
        <v>144</v>
      </c>
      <c r="D9" s="3">
        <v>2</v>
      </c>
      <c r="E9" s="3">
        <v>1000</v>
      </c>
      <c r="F9" s="3" t="s">
        <v>145</v>
      </c>
      <c r="G9" s="3" t="s">
        <v>146</v>
      </c>
      <c r="H9" s="3">
        <v>7970.6</v>
      </c>
      <c r="I9" s="3">
        <v>8012.4</v>
      </c>
      <c r="J9" s="3">
        <f t="shared" si="0"/>
        <v>41.799999999999272</v>
      </c>
      <c r="K9" s="3">
        <f t="shared" si="1"/>
        <v>10.240999999999822</v>
      </c>
      <c r="L9" s="3">
        <v>47</v>
      </c>
      <c r="M9" s="3" t="s">
        <v>147</v>
      </c>
      <c r="N9" s="3">
        <f t="shared" si="2"/>
        <v>5.1270022222221323</v>
      </c>
      <c r="O9" s="3">
        <f t="shared" si="3"/>
        <v>9.1193666666665063</v>
      </c>
      <c r="P9" s="3">
        <v>11</v>
      </c>
      <c r="Q9" s="48">
        <f t="shared" si="10"/>
        <v>2.1455032635488909</v>
      </c>
      <c r="R9" s="3"/>
      <c r="S9" s="3"/>
      <c r="T9" s="3"/>
      <c r="U9" s="28">
        <f t="shared" si="7"/>
        <v>0</v>
      </c>
      <c r="V9" s="28">
        <v>0</v>
      </c>
      <c r="W9" s="77">
        <v>8</v>
      </c>
      <c r="X9" s="77">
        <f>SUM(W9+V9)</f>
        <v>8</v>
      </c>
      <c r="Y9" s="77">
        <f t="shared" si="9"/>
        <v>0.87725390286607707</v>
      </c>
      <c r="Z9" s="3"/>
      <c r="AA9" s="3"/>
      <c r="AB9" s="3"/>
    </row>
    <row r="10" spans="1:29" ht="14">
      <c r="A10" s="3" t="s">
        <v>31</v>
      </c>
      <c r="B10" s="3">
        <v>2013</v>
      </c>
      <c r="C10" s="3" t="s">
        <v>151</v>
      </c>
      <c r="D10" s="3">
        <v>8</v>
      </c>
      <c r="E10" s="3">
        <v>250</v>
      </c>
      <c r="F10" s="3" t="s">
        <v>145</v>
      </c>
      <c r="G10" s="3" t="s">
        <v>146</v>
      </c>
      <c r="H10" s="3">
        <v>19672</v>
      </c>
      <c r="I10" s="3">
        <v>19721</v>
      </c>
      <c r="J10" s="3">
        <f t="shared" si="0"/>
        <v>49</v>
      </c>
      <c r="K10" s="3">
        <f t="shared" si="1"/>
        <v>12.004999999999999</v>
      </c>
      <c r="L10" s="3" t="s">
        <v>152</v>
      </c>
      <c r="M10" s="3" t="s">
        <v>147</v>
      </c>
      <c r="N10" s="3">
        <f t="shared" si="2"/>
        <v>6.0101222222222219</v>
      </c>
      <c r="O10" s="3">
        <f t="shared" si="3"/>
        <v>10.690166666666666</v>
      </c>
      <c r="P10" s="3">
        <v>40440</v>
      </c>
      <c r="Q10" s="48">
        <f t="shared" si="10"/>
        <v>6728.6485207363139</v>
      </c>
      <c r="R10" s="3">
        <f t="shared" ref="R10:R18" si="11">Q10/1000</f>
        <v>6.7286485207363143</v>
      </c>
      <c r="S10" s="3">
        <v>10440</v>
      </c>
      <c r="T10" s="3">
        <f t="shared" ref="T10:T13" si="12">S10/N10</f>
        <v>1737.0694994185735</v>
      </c>
      <c r="U10" s="28"/>
      <c r="V10" s="28"/>
      <c r="W10" s="77"/>
      <c r="X10" s="77"/>
      <c r="Y10" s="77"/>
      <c r="Z10" s="3"/>
      <c r="AA10" s="3"/>
      <c r="AB10" s="3"/>
    </row>
    <row r="11" spans="1:29" ht="14">
      <c r="A11" s="3" t="s">
        <v>31</v>
      </c>
      <c r="B11" s="3">
        <v>2013</v>
      </c>
      <c r="C11" s="3" t="s">
        <v>151</v>
      </c>
      <c r="D11" s="3">
        <v>5</v>
      </c>
      <c r="E11" s="3">
        <v>250</v>
      </c>
      <c r="F11" s="3" t="s">
        <v>145</v>
      </c>
      <c r="G11" s="3" t="s">
        <v>146</v>
      </c>
      <c r="H11" s="3">
        <v>19824</v>
      </c>
      <c r="I11" s="3">
        <v>19864</v>
      </c>
      <c r="J11" s="3">
        <f t="shared" si="0"/>
        <v>40</v>
      </c>
      <c r="K11" s="3">
        <f t="shared" si="1"/>
        <v>9.8000000000000007</v>
      </c>
      <c r="L11" s="3">
        <v>73</v>
      </c>
      <c r="M11" s="3" t="s">
        <v>147</v>
      </c>
      <c r="N11" s="3">
        <f t="shared" si="2"/>
        <v>4.9062222222222225</v>
      </c>
      <c r="O11" s="3">
        <f t="shared" si="3"/>
        <v>8.7266666666666666</v>
      </c>
      <c r="P11" s="3">
        <v>25437.5</v>
      </c>
      <c r="Q11" s="48">
        <f t="shared" si="10"/>
        <v>5184.7427303197746</v>
      </c>
      <c r="R11" s="3">
        <f t="shared" si="11"/>
        <v>5.1847427303197744</v>
      </c>
      <c r="S11" s="3">
        <v>4301.3</v>
      </c>
      <c r="T11" s="3">
        <f t="shared" si="12"/>
        <v>876.70305281275478</v>
      </c>
      <c r="U11" s="28"/>
      <c r="V11" s="28"/>
      <c r="W11" s="77"/>
      <c r="X11" s="77"/>
      <c r="Y11" s="77"/>
      <c r="Z11" s="3"/>
      <c r="AA11" s="3"/>
      <c r="AB11" s="3"/>
    </row>
    <row r="12" spans="1:29" ht="14">
      <c r="A12" s="8" t="s">
        <v>31</v>
      </c>
      <c r="B12" s="8">
        <v>2013</v>
      </c>
      <c r="C12" s="8" t="s">
        <v>151</v>
      </c>
      <c r="D12" s="8">
        <v>4</v>
      </c>
      <c r="E12" s="8">
        <v>250</v>
      </c>
      <c r="F12" s="8" t="s">
        <v>145</v>
      </c>
      <c r="G12" s="8" t="s">
        <v>146</v>
      </c>
      <c r="H12" s="8">
        <v>19865</v>
      </c>
      <c r="I12" s="8">
        <v>19888</v>
      </c>
      <c r="J12" s="8">
        <f t="shared" si="0"/>
        <v>23</v>
      </c>
      <c r="K12" s="8">
        <f t="shared" si="1"/>
        <v>5.6349999999999998</v>
      </c>
      <c r="L12" s="8" t="s">
        <v>153</v>
      </c>
      <c r="M12" s="8" t="s">
        <v>147</v>
      </c>
      <c r="N12" s="8">
        <f t="shared" si="2"/>
        <v>2.8210777777777776</v>
      </c>
      <c r="O12" s="8">
        <f t="shared" si="3"/>
        <v>5.0178333333333329</v>
      </c>
      <c r="P12" s="8">
        <v>76608</v>
      </c>
      <c r="Q12" s="49">
        <f t="shared" si="10"/>
        <v>27155.578837087483</v>
      </c>
      <c r="R12" s="8">
        <f t="shared" si="11"/>
        <v>27.155578837087482</v>
      </c>
      <c r="S12" s="8">
        <v>32009</v>
      </c>
      <c r="T12" s="8">
        <f t="shared" si="12"/>
        <v>11346.372741702346</v>
      </c>
      <c r="U12" s="29"/>
      <c r="V12" s="29"/>
      <c r="W12" s="78"/>
      <c r="X12" s="77"/>
      <c r="Y12" s="77"/>
      <c r="Z12" s="8"/>
      <c r="AA12" s="8"/>
      <c r="AB12" s="8"/>
    </row>
    <row r="13" spans="1:29" ht="14">
      <c r="A13" s="3" t="s">
        <v>31</v>
      </c>
      <c r="B13" s="3">
        <v>2013</v>
      </c>
      <c r="C13" s="3" t="s">
        <v>151</v>
      </c>
      <c r="D13" s="3">
        <v>2</v>
      </c>
      <c r="E13" s="3">
        <v>250</v>
      </c>
      <c r="F13" s="3" t="s">
        <v>145</v>
      </c>
      <c r="G13" s="3" t="s">
        <v>146</v>
      </c>
      <c r="H13" s="3">
        <v>19889</v>
      </c>
      <c r="I13" s="3">
        <v>19912</v>
      </c>
      <c r="J13" s="3">
        <f t="shared" si="0"/>
        <v>23</v>
      </c>
      <c r="K13" s="3">
        <f t="shared" si="1"/>
        <v>5.6349999999999998</v>
      </c>
      <c r="L13" s="3">
        <v>99</v>
      </c>
      <c r="M13" s="3" t="s">
        <v>147</v>
      </c>
      <c r="N13" s="3">
        <f t="shared" si="2"/>
        <v>2.8210777777777776</v>
      </c>
      <c r="O13" s="3">
        <f t="shared" si="3"/>
        <v>5.0178333333333329</v>
      </c>
      <c r="P13" s="3">
        <v>36710.300000000003</v>
      </c>
      <c r="Q13" s="48">
        <f t="shared" si="10"/>
        <v>13012.863484011235</v>
      </c>
      <c r="R13" s="3">
        <f t="shared" si="11"/>
        <v>13.012863484011236</v>
      </c>
      <c r="S13" s="3">
        <v>2951</v>
      </c>
      <c r="T13" s="3">
        <f t="shared" si="12"/>
        <v>1046.0541085558318</v>
      </c>
      <c r="U13" s="28"/>
      <c r="V13" s="28"/>
      <c r="W13" s="77"/>
      <c r="X13" s="77"/>
      <c r="Y13" s="77"/>
      <c r="Z13" s="3"/>
      <c r="AA13" s="3"/>
      <c r="AB13" s="3"/>
    </row>
    <row r="14" spans="1:29" ht="14">
      <c r="A14" s="3" t="s">
        <v>31</v>
      </c>
      <c r="B14" s="3">
        <v>2013</v>
      </c>
      <c r="C14" s="3" t="s">
        <v>151</v>
      </c>
      <c r="D14" s="3">
        <v>8</v>
      </c>
      <c r="E14" s="3">
        <v>1000</v>
      </c>
      <c r="F14" s="3" t="s">
        <v>145</v>
      </c>
      <c r="G14" s="3" t="s">
        <v>146</v>
      </c>
      <c r="H14" s="3">
        <v>10001</v>
      </c>
      <c r="I14" s="3">
        <v>10056</v>
      </c>
      <c r="J14" s="3">
        <f t="shared" si="0"/>
        <v>55</v>
      </c>
      <c r="K14" s="3">
        <f t="shared" si="1"/>
        <v>13.475</v>
      </c>
      <c r="L14" s="3">
        <v>92</v>
      </c>
      <c r="M14" s="3" t="s">
        <v>147</v>
      </c>
      <c r="N14" s="3">
        <f t="shared" si="2"/>
        <v>6.7460555555555555</v>
      </c>
      <c r="O14" s="3">
        <f t="shared" si="3"/>
        <v>11.999166666666666</v>
      </c>
      <c r="P14" s="3"/>
      <c r="Q14" s="48"/>
      <c r="R14" s="3"/>
      <c r="S14" s="3"/>
      <c r="T14" s="3"/>
      <c r="U14" s="28">
        <f t="shared" ref="U14:U17" si="13">V14/O14</f>
        <v>0.25001736231682758</v>
      </c>
      <c r="V14" s="28">
        <v>3</v>
      </c>
      <c r="W14" s="77"/>
      <c r="X14" s="77"/>
      <c r="Y14" s="77">
        <f t="shared" si="9"/>
        <v>0</v>
      </c>
      <c r="Z14" s="3"/>
      <c r="AA14" s="3"/>
      <c r="AB14" s="3"/>
    </row>
    <row r="15" spans="1:29" ht="14">
      <c r="A15" s="3" t="s">
        <v>31</v>
      </c>
      <c r="B15" s="3">
        <v>2013</v>
      </c>
      <c r="C15" s="3" t="s">
        <v>151</v>
      </c>
      <c r="D15" s="3">
        <v>5</v>
      </c>
      <c r="E15" s="3">
        <v>1000</v>
      </c>
      <c r="F15" s="3" t="s">
        <v>145</v>
      </c>
      <c r="G15" s="3" t="s">
        <v>146</v>
      </c>
      <c r="H15" s="3">
        <v>10123</v>
      </c>
      <c r="I15" s="3">
        <v>10189</v>
      </c>
      <c r="J15" s="3">
        <f t="shared" si="0"/>
        <v>66</v>
      </c>
      <c r="K15" s="3">
        <f t="shared" si="1"/>
        <v>16.169999999999998</v>
      </c>
      <c r="L15" s="3">
        <v>98</v>
      </c>
      <c r="M15" s="3" t="s">
        <v>147</v>
      </c>
      <c r="N15" s="3">
        <f t="shared" si="2"/>
        <v>8.0952666666666655</v>
      </c>
      <c r="O15" s="3">
        <f t="shared" si="3"/>
        <v>14.398999999999999</v>
      </c>
      <c r="P15" s="3"/>
      <c r="Q15" s="48"/>
      <c r="R15" s="3"/>
      <c r="S15" s="3"/>
      <c r="T15" s="3"/>
      <c r="U15" s="28">
        <f t="shared" si="13"/>
        <v>0.41669560386137927</v>
      </c>
      <c r="V15" s="28">
        <v>6</v>
      </c>
      <c r="W15" s="77"/>
      <c r="X15" s="77"/>
      <c r="Y15" s="77">
        <f t="shared" si="9"/>
        <v>0</v>
      </c>
      <c r="Z15" s="3"/>
      <c r="AA15" s="3"/>
      <c r="AB15" s="3"/>
    </row>
    <row r="16" spans="1:29" ht="14">
      <c r="A16" s="3" t="s">
        <v>31</v>
      </c>
      <c r="B16" s="3">
        <v>2013</v>
      </c>
      <c r="C16" s="3" t="s">
        <v>151</v>
      </c>
      <c r="D16" s="3">
        <v>4</v>
      </c>
      <c r="E16" s="3">
        <v>1000</v>
      </c>
      <c r="F16" s="3" t="s">
        <v>145</v>
      </c>
      <c r="G16" s="3" t="s">
        <v>146</v>
      </c>
      <c r="H16" s="3">
        <v>10274</v>
      </c>
      <c r="I16" s="3">
        <v>10304</v>
      </c>
      <c r="J16" s="3">
        <f t="shared" si="0"/>
        <v>30</v>
      </c>
      <c r="K16" s="3">
        <f t="shared" si="1"/>
        <v>7.35</v>
      </c>
      <c r="L16" s="3">
        <v>78</v>
      </c>
      <c r="M16" s="3" t="s">
        <v>147</v>
      </c>
      <c r="N16" s="3">
        <f t="shared" si="2"/>
        <v>3.6796666666666669</v>
      </c>
      <c r="O16" s="3">
        <f t="shared" si="3"/>
        <v>6.5449999999999999</v>
      </c>
      <c r="P16" s="3"/>
      <c r="Q16" s="48"/>
      <c r="R16" s="3"/>
      <c r="S16" s="3"/>
      <c r="T16" s="3"/>
      <c r="U16" s="28">
        <f t="shared" si="13"/>
        <v>7.7922077922077921</v>
      </c>
      <c r="V16" s="28">
        <v>51</v>
      </c>
      <c r="W16" s="77"/>
      <c r="X16" s="77"/>
      <c r="Y16" s="77">
        <f t="shared" si="9"/>
        <v>0</v>
      </c>
      <c r="Z16" s="3"/>
      <c r="AA16" s="3"/>
      <c r="AB16" s="3"/>
    </row>
    <row r="17" spans="1:29" ht="14">
      <c r="A17" s="3" t="s">
        <v>31</v>
      </c>
      <c r="B17" s="3">
        <v>2013</v>
      </c>
      <c r="C17" s="3" t="s">
        <v>151</v>
      </c>
      <c r="D17" s="3">
        <v>2</v>
      </c>
      <c r="E17" s="3">
        <v>1000</v>
      </c>
      <c r="F17" s="3" t="s">
        <v>145</v>
      </c>
      <c r="G17" s="3" t="s">
        <v>146</v>
      </c>
      <c r="H17" s="3">
        <v>10333</v>
      </c>
      <c r="I17" s="3">
        <v>10379</v>
      </c>
      <c r="J17" s="3">
        <f t="shared" si="0"/>
        <v>46</v>
      </c>
      <c r="K17" s="3">
        <f t="shared" si="1"/>
        <v>11.27</v>
      </c>
      <c r="L17" s="3">
        <v>100</v>
      </c>
      <c r="M17" s="3" t="s">
        <v>147</v>
      </c>
      <c r="N17" s="3">
        <f t="shared" si="2"/>
        <v>5.6421555555555551</v>
      </c>
      <c r="O17" s="3">
        <f t="shared" si="3"/>
        <v>10.035666666666666</v>
      </c>
      <c r="P17" s="3"/>
      <c r="Q17" s="48"/>
      <c r="R17" s="3"/>
      <c r="S17" s="3"/>
      <c r="T17" s="3"/>
      <c r="U17" s="28">
        <f t="shared" si="13"/>
        <v>6.5765436609426384</v>
      </c>
      <c r="V17" s="28">
        <v>66</v>
      </c>
      <c r="W17" s="77"/>
      <c r="X17" s="77"/>
      <c r="Y17" s="77">
        <f t="shared" si="9"/>
        <v>0</v>
      </c>
      <c r="Z17" s="3"/>
      <c r="AA17" s="3"/>
      <c r="AB17" s="3"/>
    </row>
    <row r="18" spans="1:29" ht="14">
      <c r="A18" s="3" t="s">
        <v>33</v>
      </c>
      <c r="B18" s="3">
        <v>2013</v>
      </c>
      <c r="C18" s="3" t="s">
        <v>154</v>
      </c>
      <c r="D18" s="3">
        <v>8</v>
      </c>
      <c r="E18" s="3">
        <v>250</v>
      </c>
      <c r="F18" s="3" t="s">
        <v>145</v>
      </c>
      <c r="G18" s="3" t="s">
        <v>146</v>
      </c>
      <c r="H18" s="3">
        <v>21396</v>
      </c>
      <c r="I18" s="3">
        <v>21432</v>
      </c>
      <c r="J18" s="3">
        <f t="shared" si="0"/>
        <v>36</v>
      </c>
      <c r="K18" s="3">
        <f t="shared" si="1"/>
        <v>8.82</v>
      </c>
      <c r="L18" s="3">
        <v>141</v>
      </c>
      <c r="M18" s="3" t="s">
        <v>147</v>
      </c>
      <c r="N18" s="3">
        <f t="shared" si="2"/>
        <v>4.4156000000000004</v>
      </c>
      <c r="O18" s="3">
        <f t="shared" si="3"/>
        <v>7.8540000000000001</v>
      </c>
      <c r="P18" s="3">
        <v>36316</v>
      </c>
      <c r="Q18" s="48">
        <f t="shared" si="10"/>
        <v>8224.4768547875701</v>
      </c>
      <c r="R18" s="3">
        <f t="shared" si="11"/>
        <v>8.2244768547875697</v>
      </c>
      <c r="S18" s="3"/>
      <c r="T18" s="3"/>
      <c r="U18" s="28"/>
      <c r="V18" s="28"/>
      <c r="W18" s="77"/>
      <c r="X18" s="77"/>
      <c r="Y18" s="77"/>
      <c r="Z18" s="3"/>
      <c r="AA18" s="3"/>
      <c r="AB18" s="3"/>
    </row>
    <row r="19" spans="1:29" ht="14">
      <c r="A19" s="3" t="s">
        <v>33</v>
      </c>
      <c r="B19" s="3">
        <v>2013</v>
      </c>
      <c r="C19" s="3" t="s">
        <v>154</v>
      </c>
      <c r="D19" s="3">
        <v>5</v>
      </c>
      <c r="E19" s="3">
        <v>250</v>
      </c>
      <c r="F19" s="3" t="s">
        <v>145</v>
      </c>
      <c r="G19" s="3" t="s">
        <v>146</v>
      </c>
      <c r="H19" s="3">
        <v>21768</v>
      </c>
      <c r="I19" s="3">
        <v>21826</v>
      </c>
      <c r="J19" s="3">
        <f t="shared" si="0"/>
        <v>58</v>
      </c>
      <c r="K19" s="3">
        <f t="shared" si="1"/>
        <v>14.209999999999999</v>
      </c>
      <c r="L19" s="3">
        <v>172</v>
      </c>
      <c r="M19" s="3" t="s">
        <v>147</v>
      </c>
      <c r="N19" s="3">
        <f t="shared" si="2"/>
        <v>7.1140222222222222</v>
      </c>
      <c r="O19" s="3">
        <f t="shared" si="3"/>
        <v>12.653666666666666</v>
      </c>
      <c r="P19" s="3">
        <v>120152.7</v>
      </c>
      <c r="Q19" s="48">
        <f t="shared" ref="Q19:Q21" si="14">P19/N19</f>
        <v>16889.559274172134</v>
      </c>
      <c r="R19" s="3">
        <f t="shared" ref="R19:R21" si="15">Q19/1000</f>
        <v>16.889559274172132</v>
      </c>
      <c r="S19" s="3">
        <v>1229.8</v>
      </c>
      <c r="T19" s="3">
        <f t="shared" ref="T19:T21" si="16">S19/N19</f>
        <v>172.86985640253519</v>
      </c>
      <c r="U19" s="28"/>
      <c r="V19" s="28"/>
      <c r="W19" s="77"/>
      <c r="X19" s="77"/>
      <c r="Y19" s="77"/>
      <c r="Z19" s="3"/>
      <c r="AA19" s="3"/>
      <c r="AB19" s="3"/>
    </row>
    <row r="20" spans="1:29" ht="14">
      <c r="A20" s="3" t="s">
        <v>33</v>
      </c>
      <c r="B20" s="3">
        <v>2013</v>
      </c>
      <c r="C20" s="3" t="s">
        <v>154</v>
      </c>
      <c r="D20" s="3">
        <v>4</v>
      </c>
      <c r="E20" s="3">
        <v>250</v>
      </c>
      <c r="F20" s="3" t="s">
        <v>145</v>
      </c>
      <c r="G20" s="3" t="s">
        <v>146</v>
      </c>
      <c r="H20" s="3">
        <v>21826</v>
      </c>
      <c r="I20" s="3">
        <v>21859</v>
      </c>
      <c r="J20" s="3">
        <f t="shared" si="0"/>
        <v>33</v>
      </c>
      <c r="K20" s="3">
        <f t="shared" si="1"/>
        <v>8.0849999999999991</v>
      </c>
      <c r="L20" s="3">
        <v>119</v>
      </c>
      <c r="M20" s="3" t="s">
        <v>147</v>
      </c>
      <c r="N20" s="3">
        <f t="shared" si="2"/>
        <v>4.0476333333333328</v>
      </c>
      <c r="O20" s="3">
        <f t="shared" si="3"/>
        <v>7.1994999999999996</v>
      </c>
      <c r="P20" s="3">
        <v>25787.3</v>
      </c>
      <c r="Q20" s="48">
        <f t="shared" si="14"/>
        <v>6370.9575142675976</v>
      </c>
      <c r="R20" s="3">
        <f t="shared" si="15"/>
        <v>6.370957514267598</v>
      </c>
      <c r="S20" s="3">
        <v>16589.3</v>
      </c>
      <c r="T20" s="3">
        <f t="shared" si="16"/>
        <v>4098.5184758171445</v>
      </c>
      <c r="U20" s="28"/>
      <c r="V20" s="28"/>
      <c r="W20" s="77"/>
      <c r="X20" s="77"/>
      <c r="Y20" s="77"/>
      <c r="Z20" s="3"/>
      <c r="AA20" s="3"/>
      <c r="AB20" s="3"/>
    </row>
    <row r="21" spans="1:29" ht="14">
      <c r="A21" s="3" t="s">
        <v>33</v>
      </c>
      <c r="B21" s="3">
        <v>2013</v>
      </c>
      <c r="C21" s="3" t="s">
        <v>154</v>
      </c>
      <c r="D21" s="3">
        <v>2</v>
      </c>
      <c r="E21" s="3">
        <v>250</v>
      </c>
      <c r="F21" s="3" t="s">
        <v>145</v>
      </c>
      <c r="G21" s="3" t="s">
        <v>146</v>
      </c>
      <c r="H21" s="3">
        <v>21971</v>
      </c>
      <c r="I21" s="3">
        <v>22008</v>
      </c>
      <c r="J21" s="3">
        <f t="shared" si="0"/>
        <v>37</v>
      </c>
      <c r="K21" s="3">
        <f t="shared" si="1"/>
        <v>9.0649999999999995</v>
      </c>
      <c r="L21" s="3" t="s">
        <v>155</v>
      </c>
      <c r="M21" s="3" t="s">
        <v>147</v>
      </c>
      <c r="N21" s="3">
        <f t="shared" si="2"/>
        <v>4.5382555555555548</v>
      </c>
      <c r="O21" s="3">
        <f t="shared" si="3"/>
        <v>8.072166666666666</v>
      </c>
      <c r="P21" s="3">
        <v>48250.5</v>
      </c>
      <c r="Q21" s="48">
        <f t="shared" si="14"/>
        <v>10631.948643996839</v>
      </c>
      <c r="R21" s="3">
        <f t="shared" si="15"/>
        <v>10.631948643996839</v>
      </c>
      <c r="S21" s="3">
        <v>56320.5</v>
      </c>
      <c r="T21" s="3">
        <f t="shared" si="16"/>
        <v>12410.164943456004</v>
      </c>
      <c r="U21" s="28"/>
      <c r="V21" s="28"/>
      <c r="W21" s="77"/>
      <c r="X21" s="77"/>
      <c r="Y21" s="77"/>
      <c r="Z21" s="3"/>
      <c r="AA21" s="3"/>
      <c r="AB21" s="3"/>
    </row>
    <row r="22" spans="1:29" ht="14">
      <c r="A22" s="3" t="s">
        <v>33</v>
      </c>
      <c r="B22" s="3">
        <v>2013</v>
      </c>
      <c r="C22" s="3" t="s">
        <v>154</v>
      </c>
      <c r="D22" s="3">
        <v>8</v>
      </c>
      <c r="E22" s="3">
        <v>1000</v>
      </c>
      <c r="F22" s="3" t="s">
        <v>145</v>
      </c>
      <c r="G22" s="3" t="s">
        <v>146</v>
      </c>
      <c r="H22" s="3">
        <v>21489.9</v>
      </c>
      <c r="I22" s="3">
        <v>21534.799999999999</v>
      </c>
      <c r="J22" s="3">
        <f t="shared" si="0"/>
        <v>44.899999999997817</v>
      </c>
      <c r="K22" s="3">
        <f t="shared" si="1"/>
        <v>11.000499999999464</v>
      </c>
      <c r="L22" s="3">
        <v>122</v>
      </c>
      <c r="M22" s="3" t="s">
        <v>147</v>
      </c>
      <c r="N22" s="3">
        <f t="shared" si="2"/>
        <v>5.507234444444177</v>
      </c>
      <c r="O22" s="3">
        <f t="shared" si="3"/>
        <v>9.7956833333328568</v>
      </c>
      <c r="P22" s="3">
        <v>16</v>
      </c>
      <c r="Q22" s="48"/>
      <c r="R22" s="3"/>
      <c r="S22" s="3"/>
      <c r="T22" s="3"/>
      <c r="U22" s="28">
        <v>0</v>
      </c>
      <c r="V22" s="28">
        <v>0</v>
      </c>
      <c r="W22" s="77">
        <v>15</v>
      </c>
      <c r="X22" s="77">
        <f t="shared" ref="X22:X41" si="17">SUM(W22+V22)</f>
        <v>15</v>
      </c>
      <c r="Y22" s="77">
        <f t="shared" si="9"/>
        <v>1.5312867402479047</v>
      </c>
      <c r="Z22" s="3"/>
      <c r="AA22" s="3"/>
      <c r="AB22" s="80" t="s">
        <v>584</v>
      </c>
    </row>
    <row r="23" spans="1:29" ht="14">
      <c r="A23" s="3" t="s">
        <v>33</v>
      </c>
      <c r="B23" s="3">
        <v>2013</v>
      </c>
      <c r="C23" s="3" t="s">
        <v>154</v>
      </c>
      <c r="D23" s="3">
        <v>5</v>
      </c>
      <c r="E23" s="3">
        <v>1000</v>
      </c>
      <c r="F23" s="3" t="s">
        <v>145</v>
      </c>
      <c r="G23" s="3" t="s">
        <v>146</v>
      </c>
      <c r="H23" s="3">
        <v>21593</v>
      </c>
      <c r="I23" s="3">
        <v>21679.599999999999</v>
      </c>
      <c r="J23" s="3">
        <f t="shared" si="0"/>
        <v>86.599999999998545</v>
      </c>
      <c r="K23" s="3">
        <f t="shared" si="1"/>
        <v>21.216999999999643</v>
      </c>
      <c r="L23" s="3">
        <v>169</v>
      </c>
      <c r="M23" s="3" t="s">
        <v>147</v>
      </c>
      <c r="N23" s="3">
        <f t="shared" si="2"/>
        <v>10.621971111110932</v>
      </c>
      <c r="O23" s="3">
        <f t="shared" si="3"/>
        <v>18.893233333333015</v>
      </c>
      <c r="P23" s="3">
        <v>46</v>
      </c>
      <c r="Q23" s="48"/>
      <c r="R23" s="3"/>
      <c r="S23" s="3"/>
      <c r="T23" s="3"/>
      <c r="U23" s="28">
        <f t="shared" ref="U23:U25" si="18">V23/O23</f>
        <v>1.2173670643987382</v>
      </c>
      <c r="V23" s="28">
        <v>23</v>
      </c>
      <c r="W23" s="77">
        <v>22</v>
      </c>
      <c r="X23" s="77">
        <f t="shared" si="17"/>
        <v>45</v>
      </c>
      <c r="Y23" s="77">
        <f t="shared" si="9"/>
        <v>2.3818051259975315</v>
      </c>
      <c r="Z23" s="3"/>
      <c r="AA23" s="3"/>
      <c r="AB23" s="3"/>
      <c r="AC23" s="90"/>
    </row>
    <row r="24" spans="1:29" ht="14">
      <c r="A24" s="3" t="s">
        <v>33</v>
      </c>
      <c r="B24" s="3">
        <v>2013</v>
      </c>
      <c r="C24" s="3" t="s">
        <v>154</v>
      </c>
      <c r="D24" s="3">
        <v>4</v>
      </c>
      <c r="E24" s="3">
        <v>1000</v>
      </c>
      <c r="F24" s="3" t="s">
        <v>145</v>
      </c>
      <c r="G24" s="3" t="s">
        <v>146</v>
      </c>
      <c r="H24" s="3">
        <v>21857.1</v>
      </c>
      <c r="I24" s="3">
        <v>21886.6</v>
      </c>
      <c r="J24" s="3">
        <f t="shared" si="0"/>
        <v>29.5</v>
      </c>
      <c r="K24" s="3">
        <f t="shared" si="1"/>
        <v>7.2275</v>
      </c>
      <c r="L24" s="3">
        <v>85</v>
      </c>
      <c r="M24" s="3" t="s">
        <v>147</v>
      </c>
      <c r="N24" s="3">
        <f t="shared" si="2"/>
        <v>3.6183388888888892</v>
      </c>
      <c r="O24" s="3">
        <f t="shared" si="3"/>
        <v>6.4359166666666665</v>
      </c>
      <c r="P24" s="3">
        <v>103</v>
      </c>
      <c r="Q24" s="48"/>
      <c r="R24" s="3"/>
      <c r="S24" s="3"/>
      <c r="T24" s="3"/>
      <c r="U24" s="28">
        <f t="shared" si="18"/>
        <v>16.625448330333676</v>
      </c>
      <c r="V24" s="28">
        <v>107</v>
      </c>
      <c r="W24" s="77">
        <v>6</v>
      </c>
      <c r="X24" s="77">
        <f t="shared" si="17"/>
        <v>113</v>
      </c>
      <c r="Y24" s="77">
        <f t="shared" si="9"/>
        <v>17.557716461006592</v>
      </c>
      <c r="Z24" s="3"/>
      <c r="AA24" s="3"/>
      <c r="AB24" s="3" t="s">
        <v>606</v>
      </c>
    </row>
    <row r="25" spans="1:29" ht="14">
      <c r="A25" s="3" t="s">
        <v>33</v>
      </c>
      <c r="B25" s="3">
        <v>2013</v>
      </c>
      <c r="C25" s="3" t="s">
        <v>154</v>
      </c>
      <c r="D25" s="3">
        <v>2</v>
      </c>
      <c r="E25" s="3">
        <v>1000</v>
      </c>
      <c r="F25" s="3" t="s">
        <v>145</v>
      </c>
      <c r="G25" s="3" t="s">
        <v>146</v>
      </c>
      <c r="H25" s="3">
        <v>21888.1</v>
      </c>
      <c r="I25" s="3">
        <v>21931.1</v>
      </c>
      <c r="J25" s="3">
        <f t="shared" si="0"/>
        <v>43</v>
      </c>
      <c r="K25" s="3">
        <f t="shared" si="1"/>
        <v>10.535</v>
      </c>
      <c r="L25" s="3">
        <v>110</v>
      </c>
      <c r="M25" s="3" t="s">
        <v>147</v>
      </c>
      <c r="N25" s="3">
        <f t="shared" si="2"/>
        <v>5.2741888888888893</v>
      </c>
      <c r="O25" s="3">
        <f t="shared" si="3"/>
        <v>9.3811666666666671</v>
      </c>
      <c r="P25" s="3"/>
      <c r="Q25" s="48"/>
      <c r="R25" s="3"/>
      <c r="S25" s="3"/>
      <c r="T25" s="3"/>
      <c r="U25" s="28">
        <f t="shared" si="18"/>
        <v>10.766251532325404</v>
      </c>
      <c r="V25" s="28">
        <v>101</v>
      </c>
      <c r="W25" s="77">
        <v>25</v>
      </c>
      <c r="X25" s="77">
        <f t="shared" si="17"/>
        <v>126</v>
      </c>
      <c r="Y25" s="77">
        <f t="shared" si="9"/>
        <v>13.431165277950504</v>
      </c>
      <c r="Z25" s="3"/>
      <c r="AA25" s="3"/>
      <c r="AB25" s="3" t="s">
        <v>607</v>
      </c>
    </row>
    <row r="26" spans="1:29" ht="14">
      <c r="A26" s="3" t="s">
        <v>34</v>
      </c>
      <c r="B26" s="3">
        <v>2013</v>
      </c>
      <c r="C26" s="3" t="s">
        <v>156</v>
      </c>
      <c r="D26" s="3">
        <v>8</v>
      </c>
      <c r="E26" s="3">
        <v>250</v>
      </c>
      <c r="F26" s="3" t="s">
        <v>145</v>
      </c>
      <c r="G26" s="3" t="s">
        <v>146</v>
      </c>
      <c r="H26" s="3">
        <v>22863</v>
      </c>
      <c r="I26" s="3">
        <v>22886</v>
      </c>
      <c r="J26" s="3">
        <f t="shared" si="0"/>
        <v>23</v>
      </c>
      <c r="K26" s="3">
        <f t="shared" si="1"/>
        <v>5.6349999999999998</v>
      </c>
      <c r="L26" s="3">
        <v>77</v>
      </c>
      <c r="M26" s="3" t="s">
        <v>147</v>
      </c>
      <c r="N26" s="3">
        <f t="shared" si="2"/>
        <v>2.8210777777777776</v>
      </c>
      <c r="O26" s="3">
        <f t="shared" si="3"/>
        <v>5.0178333333333329</v>
      </c>
      <c r="P26" s="3">
        <v>5096</v>
      </c>
      <c r="Q26" s="48">
        <f t="shared" ref="Q26:Q29" si="19">P26/N26</f>
        <v>1806.4018086074275</v>
      </c>
      <c r="R26" s="3">
        <f t="shared" ref="R26:R29" si="20">Q26/1000</f>
        <v>1.8064018086074274</v>
      </c>
      <c r="S26" s="3">
        <v>124.7</v>
      </c>
      <c r="T26" s="3">
        <f t="shared" ref="T26:T29" si="21">S26/N26</f>
        <v>44.202964194141721</v>
      </c>
      <c r="U26" s="28"/>
      <c r="V26" s="28"/>
      <c r="W26" s="77"/>
      <c r="X26" s="77"/>
      <c r="Y26" s="77"/>
      <c r="Z26" s="3"/>
      <c r="AA26" s="3"/>
      <c r="AB26" s="3"/>
    </row>
    <row r="27" spans="1:29" ht="14">
      <c r="A27" s="3" t="s">
        <v>34</v>
      </c>
      <c r="B27" s="3">
        <v>2013</v>
      </c>
      <c r="C27" s="3" t="s">
        <v>156</v>
      </c>
      <c r="D27" s="3">
        <v>5</v>
      </c>
      <c r="E27" s="3">
        <v>250</v>
      </c>
      <c r="F27" s="3" t="s">
        <v>145</v>
      </c>
      <c r="G27" s="3" t="s">
        <v>146</v>
      </c>
      <c r="H27" s="3">
        <v>22889</v>
      </c>
      <c r="I27" s="3">
        <v>22930</v>
      </c>
      <c r="J27" s="3">
        <f t="shared" si="0"/>
        <v>41</v>
      </c>
      <c r="K27" s="3">
        <f t="shared" si="1"/>
        <v>10.045</v>
      </c>
      <c r="L27" s="3">
        <v>44</v>
      </c>
      <c r="M27" s="3" t="s">
        <v>147</v>
      </c>
      <c r="N27" s="3">
        <f t="shared" si="2"/>
        <v>5.0288777777777778</v>
      </c>
      <c r="O27" s="3">
        <f t="shared" si="3"/>
        <v>8.9448333333333334</v>
      </c>
      <c r="P27" s="3">
        <v>48662.13</v>
      </c>
      <c r="Q27" s="48">
        <f t="shared" si="19"/>
        <v>9676.5386136513771</v>
      </c>
      <c r="R27" s="3">
        <f t="shared" si="20"/>
        <v>9.6765386136513776</v>
      </c>
      <c r="S27" s="3">
        <v>689.9</v>
      </c>
      <c r="T27" s="3">
        <f t="shared" si="21"/>
        <v>137.18766501914499</v>
      </c>
      <c r="U27" s="28"/>
      <c r="V27" s="28"/>
      <c r="W27" s="77"/>
      <c r="X27" s="77"/>
      <c r="Y27" s="77"/>
      <c r="Z27" s="3"/>
      <c r="AA27" s="3"/>
      <c r="AB27" s="3"/>
    </row>
    <row r="28" spans="1:29" ht="14">
      <c r="A28" s="3" t="s">
        <v>34</v>
      </c>
      <c r="B28" s="3">
        <v>2013</v>
      </c>
      <c r="C28" s="3" t="s">
        <v>156</v>
      </c>
      <c r="D28" s="3">
        <v>4</v>
      </c>
      <c r="E28" s="3">
        <v>250</v>
      </c>
      <c r="F28" s="3" t="s">
        <v>145</v>
      </c>
      <c r="G28" s="3" t="s">
        <v>146</v>
      </c>
      <c r="H28" s="3">
        <v>22932</v>
      </c>
      <c r="I28" s="3">
        <v>22953</v>
      </c>
      <c r="J28" s="3">
        <f t="shared" si="0"/>
        <v>21</v>
      </c>
      <c r="K28" s="3">
        <f t="shared" si="1"/>
        <v>5.1449999999999996</v>
      </c>
      <c r="L28" s="3">
        <v>72</v>
      </c>
      <c r="M28" s="3" t="s">
        <v>147</v>
      </c>
      <c r="N28" s="3">
        <f t="shared" si="2"/>
        <v>2.5757666666666665</v>
      </c>
      <c r="O28" s="3">
        <f t="shared" si="3"/>
        <v>4.5815000000000001</v>
      </c>
      <c r="P28" s="3">
        <v>17813.3</v>
      </c>
      <c r="Q28" s="48">
        <f t="shared" si="19"/>
        <v>6915.7273562563896</v>
      </c>
      <c r="R28" s="3">
        <f t="shared" si="20"/>
        <v>6.9157273562563892</v>
      </c>
      <c r="S28" s="3">
        <v>96.7</v>
      </c>
      <c r="T28" s="3">
        <f t="shared" si="21"/>
        <v>37.542220439221985</v>
      </c>
      <c r="U28" s="28"/>
      <c r="V28" s="28"/>
      <c r="W28" s="77"/>
      <c r="X28" s="77"/>
      <c r="Y28" s="77"/>
      <c r="Z28" s="3"/>
      <c r="AA28" s="3"/>
      <c r="AB28" s="3"/>
    </row>
    <row r="29" spans="1:29" ht="14">
      <c r="A29" s="3" t="s">
        <v>34</v>
      </c>
      <c r="B29" s="3">
        <v>2013</v>
      </c>
      <c r="C29" s="3" t="s">
        <v>156</v>
      </c>
      <c r="D29" s="3">
        <v>2</v>
      </c>
      <c r="E29" s="3">
        <v>250</v>
      </c>
      <c r="F29" s="3" t="s">
        <v>145</v>
      </c>
      <c r="G29" s="3" t="s">
        <v>146</v>
      </c>
      <c r="H29" s="3">
        <v>22953</v>
      </c>
      <c r="I29" s="3">
        <v>22979</v>
      </c>
      <c r="J29" s="3">
        <f t="shared" si="0"/>
        <v>26</v>
      </c>
      <c r="K29" s="3">
        <f t="shared" si="1"/>
        <v>6.37</v>
      </c>
      <c r="L29" s="3">
        <v>140</v>
      </c>
      <c r="M29" s="3" t="s">
        <v>147</v>
      </c>
      <c r="N29" s="3">
        <f t="shared" si="2"/>
        <v>3.1890444444444443</v>
      </c>
      <c r="O29" s="3">
        <f t="shared" si="3"/>
        <v>5.6723333333333334</v>
      </c>
      <c r="P29" s="3">
        <v>9229.7000000000007</v>
      </c>
      <c r="Q29" s="48">
        <f t="shared" si="19"/>
        <v>2894.1898304612323</v>
      </c>
      <c r="R29" s="3">
        <f t="shared" si="20"/>
        <v>2.8941898304612321</v>
      </c>
      <c r="S29" s="3">
        <v>11.9</v>
      </c>
      <c r="T29" s="3">
        <f t="shared" si="21"/>
        <v>3.7315252914491976</v>
      </c>
      <c r="U29" s="28"/>
      <c r="V29" s="28"/>
      <c r="W29" s="77"/>
      <c r="X29" s="77"/>
      <c r="Y29" s="77"/>
      <c r="Z29" s="3"/>
      <c r="AA29" s="3"/>
      <c r="AB29" s="3"/>
    </row>
    <row r="30" spans="1:29" ht="14">
      <c r="A30" s="8" t="s">
        <v>34</v>
      </c>
      <c r="B30" s="8">
        <v>2013</v>
      </c>
      <c r="C30" s="8" t="s">
        <v>156</v>
      </c>
      <c r="D30" s="8">
        <v>8</v>
      </c>
      <c r="E30" s="8">
        <v>1000</v>
      </c>
      <c r="F30" s="8" t="s">
        <v>145</v>
      </c>
      <c r="G30" s="8" t="s">
        <v>146</v>
      </c>
      <c r="H30" s="8">
        <v>12382.1</v>
      </c>
      <c r="I30" s="8">
        <v>12417.5</v>
      </c>
      <c r="J30" s="8">
        <f t="shared" si="0"/>
        <v>35.399999999999636</v>
      </c>
      <c r="K30" s="8">
        <f t="shared" si="1"/>
        <v>8.6729999999999112</v>
      </c>
      <c r="L30" s="8">
        <v>32</v>
      </c>
      <c r="M30" s="8" t="s">
        <v>147</v>
      </c>
      <c r="N30" s="8">
        <f t="shared" si="2"/>
        <v>4.3420066666666219</v>
      </c>
      <c r="O30" s="8">
        <f t="shared" si="3"/>
        <v>7.7230999999999206</v>
      </c>
      <c r="P30" s="8"/>
      <c r="Q30" s="49"/>
      <c r="R30" s="8"/>
      <c r="S30" s="8"/>
      <c r="T30" s="8"/>
      <c r="U30" s="29">
        <v>0</v>
      </c>
      <c r="V30" s="29">
        <v>0</v>
      </c>
      <c r="W30" s="78"/>
      <c r="X30" s="77"/>
      <c r="Y30" s="77">
        <f t="shared" si="9"/>
        <v>0</v>
      </c>
      <c r="Z30" s="8"/>
      <c r="AA30" s="8"/>
      <c r="AB30" s="8"/>
    </row>
    <row r="31" spans="1:29" ht="14">
      <c r="A31" s="8" t="s">
        <v>34</v>
      </c>
      <c r="B31" s="8">
        <v>2013</v>
      </c>
      <c r="C31" s="8" t="s">
        <v>156</v>
      </c>
      <c r="D31" s="8">
        <v>5</v>
      </c>
      <c r="E31" s="8">
        <v>1000</v>
      </c>
      <c r="F31" s="8" t="s">
        <v>145</v>
      </c>
      <c r="G31" s="8" t="s">
        <v>146</v>
      </c>
      <c r="H31" s="8">
        <v>12238</v>
      </c>
      <c r="I31" s="8">
        <v>12358.4</v>
      </c>
      <c r="J31" s="8">
        <f t="shared" si="0"/>
        <v>120.39999999999964</v>
      </c>
      <c r="K31" s="8">
        <f t="shared" si="1"/>
        <v>29.497999999999909</v>
      </c>
      <c r="L31" s="8">
        <v>164</v>
      </c>
      <c r="M31" s="8" t="s">
        <v>147</v>
      </c>
      <c r="N31" s="8">
        <f t="shared" si="2"/>
        <v>14.767728888888845</v>
      </c>
      <c r="O31" s="8">
        <f t="shared" si="3"/>
        <v>26.267266666666586</v>
      </c>
      <c r="P31" s="8"/>
      <c r="Q31" s="49"/>
      <c r="R31" s="8"/>
      <c r="S31" s="8"/>
      <c r="T31" s="8"/>
      <c r="U31" s="29">
        <v>0</v>
      </c>
      <c r="V31" s="29">
        <v>0</v>
      </c>
      <c r="W31" s="78"/>
      <c r="X31" s="77"/>
      <c r="Y31" s="77">
        <f t="shared" si="9"/>
        <v>0</v>
      </c>
      <c r="Z31" s="8"/>
      <c r="AA31" s="8"/>
      <c r="AB31" s="8"/>
    </row>
    <row r="32" spans="1:29" ht="14">
      <c r="A32" s="8" t="s">
        <v>34</v>
      </c>
      <c r="B32" s="8">
        <v>2013</v>
      </c>
      <c r="C32" s="8" t="s">
        <v>156</v>
      </c>
      <c r="D32" s="8">
        <v>4</v>
      </c>
      <c r="E32" s="8">
        <v>1000</v>
      </c>
      <c r="F32" s="8" t="s">
        <v>145</v>
      </c>
      <c r="G32" s="8" t="s">
        <v>146</v>
      </c>
      <c r="H32" s="8">
        <v>12358.6</v>
      </c>
      <c r="I32" s="8">
        <v>12382.1</v>
      </c>
      <c r="J32" s="8">
        <f t="shared" si="0"/>
        <v>23.5</v>
      </c>
      <c r="K32" s="8">
        <f t="shared" si="1"/>
        <v>5.7575000000000003</v>
      </c>
      <c r="L32" s="8">
        <v>184</v>
      </c>
      <c r="M32" s="8" t="s">
        <v>147</v>
      </c>
      <c r="N32" s="8">
        <f t="shared" si="2"/>
        <v>2.8824055555555557</v>
      </c>
      <c r="O32" s="8">
        <f t="shared" si="3"/>
        <v>5.1269166666666663</v>
      </c>
      <c r="P32" s="8"/>
      <c r="Q32" s="49"/>
      <c r="R32" s="8"/>
      <c r="S32" s="8"/>
      <c r="T32" s="8"/>
      <c r="U32" s="29">
        <f t="shared" ref="U32:U33" si="22">V32/O32</f>
        <v>0.78019602425109313</v>
      </c>
      <c r="V32" s="29">
        <v>4</v>
      </c>
      <c r="W32" s="78"/>
      <c r="X32" s="77"/>
      <c r="Y32" s="77">
        <f t="shared" si="9"/>
        <v>0</v>
      </c>
      <c r="Z32" s="8"/>
      <c r="AA32" s="8"/>
      <c r="AB32" s="8"/>
    </row>
    <row r="33" spans="1:28" ht="14">
      <c r="A33" s="3" t="s">
        <v>34</v>
      </c>
      <c r="B33" s="3">
        <v>2013</v>
      </c>
      <c r="C33" s="3" t="s">
        <v>156</v>
      </c>
      <c r="D33" s="3">
        <v>2</v>
      </c>
      <c r="E33" s="3">
        <v>1000</v>
      </c>
      <c r="F33" s="3" t="s">
        <v>145</v>
      </c>
      <c r="G33" s="3" t="s">
        <v>146</v>
      </c>
      <c r="H33" s="3">
        <v>12382.1</v>
      </c>
      <c r="I33" s="3">
        <v>12417.5</v>
      </c>
      <c r="J33" s="3">
        <f t="shared" si="0"/>
        <v>35.399999999999636</v>
      </c>
      <c r="K33" s="3">
        <f t="shared" si="1"/>
        <v>8.6729999999999112</v>
      </c>
      <c r="L33" s="3">
        <v>95</v>
      </c>
      <c r="M33" s="3" t="s">
        <v>147</v>
      </c>
      <c r="N33" s="3">
        <f t="shared" si="2"/>
        <v>4.3420066666666219</v>
      </c>
      <c r="O33" s="3">
        <f t="shared" si="3"/>
        <v>7.7230999999999206</v>
      </c>
      <c r="P33" s="3"/>
      <c r="Q33" s="48"/>
      <c r="R33" s="3"/>
      <c r="S33" s="3"/>
      <c r="T33" s="3"/>
      <c r="U33" s="28">
        <f t="shared" si="22"/>
        <v>0.38844505444705246</v>
      </c>
      <c r="V33" s="28">
        <v>3</v>
      </c>
      <c r="W33" s="77"/>
      <c r="X33" s="77"/>
      <c r="Y33" s="77">
        <f t="shared" si="9"/>
        <v>0</v>
      </c>
      <c r="Z33" s="3"/>
      <c r="AA33" s="3"/>
      <c r="AB33" s="3"/>
    </row>
    <row r="34" spans="1:28" ht="14">
      <c r="A34" s="3" t="s">
        <v>35</v>
      </c>
      <c r="B34" s="3">
        <v>2013</v>
      </c>
      <c r="C34" s="3" t="s">
        <v>157</v>
      </c>
      <c r="D34" s="3">
        <v>8</v>
      </c>
      <c r="E34" s="3">
        <v>250</v>
      </c>
      <c r="F34" s="3" t="s">
        <v>145</v>
      </c>
      <c r="G34" s="3" t="s">
        <v>146</v>
      </c>
      <c r="H34" s="3">
        <v>25623</v>
      </c>
      <c r="I34" s="3">
        <v>25655</v>
      </c>
      <c r="J34" s="3">
        <f t="shared" si="0"/>
        <v>32</v>
      </c>
      <c r="K34" s="3">
        <f t="shared" si="1"/>
        <v>7.84</v>
      </c>
      <c r="L34" s="3">
        <v>86</v>
      </c>
      <c r="M34" s="3" t="s">
        <v>147</v>
      </c>
      <c r="N34" s="3">
        <f t="shared" si="2"/>
        <v>3.9249777777777779</v>
      </c>
      <c r="O34" s="3">
        <f t="shared" si="3"/>
        <v>6.9813333333333336</v>
      </c>
      <c r="P34" s="3">
        <v>12320</v>
      </c>
      <c r="Q34" s="48">
        <f t="shared" ref="Q34:Q37" si="23">P34/N34</f>
        <v>3138.8712745719722</v>
      </c>
      <c r="R34" s="3">
        <f t="shared" ref="R34:R37" si="24">Q34/1000</f>
        <v>3.1388712745719722</v>
      </c>
      <c r="S34" s="3">
        <v>200</v>
      </c>
      <c r="T34" s="3">
        <f t="shared" ref="T34:T37" si="25">S34/N34</f>
        <v>50.95570250928526</v>
      </c>
      <c r="U34" s="28"/>
      <c r="V34" s="28"/>
      <c r="W34" s="77"/>
      <c r="X34" s="77"/>
      <c r="Y34" s="77"/>
      <c r="Z34" s="3"/>
      <c r="AA34" s="3"/>
      <c r="AB34" s="3"/>
    </row>
    <row r="35" spans="1:28" ht="14">
      <c r="A35" s="3" t="s">
        <v>35</v>
      </c>
      <c r="B35" s="3">
        <v>2013</v>
      </c>
      <c r="C35" s="3" t="s">
        <v>157</v>
      </c>
      <c r="D35" s="3">
        <v>5</v>
      </c>
      <c r="E35" s="3">
        <v>250</v>
      </c>
      <c r="F35" s="3" t="s">
        <v>145</v>
      </c>
      <c r="G35" s="3" t="s">
        <v>146</v>
      </c>
      <c r="H35" s="3">
        <v>25691</v>
      </c>
      <c r="I35" s="3">
        <v>25736</v>
      </c>
      <c r="J35" s="3">
        <f t="shared" si="0"/>
        <v>45</v>
      </c>
      <c r="K35" s="3">
        <f t="shared" si="1"/>
        <v>11.025</v>
      </c>
      <c r="L35" s="3">
        <v>71</v>
      </c>
      <c r="M35" s="3" t="s">
        <v>147</v>
      </c>
      <c r="N35" s="3">
        <f t="shared" si="2"/>
        <v>5.5194999999999999</v>
      </c>
      <c r="O35" s="3">
        <f t="shared" si="3"/>
        <v>9.817499999999999</v>
      </c>
      <c r="P35" s="3">
        <v>39988</v>
      </c>
      <c r="Q35" s="48">
        <f t="shared" si="23"/>
        <v>7244.8591357912856</v>
      </c>
      <c r="R35" s="3">
        <f t="shared" si="24"/>
        <v>7.2448591357912857</v>
      </c>
      <c r="S35" s="3">
        <v>1040</v>
      </c>
      <c r="T35" s="3">
        <f t="shared" si="25"/>
        <v>188.42286438989041</v>
      </c>
      <c r="U35" s="28"/>
      <c r="V35" s="28"/>
      <c r="W35" s="77"/>
      <c r="X35" s="77"/>
      <c r="Y35" s="77"/>
      <c r="Z35" s="3"/>
      <c r="AA35" s="3"/>
      <c r="AB35" s="3"/>
    </row>
    <row r="36" spans="1:28" ht="14">
      <c r="A36" s="3" t="s">
        <v>35</v>
      </c>
      <c r="B36" s="3">
        <v>2013</v>
      </c>
      <c r="C36" s="3" t="s">
        <v>157</v>
      </c>
      <c r="D36" s="3">
        <v>4</v>
      </c>
      <c r="E36" s="3">
        <v>250</v>
      </c>
      <c r="F36" s="3" t="s">
        <v>145</v>
      </c>
      <c r="G36" s="3" t="s">
        <v>146</v>
      </c>
      <c r="H36" s="3">
        <v>25738</v>
      </c>
      <c r="I36" s="3">
        <v>25758</v>
      </c>
      <c r="J36" s="3">
        <f t="shared" si="0"/>
        <v>20</v>
      </c>
      <c r="K36" s="3">
        <f t="shared" si="1"/>
        <v>4.9000000000000004</v>
      </c>
      <c r="L36" s="3">
        <v>89</v>
      </c>
      <c r="M36" s="3" t="s">
        <v>147</v>
      </c>
      <c r="N36" s="3">
        <f t="shared" si="2"/>
        <v>2.4531111111111112</v>
      </c>
      <c r="O36" s="3">
        <f t="shared" si="3"/>
        <v>4.3633333333333333</v>
      </c>
      <c r="P36" s="3">
        <v>15589</v>
      </c>
      <c r="Q36" s="48">
        <f t="shared" si="23"/>
        <v>6354.7875713379835</v>
      </c>
      <c r="R36" s="3">
        <f t="shared" si="24"/>
        <v>6.3547875713379831</v>
      </c>
      <c r="S36" s="3">
        <v>296</v>
      </c>
      <c r="T36" s="3">
        <f t="shared" si="25"/>
        <v>120.6631035419875</v>
      </c>
      <c r="U36" s="28"/>
      <c r="V36" s="28"/>
      <c r="W36" s="77"/>
      <c r="X36" s="77"/>
      <c r="Y36" s="77"/>
      <c r="Z36" s="3"/>
      <c r="AA36" s="3"/>
      <c r="AB36" s="3"/>
    </row>
    <row r="37" spans="1:28" ht="14">
      <c r="A37" s="3" t="s">
        <v>35</v>
      </c>
      <c r="B37" s="3">
        <v>2013</v>
      </c>
      <c r="C37" s="3" t="s">
        <v>157</v>
      </c>
      <c r="D37" s="3">
        <v>2</v>
      </c>
      <c r="E37" s="3">
        <v>250</v>
      </c>
      <c r="F37" s="3" t="s">
        <v>145</v>
      </c>
      <c r="G37" s="3" t="s">
        <v>146</v>
      </c>
      <c r="H37" s="3">
        <v>25759</v>
      </c>
      <c r="I37" s="3">
        <v>25815</v>
      </c>
      <c r="J37" s="3">
        <f t="shared" si="0"/>
        <v>56</v>
      </c>
      <c r="K37" s="3">
        <f t="shared" si="1"/>
        <v>13.719999999999999</v>
      </c>
      <c r="L37" s="3" t="s">
        <v>158</v>
      </c>
      <c r="M37" s="3" t="s">
        <v>147</v>
      </c>
      <c r="N37" s="3">
        <f t="shared" si="2"/>
        <v>6.8687111111111108</v>
      </c>
      <c r="O37" s="3">
        <f t="shared" si="3"/>
        <v>12.217333333333332</v>
      </c>
      <c r="P37" s="3">
        <v>17681</v>
      </c>
      <c r="Q37" s="48">
        <f t="shared" si="23"/>
        <v>2574.1365030476363</v>
      </c>
      <c r="R37" s="3">
        <f t="shared" si="24"/>
        <v>2.5741365030476362</v>
      </c>
      <c r="S37" s="3">
        <v>25335</v>
      </c>
      <c r="T37" s="3">
        <f t="shared" si="25"/>
        <v>3688.4649230649775</v>
      </c>
      <c r="U37" s="28"/>
      <c r="V37" s="28"/>
      <c r="W37" s="77"/>
      <c r="X37" s="77"/>
      <c r="Y37" s="77"/>
      <c r="Z37" s="3"/>
      <c r="AA37" s="3"/>
      <c r="AB37" s="3"/>
    </row>
    <row r="38" spans="1:28" ht="14">
      <c r="A38" s="3" t="s">
        <v>35</v>
      </c>
      <c r="B38" s="3">
        <v>2013</v>
      </c>
      <c r="C38" s="3" t="s">
        <v>157</v>
      </c>
      <c r="D38" s="3">
        <v>8</v>
      </c>
      <c r="E38" s="3">
        <v>1000</v>
      </c>
      <c r="F38" s="3" t="s">
        <v>145</v>
      </c>
      <c r="G38" s="3" t="s">
        <v>146</v>
      </c>
      <c r="H38" s="3">
        <v>12467.1</v>
      </c>
      <c r="I38" s="3">
        <v>12515.2</v>
      </c>
      <c r="J38" s="3">
        <f t="shared" si="0"/>
        <v>48.100000000000364</v>
      </c>
      <c r="K38" s="3">
        <f t="shared" si="1"/>
        <v>11.784500000000088</v>
      </c>
      <c r="L38" s="3">
        <v>87</v>
      </c>
      <c r="M38" s="3" t="s">
        <v>147</v>
      </c>
      <c r="N38" s="3">
        <f t="shared" si="2"/>
        <v>5.8997322222222666</v>
      </c>
      <c r="O38" s="3">
        <f t="shared" si="3"/>
        <v>10.493816666666746</v>
      </c>
      <c r="P38" s="3">
        <v>7</v>
      </c>
      <c r="Q38" s="48">
        <f t="shared" ref="Q38:Q41" si="26">P38/O38</f>
        <v>0.66705949058889735</v>
      </c>
      <c r="R38" s="3"/>
      <c r="S38" s="3"/>
      <c r="T38" s="3"/>
      <c r="U38" s="28">
        <f t="shared" ref="U38:U41" si="27">V38/O38</f>
        <v>0</v>
      </c>
      <c r="V38" s="28">
        <v>0</v>
      </c>
      <c r="W38" s="77">
        <v>1</v>
      </c>
      <c r="X38" s="77">
        <f t="shared" si="17"/>
        <v>1</v>
      </c>
      <c r="Y38" s="77">
        <f t="shared" si="9"/>
        <v>9.529421294127105E-2</v>
      </c>
      <c r="Z38" s="3"/>
      <c r="AA38" s="3"/>
      <c r="AB38" s="80" t="s">
        <v>586</v>
      </c>
    </row>
    <row r="39" spans="1:28" ht="14">
      <c r="A39" s="3" t="s">
        <v>35</v>
      </c>
      <c r="B39" s="3">
        <v>2013</v>
      </c>
      <c r="C39" s="3" t="s">
        <v>157</v>
      </c>
      <c r="D39" s="3">
        <v>5</v>
      </c>
      <c r="E39" s="3">
        <v>1000</v>
      </c>
      <c r="F39" s="3" t="s">
        <v>145</v>
      </c>
      <c r="G39" s="3" t="s">
        <v>146</v>
      </c>
      <c r="H39" s="3">
        <v>12570.9</v>
      </c>
      <c r="I39" s="3">
        <v>12651.4</v>
      </c>
      <c r="J39" s="3">
        <f t="shared" si="0"/>
        <v>80.5</v>
      </c>
      <c r="K39" s="3">
        <f t="shared" si="1"/>
        <v>19.7225</v>
      </c>
      <c r="L39" s="3">
        <v>83</v>
      </c>
      <c r="M39" s="3" t="s">
        <v>147</v>
      </c>
      <c r="N39" s="3">
        <f t="shared" si="2"/>
        <v>9.8737722222222217</v>
      </c>
      <c r="O39" s="3">
        <f t="shared" si="3"/>
        <v>17.562416666666667</v>
      </c>
      <c r="P39" s="3">
        <v>65</v>
      </c>
      <c r="Q39" s="48">
        <f t="shared" si="26"/>
        <v>3.7010851771538653</v>
      </c>
      <c r="R39" s="3"/>
      <c r="S39" s="3"/>
      <c r="T39" s="3"/>
      <c r="U39" s="28">
        <f t="shared" si="27"/>
        <v>0.91103635129941296</v>
      </c>
      <c r="V39" s="28">
        <v>16</v>
      </c>
      <c r="W39" s="77">
        <v>25</v>
      </c>
      <c r="X39" s="77">
        <f t="shared" si="17"/>
        <v>41</v>
      </c>
      <c r="Y39" s="77">
        <f t="shared" si="9"/>
        <v>2.334530650204746</v>
      </c>
      <c r="Z39" s="3"/>
      <c r="AA39" s="3"/>
      <c r="AB39" s="3"/>
    </row>
    <row r="40" spans="1:28" ht="14">
      <c r="A40" s="3" t="s">
        <v>35</v>
      </c>
      <c r="B40" s="3">
        <v>2013</v>
      </c>
      <c r="C40" s="3" t="s">
        <v>157</v>
      </c>
      <c r="D40" s="3">
        <v>4</v>
      </c>
      <c r="E40" s="3">
        <v>1000</v>
      </c>
      <c r="F40" s="3" t="s">
        <v>145</v>
      </c>
      <c r="G40" s="3" t="s">
        <v>146</v>
      </c>
      <c r="H40" s="3">
        <v>12725.5</v>
      </c>
      <c r="I40" s="3">
        <v>12759.6</v>
      </c>
      <c r="J40" s="3">
        <f t="shared" si="0"/>
        <v>34.100000000000364</v>
      </c>
      <c r="K40" s="3">
        <f t="shared" si="1"/>
        <v>8.3545000000000886</v>
      </c>
      <c r="L40" s="3">
        <v>130</v>
      </c>
      <c r="M40" s="3" t="s">
        <v>147</v>
      </c>
      <c r="N40" s="3">
        <f t="shared" si="2"/>
        <v>4.1825544444444889</v>
      </c>
      <c r="O40" s="3">
        <f t="shared" si="3"/>
        <v>7.4394833333334125</v>
      </c>
      <c r="P40" s="3">
        <v>521</v>
      </c>
      <c r="Q40" s="48">
        <f t="shared" si="26"/>
        <v>70.031745036056861</v>
      </c>
      <c r="R40" s="3"/>
      <c r="S40" s="3"/>
      <c r="T40" s="3"/>
      <c r="U40" s="28">
        <f t="shared" si="27"/>
        <v>68.687565668762105</v>
      </c>
      <c r="V40" s="28">
        <v>511</v>
      </c>
      <c r="W40" s="77">
        <v>11</v>
      </c>
      <c r="X40" s="77">
        <f t="shared" si="17"/>
        <v>522</v>
      </c>
      <c r="Y40" s="77">
        <f t="shared" si="9"/>
        <v>70.166162972786339</v>
      </c>
      <c r="Z40" s="3"/>
      <c r="AA40" s="3"/>
      <c r="AB40" s="3"/>
    </row>
    <row r="41" spans="1:28" ht="14">
      <c r="A41" s="3" t="s">
        <v>35</v>
      </c>
      <c r="B41" s="3">
        <v>2013</v>
      </c>
      <c r="C41" s="3" t="s">
        <v>157</v>
      </c>
      <c r="D41" s="3">
        <v>2</v>
      </c>
      <c r="E41" s="3">
        <v>1000</v>
      </c>
      <c r="F41" s="3" t="s">
        <v>145</v>
      </c>
      <c r="G41" s="3" t="s">
        <v>146</v>
      </c>
      <c r="H41" s="3">
        <v>12759.5</v>
      </c>
      <c r="I41" s="3">
        <v>12807.3</v>
      </c>
      <c r="J41" s="3">
        <f t="shared" si="0"/>
        <v>47.799999999999272</v>
      </c>
      <c r="K41" s="3">
        <f t="shared" si="1"/>
        <v>11.710999999999821</v>
      </c>
      <c r="L41" s="3">
        <v>75</v>
      </c>
      <c r="M41" s="3" t="s">
        <v>147</v>
      </c>
      <c r="N41" s="3">
        <f t="shared" si="2"/>
        <v>5.8629355555554667</v>
      </c>
      <c r="O41" s="3">
        <f t="shared" si="3"/>
        <v>10.428366666666507</v>
      </c>
      <c r="P41" s="3">
        <v>246</v>
      </c>
      <c r="Q41" s="48">
        <f t="shared" si="26"/>
        <v>23.589504268805637</v>
      </c>
      <c r="R41" s="3"/>
      <c r="S41" s="3"/>
      <c r="T41" s="3"/>
      <c r="U41" s="28">
        <f t="shared" si="27"/>
        <v>23.301827387478742</v>
      </c>
      <c r="V41" s="28">
        <v>243</v>
      </c>
      <c r="W41" s="77">
        <v>1</v>
      </c>
      <c r="X41" s="77">
        <f t="shared" si="17"/>
        <v>244</v>
      </c>
      <c r="Y41" s="77">
        <f t="shared" si="9"/>
        <v>23.397719681254372</v>
      </c>
      <c r="Z41" s="3"/>
      <c r="AA41" s="3"/>
      <c r="AB41" s="3"/>
    </row>
    <row r="42" spans="1:28" ht="14">
      <c r="A42" s="3" t="s">
        <v>37</v>
      </c>
      <c r="B42" s="3">
        <v>2013</v>
      </c>
      <c r="C42" s="3" t="s">
        <v>159</v>
      </c>
      <c r="D42" s="3">
        <v>8</v>
      </c>
      <c r="E42" s="3">
        <v>250</v>
      </c>
      <c r="F42" s="3" t="s">
        <v>145</v>
      </c>
      <c r="G42" s="3" t="s">
        <v>146</v>
      </c>
      <c r="H42" s="3">
        <v>28484</v>
      </c>
      <c r="I42" s="3">
        <v>28519</v>
      </c>
      <c r="J42" s="3">
        <f t="shared" si="0"/>
        <v>35</v>
      </c>
      <c r="K42" s="3">
        <f t="shared" si="1"/>
        <v>8.5749999999999993</v>
      </c>
      <c r="L42" s="3">
        <v>178</v>
      </c>
      <c r="M42" s="3" t="s">
        <v>147</v>
      </c>
      <c r="N42" s="3">
        <f t="shared" si="2"/>
        <v>4.2929444444444442</v>
      </c>
      <c r="O42" s="3">
        <f t="shared" si="3"/>
        <v>7.6358333333333324</v>
      </c>
      <c r="P42" s="3">
        <v>6473</v>
      </c>
      <c r="Q42" s="48">
        <f t="shared" ref="Q42:Q45" si="28">P42/N42</f>
        <v>1507.8229135661875</v>
      </c>
      <c r="R42" s="3">
        <f t="shared" ref="R42:R45" si="29">Q42/1000</f>
        <v>1.5078229135661876</v>
      </c>
      <c r="S42" s="3">
        <v>162</v>
      </c>
      <c r="T42" s="3">
        <f t="shared" ref="T42:T45" si="30">S42/N42</f>
        <v>37.736337401162118</v>
      </c>
      <c r="U42" s="28"/>
      <c r="V42" s="28"/>
      <c r="W42" s="77"/>
      <c r="X42" s="77"/>
      <c r="Y42" s="77"/>
      <c r="Z42" s="3"/>
      <c r="AA42" s="3"/>
      <c r="AB42" s="3"/>
    </row>
    <row r="43" spans="1:28" ht="14">
      <c r="A43" s="3" t="s">
        <v>37</v>
      </c>
      <c r="B43" s="3">
        <v>2013</v>
      </c>
      <c r="C43" s="3" t="s">
        <v>159</v>
      </c>
      <c r="D43" s="3">
        <v>5</v>
      </c>
      <c r="E43" s="3">
        <v>250</v>
      </c>
      <c r="F43" s="3" t="s">
        <v>145</v>
      </c>
      <c r="G43" s="3" t="s">
        <v>146</v>
      </c>
      <c r="H43" s="3">
        <v>28564</v>
      </c>
      <c r="I43" s="3">
        <v>28660</v>
      </c>
      <c r="J43" s="3">
        <f t="shared" si="0"/>
        <v>96</v>
      </c>
      <c r="K43" s="3">
        <f t="shared" si="1"/>
        <v>23.52</v>
      </c>
      <c r="L43" s="3">
        <v>114</v>
      </c>
      <c r="M43" s="3" t="s">
        <v>147</v>
      </c>
      <c r="N43" s="3">
        <f t="shared" si="2"/>
        <v>11.774933333333333</v>
      </c>
      <c r="O43" s="3">
        <f t="shared" si="3"/>
        <v>20.943999999999999</v>
      </c>
      <c r="P43" s="3">
        <v>30946.7</v>
      </c>
      <c r="Q43" s="48">
        <f t="shared" si="28"/>
        <v>2628.1847314068305</v>
      </c>
      <c r="R43" s="3">
        <f t="shared" si="29"/>
        <v>2.6281847314068303</v>
      </c>
      <c r="S43" s="3">
        <v>3886.7</v>
      </c>
      <c r="T43" s="3">
        <f t="shared" si="30"/>
        <v>330.08254823806504</v>
      </c>
      <c r="U43" s="28"/>
      <c r="V43" s="28"/>
      <c r="W43" s="77"/>
      <c r="X43" s="77"/>
      <c r="Y43" s="77"/>
      <c r="Z43" s="3"/>
      <c r="AA43" s="3"/>
      <c r="AB43" s="3"/>
    </row>
    <row r="44" spans="1:28" ht="14">
      <c r="A44" s="3" t="s">
        <v>37</v>
      </c>
      <c r="B44" s="3">
        <v>2013</v>
      </c>
      <c r="C44" s="3" t="s">
        <v>159</v>
      </c>
      <c r="D44" s="3">
        <v>4</v>
      </c>
      <c r="E44" s="3">
        <v>250</v>
      </c>
      <c r="F44" s="3" t="s">
        <v>145</v>
      </c>
      <c r="G44" s="3" t="s">
        <v>146</v>
      </c>
      <c r="H44" s="3">
        <v>28752</v>
      </c>
      <c r="I44" s="3">
        <v>28789</v>
      </c>
      <c r="J44" s="3">
        <f t="shared" si="0"/>
        <v>37</v>
      </c>
      <c r="K44" s="3">
        <f t="shared" si="1"/>
        <v>9.0649999999999995</v>
      </c>
      <c r="L44" s="3">
        <v>161</v>
      </c>
      <c r="M44" s="3" t="s">
        <v>147</v>
      </c>
      <c r="N44" s="3">
        <f t="shared" si="2"/>
        <v>4.5382555555555548</v>
      </c>
      <c r="O44" s="3">
        <f t="shared" si="3"/>
        <v>8.072166666666666</v>
      </c>
      <c r="P44" s="3">
        <v>5819</v>
      </c>
      <c r="Q44" s="48">
        <f t="shared" si="28"/>
        <v>1282.2107368714853</v>
      </c>
      <c r="R44" s="3">
        <f t="shared" si="29"/>
        <v>1.2822107368714852</v>
      </c>
      <c r="S44" s="3">
        <v>4255</v>
      </c>
      <c r="T44" s="3">
        <f t="shared" si="30"/>
        <v>937.58492617084892</v>
      </c>
      <c r="U44" s="28"/>
      <c r="V44" s="28"/>
      <c r="W44" s="77"/>
      <c r="X44" s="77"/>
      <c r="Y44" s="77"/>
      <c r="Z44" s="3"/>
      <c r="AA44" s="3"/>
      <c r="AB44" s="3"/>
    </row>
    <row r="45" spans="1:28" ht="14">
      <c r="A45" s="3" t="s">
        <v>37</v>
      </c>
      <c r="B45" s="3">
        <v>2013</v>
      </c>
      <c r="C45" s="3" t="s">
        <v>159</v>
      </c>
      <c r="D45" s="3">
        <v>2</v>
      </c>
      <c r="E45" s="3">
        <v>250</v>
      </c>
      <c r="F45" s="3" t="s">
        <v>145</v>
      </c>
      <c r="G45" s="3" t="s">
        <v>146</v>
      </c>
      <c r="H45" s="3">
        <v>28789</v>
      </c>
      <c r="I45" s="3">
        <v>28834</v>
      </c>
      <c r="J45" s="3">
        <f t="shared" si="0"/>
        <v>45</v>
      </c>
      <c r="K45" s="3">
        <f t="shared" si="1"/>
        <v>11.025</v>
      </c>
      <c r="L45" s="3">
        <v>126</v>
      </c>
      <c r="M45" s="3" t="s">
        <v>147</v>
      </c>
      <c r="N45" s="3">
        <f t="shared" si="2"/>
        <v>5.5194999999999999</v>
      </c>
      <c r="O45" s="3">
        <f t="shared" si="3"/>
        <v>9.817499999999999</v>
      </c>
      <c r="P45" s="3">
        <v>13915.7</v>
      </c>
      <c r="Q45" s="48">
        <f t="shared" si="28"/>
        <v>2521.1885134523059</v>
      </c>
      <c r="R45" s="3">
        <f t="shared" si="29"/>
        <v>2.521188513452306</v>
      </c>
      <c r="S45" s="3">
        <v>18838</v>
      </c>
      <c r="T45" s="3">
        <f t="shared" si="30"/>
        <v>3412.9903070930341</v>
      </c>
      <c r="U45" s="28"/>
      <c r="V45" s="28"/>
      <c r="W45" s="77"/>
      <c r="X45" s="77"/>
      <c r="Y45" s="77"/>
      <c r="Z45" s="3"/>
      <c r="AA45" s="3"/>
      <c r="AB45" s="3"/>
    </row>
    <row r="46" spans="1:28" ht="14">
      <c r="A46" s="3" t="s">
        <v>37</v>
      </c>
      <c r="B46" s="3">
        <v>2013</v>
      </c>
      <c r="C46" s="3" t="s">
        <v>159</v>
      </c>
      <c r="D46" s="3">
        <v>8</v>
      </c>
      <c r="E46" s="3">
        <v>1000</v>
      </c>
      <c r="F46" s="3" t="s">
        <v>145</v>
      </c>
      <c r="G46" s="3" t="s">
        <v>146</v>
      </c>
      <c r="H46" s="3">
        <v>12853.2</v>
      </c>
      <c r="I46" s="3">
        <v>12899.2</v>
      </c>
      <c r="J46" s="3">
        <f t="shared" si="0"/>
        <v>46</v>
      </c>
      <c r="K46" s="3">
        <f t="shared" si="1"/>
        <v>11.27</v>
      </c>
      <c r="L46" s="3">
        <v>108</v>
      </c>
      <c r="M46" s="3" t="s">
        <v>147</v>
      </c>
      <c r="N46" s="3">
        <f t="shared" si="2"/>
        <v>5.6421555555555551</v>
      </c>
      <c r="O46" s="3">
        <f t="shared" si="3"/>
        <v>10.035666666666666</v>
      </c>
      <c r="P46" s="3"/>
      <c r="Q46" s="48"/>
      <c r="R46" s="3"/>
      <c r="S46" s="3"/>
      <c r="T46" s="3"/>
      <c r="U46" s="28">
        <v>0</v>
      </c>
      <c r="V46" s="28">
        <v>0</v>
      </c>
      <c r="W46" s="77"/>
      <c r="X46" s="77"/>
      <c r="Y46" s="77">
        <f t="shared" si="9"/>
        <v>0</v>
      </c>
      <c r="Z46" s="3"/>
      <c r="AA46" s="3"/>
      <c r="AB46" s="3"/>
    </row>
    <row r="47" spans="1:28" ht="14">
      <c r="A47" s="3" t="s">
        <v>37</v>
      </c>
      <c r="B47" s="3">
        <v>2013</v>
      </c>
      <c r="C47" s="3" t="s">
        <v>159</v>
      </c>
      <c r="D47" s="3">
        <v>5</v>
      </c>
      <c r="E47" s="3">
        <v>1000</v>
      </c>
      <c r="F47" s="3" t="s">
        <v>145</v>
      </c>
      <c r="G47" s="3" t="s">
        <v>146</v>
      </c>
      <c r="H47" s="3">
        <v>12940.5</v>
      </c>
      <c r="I47" s="3">
        <v>13019.9</v>
      </c>
      <c r="J47" s="3">
        <f t="shared" si="0"/>
        <v>79.399999999999636</v>
      </c>
      <c r="K47" s="3">
        <f t="shared" si="1"/>
        <v>19.452999999999911</v>
      </c>
      <c r="L47" s="3">
        <v>143</v>
      </c>
      <c r="M47" s="3" t="s">
        <v>147</v>
      </c>
      <c r="N47" s="3">
        <f t="shared" si="2"/>
        <v>9.7388511111110656</v>
      </c>
      <c r="O47" s="3">
        <f t="shared" si="3"/>
        <v>17.322433333333255</v>
      </c>
      <c r="P47" s="3"/>
      <c r="Q47" s="48"/>
      <c r="R47" s="3"/>
      <c r="S47" s="3"/>
      <c r="T47" s="3"/>
      <c r="U47" s="28">
        <f t="shared" ref="U47:U49" si="31">V47/O47</f>
        <v>6.8119759925953742</v>
      </c>
      <c r="V47" s="28">
        <v>118</v>
      </c>
      <c r="W47" s="77"/>
      <c r="X47" s="77"/>
      <c r="Y47" s="77">
        <f t="shared" si="9"/>
        <v>0</v>
      </c>
      <c r="Z47" s="3"/>
      <c r="AA47" s="3"/>
      <c r="AB47" s="3"/>
    </row>
    <row r="48" spans="1:28" ht="14">
      <c r="A48" s="3" t="s">
        <v>37</v>
      </c>
      <c r="B48" s="3">
        <v>2013</v>
      </c>
      <c r="C48" s="3" t="s">
        <v>159</v>
      </c>
      <c r="D48" s="3">
        <v>4</v>
      </c>
      <c r="E48" s="3">
        <v>1000</v>
      </c>
      <c r="F48" s="3" t="s">
        <v>145</v>
      </c>
      <c r="G48" s="3" t="s">
        <v>146</v>
      </c>
      <c r="H48" s="3">
        <v>13204.2</v>
      </c>
      <c r="I48" s="3">
        <v>13250.3</v>
      </c>
      <c r="J48" s="3">
        <f t="shared" si="0"/>
        <v>46.099999999998545</v>
      </c>
      <c r="K48" s="3">
        <f t="shared" si="1"/>
        <v>11.294499999999644</v>
      </c>
      <c r="L48" s="3">
        <v>107</v>
      </c>
      <c r="M48" s="3" t="s">
        <v>147</v>
      </c>
      <c r="N48" s="3">
        <f t="shared" si="2"/>
        <v>5.6544211111109322</v>
      </c>
      <c r="O48" s="3">
        <f t="shared" si="3"/>
        <v>10.057483333333014</v>
      </c>
      <c r="P48" s="3"/>
      <c r="Q48" s="48"/>
      <c r="R48" s="3"/>
      <c r="S48" s="3"/>
      <c r="T48" s="3"/>
      <c r="U48" s="28">
        <f t="shared" si="31"/>
        <v>84.713041201496111</v>
      </c>
      <c r="V48" s="28">
        <v>852</v>
      </c>
      <c r="W48" s="77"/>
      <c r="X48" s="77"/>
      <c r="Y48" s="77">
        <f t="shared" si="9"/>
        <v>0</v>
      </c>
      <c r="Z48" s="3"/>
      <c r="AA48" s="3"/>
      <c r="AB48" s="3"/>
    </row>
    <row r="49" spans="1:28" ht="14">
      <c r="A49" s="3" t="s">
        <v>37</v>
      </c>
      <c r="B49" s="3">
        <v>2013</v>
      </c>
      <c r="C49" s="3" t="s">
        <v>159</v>
      </c>
      <c r="D49" s="3">
        <v>2</v>
      </c>
      <c r="E49" s="3">
        <v>1000</v>
      </c>
      <c r="F49" s="3" t="s">
        <v>145</v>
      </c>
      <c r="G49" s="3" t="s">
        <v>146</v>
      </c>
      <c r="H49" s="3">
        <v>13250.3</v>
      </c>
      <c r="I49" s="3">
        <v>13318.2</v>
      </c>
      <c r="J49" s="3">
        <f t="shared" si="0"/>
        <v>67.900000000001455</v>
      </c>
      <c r="K49" s="3">
        <f t="shared" si="1"/>
        <v>16.635500000000356</v>
      </c>
      <c r="L49" s="3">
        <v>93</v>
      </c>
      <c r="M49" s="3" t="s">
        <v>147</v>
      </c>
      <c r="N49" s="3">
        <f t="shared" si="2"/>
        <v>8.3283122222224009</v>
      </c>
      <c r="O49" s="3">
        <f t="shared" si="3"/>
        <v>14.813516666666985</v>
      </c>
      <c r="P49" s="3"/>
      <c r="Q49" s="48"/>
      <c r="R49" s="3"/>
      <c r="S49" s="3"/>
      <c r="T49" s="3" t="s">
        <v>160</v>
      </c>
      <c r="U49" s="28">
        <f t="shared" si="31"/>
        <v>17.281514292689526</v>
      </c>
      <c r="V49" s="28">
        <v>256</v>
      </c>
      <c r="W49" s="77"/>
      <c r="X49" s="77"/>
      <c r="Y49" s="77">
        <f t="shared" si="9"/>
        <v>0</v>
      </c>
      <c r="Z49" s="3"/>
      <c r="AA49" s="3"/>
      <c r="AB49" s="3"/>
    </row>
    <row r="50" spans="1:28" ht="14">
      <c r="A50" s="3" t="s">
        <v>38</v>
      </c>
      <c r="B50" s="3">
        <v>2013</v>
      </c>
      <c r="C50" s="3" t="s">
        <v>161</v>
      </c>
      <c r="D50" s="3">
        <v>8</v>
      </c>
      <c r="E50" s="3">
        <v>250</v>
      </c>
      <c r="F50" s="3" t="s">
        <v>145</v>
      </c>
      <c r="G50" s="3" t="s">
        <v>146</v>
      </c>
      <c r="H50" s="3">
        <v>28893</v>
      </c>
      <c r="I50" s="3">
        <v>28929</v>
      </c>
      <c r="J50" s="3">
        <f t="shared" si="0"/>
        <v>36</v>
      </c>
      <c r="K50" s="3">
        <f t="shared" si="1"/>
        <v>8.82</v>
      </c>
      <c r="L50" s="3">
        <v>127</v>
      </c>
      <c r="M50" s="3" t="s">
        <v>147</v>
      </c>
      <c r="N50" s="3">
        <f t="shared" si="2"/>
        <v>4.4156000000000004</v>
      </c>
      <c r="O50" s="3">
        <f t="shared" si="3"/>
        <v>7.8540000000000001</v>
      </c>
      <c r="P50" s="3">
        <v>8106</v>
      </c>
      <c r="Q50" s="48">
        <f t="shared" ref="Q50:Q53" si="32">P50/N50</f>
        <v>1835.7641090678501</v>
      </c>
      <c r="R50" s="3">
        <f t="shared" ref="R50:R53" si="33">Q50/1000</f>
        <v>1.83576410906785</v>
      </c>
      <c r="S50" s="3"/>
      <c r="T50" s="3"/>
      <c r="U50" s="28"/>
      <c r="V50" s="28"/>
      <c r="W50" s="77"/>
      <c r="X50" s="77"/>
      <c r="Y50" s="77"/>
      <c r="Z50" s="3"/>
      <c r="AA50" s="3"/>
      <c r="AB50" s="3"/>
    </row>
    <row r="51" spans="1:28" ht="14">
      <c r="A51" s="3" t="s">
        <v>38</v>
      </c>
      <c r="B51" s="3">
        <v>2013</v>
      </c>
      <c r="C51" s="3" t="s">
        <v>161</v>
      </c>
      <c r="D51" s="3">
        <v>5</v>
      </c>
      <c r="E51" s="3">
        <v>250</v>
      </c>
      <c r="F51" s="3" t="s">
        <v>145</v>
      </c>
      <c r="G51" s="3" t="s">
        <v>146</v>
      </c>
      <c r="H51" s="3">
        <v>28931</v>
      </c>
      <c r="I51" s="3">
        <v>29004</v>
      </c>
      <c r="J51" s="3">
        <f t="shared" si="0"/>
        <v>73</v>
      </c>
      <c r="K51" s="3">
        <f t="shared" si="1"/>
        <v>17.884999999999998</v>
      </c>
      <c r="L51" s="3">
        <v>125</v>
      </c>
      <c r="M51" s="3" t="s">
        <v>147</v>
      </c>
      <c r="N51" s="3">
        <f t="shared" si="2"/>
        <v>8.9538555555555561</v>
      </c>
      <c r="O51" s="3">
        <f t="shared" si="3"/>
        <v>15.926166666666667</v>
      </c>
      <c r="P51" s="3">
        <v>37877</v>
      </c>
      <c r="Q51" s="48">
        <f t="shared" si="32"/>
        <v>4230.2446990557755</v>
      </c>
      <c r="R51" s="3">
        <f t="shared" si="33"/>
        <v>4.2302446990557758</v>
      </c>
      <c r="S51" s="3"/>
      <c r="T51" s="3"/>
      <c r="U51" s="28"/>
      <c r="V51" s="28"/>
      <c r="W51" s="77"/>
      <c r="X51" s="77"/>
      <c r="Y51" s="77"/>
      <c r="Z51" s="3"/>
      <c r="AA51" s="3"/>
      <c r="AB51" s="3"/>
    </row>
    <row r="52" spans="1:28" ht="14">
      <c r="A52" s="3" t="s">
        <v>38</v>
      </c>
      <c r="B52" s="3">
        <v>2013</v>
      </c>
      <c r="C52" s="3" t="s">
        <v>161</v>
      </c>
      <c r="D52" s="3">
        <v>4</v>
      </c>
      <c r="E52" s="3">
        <v>250</v>
      </c>
      <c r="F52" s="3" t="s">
        <v>145</v>
      </c>
      <c r="G52" s="3" t="s">
        <v>146</v>
      </c>
      <c r="H52" s="3">
        <v>29071</v>
      </c>
      <c r="I52" s="3">
        <v>29109</v>
      </c>
      <c r="J52" s="3">
        <f t="shared" si="0"/>
        <v>38</v>
      </c>
      <c r="K52" s="3">
        <f t="shared" si="1"/>
        <v>9.31</v>
      </c>
      <c r="L52" s="12">
        <v>74181</v>
      </c>
      <c r="M52" s="3" t="s">
        <v>147</v>
      </c>
      <c r="N52" s="3">
        <f t="shared" si="2"/>
        <v>4.660911111111111</v>
      </c>
      <c r="O52" s="3">
        <f t="shared" si="3"/>
        <v>8.2903333333333329</v>
      </c>
      <c r="P52" s="3">
        <v>6275</v>
      </c>
      <c r="Q52" s="48">
        <f t="shared" si="32"/>
        <v>1346.3032978769054</v>
      </c>
      <c r="R52" s="3">
        <f t="shared" si="33"/>
        <v>1.3463032978769054</v>
      </c>
      <c r="S52" s="3"/>
      <c r="T52" s="3"/>
      <c r="U52" s="28"/>
      <c r="V52" s="28"/>
      <c r="W52" s="77"/>
      <c r="X52" s="77"/>
      <c r="Y52" s="77"/>
      <c r="Z52" s="3"/>
      <c r="AA52" s="3"/>
      <c r="AB52" s="3"/>
    </row>
    <row r="53" spans="1:28" ht="14">
      <c r="A53" s="3" t="s">
        <v>38</v>
      </c>
      <c r="B53" s="3">
        <v>2013</v>
      </c>
      <c r="C53" s="3" t="s">
        <v>161</v>
      </c>
      <c r="D53" s="3">
        <v>2</v>
      </c>
      <c r="E53" s="3">
        <v>250</v>
      </c>
      <c r="F53" s="3" t="s">
        <v>145</v>
      </c>
      <c r="G53" s="3" t="s">
        <v>146</v>
      </c>
      <c r="H53" s="3">
        <v>29138</v>
      </c>
      <c r="I53" s="3">
        <v>29172</v>
      </c>
      <c r="J53" s="3">
        <f t="shared" si="0"/>
        <v>34</v>
      </c>
      <c r="K53" s="3">
        <f t="shared" si="1"/>
        <v>8.33</v>
      </c>
      <c r="L53" s="3" t="s">
        <v>162</v>
      </c>
      <c r="M53" s="3" t="s">
        <v>147</v>
      </c>
      <c r="N53" s="3">
        <f t="shared" si="2"/>
        <v>4.1702888888888889</v>
      </c>
      <c r="O53" s="3">
        <f t="shared" si="3"/>
        <v>7.4176666666666664</v>
      </c>
      <c r="P53" s="3">
        <v>4686</v>
      </c>
      <c r="Q53" s="48">
        <f t="shared" si="32"/>
        <v>1123.6631621576976</v>
      </c>
      <c r="R53" s="3">
        <f t="shared" si="33"/>
        <v>1.1236631621576976</v>
      </c>
      <c r="S53" s="3"/>
      <c r="T53" s="3"/>
      <c r="U53" s="28"/>
      <c r="V53" s="28"/>
      <c r="W53" s="77"/>
      <c r="X53" s="77"/>
      <c r="Y53" s="77"/>
      <c r="Z53" s="3"/>
      <c r="AA53" s="3"/>
      <c r="AB53" s="3"/>
    </row>
    <row r="54" spans="1:28" ht="14">
      <c r="A54" s="3" t="s">
        <v>38</v>
      </c>
      <c r="B54" s="3">
        <v>2013</v>
      </c>
      <c r="C54" s="3" t="s">
        <v>161</v>
      </c>
      <c r="D54" s="3">
        <v>8</v>
      </c>
      <c r="E54" s="3">
        <v>1000</v>
      </c>
      <c r="F54" s="3" t="s">
        <v>145</v>
      </c>
      <c r="G54" s="3" t="s">
        <v>146</v>
      </c>
      <c r="H54" s="3">
        <v>13318.5</v>
      </c>
      <c r="I54" s="3">
        <v>13359.2</v>
      </c>
      <c r="J54" s="3">
        <f t="shared" si="0"/>
        <v>40.700000000000728</v>
      </c>
      <c r="K54" s="3">
        <f t="shared" si="1"/>
        <v>9.9715000000001783</v>
      </c>
      <c r="L54" s="3">
        <v>144</v>
      </c>
      <c r="M54" s="3" t="s">
        <v>147</v>
      </c>
      <c r="N54" s="3">
        <f t="shared" si="2"/>
        <v>4.9920811111112009</v>
      </c>
      <c r="O54" s="3">
        <f t="shared" si="3"/>
        <v>8.8793833333334913</v>
      </c>
      <c r="P54" s="3"/>
      <c r="Q54" s="48"/>
      <c r="R54" s="3"/>
      <c r="S54" s="3"/>
      <c r="T54" s="3"/>
      <c r="U54" s="28">
        <f t="shared" ref="U54:U55" si="34">V54/O54</f>
        <v>0.22524086695209289</v>
      </c>
      <c r="V54" s="28">
        <v>2</v>
      </c>
      <c r="W54" s="77"/>
      <c r="X54" s="77"/>
      <c r="Y54" s="77">
        <f t="shared" si="9"/>
        <v>0</v>
      </c>
      <c r="Z54" s="3"/>
      <c r="AA54" s="3"/>
      <c r="AB54" s="3"/>
    </row>
    <row r="55" spans="1:28" ht="14">
      <c r="A55" s="3" t="s">
        <v>38</v>
      </c>
      <c r="B55" s="3">
        <v>2013</v>
      </c>
      <c r="C55" s="3" t="s">
        <v>161</v>
      </c>
      <c r="D55" s="3">
        <v>5</v>
      </c>
      <c r="E55" s="3">
        <v>1000</v>
      </c>
      <c r="F55" s="3" t="s">
        <v>145</v>
      </c>
      <c r="G55" s="3" t="s">
        <v>146</v>
      </c>
      <c r="H55" s="3">
        <v>13403.1</v>
      </c>
      <c r="I55" s="3">
        <v>13475.5</v>
      </c>
      <c r="J55" s="3">
        <f t="shared" si="0"/>
        <v>72.399999999999636</v>
      </c>
      <c r="K55" s="3">
        <f t="shared" si="1"/>
        <v>17.737999999999911</v>
      </c>
      <c r="L55" s="3">
        <v>145</v>
      </c>
      <c r="M55" s="3" t="s">
        <v>147</v>
      </c>
      <c r="N55" s="3">
        <f t="shared" si="2"/>
        <v>8.8802622222221785</v>
      </c>
      <c r="O55" s="3">
        <f t="shared" si="3"/>
        <v>15.795266666666588</v>
      </c>
      <c r="P55" s="3"/>
      <c r="Q55" s="48"/>
      <c r="R55" s="3"/>
      <c r="S55" s="3"/>
      <c r="T55" s="3"/>
      <c r="U55" s="28">
        <f t="shared" si="34"/>
        <v>2.8489547501572341</v>
      </c>
      <c r="V55" s="28">
        <v>45</v>
      </c>
      <c r="W55" s="77"/>
      <c r="X55" s="77"/>
      <c r="Y55" s="77">
        <f t="shared" si="9"/>
        <v>0</v>
      </c>
      <c r="Z55" s="3"/>
      <c r="AA55" s="3"/>
      <c r="AB55" s="3"/>
    </row>
    <row r="56" spans="1:28" ht="14">
      <c r="A56" s="3" t="s">
        <v>38</v>
      </c>
      <c r="B56" s="3">
        <v>2013</v>
      </c>
      <c r="C56" s="3" t="s">
        <v>161</v>
      </c>
      <c r="D56" s="3">
        <v>4</v>
      </c>
      <c r="E56" s="3">
        <v>1000</v>
      </c>
      <c r="F56" s="3" t="s">
        <v>145</v>
      </c>
      <c r="G56" s="3" t="s">
        <v>146</v>
      </c>
      <c r="H56" s="3">
        <v>13542.4</v>
      </c>
      <c r="I56" s="3">
        <v>13580.6</v>
      </c>
      <c r="J56" s="3">
        <f t="shared" si="0"/>
        <v>38.200000000000728</v>
      </c>
      <c r="K56" s="3">
        <f t="shared" si="1"/>
        <v>9.3590000000001776</v>
      </c>
      <c r="L56" s="12">
        <v>139146</v>
      </c>
      <c r="M56" s="3" t="s">
        <v>147</v>
      </c>
      <c r="N56" s="3">
        <f t="shared" si="2"/>
        <v>4.6854422222223118</v>
      </c>
      <c r="O56" s="3">
        <f t="shared" si="3"/>
        <v>8.3339666666668251</v>
      </c>
      <c r="P56" s="3"/>
      <c r="Q56" s="48"/>
      <c r="R56" s="3"/>
      <c r="S56" s="3"/>
      <c r="T56" s="3"/>
      <c r="U56" s="28"/>
      <c r="V56" s="28"/>
      <c r="W56" s="77"/>
      <c r="X56" s="77"/>
      <c r="Y56" s="77">
        <f t="shared" si="9"/>
        <v>0</v>
      </c>
      <c r="Z56" s="3"/>
      <c r="AA56" s="3"/>
      <c r="AB56" s="3"/>
    </row>
    <row r="57" spans="1:28" ht="14">
      <c r="A57" s="3" t="s">
        <v>38</v>
      </c>
      <c r="B57" s="3">
        <v>2013</v>
      </c>
      <c r="C57" s="3" t="s">
        <v>161</v>
      </c>
      <c r="D57" s="3">
        <v>2</v>
      </c>
      <c r="E57" s="3">
        <v>1000</v>
      </c>
      <c r="F57" s="3" t="s">
        <v>145</v>
      </c>
      <c r="G57" s="3" t="s">
        <v>146</v>
      </c>
      <c r="H57" s="3">
        <v>13625.1</v>
      </c>
      <c r="I57" s="3">
        <v>13678</v>
      </c>
      <c r="J57" s="3">
        <f t="shared" si="0"/>
        <v>52.899999999999636</v>
      </c>
      <c r="K57" s="3">
        <f t="shared" si="1"/>
        <v>12.960499999999911</v>
      </c>
      <c r="L57" s="3">
        <v>2</v>
      </c>
      <c r="M57" s="3" t="s">
        <v>147</v>
      </c>
      <c r="N57" s="3">
        <f t="shared" si="2"/>
        <v>6.4884788888888441</v>
      </c>
      <c r="O57" s="3">
        <f t="shared" si="3"/>
        <v>11.541016666666588</v>
      </c>
      <c r="P57" s="3"/>
      <c r="Q57" s="48"/>
      <c r="R57" s="3"/>
      <c r="S57" s="3"/>
      <c r="T57" s="3"/>
      <c r="U57" s="28">
        <f>V57/O57</f>
        <v>40.984257597179038</v>
      </c>
      <c r="V57" s="28">
        <v>473</v>
      </c>
      <c r="W57" s="77"/>
      <c r="X57" s="77"/>
      <c r="Y57" s="77">
        <f t="shared" si="9"/>
        <v>0</v>
      </c>
      <c r="Z57" s="3"/>
      <c r="AA57" s="3"/>
      <c r="AB57" s="3"/>
    </row>
    <row r="58" spans="1:28" ht="14">
      <c r="A58" s="3" t="s">
        <v>40</v>
      </c>
      <c r="B58" s="3">
        <v>2014</v>
      </c>
      <c r="C58" s="3" t="s">
        <v>144</v>
      </c>
      <c r="D58" s="3">
        <v>8</v>
      </c>
      <c r="E58" s="3">
        <v>250</v>
      </c>
      <c r="F58" s="3" t="s">
        <v>145</v>
      </c>
      <c r="G58" s="3" t="s">
        <v>146</v>
      </c>
      <c r="H58" s="3">
        <v>20</v>
      </c>
      <c r="I58" s="3">
        <v>67</v>
      </c>
      <c r="J58" s="3">
        <f t="shared" si="0"/>
        <v>47</v>
      </c>
      <c r="K58" s="3">
        <f t="shared" si="1"/>
        <v>11.515000000000001</v>
      </c>
      <c r="L58" s="3">
        <v>211</v>
      </c>
      <c r="M58" s="3" t="s">
        <v>147</v>
      </c>
      <c r="N58" s="3">
        <f t="shared" ref="N58:N113" si="35">((I58-H58)/3.6)*0.196</f>
        <v>2.5588888888888888</v>
      </c>
      <c r="O58" s="3">
        <f t="shared" si="3"/>
        <v>10.253833333333333</v>
      </c>
      <c r="P58" s="3">
        <v>6790</v>
      </c>
      <c r="Q58" s="48">
        <f t="shared" ref="Q58:Q61" si="36">P58/N58</f>
        <v>2653.4954407294836</v>
      </c>
      <c r="R58" s="3">
        <f t="shared" ref="R58:R61" si="37">Q58/1000</f>
        <v>2.6534954407294835</v>
      </c>
      <c r="S58" s="3"/>
      <c r="T58" s="3"/>
      <c r="U58" s="28"/>
      <c r="V58" s="28"/>
      <c r="W58" s="77"/>
      <c r="X58" s="77"/>
      <c r="Y58" s="77"/>
      <c r="Z58" s="3"/>
      <c r="AA58" s="3"/>
      <c r="AB58" s="3"/>
    </row>
    <row r="59" spans="1:28" ht="14">
      <c r="A59" s="3" t="s">
        <v>40</v>
      </c>
      <c r="B59" s="3">
        <v>2014</v>
      </c>
      <c r="C59" s="3" t="s">
        <v>144</v>
      </c>
      <c r="D59" s="3">
        <v>5</v>
      </c>
      <c r="E59" s="3">
        <v>250</v>
      </c>
      <c r="F59" s="3" t="s">
        <v>145</v>
      </c>
      <c r="G59" s="3" t="s">
        <v>146</v>
      </c>
      <c r="H59" s="3">
        <v>68</v>
      </c>
      <c r="I59" s="3">
        <v>127</v>
      </c>
      <c r="J59" s="3">
        <f t="shared" si="0"/>
        <v>59</v>
      </c>
      <c r="K59" s="3">
        <f t="shared" si="1"/>
        <v>14.455</v>
      </c>
      <c r="L59" s="3">
        <v>202</v>
      </c>
      <c r="M59" s="3" t="s">
        <v>147</v>
      </c>
      <c r="N59" s="3">
        <f t="shared" si="35"/>
        <v>3.2122222222222225</v>
      </c>
      <c r="O59" s="3">
        <f t="shared" si="3"/>
        <v>12.871833333333333</v>
      </c>
      <c r="P59" s="3">
        <v>10232</v>
      </c>
      <c r="Q59" s="48">
        <f t="shared" si="36"/>
        <v>3185.3337945347625</v>
      </c>
      <c r="R59" s="3">
        <f t="shared" si="37"/>
        <v>3.1853337945347624</v>
      </c>
      <c r="S59" s="3"/>
      <c r="T59" s="3"/>
      <c r="U59" s="28"/>
      <c r="V59" s="28"/>
      <c r="W59" s="77"/>
      <c r="X59" s="77"/>
      <c r="Y59" s="77"/>
      <c r="Z59" s="3"/>
      <c r="AA59" s="3"/>
      <c r="AB59" s="3"/>
    </row>
    <row r="60" spans="1:28" ht="14">
      <c r="A60" s="3" t="s">
        <v>40</v>
      </c>
      <c r="B60" s="3">
        <v>2014</v>
      </c>
      <c r="C60" s="3" t="s">
        <v>144</v>
      </c>
      <c r="D60" s="3">
        <v>4</v>
      </c>
      <c r="E60" s="3">
        <v>250</v>
      </c>
      <c r="F60" s="3" t="s">
        <v>145</v>
      </c>
      <c r="G60" s="3" t="s">
        <v>146</v>
      </c>
      <c r="H60" s="3">
        <v>127</v>
      </c>
      <c r="I60" s="3">
        <v>164</v>
      </c>
      <c r="J60" s="3">
        <f t="shared" si="0"/>
        <v>37</v>
      </c>
      <c r="K60" s="3">
        <f t="shared" si="1"/>
        <v>9.0649999999999995</v>
      </c>
      <c r="L60" s="3">
        <v>208</v>
      </c>
      <c r="M60" s="3" t="s">
        <v>147</v>
      </c>
      <c r="N60" s="3">
        <f t="shared" si="35"/>
        <v>2.0144444444444445</v>
      </c>
      <c r="O60" s="3">
        <f t="shared" si="3"/>
        <v>8.072166666666666</v>
      </c>
      <c r="P60" s="3">
        <v>6790</v>
      </c>
      <c r="Q60" s="48">
        <f t="shared" si="36"/>
        <v>3370.6563706563707</v>
      </c>
      <c r="R60" s="3">
        <f t="shared" si="37"/>
        <v>3.3706563706563708</v>
      </c>
      <c r="S60" s="3"/>
      <c r="T60" s="3"/>
      <c r="U60" s="28"/>
      <c r="V60" s="28"/>
      <c r="W60" s="77"/>
      <c r="X60" s="77"/>
      <c r="Y60" s="77"/>
      <c r="Z60" s="3"/>
      <c r="AA60" s="3"/>
      <c r="AB60" s="3"/>
    </row>
    <row r="61" spans="1:28" ht="14">
      <c r="A61" s="8" t="s">
        <v>40</v>
      </c>
      <c r="B61" s="8">
        <v>2014</v>
      </c>
      <c r="C61" s="8" t="s">
        <v>144</v>
      </c>
      <c r="D61" s="8">
        <v>2</v>
      </c>
      <c r="E61" s="8">
        <v>250</v>
      </c>
      <c r="F61" s="8" t="s">
        <v>145</v>
      </c>
      <c r="G61" s="8" t="s">
        <v>146</v>
      </c>
      <c r="H61" s="8">
        <v>164</v>
      </c>
      <c r="I61" s="8">
        <v>216</v>
      </c>
      <c r="J61" s="8">
        <f t="shared" si="0"/>
        <v>52</v>
      </c>
      <c r="K61" s="8">
        <f t="shared" si="1"/>
        <v>12.74</v>
      </c>
      <c r="L61" s="8">
        <v>216</v>
      </c>
      <c r="M61" s="8" t="s">
        <v>147</v>
      </c>
      <c r="N61" s="8">
        <f t="shared" si="35"/>
        <v>2.8311111111111114</v>
      </c>
      <c r="O61" s="8">
        <f t="shared" si="3"/>
        <v>11.344666666666667</v>
      </c>
      <c r="P61" s="8">
        <v>57</v>
      </c>
      <c r="Q61" s="49">
        <f t="shared" si="36"/>
        <v>20.133437990580845</v>
      </c>
      <c r="R61" s="8">
        <f t="shared" si="37"/>
        <v>2.0133437990580844E-2</v>
      </c>
      <c r="S61" s="8"/>
      <c r="T61" s="8"/>
      <c r="U61" s="29"/>
      <c r="V61" s="29"/>
      <c r="W61" s="78"/>
      <c r="X61" s="78"/>
      <c r="Y61" s="77"/>
      <c r="Z61" s="8"/>
      <c r="AA61" s="8"/>
      <c r="AB61" s="8" t="s">
        <v>163</v>
      </c>
    </row>
    <row r="62" spans="1:28" ht="14">
      <c r="A62" s="3" t="s">
        <v>40</v>
      </c>
      <c r="B62" s="3">
        <v>2014</v>
      </c>
      <c r="C62" s="3" t="s">
        <v>144</v>
      </c>
      <c r="D62" s="3">
        <v>8</v>
      </c>
      <c r="E62" s="3">
        <v>1000</v>
      </c>
      <c r="F62" s="3" t="s">
        <v>145</v>
      </c>
      <c r="G62" s="3" t="s">
        <v>146</v>
      </c>
      <c r="H62" s="3">
        <v>14859</v>
      </c>
      <c r="I62" s="3">
        <v>14919</v>
      </c>
      <c r="J62" s="3">
        <f t="shared" si="0"/>
        <v>60</v>
      </c>
      <c r="K62" s="3">
        <f t="shared" si="1"/>
        <v>14.7</v>
      </c>
      <c r="L62" s="3">
        <v>205</v>
      </c>
      <c r="M62" s="3" t="s">
        <v>147</v>
      </c>
      <c r="N62" s="3">
        <f t="shared" si="35"/>
        <v>3.2666666666666671</v>
      </c>
      <c r="O62" s="3">
        <f t="shared" si="3"/>
        <v>13.09</v>
      </c>
      <c r="P62" s="3"/>
      <c r="Q62" s="48"/>
      <c r="R62" s="3"/>
      <c r="S62" s="3"/>
      <c r="T62" s="3"/>
      <c r="U62" s="28">
        <f t="shared" ref="U62:U68" si="38">V62/O62</f>
        <v>5.2711993888464477</v>
      </c>
      <c r="V62" s="28">
        <v>69</v>
      </c>
      <c r="W62" s="77">
        <v>22</v>
      </c>
      <c r="X62" s="77">
        <f t="shared" ref="X62:X66" si="39">SUM(V62:W62)</f>
        <v>91</v>
      </c>
      <c r="Y62" s="77">
        <f>(X62/O62)</f>
        <v>6.9518716577540109</v>
      </c>
      <c r="Z62" s="3"/>
      <c r="AA62" s="3"/>
      <c r="AB62" s="3"/>
    </row>
    <row r="63" spans="1:28" ht="14">
      <c r="A63" s="3" t="s">
        <v>40</v>
      </c>
      <c r="B63" s="3">
        <v>2014</v>
      </c>
      <c r="C63" s="3" t="s">
        <v>144</v>
      </c>
      <c r="D63" s="3">
        <v>5</v>
      </c>
      <c r="E63" s="3">
        <v>1000</v>
      </c>
      <c r="F63" s="3" t="s">
        <v>145</v>
      </c>
      <c r="G63" s="3" t="s">
        <v>146</v>
      </c>
      <c r="H63" s="3">
        <v>14919</v>
      </c>
      <c r="I63" s="3">
        <v>14979</v>
      </c>
      <c r="J63" s="3">
        <f t="shared" si="0"/>
        <v>60</v>
      </c>
      <c r="K63" s="3">
        <f t="shared" si="1"/>
        <v>14.7</v>
      </c>
      <c r="L63" s="3" t="s">
        <v>164</v>
      </c>
      <c r="M63" s="3" t="s">
        <v>147</v>
      </c>
      <c r="N63" s="3">
        <f t="shared" si="35"/>
        <v>3.2666666666666671</v>
      </c>
      <c r="O63" s="3">
        <f t="shared" si="3"/>
        <v>13.09</v>
      </c>
      <c r="P63" s="3"/>
      <c r="Q63" s="48"/>
      <c r="R63" s="3"/>
      <c r="S63" s="3"/>
      <c r="T63" s="3"/>
      <c r="U63" s="28">
        <f t="shared" si="38"/>
        <v>5.8059587471352181</v>
      </c>
      <c r="V63" s="28">
        <v>76</v>
      </c>
      <c r="W63" s="77">
        <v>11</v>
      </c>
      <c r="X63" s="77">
        <f t="shared" si="39"/>
        <v>87</v>
      </c>
      <c r="Y63" s="77">
        <f t="shared" ref="Y63:Y126" si="40">(X63/O63)</f>
        <v>6.6462948815889993</v>
      </c>
      <c r="Z63" s="3"/>
      <c r="AA63" s="3"/>
      <c r="AB63" s="3"/>
    </row>
    <row r="64" spans="1:28" ht="14">
      <c r="A64" s="3" t="s">
        <v>40</v>
      </c>
      <c r="B64" s="3">
        <v>2014</v>
      </c>
      <c r="C64" s="3" t="s">
        <v>144</v>
      </c>
      <c r="D64" s="3">
        <v>4</v>
      </c>
      <c r="E64" s="3">
        <v>1000</v>
      </c>
      <c r="F64" s="3" t="s">
        <v>145</v>
      </c>
      <c r="G64" s="3" t="s">
        <v>146</v>
      </c>
      <c r="H64" s="3">
        <v>14979</v>
      </c>
      <c r="I64" s="3">
        <v>15027</v>
      </c>
      <c r="J64" s="3">
        <f t="shared" si="0"/>
        <v>48</v>
      </c>
      <c r="K64" s="3">
        <f t="shared" si="1"/>
        <v>11.76</v>
      </c>
      <c r="L64" s="3" t="s">
        <v>165</v>
      </c>
      <c r="M64" s="3" t="s">
        <v>147</v>
      </c>
      <c r="N64" s="3">
        <f t="shared" si="35"/>
        <v>2.6133333333333333</v>
      </c>
      <c r="O64" s="3">
        <f t="shared" si="3"/>
        <v>10.472</v>
      </c>
      <c r="P64" s="3"/>
      <c r="Q64" s="48"/>
      <c r="R64" s="3"/>
      <c r="S64" s="3"/>
      <c r="T64" s="3"/>
      <c r="U64" s="28">
        <f t="shared" si="38"/>
        <v>75.630252100840337</v>
      </c>
      <c r="V64" s="28">
        <v>792</v>
      </c>
      <c r="W64" s="77">
        <v>72</v>
      </c>
      <c r="X64" s="77">
        <f t="shared" si="39"/>
        <v>864</v>
      </c>
      <c r="Y64" s="77">
        <f t="shared" si="40"/>
        <v>82.505729564553093</v>
      </c>
      <c r="Z64" s="3"/>
      <c r="AA64" s="3"/>
      <c r="AB64" s="80" t="s">
        <v>583</v>
      </c>
    </row>
    <row r="65" spans="1:28" ht="14">
      <c r="A65" s="3" t="s">
        <v>40</v>
      </c>
      <c r="B65" s="3">
        <v>2014</v>
      </c>
      <c r="C65" s="3" t="s">
        <v>144</v>
      </c>
      <c r="D65" s="3">
        <v>2</v>
      </c>
      <c r="E65" s="3">
        <v>1000</v>
      </c>
      <c r="F65" s="3" t="s">
        <v>145</v>
      </c>
      <c r="G65" s="3" t="s">
        <v>146</v>
      </c>
      <c r="H65" s="3">
        <v>15027</v>
      </c>
      <c r="I65" s="3">
        <v>15063</v>
      </c>
      <c r="J65" s="3">
        <f t="shared" si="0"/>
        <v>36</v>
      </c>
      <c r="K65" s="3">
        <f t="shared" si="1"/>
        <v>8.82</v>
      </c>
      <c r="L65" s="3">
        <v>215</v>
      </c>
      <c r="M65" s="3" t="s">
        <v>147</v>
      </c>
      <c r="N65" s="3">
        <f t="shared" si="35"/>
        <v>1.96</v>
      </c>
      <c r="O65" s="3">
        <f t="shared" si="3"/>
        <v>7.8540000000000001</v>
      </c>
      <c r="P65" s="3"/>
      <c r="Q65" s="48"/>
      <c r="R65" s="3"/>
      <c r="S65" s="3"/>
      <c r="T65" s="3"/>
      <c r="U65" s="28">
        <f t="shared" si="38"/>
        <v>0</v>
      </c>
      <c r="V65" s="28">
        <v>0</v>
      </c>
      <c r="W65" s="77">
        <v>1</v>
      </c>
      <c r="X65" s="77">
        <f t="shared" si="39"/>
        <v>1</v>
      </c>
      <c r="Y65" s="77">
        <f t="shared" si="40"/>
        <v>0.12732365673542145</v>
      </c>
      <c r="Z65" s="3"/>
      <c r="AA65" s="3"/>
      <c r="AB65" s="3"/>
    </row>
    <row r="66" spans="1:28" ht="14">
      <c r="A66" s="3" t="s">
        <v>41</v>
      </c>
      <c r="B66" s="3">
        <v>2014</v>
      </c>
      <c r="C66" s="3" t="s">
        <v>144</v>
      </c>
      <c r="D66" s="3">
        <v>8</v>
      </c>
      <c r="E66" s="3">
        <v>1000</v>
      </c>
      <c r="F66" s="3" t="s">
        <v>145</v>
      </c>
      <c r="G66" s="3" t="s">
        <v>146</v>
      </c>
      <c r="H66" s="3">
        <v>15069</v>
      </c>
      <c r="I66" s="3">
        <v>15118</v>
      </c>
      <c r="J66" s="3">
        <f t="shared" si="0"/>
        <v>49</v>
      </c>
      <c r="K66" s="3">
        <f t="shared" si="1"/>
        <v>12.004999999999999</v>
      </c>
      <c r="L66" s="3">
        <v>219</v>
      </c>
      <c r="M66" s="3" t="s">
        <v>147</v>
      </c>
      <c r="N66" s="3">
        <f t="shared" si="35"/>
        <v>2.6677777777777778</v>
      </c>
      <c r="O66" s="3">
        <f t="shared" si="3"/>
        <v>10.690166666666666</v>
      </c>
      <c r="P66" s="3"/>
      <c r="Q66" s="48"/>
      <c r="R66" s="3"/>
      <c r="S66" s="3"/>
      <c r="T66" s="3"/>
      <c r="U66" s="28">
        <f t="shared" si="38"/>
        <v>0</v>
      </c>
      <c r="V66" s="28">
        <v>0</v>
      </c>
      <c r="W66" s="77">
        <v>8</v>
      </c>
      <c r="X66" s="77">
        <f t="shared" si="39"/>
        <v>8</v>
      </c>
      <c r="Y66" s="77">
        <f t="shared" si="40"/>
        <v>0.74835128856737498</v>
      </c>
      <c r="Z66" s="3"/>
      <c r="AA66" s="3"/>
      <c r="AB66" s="80" t="s">
        <v>587</v>
      </c>
    </row>
    <row r="67" spans="1:28" ht="14">
      <c r="A67" s="3" t="s">
        <v>41</v>
      </c>
      <c r="B67" s="3">
        <v>2014</v>
      </c>
      <c r="C67" s="3" t="s">
        <v>144</v>
      </c>
      <c r="D67" s="3">
        <v>5</v>
      </c>
      <c r="E67" s="3">
        <v>1000</v>
      </c>
      <c r="F67" s="3" t="s">
        <v>145</v>
      </c>
      <c r="G67" s="3" t="s">
        <v>146</v>
      </c>
      <c r="H67" s="3">
        <v>15118</v>
      </c>
      <c r="I67" s="3">
        <v>15167</v>
      </c>
      <c r="J67" s="3">
        <f t="shared" si="0"/>
        <v>49</v>
      </c>
      <c r="K67" s="3">
        <f t="shared" si="1"/>
        <v>12.004999999999999</v>
      </c>
      <c r="L67" s="3">
        <v>223</v>
      </c>
      <c r="M67" s="3" t="s">
        <v>147</v>
      </c>
      <c r="N67" s="3">
        <f t="shared" si="35"/>
        <v>2.6677777777777778</v>
      </c>
      <c r="O67" s="3">
        <f t="shared" si="3"/>
        <v>10.690166666666666</v>
      </c>
      <c r="P67" s="3"/>
      <c r="Q67" s="48"/>
      <c r="R67" s="3"/>
      <c r="S67" s="3"/>
      <c r="T67" s="3"/>
      <c r="U67" s="28">
        <f t="shared" si="38"/>
        <v>9.3543911070921873E-2</v>
      </c>
      <c r="V67" s="28">
        <v>1</v>
      </c>
      <c r="W67" s="77">
        <v>26</v>
      </c>
      <c r="X67" s="77">
        <f>SUM(V67:W67)</f>
        <v>27</v>
      </c>
      <c r="Y67" s="77">
        <f t="shared" si="40"/>
        <v>2.5256855989148908</v>
      </c>
      <c r="Z67" s="3"/>
      <c r="AA67" s="3"/>
      <c r="AB67" s="3"/>
    </row>
    <row r="68" spans="1:28" ht="14">
      <c r="A68" s="3" t="s">
        <v>41</v>
      </c>
      <c r="B68" s="3">
        <v>2014</v>
      </c>
      <c r="C68" s="3" t="s">
        <v>144</v>
      </c>
      <c r="D68" s="3">
        <v>4</v>
      </c>
      <c r="E68" s="3">
        <v>1000</v>
      </c>
      <c r="F68" s="3" t="s">
        <v>145</v>
      </c>
      <c r="G68" s="3" t="s">
        <v>146</v>
      </c>
      <c r="H68" s="3">
        <v>15167</v>
      </c>
      <c r="I68" s="3">
        <v>15202</v>
      </c>
      <c r="J68" s="3">
        <f t="shared" si="0"/>
        <v>35</v>
      </c>
      <c r="K68" s="3">
        <f t="shared" si="1"/>
        <v>8.5749999999999993</v>
      </c>
      <c r="L68" s="3">
        <v>218</v>
      </c>
      <c r="M68" s="3" t="s">
        <v>147</v>
      </c>
      <c r="N68" s="3">
        <f t="shared" si="35"/>
        <v>1.9055555555555554</v>
      </c>
      <c r="O68" s="3">
        <f t="shared" si="3"/>
        <v>7.6358333333333324</v>
      </c>
      <c r="P68" s="3"/>
      <c r="Q68" s="48"/>
      <c r="R68" s="3"/>
      <c r="S68" s="3"/>
      <c r="T68" s="3"/>
      <c r="U68" s="28">
        <f t="shared" si="38"/>
        <v>0.39288442649787192</v>
      </c>
      <c r="V68" s="28">
        <v>3</v>
      </c>
      <c r="W68" s="77">
        <v>13</v>
      </c>
      <c r="X68" s="77">
        <f>SUM(V68:W68)</f>
        <v>16</v>
      </c>
      <c r="Y68" s="77">
        <f t="shared" si="40"/>
        <v>2.0953836079886501</v>
      </c>
      <c r="Z68" s="3"/>
      <c r="AA68" s="3"/>
      <c r="AB68" s="3"/>
    </row>
    <row r="69" spans="1:28" ht="14">
      <c r="A69" s="3" t="s">
        <v>41</v>
      </c>
      <c r="B69" s="3">
        <v>2014</v>
      </c>
      <c r="C69" s="3" t="s">
        <v>144</v>
      </c>
      <c r="D69" s="3">
        <v>2</v>
      </c>
      <c r="E69" s="3">
        <v>1000</v>
      </c>
      <c r="F69" s="3" t="s">
        <v>145</v>
      </c>
      <c r="G69" s="3" t="s">
        <v>146</v>
      </c>
      <c r="H69" s="3">
        <v>15202</v>
      </c>
      <c r="I69" s="3">
        <v>15245.8</v>
      </c>
      <c r="J69" s="3">
        <f t="shared" si="0"/>
        <v>43.799999999999272</v>
      </c>
      <c r="K69" s="3">
        <f t="shared" si="1"/>
        <v>10.730999999999822</v>
      </c>
      <c r="L69" s="3">
        <v>51</v>
      </c>
      <c r="M69" s="3" t="s">
        <v>147</v>
      </c>
      <c r="N69" s="3">
        <f t="shared" si="35"/>
        <v>2.384666666666627</v>
      </c>
      <c r="O69" s="3">
        <f t="shared" si="3"/>
        <v>9.55569999999984</v>
      </c>
      <c r="P69" s="3"/>
      <c r="Q69" s="48"/>
      <c r="R69" s="3"/>
      <c r="S69" s="3"/>
      <c r="T69" s="3"/>
      <c r="U69" s="28">
        <v>0</v>
      </c>
      <c r="V69" s="28">
        <v>2</v>
      </c>
      <c r="W69" s="77">
        <v>6</v>
      </c>
      <c r="X69" s="77">
        <f>SUM(V69:W69)</f>
        <v>8</v>
      </c>
      <c r="Y69" s="77">
        <f t="shared" si="40"/>
        <v>0.83719664702744268</v>
      </c>
      <c r="Z69" s="3"/>
      <c r="AA69" s="3"/>
      <c r="AB69" s="3"/>
    </row>
    <row r="70" spans="1:28" s="24" customFormat="1" ht="14">
      <c r="A70" s="40" t="s">
        <v>41</v>
      </c>
      <c r="B70" s="40">
        <v>2014</v>
      </c>
      <c r="C70" s="40" t="s">
        <v>144</v>
      </c>
      <c r="D70" s="40">
        <v>8</v>
      </c>
      <c r="E70" s="40">
        <v>250</v>
      </c>
      <c r="F70" s="40" t="s">
        <v>145</v>
      </c>
      <c r="G70" s="40" t="s">
        <v>146</v>
      </c>
      <c r="H70" s="40">
        <v>219</v>
      </c>
      <c r="I70" s="40">
        <v>254</v>
      </c>
      <c r="J70" s="40">
        <f t="shared" si="0"/>
        <v>35</v>
      </c>
      <c r="K70" s="40">
        <f t="shared" si="1"/>
        <v>8.5749999999999993</v>
      </c>
      <c r="L70" s="40">
        <v>200</v>
      </c>
      <c r="M70" s="40" t="s">
        <v>147</v>
      </c>
      <c r="N70" s="40">
        <f t="shared" si="35"/>
        <v>1.9055555555555554</v>
      </c>
      <c r="O70" s="40">
        <f t="shared" si="3"/>
        <v>7.6358333333333324</v>
      </c>
      <c r="P70" s="40">
        <v>21</v>
      </c>
      <c r="Q70" s="74">
        <f t="shared" ref="Q70:Q73" si="41">P70/N70</f>
        <v>11.020408163265307</v>
      </c>
      <c r="R70" s="40">
        <f t="shared" ref="R70:R73" si="42">Q70/1000</f>
        <v>1.1020408163265306E-2</v>
      </c>
      <c r="S70" s="40"/>
      <c r="T70" s="40"/>
      <c r="U70" s="45"/>
      <c r="V70" s="45"/>
      <c r="W70" s="77"/>
      <c r="X70" s="77"/>
      <c r="Y70" s="77"/>
      <c r="Z70" s="40"/>
      <c r="AA70" s="40"/>
      <c r="AB70" s="40" t="s">
        <v>166</v>
      </c>
    </row>
    <row r="71" spans="1:28" s="24" customFormat="1" ht="14">
      <c r="A71" s="22" t="s">
        <v>41</v>
      </c>
      <c r="B71" s="22">
        <v>2014</v>
      </c>
      <c r="C71" s="22" t="s">
        <v>144</v>
      </c>
      <c r="D71" s="22">
        <v>5</v>
      </c>
      <c r="E71" s="22">
        <v>250</v>
      </c>
      <c r="F71" s="22" t="s">
        <v>145</v>
      </c>
      <c r="G71" s="22" t="s">
        <v>146</v>
      </c>
      <c r="H71" s="22">
        <v>254</v>
      </c>
      <c r="I71" s="22">
        <v>321</v>
      </c>
      <c r="J71" s="22">
        <f t="shared" si="0"/>
        <v>67</v>
      </c>
      <c r="K71" s="22">
        <f t="shared" si="1"/>
        <v>16.414999999999999</v>
      </c>
      <c r="L71" s="22">
        <v>203</v>
      </c>
      <c r="M71" s="22" t="s">
        <v>147</v>
      </c>
      <c r="N71" s="22">
        <f t="shared" si="35"/>
        <v>3.6477777777777778</v>
      </c>
      <c r="O71" s="22">
        <f t="shared" si="3"/>
        <v>14.617166666666666</v>
      </c>
      <c r="P71" s="22">
        <v>4250.2666666666664</v>
      </c>
      <c r="Q71" s="48">
        <f t="shared" si="41"/>
        <v>1165.1660067011878</v>
      </c>
      <c r="R71" s="22">
        <f t="shared" si="42"/>
        <v>1.1651660067011878</v>
      </c>
      <c r="S71" s="22"/>
      <c r="T71" s="22"/>
      <c r="U71" s="45"/>
      <c r="V71" s="45"/>
      <c r="W71" s="77"/>
      <c r="X71" s="77"/>
      <c r="Y71" s="77"/>
      <c r="Z71" s="22"/>
      <c r="AA71" s="22"/>
      <c r="AB71" s="22"/>
    </row>
    <row r="72" spans="1:28" s="24" customFormat="1" ht="14">
      <c r="A72" s="22" t="s">
        <v>41</v>
      </c>
      <c r="B72" s="22">
        <v>2014</v>
      </c>
      <c r="C72" s="22" t="s">
        <v>144</v>
      </c>
      <c r="D72" s="22">
        <v>4</v>
      </c>
      <c r="E72" s="22">
        <v>250</v>
      </c>
      <c r="F72" s="22" t="s">
        <v>145</v>
      </c>
      <c r="G72" s="22" t="s">
        <v>146</v>
      </c>
      <c r="H72" s="22">
        <v>321</v>
      </c>
      <c r="I72" s="22">
        <v>374</v>
      </c>
      <c r="J72" s="22">
        <f t="shared" si="0"/>
        <v>53</v>
      </c>
      <c r="K72" s="22">
        <f t="shared" si="1"/>
        <v>12.984999999999999</v>
      </c>
      <c r="L72" s="22">
        <v>222</v>
      </c>
      <c r="M72" s="22" t="s">
        <v>147</v>
      </c>
      <c r="N72" s="22">
        <f t="shared" si="35"/>
        <v>2.8855555555555554</v>
      </c>
      <c r="O72" s="22">
        <f t="shared" si="3"/>
        <v>11.562833333333332</v>
      </c>
      <c r="P72" s="22">
        <v>7020</v>
      </c>
      <c r="Q72" s="48">
        <f t="shared" si="41"/>
        <v>2432.8070850981903</v>
      </c>
      <c r="R72" s="22">
        <f t="shared" si="42"/>
        <v>2.4328070850981902</v>
      </c>
      <c r="S72" s="22"/>
      <c r="T72" s="22"/>
      <c r="U72" s="45"/>
      <c r="V72" s="45"/>
      <c r="W72" s="77"/>
      <c r="X72" s="77"/>
      <c r="Y72" s="77"/>
      <c r="Z72" s="22"/>
      <c r="AA72" s="22"/>
      <c r="AB72" s="22"/>
    </row>
    <row r="73" spans="1:28" s="24" customFormat="1" ht="14">
      <c r="A73" s="22" t="s">
        <v>41</v>
      </c>
      <c r="B73" s="22">
        <v>2014</v>
      </c>
      <c r="C73" s="22" t="s">
        <v>144</v>
      </c>
      <c r="D73" s="22">
        <v>2</v>
      </c>
      <c r="E73" s="22">
        <v>250</v>
      </c>
      <c r="F73" s="22" t="s">
        <v>145</v>
      </c>
      <c r="G73" s="22" t="s">
        <v>146</v>
      </c>
      <c r="H73" s="22">
        <v>374</v>
      </c>
      <c r="I73" s="22">
        <v>429</v>
      </c>
      <c r="J73" s="22">
        <f t="shared" si="0"/>
        <v>55</v>
      </c>
      <c r="K73" s="22">
        <f t="shared" si="1"/>
        <v>13.475</v>
      </c>
      <c r="L73" s="22">
        <v>221</v>
      </c>
      <c r="M73" s="22" t="s">
        <v>147</v>
      </c>
      <c r="N73" s="22">
        <f t="shared" si="35"/>
        <v>2.9944444444444445</v>
      </c>
      <c r="O73" s="22">
        <f t="shared" si="3"/>
        <v>11.999166666666666</v>
      </c>
      <c r="P73" s="22">
        <v>3410</v>
      </c>
      <c r="Q73" s="48">
        <f t="shared" si="41"/>
        <v>1138.7755102040817</v>
      </c>
      <c r="R73" s="22">
        <f t="shared" si="42"/>
        <v>1.1387755102040817</v>
      </c>
      <c r="S73" s="22"/>
      <c r="T73" s="22"/>
      <c r="U73" s="45"/>
      <c r="V73" s="45"/>
      <c r="W73" s="77"/>
      <c r="X73" s="77"/>
      <c r="Y73" s="77"/>
      <c r="Z73" s="22"/>
      <c r="AA73" s="22"/>
      <c r="AB73" s="22"/>
    </row>
    <row r="74" spans="1:28" ht="14">
      <c r="A74" s="3" t="s">
        <v>42</v>
      </c>
      <c r="B74" s="3">
        <v>2014</v>
      </c>
      <c r="C74" s="3" t="s">
        <v>151</v>
      </c>
      <c r="D74" s="3">
        <v>8</v>
      </c>
      <c r="E74" s="3">
        <v>1000</v>
      </c>
      <c r="F74" s="3" t="s">
        <v>145</v>
      </c>
      <c r="G74" s="3" t="s">
        <v>146</v>
      </c>
      <c r="H74" s="3">
        <v>15359</v>
      </c>
      <c r="I74" s="3">
        <v>15397</v>
      </c>
      <c r="J74" s="3">
        <f t="shared" si="0"/>
        <v>38</v>
      </c>
      <c r="K74" s="3">
        <f t="shared" si="1"/>
        <v>9.31</v>
      </c>
      <c r="L74" s="3">
        <v>233</v>
      </c>
      <c r="M74" s="3" t="s">
        <v>147</v>
      </c>
      <c r="N74" s="3">
        <f t="shared" si="35"/>
        <v>2.068888888888889</v>
      </c>
      <c r="O74" s="3">
        <f t="shared" si="3"/>
        <v>8.2903333333333329</v>
      </c>
      <c r="P74" s="3"/>
      <c r="Q74" s="48"/>
      <c r="R74" s="3"/>
      <c r="S74" s="3"/>
      <c r="T74" s="3"/>
      <c r="U74" s="28">
        <f t="shared" ref="U74:U77" si="43">V74/O74</f>
        <v>0</v>
      </c>
      <c r="V74" s="28">
        <v>0</v>
      </c>
      <c r="W74" s="77"/>
      <c r="X74" s="77"/>
      <c r="Y74" s="77"/>
      <c r="Z74" s="3"/>
      <c r="AA74" s="3"/>
      <c r="AB74" s="3"/>
    </row>
    <row r="75" spans="1:28" ht="14">
      <c r="A75" s="3" t="s">
        <v>42</v>
      </c>
      <c r="B75" s="3">
        <v>2014</v>
      </c>
      <c r="C75" s="3" t="s">
        <v>151</v>
      </c>
      <c r="D75" s="3">
        <v>5</v>
      </c>
      <c r="E75" s="3">
        <v>1000</v>
      </c>
      <c r="F75" s="3" t="s">
        <v>145</v>
      </c>
      <c r="G75" s="3" t="s">
        <v>146</v>
      </c>
      <c r="H75" s="3">
        <v>15397</v>
      </c>
      <c r="I75" s="3">
        <v>15438</v>
      </c>
      <c r="J75" s="3">
        <f t="shared" si="0"/>
        <v>41</v>
      </c>
      <c r="K75" s="3">
        <f t="shared" si="1"/>
        <v>10.045</v>
      </c>
      <c r="L75" s="3">
        <v>211</v>
      </c>
      <c r="M75" s="3" t="s">
        <v>147</v>
      </c>
      <c r="N75" s="3">
        <f t="shared" si="35"/>
        <v>2.2322222222222226</v>
      </c>
      <c r="O75" s="3">
        <f t="shared" si="3"/>
        <v>8.9448333333333334</v>
      </c>
      <c r="P75" s="3"/>
      <c r="Q75" s="48"/>
      <c r="R75" s="3"/>
      <c r="S75" s="3"/>
      <c r="T75" s="3"/>
      <c r="U75" s="28">
        <f t="shared" si="43"/>
        <v>0</v>
      </c>
      <c r="V75" s="28">
        <v>0</v>
      </c>
      <c r="W75" s="77"/>
      <c r="X75" s="77"/>
      <c r="Y75" s="77"/>
      <c r="Z75" s="3"/>
      <c r="AA75" s="3"/>
      <c r="AB75" s="3"/>
    </row>
    <row r="76" spans="1:28" ht="14">
      <c r="A76" s="3" t="s">
        <v>42</v>
      </c>
      <c r="B76" s="3">
        <v>2014</v>
      </c>
      <c r="C76" s="3" t="s">
        <v>151</v>
      </c>
      <c r="D76" s="3">
        <v>4</v>
      </c>
      <c r="E76" s="3">
        <v>1000</v>
      </c>
      <c r="F76" s="3" t="s">
        <v>145</v>
      </c>
      <c r="G76" s="3" t="s">
        <v>146</v>
      </c>
      <c r="H76" s="3">
        <v>15438</v>
      </c>
      <c r="I76" s="3">
        <v>15469</v>
      </c>
      <c r="J76" s="3">
        <f t="shared" si="0"/>
        <v>31</v>
      </c>
      <c r="K76" s="3">
        <f t="shared" si="1"/>
        <v>7.5949999999999998</v>
      </c>
      <c r="L76" s="3">
        <v>232</v>
      </c>
      <c r="M76" s="3" t="s">
        <v>147</v>
      </c>
      <c r="N76" s="3">
        <f t="shared" si="35"/>
        <v>1.6877777777777778</v>
      </c>
      <c r="O76" s="3">
        <f t="shared" si="3"/>
        <v>6.7631666666666659</v>
      </c>
      <c r="P76" s="3"/>
      <c r="Q76" s="48"/>
      <c r="R76" s="3"/>
      <c r="S76" s="3"/>
      <c r="T76" s="3"/>
      <c r="U76" s="28">
        <f t="shared" si="43"/>
        <v>10.645900588974595</v>
      </c>
      <c r="V76" s="28">
        <v>72</v>
      </c>
      <c r="W76" s="77"/>
      <c r="X76" s="77"/>
      <c r="Y76" s="77"/>
      <c r="Z76" s="3"/>
      <c r="AA76" s="3"/>
      <c r="AB76" s="80" t="s">
        <v>588</v>
      </c>
    </row>
    <row r="77" spans="1:28" ht="14">
      <c r="A77" s="3" t="s">
        <v>42</v>
      </c>
      <c r="B77" s="3">
        <v>2014</v>
      </c>
      <c r="C77" s="3" t="s">
        <v>151</v>
      </c>
      <c r="D77" s="3">
        <v>2</v>
      </c>
      <c r="E77" s="3">
        <v>1000</v>
      </c>
      <c r="F77" s="3" t="s">
        <v>145</v>
      </c>
      <c r="G77" s="3" t="s">
        <v>146</v>
      </c>
      <c r="H77" s="3">
        <v>15469</v>
      </c>
      <c r="I77" s="3">
        <v>15504</v>
      </c>
      <c r="J77" s="3">
        <f t="shared" si="0"/>
        <v>35</v>
      </c>
      <c r="K77" s="3">
        <f t="shared" si="1"/>
        <v>8.5749999999999993</v>
      </c>
      <c r="L77" s="3">
        <v>233</v>
      </c>
      <c r="M77" s="3" t="s">
        <v>147</v>
      </c>
      <c r="N77" s="3">
        <f t="shared" si="35"/>
        <v>1.9055555555555554</v>
      </c>
      <c r="O77" s="3">
        <f t="shared" si="3"/>
        <v>7.6358333333333324</v>
      </c>
      <c r="P77" s="3"/>
      <c r="Q77" s="48"/>
      <c r="R77" s="3"/>
      <c r="S77" s="3"/>
      <c r="T77" s="3"/>
      <c r="U77" s="28">
        <f t="shared" si="43"/>
        <v>0.26192295099858126</v>
      </c>
      <c r="V77" s="28">
        <v>2</v>
      </c>
      <c r="W77" s="77"/>
      <c r="X77" s="77"/>
      <c r="Y77" s="77"/>
      <c r="Z77" s="3"/>
      <c r="AA77" s="3"/>
      <c r="AB77" s="3"/>
    </row>
    <row r="78" spans="1:28" ht="14">
      <c r="A78" s="3" t="s">
        <v>42</v>
      </c>
      <c r="B78" s="3">
        <v>2014</v>
      </c>
      <c r="C78" s="3" t="s">
        <v>151</v>
      </c>
      <c r="D78" s="3">
        <v>8</v>
      </c>
      <c r="E78" s="3">
        <v>250</v>
      </c>
      <c r="F78" s="3" t="s">
        <v>145</v>
      </c>
      <c r="G78" s="3" t="s">
        <v>146</v>
      </c>
      <c r="H78" s="3">
        <v>513</v>
      </c>
      <c r="I78" s="3">
        <v>558</v>
      </c>
      <c r="J78" s="3">
        <f t="shared" si="0"/>
        <v>45</v>
      </c>
      <c r="K78" s="3">
        <f t="shared" si="1"/>
        <v>11.025</v>
      </c>
      <c r="L78" s="3">
        <v>240</v>
      </c>
      <c r="M78" s="3" t="s">
        <v>147</v>
      </c>
      <c r="N78" s="3">
        <f t="shared" si="35"/>
        <v>2.4500000000000002</v>
      </c>
      <c r="O78" s="3">
        <f t="shared" si="3"/>
        <v>9.817499999999999</v>
      </c>
      <c r="P78" s="3">
        <v>13208.6</v>
      </c>
      <c r="Q78" s="48">
        <f t="shared" ref="Q78:Q81" si="44">P78/N78</f>
        <v>5391.2653061224491</v>
      </c>
      <c r="R78" s="3">
        <f t="shared" ref="R78:R81" si="45">Q78/1000</f>
        <v>5.3912653061224489</v>
      </c>
      <c r="S78" s="3"/>
      <c r="T78" s="3"/>
      <c r="U78" s="28"/>
      <c r="V78" s="28"/>
      <c r="W78" s="77"/>
      <c r="X78" s="77"/>
      <c r="Y78" s="77"/>
      <c r="Z78" s="3"/>
      <c r="AA78" s="3"/>
      <c r="AB78" s="3"/>
    </row>
    <row r="79" spans="1:28" ht="14">
      <c r="A79" s="3" t="s">
        <v>42</v>
      </c>
      <c r="B79" s="3">
        <v>2014</v>
      </c>
      <c r="C79" s="3" t="s">
        <v>151</v>
      </c>
      <c r="D79" s="3">
        <v>5</v>
      </c>
      <c r="E79" s="3">
        <v>250</v>
      </c>
      <c r="F79" s="3" t="s">
        <v>145</v>
      </c>
      <c r="G79" s="3" t="s">
        <v>146</v>
      </c>
      <c r="H79" s="3">
        <v>558</v>
      </c>
      <c r="I79" s="3">
        <v>631</v>
      </c>
      <c r="J79" s="3">
        <f t="shared" si="0"/>
        <v>73</v>
      </c>
      <c r="K79" s="3">
        <f t="shared" si="1"/>
        <v>17.884999999999998</v>
      </c>
      <c r="L79" s="3">
        <v>235</v>
      </c>
      <c r="M79" s="3" t="s">
        <v>147</v>
      </c>
      <c r="N79" s="3">
        <f t="shared" si="35"/>
        <v>3.9744444444444449</v>
      </c>
      <c r="O79" s="3">
        <f t="shared" si="3"/>
        <v>15.926166666666667</v>
      </c>
      <c r="P79" s="3">
        <v>7488</v>
      </c>
      <c r="Q79" s="48">
        <f t="shared" si="44"/>
        <v>1884.0369024322056</v>
      </c>
      <c r="R79" s="3">
        <f t="shared" si="45"/>
        <v>1.8840369024322057</v>
      </c>
      <c r="S79" s="3"/>
      <c r="T79" s="3"/>
      <c r="U79" s="28"/>
      <c r="V79" s="28"/>
      <c r="W79" s="77"/>
      <c r="X79" s="77"/>
      <c r="Y79" s="77"/>
      <c r="Z79" s="3"/>
      <c r="AA79" s="3"/>
      <c r="AB79" s="3"/>
    </row>
    <row r="80" spans="1:28" ht="14">
      <c r="A80" s="3" t="s">
        <v>42</v>
      </c>
      <c r="B80" s="3">
        <v>2014</v>
      </c>
      <c r="C80" s="3" t="s">
        <v>151</v>
      </c>
      <c r="D80" s="3">
        <v>4</v>
      </c>
      <c r="E80" s="3">
        <v>250</v>
      </c>
      <c r="F80" s="3" t="s">
        <v>145</v>
      </c>
      <c r="G80" s="3" t="s">
        <v>146</v>
      </c>
      <c r="H80" s="3">
        <v>631</v>
      </c>
      <c r="I80" s="3">
        <v>673</v>
      </c>
      <c r="J80" s="3">
        <f t="shared" si="0"/>
        <v>42</v>
      </c>
      <c r="K80" s="3">
        <f t="shared" si="1"/>
        <v>10.29</v>
      </c>
      <c r="L80" s="3">
        <v>238</v>
      </c>
      <c r="M80" s="3" t="s">
        <v>147</v>
      </c>
      <c r="N80" s="3">
        <f t="shared" si="35"/>
        <v>2.2866666666666666</v>
      </c>
      <c r="O80" s="3">
        <f t="shared" si="3"/>
        <v>9.1630000000000003</v>
      </c>
      <c r="P80" s="3">
        <v>6935</v>
      </c>
      <c r="Q80" s="48">
        <f t="shared" si="44"/>
        <v>3032.7988338192422</v>
      </c>
      <c r="R80" s="3">
        <f t="shared" si="45"/>
        <v>3.0327988338192422</v>
      </c>
      <c r="S80" s="3"/>
      <c r="T80" s="3"/>
      <c r="U80" s="28"/>
      <c r="V80" s="28"/>
      <c r="W80" s="77"/>
      <c r="X80" s="77"/>
      <c r="Y80" s="77"/>
      <c r="Z80" s="3"/>
      <c r="AA80" s="3"/>
      <c r="AB80" s="3"/>
    </row>
    <row r="81" spans="1:28" ht="14">
      <c r="A81" s="3" t="s">
        <v>42</v>
      </c>
      <c r="B81" s="3">
        <v>2014</v>
      </c>
      <c r="C81" s="3" t="s">
        <v>151</v>
      </c>
      <c r="D81" s="3">
        <v>2</v>
      </c>
      <c r="E81" s="3">
        <v>250</v>
      </c>
      <c r="F81" s="3" t="s">
        <v>145</v>
      </c>
      <c r="G81" s="3" t="s">
        <v>146</v>
      </c>
      <c r="H81" s="3">
        <v>673</v>
      </c>
      <c r="I81" s="3">
        <v>713</v>
      </c>
      <c r="J81" s="3">
        <f t="shared" si="0"/>
        <v>40</v>
      </c>
      <c r="K81" s="3">
        <f t="shared" si="1"/>
        <v>9.8000000000000007</v>
      </c>
      <c r="L81" s="3">
        <v>233</v>
      </c>
      <c r="M81" s="3" t="s">
        <v>147</v>
      </c>
      <c r="N81" s="3">
        <f t="shared" si="35"/>
        <v>2.1777777777777776</v>
      </c>
      <c r="O81" s="3">
        <f t="shared" si="3"/>
        <v>8.7266666666666666</v>
      </c>
      <c r="P81" s="3">
        <v>3979</v>
      </c>
      <c r="Q81" s="48">
        <f t="shared" si="44"/>
        <v>1827.091836734694</v>
      </c>
      <c r="R81" s="3">
        <f t="shared" si="45"/>
        <v>1.827091836734694</v>
      </c>
      <c r="S81" s="3"/>
      <c r="T81" s="3"/>
      <c r="U81" s="28"/>
      <c r="V81" s="28"/>
      <c r="W81" s="77"/>
      <c r="X81" s="77"/>
      <c r="Y81" s="77"/>
      <c r="Z81" s="3"/>
      <c r="AA81" s="3"/>
      <c r="AB81" s="3"/>
    </row>
    <row r="82" spans="1:28" ht="14">
      <c r="A82" s="3" t="s">
        <v>45</v>
      </c>
      <c r="B82" s="3">
        <v>2014</v>
      </c>
      <c r="C82" s="3" t="s">
        <v>154</v>
      </c>
      <c r="D82" s="3">
        <v>8</v>
      </c>
      <c r="E82" s="3">
        <v>1000</v>
      </c>
      <c r="F82" s="3" t="s">
        <v>145</v>
      </c>
      <c r="G82" s="3" t="s">
        <v>146</v>
      </c>
      <c r="H82" s="3">
        <v>15572</v>
      </c>
      <c r="I82" s="3">
        <v>15611</v>
      </c>
      <c r="J82" s="3">
        <f t="shared" si="0"/>
        <v>39</v>
      </c>
      <c r="K82" s="3">
        <f t="shared" si="1"/>
        <v>9.5549999999999997</v>
      </c>
      <c r="L82" s="3">
        <v>219</v>
      </c>
      <c r="M82" s="3" t="s">
        <v>147</v>
      </c>
      <c r="N82" s="3">
        <f t="shared" si="35"/>
        <v>2.1233333333333335</v>
      </c>
      <c r="O82" s="3">
        <f t="shared" si="3"/>
        <v>8.5084999999999997</v>
      </c>
      <c r="P82" s="3"/>
      <c r="Q82" s="48"/>
      <c r="R82" s="3"/>
      <c r="S82" s="3"/>
      <c r="T82" s="3"/>
      <c r="U82" s="28">
        <v>0</v>
      </c>
      <c r="V82" s="28">
        <v>0</v>
      </c>
      <c r="W82" s="77">
        <v>5</v>
      </c>
      <c r="X82" s="77">
        <f t="shared" ref="X82:X85" si="46">SUM(V82:W82)</f>
        <v>5</v>
      </c>
      <c r="Y82" s="77">
        <f t="shared" si="40"/>
        <v>0.58764764647117596</v>
      </c>
      <c r="Z82" s="3"/>
      <c r="AA82" s="3"/>
      <c r="AB82" s="3"/>
    </row>
    <row r="83" spans="1:28" ht="14">
      <c r="A83" s="3" t="s">
        <v>45</v>
      </c>
      <c r="B83" s="3">
        <v>2014</v>
      </c>
      <c r="C83" s="3" t="s">
        <v>154</v>
      </c>
      <c r="D83" s="3">
        <v>5</v>
      </c>
      <c r="E83" s="3">
        <v>1000</v>
      </c>
      <c r="F83" s="3" t="s">
        <v>145</v>
      </c>
      <c r="G83" s="3" t="s">
        <v>146</v>
      </c>
      <c r="H83" s="3">
        <v>15611</v>
      </c>
      <c r="I83" s="3">
        <v>15662</v>
      </c>
      <c r="J83" s="3">
        <f t="shared" si="0"/>
        <v>51</v>
      </c>
      <c r="K83" s="3">
        <f t="shared" si="1"/>
        <v>12.494999999999999</v>
      </c>
      <c r="L83" s="3">
        <v>217</v>
      </c>
      <c r="M83" s="3" t="s">
        <v>147</v>
      </c>
      <c r="N83" s="3">
        <f t="shared" si="35"/>
        <v>2.7766666666666668</v>
      </c>
      <c r="O83" s="3">
        <f t="shared" si="3"/>
        <v>11.1265</v>
      </c>
      <c r="P83" s="3"/>
      <c r="Q83" s="48"/>
      <c r="R83" s="3"/>
      <c r="S83" s="3"/>
      <c r="T83" s="3"/>
      <c r="U83" s="28">
        <f t="shared" ref="U83:U85" si="47">V83/O83</f>
        <v>0.5392531344088437</v>
      </c>
      <c r="V83" s="28">
        <v>6</v>
      </c>
      <c r="W83" s="77">
        <v>132</v>
      </c>
      <c r="X83" s="77">
        <f t="shared" si="46"/>
        <v>138</v>
      </c>
      <c r="Y83" s="77">
        <f t="shared" si="40"/>
        <v>12.402822091403406</v>
      </c>
      <c r="Z83" s="3"/>
      <c r="AA83" s="3"/>
      <c r="AB83" s="3"/>
    </row>
    <row r="84" spans="1:28" s="38" customFormat="1" ht="14">
      <c r="A84" s="22" t="s">
        <v>45</v>
      </c>
      <c r="B84" s="22">
        <v>2014</v>
      </c>
      <c r="C84" s="22" t="s">
        <v>154</v>
      </c>
      <c r="D84" s="22">
        <v>4</v>
      </c>
      <c r="E84" s="22">
        <v>1000</v>
      </c>
      <c r="F84" s="22" t="s">
        <v>145</v>
      </c>
      <c r="G84" s="22" t="s">
        <v>146</v>
      </c>
      <c r="H84" s="22">
        <v>15662</v>
      </c>
      <c r="I84" s="22">
        <v>15711</v>
      </c>
      <c r="J84" s="22">
        <f t="shared" si="0"/>
        <v>49</v>
      </c>
      <c r="K84" s="22">
        <f t="shared" si="1"/>
        <v>12.004999999999999</v>
      </c>
      <c r="L84" s="22">
        <v>228</v>
      </c>
      <c r="M84" s="22" t="s">
        <v>147</v>
      </c>
      <c r="N84" s="22">
        <f t="shared" si="35"/>
        <v>2.6677777777777778</v>
      </c>
      <c r="O84" s="22">
        <f t="shared" si="3"/>
        <v>10.690166666666666</v>
      </c>
      <c r="P84" s="22"/>
      <c r="Q84" s="22"/>
      <c r="R84" s="22"/>
      <c r="S84" s="22"/>
      <c r="T84" s="22"/>
      <c r="U84" s="45">
        <f t="shared" si="47"/>
        <v>24.040785145226923</v>
      </c>
      <c r="V84" s="45">
        <v>257</v>
      </c>
      <c r="W84" s="77">
        <v>421</v>
      </c>
      <c r="X84" s="77">
        <f t="shared" si="46"/>
        <v>678</v>
      </c>
      <c r="Y84" s="77">
        <f t="shared" si="40"/>
        <v>63.422771706085037</v>
      </c>
      <c r="Z84" s="36"/>
      <c r="AA84" s="36"/>
      <c r="AB84" s="36"/>
    </row>
    <row r="85" spans="1:28" ht="14">
      <c r="A85" s="3" t="s">
        <v>45</v>
      </c>
      <c r="B85" s="3">
        <v>2014</v>
      </c>
      <c r="C85" s="3" t="s">
        <v>154</v>
      </c>
      <c r="D85" s="3">
        <v>2</v>
      </c>
      <c r="E85" s="3">
        <v>1000</v>
      </c>
      <c r="F85" s="3" t="s">
        <v>145</v>
      </c>
      <c r="G85" s="3" t="s">
        <v>146</v>
      </c>
      <c r="H85" s="3">
        <v>1571.1</v>
      </c>
      <c r="I85" s="3">
        <v>1578</v>
      </c>
      <c r="J85" s="3">
        <f t="shared" si="0"/>
        <v>6.9000000000000909</v>
      </c>
      <c r="K85" s="3">
        <f t="shared" si="1"/>
        <v>1.6905000000000223</v>
      </c>
      <c r="L85" s="3">
        <v>214</v>
      </c>
      <c r="M85" s="3" t="s">
        <v>147</v>
      </c>
      <c r="N85" s="3">
        <f t="shared" si="35"/>
        <v>0.37566666666667159</v>
      </c>
      <c r="O85" s="3">
        <f t="shared" si="3"/>
        <v>1.5053500000000197</v>
      </c>
      <c r="P85" s="3"/>
      <c r="Q85" s="48"/>
      <c r="R85" s="3"/>
      <c r="S85" s="3"/>
      <c r="T85" s="3"/>
      <c r="U85" s="28">
        <f t="shared" si="47"/>
        <v>23.914704221609281</v>
      </c>
      <c r="V85" s="28">
        <v>36</v>
      </c>
      <c r="W85" s="77">
        <v>17</v>
      </c>
      <c r="X85" s="77">
        <f t="shared" si="46"/>
        <v>53</v>
      </c>
      <c r="Y85" s="77">
        <f t="shared" si="40"/>
        <v>35.207758992924774</v>
      </c>
      <c r="Z85" s="3"/>
      <c r="AA85" s="3"/>
      <c r="AB85" s="3"/>
    </row>
    <row r="86" spans="1:28" ht="14">
      <c r="A86" s="3" t="s">
        <v>45</v>
      </c>
      <c r="B86" s="3">
        <v>2014</v>
      </c>
      <c r="C86" s="3" t="s">
        <v>154</v>
      </c>
      <c r="D86" s="3">
        <v>8</v>
      </c>
      <c r="E86" s="3">
        <v>250</v>
      </c>
      <c r="F86" s="3" t="s">
        <v>145</v>
      </c>
      <c r="G86" s="3" t="s">
        <v>146</v>
      </c>
      <c r="H86" s="3">
        <v>718</v>
      </c>
      <c r="I86" s="3">
        <v>755</v>
      </c>
      <c r="J86" s="3">
        <f t="shared" si="0"/>
        <v>37</v>
      </c>
      <c r="K86" s="3">
        <f t="shared" si="1"/>
        <v>9.0649999999999995</v>
      </c>
      <c r="L86" s="3">
        <v>216</v>
      </c>
      <c r="M86" s="3" t="s">
        <v>147</v>
      </c>
      <c r="N86" s="3">
        <f t="shared" si="35"/>
        <v>2.0144444444444445</v>
      </c>
      <c r="O86" s="3">
        <f t="shared" si="3"/>
        <v>8.072166666666666</v>
      </c>
      <c r="P86" s="3">
        <v>3303</v>
      </c>
      <c r="Q86" s="48">
        <f t="shared" ref="Q86:Q89" si="48">P86/N86</f>
        <v>1639.6580253723112</v>
      </c>
      <c r="R86" s="3">
        <f t="shared" ref="R86:R89" si="49">Q86/1000</f>
        <v>1.6396580253723112</v>
      </c>
      <c r="S86" s="3"/>
      <c r="T86" s="3"/>
      <c r="U86" s="28"/>
      <c r="V86" s="28"/>
      <c r="W86" s="77"/>
      <c r="X86" s="77"/>
      <c r="Y86" s="77"/>
      <c r="Z86" s="3"/>
      <c r="AA86" s="3"/>
      <c r="AB86" s="3"/>
    </row>
    <row r="87" spans="1:28" ht="14">
      <c r="A87" s="3" t="s">
        <v>45</v>
      </c>
      <c r="B87" s="3">
        <v>2014</v>
      </c>
      <c r="C87" s="3" t="s">
        <v>154</v>
      </c>
      <c r="D87" s="3">
        <v>5</v>
      </c>
      <c r="E87" s="3">
        <v>250</v>
      </c>
      <c r="F87" s="3" t="s">
        <v>145</v>
      </c>
      <c r="G87" s="3" t="s">
        <v>146</v>
      </c>
      <c r="H87" s="3">
        <v>755</v>
      </c>
      <c r="I87" s="3">
        <v>829</v>
      </c>
      <c r="J87" s="3">
        <f t="shared" si="0"/>
        <v>74</v>
      </c>
      <c r="K87" s="3">
        <f t="shared" si="1"/>
        <v>18.13</v>
      </c>
      <c r="L87" s="3">
        <v>237</v>
      </c>
      <c r="M87" s="3" t="s">
        <v>147</v>
      </c>
      <c r="N87" s="3">
        <f t="shared" si="35"/>
        <v>4.028888888888889</v>
      </c>
      <c r="O87" s="3">
        <f t="shared" si="3"/>
        <v>16.144333333333332</v>
      </c>
      <c r="P87" s="3">
        <v>7251</v>
      </c>
      <c r="Q87" s="48">
        <f t="shared" si="48"/>
        <v>1799.7517926089354</v>
      </c>
      <c r="R87" s="3">
        <f t="shared" si="49"/>
        <v>1.7997517926089355</v>
      </c>
      <c r="S87" s="3"/>
      <c r="T87" s="3"/>
      <c r="U87" s="28"/>
      <c r="V87" s="28"/>
      <c r="W87" s="77"/>
      <c r="X87" s="77"/>
      <c r="Y87" s="77"/>
      <c r="Z87" s="3"/>
      <c r="AA87" s="3"/>
      <c r="AB87" s="3"/>
    </row>
    <row r="88" spans="1:28" ht="14">
      <c r="A88" s="3" t="s">
        <v>45</v>
      </c>
      <c r="B88" s="3">
        <v>2014</v>
      </c>
      <c r="C88" s="3" t="s">
        <v>154</v>
      </c>
      <c r="D88" s="3">
        <v>4</v>
      </c>
      <c r="E88" s="3">
        <v>250</v>
      </c>
      <c r="F88" s="3" t="s">
        <v>145</v>
      </c>
      <c r="G88" s="3" t="s">
        <v>146</v>
      </c>
      <c r="H88" s="3">
        <v>829</v>
      </c>
      <c r="I88" s="3">
        <v>863.6</v>
      </c>
      <c r="J88" s="3">
        <f t="shared" si="0"/>
        <v>34.600000000000023</v>
      </c>
      <c r="K88" s="3">
        <f t="shared" si="1"/>
        <v>8.4770000000000056</v>
      </c>
      <c r="L88" s="3">
        <v>234</v>
      </c>
      <c r="M88" s="3" t="s">
        <v>147</v>
      </c>
      <c r="N88" s="3">
        <f t="shared" si="35"/>
        <v>1.8837777777777791</v>
      </c>
      <c r="O88" s="3">
        <f t="shared" si="3"/>
        <v>7.5485666666666722</v>
      </c>
      <c r="P88" s="3">
        <v>4435</v>
      </c>
      <c r="Q88" s="48">
        <f t="shared" si="48"/>
        <v>2354.3116668632756</v>
      </c>
      <c r="R88" s="3">
        <f t="shared" si="49"/>
        <v>2.3543116668632758</v>
      </c>
      <c r="S88" s="3"/>
      <c r="T88" s="3"/>
      <c r="U88" s="28"/>
      <c r="V88" s="28"/>
      <c r="W88" s="77"/>
      <c r="X88" s="77"/>
      <c r="Y88" s="77"/>
      <c r="Z88" s="3"/>
      <c r="AA88" s="3"/>
      <c r="AB88" s="3"/>
    </row>
    <row r="89" spans="1:28" ht="14">
      <c r="A89" s="3" t="s">
        <v>45</v>
      </c>
      <c r="B89" s="3">
        <v>2014</v>
      </c>
      <c r="C89" s="3" t="s">
        <v>154</v>
      </c>
      <c r="D89" s="3">
        <v>2</v>
      </c>
      <c r="E89" s="3">
        <v>250</v>
      </c>
      <c r="F89" s="3" t="s">
        <v>145</v>
      </c>
      <c r="G89" s="3" t="s">
        <v>146</v>
      </c>
      <c r="H89" s="3">
        <v>864</v>
      </c>
      <c r="I89" s="3">
        <v>912</v>
      </c>
      <c r="J89" s="3">
        <f t="shared" si="0"/>
        <v>48</v>
      </c>
      <c r="K89" s="3">
        <f t="shared" si="1"/>
        <v>11.76</v>
      </c>
      <c r="L89" s="3"/>
      <c r="M89" s="3" t="s">
        <v>147</v>
      </c>
      <c r="N89" s="3">
        <f t="shared" si="35"/>
        <v>2.6133333333333333</v>
      </c>
      <c r="O89" s="3">
        <f t="shared" si="3"/>
        <v>10.472</v>
      </c>
      <c r="P89" s="3">
        <v>7473</v>
      </c>
      <c r="Q89" s="48">
        <f t="shared" si="48"/>
        <v>2859.5663265306125</v>
      </c>
      <c r="R89" s="3">
        <f t="shared" si="49"/>
        <v>2.8595663265306124</v>
      </c>
      <c r="S89" s="3"/>
      <c r="T89" s="3"/>
      <c r="U89" s="28"/>
      <c r="V89" s="28"/>
      <c r="W89" s="77"/>
      <c r="X89" s="77"/>
      <c r="Y89" s="77"/>
      <c r="Z89" s="3"/>
      <c r="AA89" s="3"/>
      <c r="AB89" s="3"/>
    </row>
    <row r="90" spans="1:28" ht="14">
      <c r="A90" s="3" t="s">
        <v>167</v>
      </c>
      <c r="B90" s="3">
        <v>2014</v>
      </c>
      <c r="C90" s="3" t="s">
        <v>156</v>
      </c>
      <c r="D90" s="3">
        <v>2</v>
      </c>
      <c r="E90" s="3">
        <v>1000</v>
      </c>
      <c r="F90" s="3" t="s">
        <v>145</v>
      </c>
      <c r="G90" s="3">
        <f>34.2/3.3</f>
        <v>10.363636363636365</v>
      </c>
      <c r="H90" s="3">
        <v>15907</v>
      </c>
      <c r="I90" s="3">
        <v>15963</v>
      </c>
      <c r="J90" s="3">
        <f t="shared" si="0"/>
        <v>56</v>
      </c>
      <c r="K90" s="3">
        <f t="shared" si="1"/>
        <v>13.719999999999999</v>
      </c>
      <c r="L90" s="3"/>
      <c r="M90" s="3" t="s">
        <v>147</v>
      </c>
      <c r="N90" s="3">
        <f t="shared" si="35"/>
        <v>3.048888888888889</v>
      </c>
      <c r="O90" s="3">
        <f t="shared" si="3"/>
        <v>12.217333333333332</v>
      </c>
      <c r="P90" s="3"/>
      <c r="Q90" s="48"/>
      <c r="R90" s="3"/>
      <c r="S90" s="3"/>
      <c r="T90" s="3"/>
      <c r="U90" s="28">
        <f t="shared" ref="U90:U93" si="50">V90/O90</f>
        <v>2.6192295099858125</v>
      </c>
      <c r="V90" s="45">
        <v>32</v>
      </c>
      <c r="W90" s="77"/>
      <c r="X90" s="77"/>
      <c r="Y90" s="77"/>
      <c r="Z90" s="3"/>
      <c r="AA90" s="3"/>
      <c r="AB90" s="3"/>
    </row>
    <row r="91" spans="1:28" ht="14">
      <c r="A91" s="3" t="s">
        <v>167</v>
      </c>
      <c r="B91" s="3">
        <v>2014</v>
      </c>
      <c r="C91" s="3" t="s">
        <v>156</v>
      </c>
      <c r="D91" s="3">
        <v>4</v>
      </c>
      <c r="E91" s="3">
        <v>1000</v>
      </c>
      <c r="F91" s="3" t="s">
        <v>145</v>
      </c>
      <c r="G91" s="3">
        <f>23/3.3</f>
        <v>6.9696969696969697</v>
      </c>
      <c r="H91" s="3">
        <v>15854</v>
      </c>
      <c r="I91" s="3">
        <v>15907</v>
      </c>
      <c r="J91" s="3">
        <f t="shared" si="0"/>
        <v>53</v>
      </c>
      <c r="K91" s="3">
        <f t="shared" si="1"/>
        <v>12.984999999999999</v>
      </c>
      <c r="L91" s="3"/>
      <c r="M91" s="3" t="s">
        <v>147</v>
      </c>
      <c r="N91" s="3">
        <f t="shared" si="35"/>
        <v>2.8855555555555554</v>
      </c>
      <c r="O91" s="3">
        <f t="shared" si="3"/>
        <v>11.562833333333332</v>
      </c>
      <c r="P91" s="3"/>
      <c r="Q91" s="48"/>
      <c r="R91" s="3"/>
      <c r="S91" s="3"/>
      <c r="T91" s="3"/>
      <c r="U91" s="28">
        <f t="shared" si="50"/>
        <v>0.77835593928823688</v>
      </c>
      <c r="V91" s="28">
        <v>9</v>
      </c>
      <c r="W91" s="77"/>
      <c r="X91" s="77"/>
      <c r="Y91" s="77"/>
      <c r="Z91" s="3"/>
      <c r="AA91" s="3"/>
      <c r="AB91" s="3"/>
    </row>
    <row r="92" spans="1:28" ht="14">
      <c r="A92" s="3" t="s">
        <v>167</v>
      </c>
      <c r="B92" s="3">
        <v>2014</v>
      </c>
      <c r="C92" s="3" t="s">
        <v>156</v>
      </c>
      <c r="D92" s="3">
        <v>5</v>
      </c>
      <c r="E92" s="3">
        <v>1000</v>
      </c>
      <c r="F92" s="3" t="s">
        <v>145</v>
      </c>
      <c r="G92" s="3">
        <f>53/3.3</f>
        <v>16.060606060606062</v>
      </c>
      <c r="H92" s="3">
        <v>15795</v>
      </c>
      <c r="I92" s="3">
        <v>15854</v>
      </c>
      <c r="J92" s="3">
        <f t="shared" si="0"/>
        <v>59</v>
      </c>
      <c r="K92" s="3">
        <f t="shared" si="1"/>
        <v>14.455</v>
      </c>
      <c r="L92" s="3"/>
      <c r="M92" s="3" t="s">
        <v>147</v>
      </c>
      <c r="N92" s="3">
        <f t="shared" si="35"/>
        <v>3.2122222222222225</v>
      </c>
      <c r="O92" s="3">
        <f t="shared" si="3"/>
        <v>12.871833333333333</v>
      </c>
      <c r="P92" s="3"/>
      <c r="Q92" s="48"/>
      <c r="R92" s="3"/>
      <c r="S92" s="3"/>
      <c r="T92" s="3"/>
      <c r="U92" s="28">
        <f t="shared" si="50"/>
        <v>0</v>
      </c>
      <c r="V92" s="28">
        <v>0</v>
      </c>
      <c r="W92" s="77"/>
      <c r="X92" s="77"/>
      <c r="Y92" s="77"/>
      <c r="Z92" s="3"/>
      <c r="AA92" s="3"/>
      <c r="AB92" s="3"/>
    </row>
    <row r="93" spans="1:28" ht="14">
      <c r="A93" s="3" t="s">
        <v>167</v>
      </c>
      <c r="B93" s="3">
        <v>2014</v>
      </c>
      <c r="C93" s="3" t="s">
        <v>156</v>
      </c>
      <c r="D93" s="3">
        <v>8</v>
      </c>
      <c r="E93" s="3">
        <v>1000</v>
      </c>
      <c r="F93" s="3" t="s">
        <v>145</v>
      </c>
      <c r="G93" s="3">
        <f>36.5/3.3</f>
        <v>11.060606060606061</v>
      </c>
      <c r="H93" s="3">
        <v>15759</v>
      </c>
      <c r="I93" s="3">
        <v>15794</v>
      </c>
      <c r="J93" s="3">
        <f t="shared" si="0"/>
        <v>35</v>
      </c>
      <c r="K93" s="3">
        <f t="shared" si="1"/>
        <v>8.5749999999999993</v>
      </c>
      <c r="L93" s="3"/>
      <c r="M93" s="3" t="s">
        <v>147</v>
      </c>
      <c r="N93" s="3">
        <f t="shared" si="35"/>
        <v>1.9055555555555554</v>
      </c>
      <c r="O93" s="3">
        <f t="shared" si="3"/>
        <v>7.6358333333333324</v>
      </c>
      <c r="P93" s="3"/>
      <c r="Q93" s="48"/>
      <c r="R93" s="3"/>
      <c r="S93" s="3"/>
      <c r="T93" s="3"/>
      <c r="U93" s="28">
        <f t="shared" si="50"/>
        <v>0</v>
      </c>
      <c r="V93" s="28">
        <v>0</v>
      </c>
      <c r="W93" s="77"/>
      <c r="X93" s="77"/>
      <c r="Y93" s="77"/>
      <c r="Z93" s="3"/>
      <c r="AA93" s="3"/>
      <c r="AB93" s="3"/>
    </row>
    <row r="94" spans="1:28" ht="14">
      <c r="A94" s="3" t="s">
        <v>167</v>
      </c>
      <c r="B94" s="3">
        <v>2014</v>
      </c>
      <c r="C94" s="3" t="s">
        <v>156</v>
      </c>
      <c r="D94" s="3">
        <v>2</v>
      </c>
      <c r="E94" s="3">
        <v>250</v>
      </c>
      <c r="F94" s="3" t="s">
        <v>145</v>
      </c>
      <c r="G94" s="3">
        <f>34.2/3.3</f>
        <v>10.363636363636365</v>
      </c>
      <c r="H94" s="3">
        <v>1142</v>
      </c>
      <c r="I94" s="3">
        <v>1187</v>
      </c>
      <c r="J94" s="3">
        <f t="shared" si="0"/>
        <v>45</v>
      </c>
      <c r="K94" s="3">
        <f t="shared" si="1"/>
        <v>11.025</v>
      </c>
      <c r="L94" s="3"/>
      <c r="M94" s="3" t="s">
        <v>147</v>
      </c>
      <c r="N94" s="3">
        <f t="shared" si="35"/>
        <v>2.4500000000000002</v>
      </c>
      <c r="O94" s="3">
        <f t="shared" si="3"/>
        <v>9.817499999999999</v>
      </c>
      <c r="P94" s="3">
        <v>4403</v>
      </c>
      <c r="Q94" s="48">
        <f t="shared" ref="Q94:Q97" si="51">P94/N94</f>
        <v>1797.1428571428571</v>
      </c>
      <c r="R94" s="3">
        <f t="shared" ref="R94:R97" si="52">Q94/1000</f>
        <v>1.7971428571428572</v>
      </c>
      <c r="S94" s="3"/>
      <c r="T94" s="3"/>
      <c r="U94" s="28"/>
      <c r="V94" s="28"/>
      <c r="W94" s="77"/>
      <c r="X94" s="77"/>
      <c r="Y94" s="77"/>
      <c r="Z94" s="3"/>
      <c r="AA94" s="3"/>
      <c r="AB94" s="3"/>
    </row>
    <row r="95" spans="1:28" ht="14">
      <c r="A95" s="3" t="s">
        <v>167</v>
      </c>
      <c r="B95" s="3">
        <v>2014</v>
      </c>
      <c r="C95" s="3" t="s">
        <v>156</v>
      </c>
      <c r="D95" s="3">
        <v>4</v>
      </c>
      <c r="E95" s="3">
        <v>250</v>
      </c>
      <c r="F95" s="3" t="s">
        <v>145</v>
      </c>
      <c r="G95" s="3">
        <f>23/3.3</f>
        <v>6.9696969696969697</v>
      </c>
      <c r="H95" s="3">
        <v>1084</v>
      </c>
      <c r="I95" s="3">
        <v>1142</v>
      </c>
      <c r="J95" s="3">
        <f t="shared" si="0"/>
        <v>58</v>
      </c>
      <c r="K95" s="3">
        <f t="shared" si="1"/>
        <v>14.209999999999999</v>
      </c>
      <c r="L95" s="3"/>
      <c r="M95" s="3" t="s">
        <v>147</v>
      </c>
      <c r="N95" s="3">
        <f t="shared" si="35"/>
        <v>3.157777777777778</v>
      </c>
      <c r="O95" s="3">
        <f t="shared" si="3"/>
        <v>12.653666666666666</v>
      </c>
      <c r="P95" s="3">
        <v>3666</v>
      </c>
      <c r="Q95" s="48">
        <f t="shared" si="51"/>
        <v>1160.9429978888106</v>
      </c>
      <c r="R95" s="3">
        <f t="shared" si="52"/>
        <v>1.1609429978888106</v>
      </c>
      <c r="S95" s="3"/>
      <c r="T95" s="3"/>
      <c r="U95" s="28"/>
      <c r="V95" s="28"/>
      <c r="W95" s="77"/>
      <c r="X95" s="77"/>
      <c r="Y95" s="77"/>
      <c r="Z95" s="3"/>
      <c r="AA95" s="3"/>
      <c r="AB95" s="3"/>
    </row>
    <row r="96" spans="1:28" ht="14">
      <c r="A96" s="3" t="s">
        <v>167</v>
      </c>
      <c r="B96" s="3">
        <v>2014</v>
      </c>
      <c r="C96" s="3" t="s">
        <v>156</v>
      </c>
      <c r="D96" s="3">
        <v>5</v>
      </c>
      <c r="E96" s="3">
        <v>250</v>
      </c>
      <c r="F96" s="3" t="s">
        <v>145</v>
      </c>
      <c r="G96" s="3">
        <f>53/3.3</f>
        <v>16.060606060606062</v>
      </c>
      <c r="H96" s="3">
        <v>1014</v>
      </c>
      <c r="I96" s="3">
        <v>1084</v>
      </c>
      <c r="J96" s="3">
        <f t="shared" si="0"/>
        <v>70</v>
      </c>
      <c r="K96" s="3">
        <f t="shared" si="1"/>
        <v>17.149999999999999</v>
      </c>
      <c r="L96" s="3"/>
      <c r="M96" s="3" t="s">
        <v>147</v>
      </c>
      <c r="N96" s="3">
        <f t="shared" si="35"/>
        <v>3.8111111111111109</v>
      </c>
      <c r="O96" s="3">
        <f t="shared" si="3"/>
        <v>15.271666666666665</v>
      </c>
      <c r="P96" s="3">
        <v>4485</v>
      </c>
      <c r="Q96" s="48">
        <f t="shared" si="51"/>
        <v>1176.8221574344025</v>
      </c>
      <c r="R96" s="3">
        <f t="shared" si="52"/>
        <v>1.1768221574344024</v>
      </c>
      <c r="S96" s="3"/>
      <c r="T96" s="3"/>
      <c r="U96" s="28"/>
      <c r="V96" s="28"/>
      <c r="W96" s="77"/>
      <c r="X96" s="77"/>
      <c r="Y96" s="77"/>
      <c r="Z96" s="3"/>
      <c r="AA96" s="3"/>
      <c r="AB96" s="3"/>
    </row>
    <row r="97" spans="1:28" ht="14">
      <c r="A97" s="3" t="s">
        <v>167</v>
      </c>
      <c r="B97" s="3">
        <v>2014</v>
      </c>
      <c r="C97" s="3" t="s">
        <v>156</v>
      </c>
      <c r="D97" s="3">
        <v>8</v>
      </c>
      <c r="E97" s="3">
        <v>250</v>
      </c>
      <c r="F97" s="3" t="s">
        <v>145</v>
      </c>
      <c r="G97" s="3">
        <f>36.5/3.3</f>
        <v>11.060606060606061</v>
      </c>
      <c r="H97" s="3">
        <v>948</v>
      </c>
      <c r="I97" s="3">
        <v>1014</v>
      </c>
      <c r="J97" s="3">
        <f t="shared" si="0"/>
        <v>66</v>
      </c>
      <c r="K97" s="3">
        <f t="shared" si="1"/>
        <v>16.169999999999998</v>
      </c>
      <c r="L97" s="3"/>
      <c r="M97" s="3" t="s">
        <v>147</v>
      </c>
      <c r="N97" s="3">
        <f t="shared" si="35"/>
        <v>3.5933333333333333</v>
      </c>
      <c r="O97" s="3">
        <f t="shared" si="3"/>
        <v>14.398999999999999</v>
      </c>
      <c r="P97" s="3">
        <v>2425</v>
      </c>
      <c r="Q97" s="48">
        <f t="shared" si="51"/>
        <v>674.86085343228206</v>
      </c>
      <c r="R97" s="3">
        <f t="shared" si="52"/>
        <v>0.67486085343228208</v>
      </c>
      <c r="S97" s="3"/>
      <c r="T97" s="3"/>
      <c r="U97" s="28"/>
      <c r="V97" s="28"/>
      <c r="W97" s="77"/>
      <c r="X97" s="77"/>
      <c r="Y97" s="77"/>
      <c r="Z97" s="3"/>
      <c r="AA97" s="3"/>
      <c r="AB97" s="3"/>
    </row>
    <row r="98" spans="1:28" ht="14">
      <c r="A98" s="3" t="s">
        <v>168</v>
      </c>
      <c r="B98" s="3">
        <v>2014</v>
      </c>
      <c r="C98" s="3" t="s">
        <v>157</v>
      </c>
      <c r="D98" s="3">
        <v>2</v>
      </c>
      <c r="E98" s="3">
        <v>1000</v>
      </c>
      <c r="F98" s="3" t="s">
        <v>145</v>
      </c>
      <c r="G98" s="3">
        <f>33.8/3.3</f>
        <v>10.242424242424242</v>
      </c>
      <c r="H98" s="3">
        <v>16707</v>
      </c>
      <c r="I98" s="3">
        <v>16751</v>
      </c>
      <c r="J98" s="3">
        <f t="shared" si="0"/>
        <v>44</v>
      </c>
      <c r="K98" s="3">
        <f t="shared" si="1"/>
        <v>10.78</v>
      </c>
      <c r="L98" s="3"/>
      <c r="M98" s="3" t="s">
        <v>147</v>
      </c>
      <c r="N98" s="3">
        <f t="shared" si="35"/>
        <v>2.3955555555555557</v>
      </c>
      <c r="O98" s="3">
        <f t="shared" si="3"/>
        <v>9.5993333333333322</v>
      </c>
      <c r="P98" s="3"/>
      <c r="Q98" s="48"/>
      <c r="R98" s="3"/>
      <c r="S98" s="3"/>
      <c r="T98" s="3"/>
      <c r="U98" s="28">
        <f t="shared" ref="U98:U101" si="53">V98/O98</f>
        <v>5.7295645530939652</v>
      </c>
      <c r="V98" s="28">
        <v>55</v>
      </c>
      <c r="W98" s="77">
        <v>42</v>
      </c>
      <c r="X98" s="77">
        <f>SUM(V98:W98)</f>
        <v>97</v>
      </c>
      <c r="Y98" s="77">
        <f t="shared" si="40"/>
        <v>10.104868393638448</v>
      </c>
      <c r="Z98" s="3"/>
      <c r="AA98" s="3"/>
      <c r="AB98" s="3"/>
    </row>
    <row r="99" spans="1:28" ht="14">
      <c r="A99" s="3" t="s">
        <v>168</v>
      </c>
      <c r="B99" s="3">
        <v>2014</v>
      </c>
      <c r="C99" s="3" t="s">
        <v>157</v>
      </c>
      <c r="D99" s="3">
        <v>4</v>
      </c>
      <c r="E99" s="3">
        <v>1000</v>
      </c>
      <c r="F99" s="3" t="s">
        <v>145</v>
      </c>
      <c r="G99" s="3">
        <f>23.2/3.3</f>
        <v>7.0303030303030303</v>
      </c>
      <c r="H99" s="3">
        <v>16655</v>
      </c>
      <c r="I99" s="3">
        <v>16707</v>
      </c>
      <c r="J99" s="3">
        <f t="shared" si="0"/>
        <v>52</v>
      </c>
      <c r="K99" s="3">
        <f t="shared" si="1"/>
        <v>12.74</v>
      </c>
      <c r="L99" s="3"/>
      <c r="M99" s="3" t="s">
        <v>147</v>
      </c>
      <c r="N99" s="3">
        <f t="shared" si="35"/>
        <v>2.8311111111111114</v>
      </c>
      <c r="O99" s="3">
        <f t="shared" si="3"/>
        <v>11.344666666666667</v>
      </c>
      <c r="P99" s="3"/>
      <c r="Q99" s="48"/>
      <c r="R99" s="3"/>
      <c r="S99" s="3"/>
      <c r="T99" s="3"/>
      <c r="U99" s="28">
        <f t="shared" si="53"/>
        <v>8.1976846682729025</v>
      </c>
      <c r="V99" s="28">
        <v>93</v>
      </c>
      <c r="W99" s="77">
        <v>15</v>
      </c>
      <c r="X99" s="77">
        <f>SUM(V99:W99)</f>
        <v>108</v>
      </c>
      <c r="Y99" s="77">
        <f t="shared" si="40"/>
        <v>9.5198918728330497</v>
      </c>
      <c r="Z99" s="3"/>
      <c r="AA99" s="3"/>
      <c r="AB99" s="3"/>
    </row>
    <row r="100" spans="1:28" ht="14">
      <c r="A100" s="3" t="s">
        <v>168</v>
      </c>
      <c r="B100" s="3">
        <v>2014</v>
      </c>
      <c r="C100" s="3" t="s">
        <v>157</v>
      </c>
      <c r="D100" s="3">
        <v>5</v>
      </c>
      <c r="E100" s="3">
        <v>1000</v>
      </c>
      <c r="F100" s="3" t="s">
        <v>145</v>
      </c>
      <c r="G100" s="3">
        <f>44.3/3.3</f>
        <v>13.424242424242424</v>
      </c>
      <c r="H100" s="3">
        <v>16583</v>
      </c>
      <c r="I100" s="3">
        <v>16655</v>
      </c>
      <c r="J100" s="3">
        <f t="shared" si="0"/>
        <v>72</v>
      </c>
      <c r="K100" s="3">
        <f t="shared" si="1"/>
        <v>17.64</v>
      </c>
      <c r="L100" s="3"/>
      <c r="M100" s="3" t="s">
        <v>147</v>
      </c>
      <c r="N100" s="3">
        <f t="shared" si="35"/>
        <v>3.92</v>
      </c>
      <c r="O100" s="3">
        <f t="shared" si="3"/>
        <v>15.708</v>
      </c>
      <c r="P100" s="3"/>
      <c r="Q100" s="48"/>
      <c r="R100" s="3"/>
      <c r="S100" s="3"/>
      <c r="T100" s="3"/>
      <c r="U100" s="28">
        <f t="shared" si="53"/>
        <v>3.374076903488668</v>
      </c>
      <c r="V100" s="28">
        <v>53</v>
      </c>
      <c r="W100" s="77">
        <v>123</v>
      </c>
      <c r="X100" s="77">
        <f>SUM(V100:W100)</f>
        <v>176</v>
      </c>
      <c r="Y100" s="77">
        <f t="shared" si="40"/>
        <v>11.204481792717086</v>
      </c>
      <c r="Z100" s="3"/>
      <c r="AA100" s="3"/>
      <c r="AB100" s="3"/>
    </row>
    <row r="101" spans="1:28" ht="14">
      <c r="A101" s="3" t="s">
        <v>168</v>
      </c>
      <c r="B101" s="3">
        <v>2014</v>
      </c>
      <c r="C101" s="3" t="s">
        <v>157</v>
      </c>
      <c r="D101" s="3">
        <v>8</v>
      </c>
      <c r="E101" s="3">
        <v>1000</v>
      </c>
      <c r="F101" s="3" t="s">
        <v>145</v>
      </c>
      <c r="G101" s="3">
        <f>29.2/3.3</f>
        <v>8.8484848484848495</v>
      </c>
      <c r="H101" s="3">
        <v>16535</v>
      </c>
      <c r="I101" s="3">
        <v>16583</v>
      </c>
      <c r="J101" s="3">
        <f t="shared" si="0"/>
        <v>48</v>
      </c>
      <c r="K101" s="3">
        <f t="shared" si="1"/>
        <v>11.76</v>
      </c>
      <c r="L101" s="3"/>
      <c r="M101" s="3" t="s">
        <v>147</v>
      </c>
      <c r="N101" s="3">
        <f t="shared" si="35"/>
        <v>2.6133333333333333</v>
      </c>
      <c r="O101" s="3">
        <f t="shared" si="3"/>
        <v>10.472</v>
      </c>
      <c r="P101" s="3"/>
      <c r="Q101" s="48"/>
      <c r="R101" s="3"/>
      <c r="S101" s="3"/>
      <c r="T101" s="3"/>
      <c r="U101" s="28">
        <f t="shared" si="53"/>
        <v>0</v>
      </c>
      <c r="V101" s="28">
        <v>0</v>
      </c>
      <c r="W101" s="77">
        <v>12</v>
      </c>
      <c r="X101" s="77">
        <f>SUM(V101:W101)</f>
        <v>12</v>
      </c>
      <c r="Y101" s="77">
        <f t="shared" si="40"/>
        <v>1.1459129106187931</v>
      </c>
      <c r="Z101" s="3"/>
      <c r="AA101" s="3"/>
      <c r="AB101" s="3"/>
    </row>
    <row r="102" spans="1:28" s="38" customFormat="1" ht="14">
      <c r="A102" s="36" t="s">
        <v>168</v>
      </c>
      <c r="B102" s="36">
        <v>2014</v>
      </c>
      <c r="C102" s="36" t="s">
        <v>157</v>
      </c>
      <c r="D102" s="36">
        <v>2</v>
      </c>
      <c r="E102" s="36">
        <v>250</v>
      </c>
      <c r="F102" s="36" t="s">
        <v>145</v>
      </c>
      <c r="G102" s="36">
        <f>33.8/3.3</f>
        <v>10.242424242424242</v>
      </c>
      <c r="H102" s="36">
        <v>1550</v>
      </c>
      <c r="I102" s="36">
        <v>1602.2</v>
      </c>
      <c r="J102" s="36">
        <f t="shared" si="0"/>
        <v>52.200000000000045</v>
      </c>
      <c r="K102" s="36">
        <f t="shared" si="1"/>
        <v>12.78900000000001</v>
      </c>
      <c r="L102" s="36"/>
      <c r="M102" s="36" t="s">
        <v>147</v>
      </c>
      <c r="N102" s="36">
        <f t="shared" si="35"/>
        <v>2.8420000000000027</v>
      </c>
      <c r="O102" s="36">
        <f t="shared" si="3"/>
        <v>11.38830000000001</v>
      </c>
      <c r="P102" s="36">
        <v>23744</v>
      </c>
      <c r="Q102" s="48">
        <f t="shared" ref="Q102:Q105" si="54">P102/N102</f>
        <v>8354.6798029556576</v>
      </c>
      <c r="R102" s="36">
        <f t="shared" ref="R102:R105" si="55">Q102/1000</f>
        <v>8.3546798029556584</v>
      </c>
      <c r="S102" s="36"/>
      <c r="T102" s="36"/>
      <c r="U102" s="62"/>
      <c r="V102" s="62"/>
      <c r="W102" s="77"/>
      <c r="X102" s="77"/>
      <c r="Y102" s="77"/>
      <c r="Z102" s="36"/>
      <c r="AA102" s="36"/>
      <c r="AB102" s="36"/>
    </row>
    <row r="103" spans="1:28" s="38" customFormat="1" ht="14">
      <c r="A103" s="36" t="s">
        <v>168</v>
      </c>
      <c r="B103" s="36">
        <v>2014</v>
      </c>
      <c r="C103" s="36" t="s">
        <v>157</v>
      </c>
      <c r="D103" s="36">
        <v>4</v>
      </c>
      <c r="E103" s="36">
        <v>250</v>
      </c>
      <c r="F103" s="36" t="s">
        <v>145</v>
      </c>
      <c r="G103" s="36">
        <f>23.2/3.3</f>
        <v>7.0303030303030303</v>
      </c>
      <c r="H103" s="36">
        <v>1504</v>
      </c>
      <c r="I103" s="36">
        <v>1550</v>
      </c>
      <c r="J103" s="36">
        <f t="shared" si="0"/>
        <v>46</v>
      </c>
      <c r="K103" s="36">
        <f t="shared" si="1"/>
        <v>11.27</v>
      </c>
      <c r="L103" s="36"/>
      <c r="M103" s="36" t="s">
        <v>147</v>
      </c>
      <c r="N103" s="36">
        <f t="shared" si="35"/>
        <v>2.5044444444444443</v>
      </c>
      <c r="O103" s="36">
        <f t="shared" si="3"/>
        <v>10.035666666666666</v>
      </c>
      <c r="P103" s="36">
        <v>11881</v>
      </c>
      <c r="Q103" s="48">
        <f t="shared" si="54"/>
        <v>4743.96628216504</v>
      </c>
      <c r="R103" s="36">
        <f t="shared" si="55"/>
        <v>4.7439662821650401</v>
      </c>
      <c r="S103" s="36"/>
      <c r="T103" s="36"/>
      <c r="U103" s="62"/>
      <c r="V103" s="62"/>
      <c r="W103" s="77"/>
      <c r="X103" s="77"/>
      <c r="Y103" s="77"/>
      <c r="Z103" s="36"/>
      <c r="AA103" s="36"/>
      <c r="AB103" s="36"/>
    </row>
    <row r="104" spans="1:28" s="38" customFormat="1" ht="14">
      <c r="A104" s="36" t="s">
        <v>168</v>
      </c>
      <c r="B104" s="36">
        <v>2014</v>
      </c>
      <c r="C104" s="36" t="s">
        <v>157</v>
      </c>
      <c r="D104" s="36">
        <v>5</v>
      </c>
      <c r="E104" s="36">
        <v>250</v>
      </c>
      <c r="F104" s="36" t="s">
        <v>145</v>
      </c>
      <c r="G104" s="36">
        <f>44.3/3.3</f>
        <v>13.424242424242424</v>
      </c>
      <c r="H104" s="36">
        <v>1437</v>
      </c>
      <c r="I104" s="36">
        <v>1504</v>
      </c>
      <c r="J104" s="36">
        <f t="shared" si="0"/>
        <v>67</v>
      </c>
      <c r="K104" s="36">
        <f t="shared" si="1"/>
        <v>16.414999999999999</v>
      </c>
      <c r="L104" s="36"/>
      <c r="M104" s="36" t="s">
        <v>147</v>
      </c>
      <c r="N104" s="36">
        <f t="shared" si="35"/>
        <v>3.6477777777777778</v>
      </c>
      <c r="O104" s="36">
        <f t="shared" si="3"/>
        <v>14.617166666666666</v>
      </c>
      <c r="P104" s="36">
        <v>20784</v>
      </c>
      <c r="Q104" s="48">
        <f t="shared" si="54"/>
        <v>5697.7155041120923</v>
      </c>
      <c r="R104" s="36">
        <f t="shared" si="55"/>
        <v>5.6977155041120922</v>
      </c>
      <c r="S104" s="36"/>
      <c r="T104" s="36"/>
      <c r="U104" s="62"/>
      <c r="V104" s="62"/>
      <c r="W104" s="77"/>
      <c r="X104" s="77"/>
      <c r="Y104" s="77"/>
      <c r="Z104" s="36"/>
      <c r="AA104" s="36"/>
      <c r="AB104" s="36"/>
    </row>
    <row r="105" spans="1:28" s="38" customFormat="1" ht="14">
      <c r="A105" s="36" t="s">
        <v>168</v>
      </c>
      <c r="B105" s="36">
        <v>2014</v>
      </c>
      <c r="C105" s="36" t="s">
        <v>157</v>
      </c>
      <c r="D105" s="36">
        <v>8</v>
      </c>
      <c r="E105" s="36">
        <v>250</v>
      </c>
      <c r="F105" s="36" t="s">
        <v>145</v>
      </c>
      <c r="G105" s="36">
        <f>29.2/3.3</f>
        <v>8.8484848484848495</v>
      </c>
      <c r="H105" s="36">
        <v>1379</v>
      </c>
      <c r="I105" s="36">
        <v>1437</v>
      </c>
      <c r="J105" s="36">
        <f t="shared" si="0"/>
        <v>58</v>
      </c>
      <c r="K105" s="36">
        <f t="shared" si="1"/>
        <v>14.209999999999999</v>
      </c>
      <c r="L105" s="36"/>
      <c r="M105" s="36" t="s">
        <v>147</v>
      </c>
      <c r="N105" s="36">
        <f t="shared" si="35"/>
        <v>3.157777777777778</v>
      </c>
      <c r="O105" s="36">
        <f t="shared" si="3"/>
        <v>12.653666666666666</v>
      </c>
      <c r="P105" s="36">
        <v>10780</v>
      </c>
      <c r="Q105" s="48">
        <f t="shared" si="54"/>
        <v>3413.7931034482758</v>
      </c>
      <c r="R105" s="36">
        <f t="shared" si="55"/>
        <v>3.4137931034482758</v>
      </c>
      <c r="S105" s="36"/>
      <c r="T105" s="36"/>
      <c r="U105" s="62"/>
      <c r="V105" s="62"/>
      <c r="W105" s="77"/>
      <c r="X105" s="77"/>
      <c r="Y105" s="77"/>
      <c r="Z105" s="36"/>
      <c r="AA105" s="36"/>
      <c r="AB105" s="36"/>
    </row>
    <row r="106" spans="1:28" ht="14">
      <c r="A106" s="3" t="s">
        <v>169</v>
      </c>
      <c r="B106" s="3">
        <v>2014</v>
      </c>
      <c r="C106" s="3" t="s">
        <v>159</v>
      </c>
      <c r="D106" s="3">
        <v>2</v>
      </c>
      <c r="E106" s="3">
        <v>1000</v>
      </c>
      <c r="F106" s="3" t="s">
        <v>145</v>
      </c>
      <c r="G106" s="3">
        <f>30.5/3.3</f>
        <v>9.2424242424242422</v>
      </c>
      <c r="H106" s="3">
        <v>17088</v>
      </c>
      <c r="I106" s="3">
        <v>17131</v>
      </c>
      <c r="J106" s="3">
        <f t="shared" si="0"/>
        <v>43</v>
      </c>
      <c r="K106" s="3">
        <f t="shared" si="1"/>
        <v>10.535</v>
      </c>
      <c r="L106" s="3"/>
      <c r="M106" s="3" t="s">
        <v>147</v>
      </c>
      <c r="N106" s="3">
        <f t="shared" si="35"/>
        <v>2.3411111111111111</v>
      </c>
      <c r="O106" s="3">
        <f t="shared" si="3"/>
        <v>9.3811666666666671</v>
      </c>
      <c r="P106" s="3"/>
      <c r="Q106" s="48"/>
      <c r="R106" s="3"/>
      <c r="S106" s="3"/>
      <c r="T106" s="3"/>
      <c r="U106" s="28">
        <f t="shared" ref="U106:U109" si="56">V106/O106</f>
        <v>10.659654982500399</v>
      </c>
      <c r="V106" s="28">
        <v>100</v>
      </c>
      <c r="W106" s="77"/>
      <c r="X106" s="77"/>
      <c r="Y106" s="77"/>
      <c r="Z106" s="3"/>
      <c r="AA106" s="3"/>
      <c r="AB106" s="3"/>
    </row>
    <row r="107" spans="1:28" ht="14">
      <c r="A107" s="3" t="s">
        <v>169</v>
      </c>
      <c r="B107" s="3">
        <v>2014</v>
      </c>
      <c r="C107" s="3" t="s">
        <v>159</v>
      </c>
      <c r="D107" s="3">
        <v>4</v>
      </c>
      <c r="E107" s="3">
        <v>1000</v>
      </c>
      <c r="F107" s="3" t="s">
        <v>145</v>
      </c>
      <c r="G107" s="3">
        <f>25/3.3</f>
        <v>7.5757575757575761</v>
      </c>
      <c r="H107" s="3">
        <v>16900</v>
      </c>
      <c r="I107" s="3">
        <v>16924</v>
      </c>
      <c r="J107" s="3">
        <f t="shared" si="0"/>
        <v>24</v>
      </c>
      <c r="K107" s="3">
        <f t="shared" si="1"/>
        <v>5.88</v>
      </c>
      <c r="L107" s="3"/>
      <c r="M107" s="3" t="s">
        <v>147</v>
      </c>
      <c r="N107" s="3">
        <f t="shared" si="35"/>
        <v>1.3066666666666666</v>
      </c>
      <c r="O107" s="3">
        <f t="shared" si="3"/>
        <v>5.2359999999999998</v>
      </c>
      <c r="P107" s="3"/>
      <c r="Q107" s="48"/>
      <c r="R107" s="3"/>
      <c r="S107" s="3"/>
      <c r="T107" s="3"/>
      <c r="U107" s="28">
        <f t="shared" si="56"/>
        <v>12.796027501909855</v>
      </c>
      <c r="V107" s="28">
        <v>67</v>
      </c>
      <c r="W107" s="77"/>
      <c r="X107" s="77"/>
      <c r="Y107" s="77"/>
      <c r="Z107" s="3"/>
      <c r="AA107" s="3"/>
      <c r="AB107" s="3"/>
    </row>
    <row r="108" spans="1:28" ht="14">
      <c r="A108" s="3" t="s">
        <v>169</v>
      </c>
      <c r="B108" s="3">
        <v>2014</v>
      </c>
      <c r="C108" s="3" t="s">
        <v>159</v>
      </c>
      <c r="D108" s="3">
        <v>5</v>
      </c>
      <c r="E108" s="3">
        <v>1000</v>
      </c>
      <c r="F108" s="3" t="s">
        <v>145</v>
      </c>
      <c r="G108" s="3">
        <f>46/3.3</f>
        <v>13.939393939393939</v>
      </c>
      <c r="H108" s="3">
        <v>16822</v>
      </c>
      <c r="I108" s="3">
        <v>16900</v>
      </c>
      <c r="J108" s="3">
        <f t="shared" si="0"/>
        <v>78</v>
      </c>
      <c r="K108" s="3">
        <f t="shared" si="1"/>
        <v>19.11</v>
      </c>
      <c r="L108" s="3"/>
      <c r="M108" s="3" t="s">
        <v>147</v>
      </c>
      <c r="N108" s="3">
        <f t="shared" si="35"/>
        <v>4.246666666666667</v>
      </c>
      <c r="O108" s="3">
        <f t="shared" si="3"/>
        <v>17.016999999999999</v>
      </c>
      <c r="P108" s="3"/>
      <c r="Q108" s="48"/>
      <c r="R108" s="3"/>
      <c r="S108" s="3"/>
      <c r="T108" s="3"/>
      <c r="U108" s="28">
        <f t="shared" si="56"/>
        <v>2.2330610565904685</v>
      </c>
      <c r="V108" s="28">
        <v>38</v>
      </c>
      <c r="W108" s="77"/>
      <c r="X108" s="77"/>
      <c r="Y108" s="77"/>
      <c r="Z108" s="3"/>
      <c r="AA108" s="3"/>
      <c r="AB108" s="3"/>
    </row>
    <row r="109" spans="1:28" ht="14">
      <c r="A109" s="3" t="s">
        <v>169</v>
      </c>
      <c r="B109" s="3">
        <v>2014</v>
      </c>
      <c r="C109" s="3" t="s">
        <v>159</v>
      </c>
      <c r="D109" s="3">
        <v>8</v>
      </c>
      <c r="E109" s="3">
        <v>1000</v>
      </c>
      <c r="F109" s="3" t="s">
        <v>145</v>
      </c>
      <c r="G109" s="3">
        <f>34.5/3.3</f>
        <v>10.454545454545455</v>
      </c>
      <c r="H109" s="3">
        <v>16769</v>
      </c>
      <c r="I109" s="3">
        <v>16822</v>
      </c>
      <c r="J109" s="3">
        <f t="shared" si="0"/>
        <v>53</v>
      </c>
      <c r="K109" s="3">
        <f t="shared" si="1"/>
        <v>12.984999999999999</v>
      </c>
      <c r="L109" s="3"/>
      <c r="M109" s="3" t="s">
        <v>147</v>
      </c>
      <c r="N109" s="3">
        <f t="shared" si="35"/>
        <v>2.8855555555555554</v>
      </c>
      <c r="O109" s="3">
        <f t="shared" si="3"/>
        <v>11.562833333333332</v>
      </c>
      <c r="P109" s="3"/>
      <c r="Q109" s="48"/>
      <c r="R109" s="3"/>
      <c r="S109" s="3"/>
      <c r="T109" s="3"/>
      <c r="U109" s="28">
        <f t="shared" si="56"/>
        <v>0</v>
      </c>
      <c r="V109" s="28">
        <v>0</v>
      </c>
      <c r="W109" s="77"/>
      <c r="X109" s="77"/>
      <c r="Y109" s="77"/>
      <c r="Z109" s="3"/>
      <c r="AA109" s="3"/>
      <c r="AB109" s="3"/>
    </row>
    <row r="110" spans="1:28" ht="14">
      <c r="A110" s="3" t="s">
        <v>169</v>
      </c>
      <c r="B110" s="3">
        <v>2014</v>
      </c>
      <c r="C110" s="3" t="s">
        <v>159</v>
      </c>
      <c r="D110" s="3">
        <v>2</v>
      </c>
      <c r="E110" s="3">
        <v>250</v>
      </c>
      <c r="F110" s="3" t="s">
        <v>145</v>
      </c>
      <c r="G110" s="3">
        <f>30.3/3.3</f>
        <v>9.1818181818181817</v>
      </c>
      <c r="H110" s="3">
        <v>1723</v>
      </c>
      <c r="I110" s="3">
        <v>1768</v>
      </c>
      <c r="J110" s="3">
        <f t="shared" si="0"/>
        <v>45</v>
      </c>
      <c r="K110" s="3">
        <f t="shared" si="1"/>
        <v>11.025</v>
      </c>
      <c r="L110" s="3"/>
      <c r="M110" s="3" t="s">
        <v>147</v>
      </c>
      <c r="N110" s="3">
        <f t="shared" si="35"/>
        <v>2.4500000000000002</v>
      </c>
      <c r="O110" s="3">
        <f t="shared" si="3"/>
        <v>9.817499999999999</v>
      </c>
      <c r="P110" s="3">
        <v>3679</v>
      </c>
      <c r="Q110" s="48">
        <f t="shared" ref="Q110:Q111" si="57">P110/N110</f>
        <v>1501.6326530612243</v>
      </c>
      <c r="R110" s="3">
        <f t="shared" ref="R110:R111" si="58">Q110/1000</f>
        <v>1.5016326530612243</v>
      </c>
      <c r="S110" s="3"/>
      <c r="T110" s="3"/>
      <c r="U110" s="28"/>
      <c r="V110" s="28"/>
      <c r="W110" s="77"/>
      <c r="X110" s="77"/>
      <c r="Y110" s="77"/>
      <c r="Z110" s="3"/>
      <c r="AA110" s="3"/>
      <c r="AB110" s="3"/>
    </row>
    <row r="111" spans="1:28" ht="14">
      <c r="A111" s="3" t="s">
        <v>169</v>
      </c>
      <c r="B111" s="3">
        <v>2014</v>
      </c>
      <c r="C111" s="3" t="s">
        <v>159</v>
      </c>
      <c r="D111" s="3">
        <v>4</v>
      </c>
      <c r="E111" s="3">
        <v>250</v>
      </c>
      <c r="F111" s="3" t="s">
        <v>145</v>
      </c>
      <c r="G111" s="3">
        <f>25/3.3</f>
        <v>7.5757575757575761</v>
      </c>
      <c r="H111" s="3">
        <v>1688</v>
      </c>
      <c r="I111" s="3">
        <v>1723</v>
      </c>
      <c r="J111" s="3">
        <f t="shared" si="0"/>
        <v>35</v>
      </c>
      <c r="K111" s="3">
        <f t="shared" si="1"/>
        <v>8.5749999999999993</v>
      </c>
      <c r="L111" s="3"/>
      <c r="M111" s="3" t="s">
        <v>147</v>
      </c>
      <c r="N111" s="3">
        <f t="shared" si="35"/>
        <v>1.9055555555555554</v>
      </c>
      <c r="O111" s="3">
        <f t="shared" si="3"/>
        <v>7.6358333333333324</v>
      </c>
      <c r="P111" s="3">
        <v>1463</v>
      </c>
      <c r="Q111" s="48">
        <f t="shared" si="57"/>
        <v>767.75510204081638</v>
      </c>
      <c r="R111" s="3">
        <f t="shared" si="58"/>
        <v>0.76775510204081643</v>
      </c>
      <c r="S111" s="3"/>
      <c r="T111" s="3"/>
      <c r="U111" s="28"/>
      <c r="V111" s="28"/>
      <c r="W111" s="77"/>
      <c r="X111" s="77"/>
      <c r="Y111" s="77"/>
      <c r="Z111" s="3"/>
      <c r="AA111" s="3"/>
      <c r="AB111" s="3"/>
    </row>
    <row r="112" spans="1:28" ht="14">
      <c r="A112" s="3" t="s">
        <v>169</v>
      </c>
      <c r="B112" s="3">
        <v>2014</v>
      </c>
      <c r="C112" s="3" t="s">
        <v>159</v>
      </c>
      <c r="D112" s="3">
        <v>5</v>
      </c>
      <c r="E112" s="3">
        <v>250</v>
      </c>
      <c r="F112" s="3" t="s">
        <v>145</v>
      </c>
      <c r="G112" s="3">
        <f>46/3.3</f>
        <v>13.939393939393939</v>
      </c>
      <c r="H112" s="3">
        <v>1645</v>
      </c>
      <c r="I112" s="3">
        <v>1688</v>
      </c>
      <c r="J112" s="3">
        <f t="shared" si="0"/>
        <v>43</v>
      </c>
      <c r="K112" s="3">
        <f t="shared" si="1"/>
        <v>10.535</v>
      </c>
      <c r="L112" s="3"/>
      <c r="M112" s="3" t="s">
        <v>147</v>
      </c>
      <c r="N112" s="3">
        <f t="shared" si="35"/>
        <v>2.3411111111111111</v>
      </c>
      <c r="O112" s="3">
        <f t="shared" si="3"/>
        <v>9.3811666666666671</v>
      </c>
      <c r="P112" s="3" t="s">
        <v>170</v>
      </c>
      <c r="Q112" s="48"/>
      <c r="R112" s="3"/>
      <c r="S112" s="3"/>
      <c r="T112" s="3"/>
      <c r="U112" s="28"/>
      <c r="V112" s="28"/>
      <c r="W112" s="77"/>
      <c r="X112" s="77"/>
      <c r="Y112" s="77"/>
      <c r="Z112" s="3"/>
      <c r="AA112" s="3"/>
      <c r="AB112" s="3"/>
    </row>
    <row r="113" spans="1:28" ht="14">
      <c r="A113" s="3" t="s">
        <v>169</v>
      </c>
      <c r="B113" s="3">
        <v>2014</v>
      </c>
      <c r="C113" s="3" t="s">
        <v>159</v>
      </c>
      <c r="D113" s="3">
        <v>8</v>
      </c>
      <c r="E113" s="3">
        <v>250</v>
      </c>
      <c r="F113" s="3" t="s">
        <v>145</v>
      </c>
      <c r="G113" s="3">
        <f>34.5/3.3</f>
        <v>10.454545454545455</v>
      </c>
      <c r="H113" s="3">
        <v>1602</v>
      </c>
      <c r="I113" s="3">
        <v>1645</v>
      </c>
      <c r="J113" s="3">
        <f t="shared" si="0"/>
        <v>43</v>
      </c>
      <c r="K113" s="3">
        <f t="shared" si="1"/>
        <v>10.535</v>
      </c>
      <c r="L113" s="3"/>
      <c r="M113" s="3" t="s">
        <v>147</v>
      </c>
      <c r="N113" s="3">
        <f t="shared" si="35"/>
        <v>2.3411111111111111</v>
      </c>
      <c r="O113" s="3">
        <f t="shared" si="3"/>
        <v>9.3811666666666671</v>
      </c>
      <c r="P113" s="3">
        <v>3050</v>
      </c>
      <c r="Q113" s="48">
        <f t="shared" ref="Q113:Q117" si="59">P113/N113</f>
        <v>1302.8001898433793</v>
      </c>
      <c r="R113" s="3">
        <f t="shared" ref="R113:R117" si="60">Q113/1000</f>
        <v>1.3028001898433792</v>
      </c>
      <c r="S113" s="3"/>
      <c r="T113" s="3"/>
      <c r="U113" s="28"/>
      <c r="V113" s="28"/>
      <c r="W113" s="77"/>
      <c r="X113" s="77"/>
      <c r="Y113" s="77"/>
      <c r="Z113" s="3"/>
      <c r="AA113" s="3"/>
      <c r="AB113" s="3"/>
    </row>
    <row r="114" spans="1:28" ht="14">
      <c r="A114" s="3" t="s">
        <v>171</v>
      </c>
      <c r="B114" s="3">
        <v>2015</v>
      </c>
      <c r="C114" s="3" t="s">
        <v>144</v>
      </c>
      <c r="D114" s="3">
        <v>2</v>
      </c>
      <c r="E114" s="3">
        <v>250</v>
      </c>
      <c r="F114" s="3" t="s">
        <v>145</v>
      </c>
      <c r="G114" s="3">
        <f>38.8/3.3</f>
        <v>11.757575757575758</v>
      </c>
      <c r="H114" s="3"/>
      <c r="I114" s="3"/>
      <c r="J114" s="3">
        <v>42</v>
      </c>
      <c r="K114" s="3">
        <f t="shared" si="1"/>
        <v>10.29</v>
      </c>
      <c r="L114" s="3"/>
      <c r="M114" s="3" t="s">
        <v>147</v>
      </c>
      <c r="N114" s="3">
        <f t="shared" ref="N114:N201" si="61">(J114/3.6)*0.196</f>
        <v>2.2866666666666666</v>
      </c>
      <c r="O114" s="3">
        <f t="shared" si="3"/>
        <v>9.1630000000000003</v>
      </c>
      <c r="P114" s="3">
        <v>19080</v>
      </c>
      <c r="Q114" s="48">
        <f t="shared" si="59"/>
        <v>8344.0233236151598</v>
      </c>
      <c r="R114" s="3">
        <f t="shared" si="60"/>
        <v>8.3440233236151595</v>
      </c>
      <c r="S114" s="3"/>
      <c r="T114" s="3"/>
      <c r="U114" s="28"/>
      <c r="V114" s="28"/>
      <c r="W114" s="77"/>
      <c r="X114" s="77"/>
      <c r="Y114" s="77"/>
      <c r="Z114" s="3"/>
      <c r="AA114" s="3"/>
      <c r="AB114" s="3"/>
    </row>
    <row r="115" spans="1:28" ht="14">
      <c r="A115" s="3" t="s">
        <v>171</v>
      </c>
      <c r="B115" s="3">
        <v>2015</v>
      </c>
      <c r="C115" s="3" t="s">
        <v>144</v>
      </c>
      <c r="D115" s="3">
        <v>4</v>
      </c>
      <c r="E115" s="3">
        <v>250</v>
      </c>
      <c r="F115" s="3" t="s">
        <v>145</v>
      </c>
      <c r="G115" s="3">
        <f>27.4/3.3</f>
        <v>8.3030303030303028</v>
      </c>
      <c r="H115" s="3"/>
      <c r="I115" s="3"/>
      <c r="J115" s="3">
        <v>32</v>
      </c>
      <c r="K115" s="3">
        <f t="shared" si="1"/>
        <v>7.84</v>
      </c>
      <c r="L115" s="3"/>
      <c r="M115" s="3" t="s">
        <v>147</v>
      </c>
      <c r="N115" s="3">
        <f t="shared" si="61"/>
        <v>1.7422222222222223</v>
      </c>
      <c r="O115" s="3">
        <f t="shared" si="3"/>
        <v>6.9813333333333336</v>
      </c>
      <c r="P115" s="3">
        <v>2847.6</v>
      </c>
      <c r="Q115" s="48">
        <f t="shared" si="59"/>
        <v>1634.4642857142856</v>
      </c>
      <c r="R115" s="3">
        <f t="shared" si="60"/>
        <v>1.6344642857142855</v>
      </c>
      <c r="S115" s="3"/>
      <c r="T115" s="3"/>
      <c r="U115" s="28"/>
      <c r="V115" s="28"/>
      <c r="W115" s="77"/>
      <c r="X115" s="77"/>
      <c r="Y115" s="77"/>
      <c r="Z115" s="3"/>
      <c r="AA115" s="3"/>
      <c r="AB115" s="3"/>
    </row>
    <row r="116" spans="1:28" ht="14">
      <c r="A116" s="3" t="s">
        <v>171</v>
      </c>
      <c r="B116" s="3">
        <v>2015</v>
      </c>
      <c r="C116" s="3" t="s">
        <v>144</v>
      </c>
      <c r="D116" s="3">
        <v>5</v>
      </c>
      <c r="E116" s="3">
        <v>250</v>
      </c>
      <c r="F116" s="3" t="s">
        <v>145</v>
      </c>
      <c r="G116" s="3">
        <f>55/3.3</f>
        <v>16.666666666666668</v>
      </c>
      <c r="H116" s="3"/>
      <c r="I116" s="3"/>
      <c r="J116" s="3">
        <v>36</v>
      </c>
      <c r="K116" s="3">
        <f t="shared" si="1"/>
        <v>8.82</v>
      </c>
      <c r="L116" s="3"/>
      <c r="M116" s="3" t="s">
        <v>147</v>
      </c>
      <c r="N116" s="3">
        <f t="shared" si="61"/>
        <v>1.96</v>
      </c>
      <c r="O116" s="3">
        <f t="shared" si="3"/>
        <v>7.8540000000000001</v>
      </c>
      <c r="P116" s="3">
        <v>2821</v>
      </c>
      <c r="Q116" s="48">
        <f t="shared" si="59"/>
        <v>1439.2857142857142</v>
      </c>
      <c r="R116" s="3">
        <f t="shared" si="60"/>
        <v>1.4392857142857143</v>
      </c>
      <c r="S116" s="3"/>
      <c r="T116" s="3"/>
      <c r="U116" s="28"/>
      <c r="V116" s="28"/>
      <c r="W116" s="77"/>
      <c r="X116" s="77"/>
      <c r="Y116" s="77"/>
      <c r="Z116" s="3"/>
      <c r="AA116" s="3"/>
      <c r="AB116" s="3"/>
    </row>
    <row r="117" spans="1:28" ht="14">
      <c r="A117" s="3" t="s">
        <v>171</v>
      </c>
      <c r="B117" s="3">
        <v>2015</v>
      </c>
      <c r="C117" s="3" t="s">
        <v>144</v>
      </c>
      <c r="D117" s="3">
        <v>8</v>
      </c>
      <c r="E117" s="3">
        <v>250</v>
      </c>
      <c r="F117" s="3" t="s">
        <v>145</v>
      </c>
      <c r="G117" s="3">
        <f>36.1/3.3</f>
        <v>10.939393939393941</v>
      </c>
      <c r="H117" s="3"/>
      <c r="I117" s="3"/>
      <c r="J117" s="3">
        <v>35</v>
      </c>
      <c r="K117" s="3">
        <f t="shared" si="1"/>
        <v>8.5749999999999993</v>
      </c>
      <c r="L117" s="3"/>
      <c r="M117" s="3" t="s">
        <v>147</v>
      </c>
      <c r="N117" s="3">
        <f t="shared" si="61"/>
        <v>1.9055555555555554</v>
      </c>
      <c r="O117" s="3">
        <f t="shared" si="3"/>
        <v>7.6358333333333324</v>
      </c>
      <c r="P117" s="3">
        <v>2637.5</v>
      </c>
      <c r="Q117" s="48">
        <f t="shared" si="59"/>
        <v>1384.1107871720117</v>
      </c>
      <c r="R117" s="3">
        <f t="shared" si="60"/>
        <v>1.3841107871720117</v>
      </c>
      <c r="S117" s="3"/>
      <c r="T117" s="3"/>
      <c r="U117" s="28"/>
      <c r="V117" s="28"/>
      <c r="W117" s="77"/>
      <c r="X117" s="77"/>
      <c r="Y117" s="77"/>
      <c r="Z117" s="3"/>
      <c r="AA117" s="3"/>
      <c r="AB117" s="3"/>
    </row>
    <row r="118" spans="1:28" ht="14">
      <c r="A118" s="3" t="s">
        <v>171</v>
      </c>
      <c r="B118" s="3">
        <v>2015</v>
      </c>
      <c r="C118" s="3" t="s">
        <v>144</v>
      </c>
      <c r="D118" s="3">
        <v>2</v>
      </c>
      <c r="E118" s="3">
        <v>1000</v>
      </c>
      <c r="F118" s="3" t="s">
        <v>145</v>
      </c>
      <c r="G118" s="3">
        <v>11.75</v>
      </c>
      <c r="H118" s="3"/>
      <c r="I118" s="3"/>
      <c r="J118" s="3">
        <v>45</v>
      </c>
      <c r="K118" s="3">
        <f t="shared" si="1"/>
        <v>11.025</v>
      </c>
      <c r="L118" s="3"/>
      <c r="M118" s="3" t="s">
        <v>147</v>
      </c>
      <c r="N118" s="3">
        <f t="shared" si="61"/>
        <v>2.4500000000000002</v>
      </c>
      <c r="O118" s="3">
        <f t="shared" si="3"/>
        <v>9.817499999999999</v>
      </c>
      <c r="P118" s="3"/>
      <c r="Q118" s="48"/>
      <c r="R118" s="3"/>
      <c r="S118" s="3"/>
      <c r="T118" s="3"/>
      <c r="U118" s="28">
        <f t="shared" ref="U118:U121" si="62">V118/O118</f>
        <v>19.047619047619051</v>
      </c>
      <c r="V118" s="28">
        <v>187</v>
      </c>
      <c r="W118" s="77"/>
      <c r="X118" s="77"/>
      <c r="Y118" s="77"/>
      <c r="Z118" s="3"/>
      <c r="AA118" s="3"/>
      <c r="AB118" s="3"/>
    </row>
    <row r="119" spans="1:28" ht="14">
      <c r="A119" s="3" t="s">
        <v>171</v>
      </c>
      <c r="B119" s="3">
        <v>2015</v>
      </c>
      <c r="C119" s="3" t="s">
        <v>144</v>
      </c>
      <c r="D119" s="3">
        <v>4</v>
      </c>
      <c r="E119" s="3">
        <v>1000</v>
      </c>
      <c r="F119" s="3" t="s">
        <v>145</v>
      </c>
      <c r="G119" s="3">
        <v>8.3000000000000007</v>
      </c>
      <c r="H119" s="3"/>
      <c r="I119" s="3"/>
      <c r="J119" s="3">
        <v>26</v>
      </c>
      <c r="K119" s="3">
        <f t="shared" si="1"/>
        <v>6.37</v>
      </c>
      <c r="L119" s="3"/>
      <c r="M119" s="3" t="s">
        <v>147</v>
      </c>
      <c r="N119" s="3">
        <f t="shared" si="61"/>
        <v>1.4155555555555557</v>
      </c>
      <c r="O119" s="3">
        <f t="shared" si="3"/>
        <v>5.6723333333333334</v>
      </c>
      <c r="P119" s="3"/>
      <c r="Q119" s="48"/>
      <c r="R119" s="3"/>
      <c r="S119" s="3"/>
      <c r="T119" s="3"/>
      <c r="U119" s="28">
        <f t="shared" si="62"/>
        <v>5.2888288182405825</v>
      </c>
      <c r="V119" s="28">
        <v>30</v>
      </c>
      <c r="W119" s="77"/>
      <c r="X119" s="77"/>
      <c r="Y119" s="77"/>
      <c r="Z119" s="3"/>
      <c r="AA119" s="3"/>
      <c r="AB119" s="3"/>
    </row>
    <row r="120" spans="1:28" ht="14">
      <c r="A120" s="3" t="s">
        <v>171</v>
      </c>
      <c r="B120" s="3">
        <v>2015</v>
      </c>
      <c r="C120" s="3" t="s">
        <v>144</v>
      </c>
      <c r="D120" s="3">
        <v>5</v>
      </c>
      <c r="E120" s="3">
        <v>1000</v>
      </c>
      <c r="F120" s="3" t="s">
        <v>145</v>
      </c>
      <c r="G120" s="3">
        <v>16.7</v>
      </c>
      <c r="H120" s="3"/>
      <c r="I120" s="3"/>
      <c r="J120" s="3">
        <v>52</v>
      </c>
      <c r="K120" s="3">
        <f t="shared" si="1"/>
        <v>12.74</v>
      </c>
      <c r="L120" s="3"/>
      <c r="M120" s="3" t="s">
        <v>147</v>
      </c>
      <c r="N120" s="3">
        <f t="shared" si="61"/>
        <v>2.8311111111111114</v>
      </c>
      <c r="O120" s="3">
        <f t="shared" si="3"/>
        <v>11.344666666666667</v>
      </c>
      <c r="P120" s="3"/>
      <c r="Q120" s="48"/>
      <c r="R120" s="3"/>
      <c r="S120" s="3"/>
      <c r="T120" s="3"/>
      <c r="U120" s="28">
        <f t="shared" si="62"/>
        <v>8.8147146970676382E-2</v>
      </c>
      <c r="V120" s="28">
        <v>1</v>
      </c>
      <c r="W120" s="77"/>
      <c r="X120" s="77"/>
      <c r="Y120" s="77"/>
      <c r="Z120" s="3"/>
      <c r="AA120" s="3"/>
      <c r="AB120" s="3"/>
    </row>
    <row r="121" spans="1:28" ht="14">
      <c r="A121" s="3" t="s">
        <v>171</v>
      </c>
      <c r="B121" s="3">
        <v>2015</v>
      </c>
      <c r="C121" s="3" t="s">
        <v>144</v>
      </c>
      <c r="D121" s="3">
        <v>8</v>
      </c>
      <c r="E121" s="3">
        <v>1000</v>
      </c>
      <c r="F121" s="3" t="s">
        <v>145</v>
      </c>
      <c r="G121" s="3">
        <v>10.93</v>
      </c>
      <c r="H121" s="3"/>
      <c r="I121" s="3"/>
      <c r="J121" s="3">
        <v>34</v>
      </c>
      <c r="K121" s="3">
        <f t="shared" si="1"/>
        <v>8.33</v>
      </c>
      <c r="L121" s="3"/>
      <c r="M121" s="3" t="s">
        <v>147</v>
      </c>
      <c r="N121" s="3">
        <f t="shared" si="61"/>
        <v>1.8511111111111112</v>
      </c>
      <c r="O121" s="3">
        <f t="shared" si="3"/>
        <v>7.4176666666666664</v>
      </c>
      <c r="P121" s="3"/>
      <c r="Q121" s="48"/>
      <c r="R121" s="3"/>
      <c r="S121" s="3"/>
      <c r="T121" s="3"/>
      <c r="U121" s="28">
        <f t="shared" si="62"/>
        <v>0.40443985080663281</v>
      </c>
      <c r="V121" s="28">
        <v>3</v>
      </c>
      <c r="W121" s="77"/>
      <c r="X121" s="77"/>
      <c r="Y121" s="77"/>
      <c r="Z121" s="3"/>
      <c r="AA121" s="3"/>
      <c r="AB121" s="3"/>
    </row>
    <row r="122" spans="1:28" ht="14">
      <c r="A122" s="3" t="s">
        <v>172</v>
      </c>
      <c r="B122" s="3">
        <v>2015</v>
      </c>
      <c r="C122" s="3" t="s">
        <v>144</v>
      </c>
      <c r="D122" s="3">
        <v>2</v>
      </c>
      <c r="E122" s="3">
        <v>250</v>
      </c>
      <c r="F122" s="3" t="s">
        <v>145</v>
      </c>
      <c r="G122" s="3"/>
      <c r="H122" s="3"/>
      <c r="I122" s="3"/>
      <c r="J122" s="3">
        <v>43</v>
      </c>
      <c r="K122" s="3">
        <f t="shared" si="1"/>
        <v>10.535</v>
      </c>
      <c r="L122" s="3"/>
      <c r="M122" s="3" t="s">
        <v>147</v>
      </c>
      <c r="N122" s="3">
        <f t="shared" si="61"/>
        <v>2.3411111111111111</v>
      </c>
      <c r="O122" s="3">
        <f t="shared" si="3"/>
        <v>9.3811666666666671</v>
      </c>
      <c r="P122" s="3">
        <v>7609.6</v>
      </c>
      <c r="Q122" s="48">
        <f t="shared" ref="Q122:Q125" si="63">P122/N122</f>
        <v>3250.4224015187469</v>
      </c>
      <c r="R122" s="3">
        <f t="shared" ref="R122:R125" si="64">Q122/1000</f>
        <v>3.2504224015187471</v>
      </c>
      <c r="S122" s="3"/>
      <c r="T122" s="3"/>
      <c r="U122" s="28"/>
      <c r="V122" s="28"/>
      <c r="W122" s="77"/>
      <c r="X122" s="77"/>
      <c r="Y122" s="77"/>
      <c r="Z122" s="3"/>
      <c r="AA122" s="3"/>
      <c r="AB122" s="3"/>
    </row>
    <row r="123" spans="1:28" ht="14">
      <c r="A123" s="3" t="s">
        <v>172</v>
      </c>
      <c r="B123" s="3">
        <v>2015</v>
      </c>
      <c r="C123" s="3" t="s">
        <v>144</v>
      </c>
      <c r="D123" s="3">
        <v>4</v>
      </c>
      <c r="E123" s="3">
        <v>250</v>
      </c>
      <c r="F123" s="3" t="s">
        <v>145</v>
      </c>
      <c r="G123" s="3"/>
      <c r="H123" s="3"/>
      <c r="I123" s="3"/>
      <c r="J123" s="3">
        <v>42</v>
      </c>
      <c r="K123" s="3">
        <f t="shared" si="1"/>
        <v>10.29</v>
      </c>
      <c r="L123" s="3"/>
      <c r="M123" s="3" t="s">
        <v>147</v>
      </c>
      <c r="N123" s="3">
        <f t="shared" si="61"/>
        <v>2.2866666666666666</v>
      </c>
      <c r="O123" s="3">
        <f t="shared" si="3"/>
        <v>9.1630000000000003</v>
      </c>
      <c r="P123" s="3">
        <v>6847.8</v>
      </c>
      <c r="Q123" s="48">
        <f t="shared" si="63"/>
        <v>2994.66472303207</v>
      </c>
      <c r="R123" s="3">
        <f t="shared" si="64"/>
        <v>2.99466472303207</v>
      </c>
      <c r="S123" s="3"/>
      <c r="T123" s="3"/>
      <c r="U123" s="28"/>
      <c r="V123" s="28"/>
      <c r="W123" s="77"/>
      <c r="X123" s="77"/>
      <c r="Y123" s="77"/>
      <c r="Z123" s="3"/>
      <c r="AA123" s="3"/>
      <c r="AB123" s="3"/>
    </row>
    <row r="124" spans="1:28" ht="14">
      <c r="A124" s="3" t="s">
        <v>172</v>
      </c>
      <c r="B124" s="3">
        <v>2015</v>
      </c>
      <c r="C124" s="3" t="s">
        <v>144</v>
      </c>
      <c r="D124" s="3">
        <v>5</v>
      </c>
      <c r="E124" s="3">
        <v>250</v>
      </c>
      <c r="F124" s="3" t="s">
        <v>145</v>
      </c>
      <c r="G124" s="3"/>
      <c r="H124" s="3"/>
      <c r="I124" s="3"/>
      <c r="J124" s="3">
        <v>65</v>
      </c>
      <c r="K124" s="3">
        <f t="shared" si="1"/>
        <v>15.924999999999999</v>
      </c>
      <c r="L124" s="3"/>
      <c r="M124" s="3" t="s">
        <v>147</v>
      </c>
      <c r="N124" s="3">
        <f t="shared" si="61"/>
        <v>3.5388888888888888</v>
      </c>
      <c r="O124" s="3">
        <f t="shared" si="3"/>
        <v>14.180833333333332</v>
      </c>
      <c r="P124" s="3">
        <v>7196</v>
      </c>
      <c r="Q124" s="48">
        <f t="shared" si="63"/>
        <v>2033.4065934065934</v>
      </c>
      <c r="R124" s="3">
        <f t="shared" si="64"/>
        <v>2.0334065934065935</v>
      </c>
      <c r="S124" s="3"/>
      <c r="T124" s="3"/>
      <c r="U124" s="28"/>
      <c r="V124" s="28"/>
      <c r="W124" s="77"/>
      <c r="X124" s="77"/>
      <c r="Y124" s="77"/>
      <c r="Z124" s="3"/>
      <c r="AA124" s="3"/>
      <c r="AB124" s="3"/>
    </row>
    <row r="125" spans="1:28" ht="14">
      <c r="A125" s="3" t="s">
        <v>172</v>
      </c>
      <c r="B125" s="3">
        <v>2015</v>
      </c>
      <c r="C125" s="3" t="s">
        <v>144</v>
      </c>
      <c r="D125" s="3">
        <v>8</v>
      </c>
      <c r="E125" s="3">
        <v>250</v>
      </c>
      <c r="F125" s="3" t="s">
        <v>145</v>
      </c>
      <c r="G125" s="3"/>
      <c r="H125" s="3"/>
      <c r="I125" s="3"/>
      <c r="J125" s="3">
        <v>52</v>
      </c>
      <c r="K125" s="3">
        <f t="shared" si="1"/>
        <v>12.74</v>
      </c>
      <c r="L125" s="3"/>
      <c r="M125" s="3" t="s">
        <v>147</v>
      </c>
      <c r="N125" s="3">
        <f t="shared" si="61"/>
        <v>2.8311111111111114</v>
      </c>
      <c r="O125" s="3">
        <f t="shared" si="3"/>
        <v>11.344666666666667</v>
      </c>
      <c r="P125" s="3">
        <v>3110.4</v>
      </c>
      <c r="Q125" s="48">
        <f t="shared" si="63"/>
        <v>1098.6499215070644</v>
      </c>
      <c r="R125" s="3">
        <f t="shared" si="64"/>
        <v>1.0986499215070644</v>
      </c>
      <c r="S125" s="3"/>
      <c r="T125" s="3"/>
      <c r="U125" s="28"/>
      <c r="V125" s="28"/>
      <c r="W125" s="77"/>
      <c r="X125" s="77"/>
      <c r="Y125" s="77"/>
      <c r="Z125" s="3"/>
      <c r="AA125" s="3"/>
      <c r="AB125" s="3"/>
    </row>
    <row r="126" spans="1:28" ht="14">
      <c r="A126" s="3" t="s">
        <v>172</v>
      </c>
      <c r="B126" s="3">
        <v>2015</v>
      </c>
      <c r="C126" s="3" t="s">
        <v>144</v>
      </c>
      <c r="D126" s="3">
        <v>2</v>
      </c>
      <c r="E126" s="3">
        <v>1000</v>
      </c>
      <c r="F126" s="3" t="s">
        <v>145</v>
      </c>
      <c r="G126" s="3"/>
      <c r="H126" s="3"/>
      <c r="I126" s="3"/>
      <c r="J126" s="3">
        <v>38</v>
      </c>
      <c r="K126" s="3">
        <f t="shared" si="1"/>
        <v>9.31</v>
      </c>
      <c r="L126" s="3"/>
      <c r="M126" s="3" t="s">
        <v>147</v>
      </c>
      <c r="N126" s="3">
        <f t="shared" si="61"/>
        <v>2.068888888888889</v>
      </c>
      <c r="O126" s="3">
        <f t="shared" si="3"/>
        <v>8.2903333333333329</v>
      </c>
      <c r="P126" s="3"/>
      <c r="Q126" s="48"/>
      <c r="R126" s="3"/>
      <c r="S126" s="3"/>
      <c r="T126" s="3"/>
      <c r="U126" s="28">
        <f t="shared" ref="U126:U129" si="65">V126/O126</f>
        <v>0.24124482328816696</v>
      </c>
      <c r="V126" s="28">
        <v>2</v>
      </c>
      <c r="W126" s="77">
        <v>5</v>
      </c>
      <c r="X126" s="77">
        <f t="shared" ref="X126:X152" si="66">SUM(V126:W126)</f>
        <v>7</v>
      </c>
      <c r="Y126" s="77">
        <f t="shared" si="40"/>
        <v>0.84435688150858434</v>
      </c>
      <c r="Z126" s="3"/>
      <c r="AA126" s="3"/>
      <c r="AB126" s="3"/>
    </row>
    <row r="127" spans="1:28" ht="14">
      <c r="A127" s="3" t="s">
        <v>172</v>
      </c>
      <c r="B127" s="3">
        <v>2015</v>
      </c>
      <c r="C127" s="3" t="s">
        <v>144</v>
      </c>
      <c r="D127" s="3">
        <v>4</v>
      </c>
      <c r="E127" s="3">
        <v>1000</v>
      </c>
      <c r="F127" s="3" t="s">
        <v>145</v>
      </c>
      <c r="G127" s="3"/>
      <c r="H127" s="3"/>
      <c r="I127" s="3"/>
      <c r="J127" s="3">
        <v>36</v>
      </c>
      <c r="K127" s="3">
        <f t="shared" si="1"/>
        <v>8.82</v>
      </c>
      <c r="L127" s="3"/>
      <c r="M127" s="3" t="s">
        <v>147</v>
      </c>
      <c r="N127" s="3">
        <f t="shared" si="61"/>
        <v>1.96</v>
      </c>
      <c r="O127" s="3">
        <f t="shared" si="3"/>
        <v>7.8540000000000001</v>
      </c>
      <c r="P127" s="3"/>
      <c r="Q127" s="48"/>
      <c r="R127" s="3"/>
      <c r="S127" s="3"/>
      <c r="T127" s="3"/>
      <c r="U127" s="28">
        <f t="shared" si="65"/>
        <v>1.0185892538833716</v>
      </c>
      <c r="V127" s="28">
        <v>8</v>
      </c>
      <c r="W127" s="77">
        <v>13</v>
      </c>
      <c r="X127" s="77">
        <f t="shared" si="66"/>
        <v>21</v>
      </c>
      <c r="Y127" s="77">
        <f t="shared" ref="Y127:Y185" si="67">(X127/O127)</f>
        <v>2.6737967914438503</v>
      </c>
      <c r="Z127" s="3"/>
      <c r="AA127" s="3"/>
      <c r="AB127" s="3"/>
    </row>
    <row r="128" spans="1:28" ht="14">
      <c r="A128" s="3" t="s">
        <v>172</v>
      </c>
      <c r="B128" s="3">
        <v>2015</v>
      </c>
      <c r="C128" s="3" t="s">
        <v>144</v>
      </c>
      <c r="D128" s="3">
        <v>5</v>
      </c>
      <c r="E128" s="3">
        <v>1000</v>
      </c>
      <c r="F128" s="3" t="s">
        <v>145</v>
      </c>
      <c r="G128" s="3"/>
      <c r="H128" s="3"/>
      <c r="I128" s="3"/>
      <c r="J128" s="3">
        <v>49</v>
      </c>
      <c r="K128" s="3">
        <f t="shared" si="1"/>
        <v>12.004999999999999</v>
      </c>
      <c r="L128" s="3"/>
      <c r="M128" s="3" t="s">
        <v>147</v>
      </c>
      <c r="N128" s="3">
        <f t="shared" si="61"/>
        <v>2.6677777777777778</v>
      </c>
      <c r="O128" s="3">
        <f t="shared" si="3"/>
        <v>10.690166666666666</v>
      </c>
      <c r="P128" s="3"/>
      <c r="Q128" s="48"/>
      <c r="R128" s="3"/>
      <c r="S128" s="3"/>
      <c r="T128" s="3"/>
      <c r="U128" s="28">
        <f t="shared" si="65"/>
        <v>9.3543911070921873E-2</v>
      </c>
      <c r="V128" s="28">
        <v>1</v>
      </c>
      <c r="W128" s="77">
        <v>7</v>
      </c>
      <c r="X128" s="77">
        <f t="shared" si="66"/>
        <v>8</v>
      </c>
      <c r="Y128" s="77">
        <f t="shared" si="67"/>
        <v>0.74835128856737498</v>
      </c>
      <c r="Z128" s="3"/>
      <c r="AA128" s="3"/>
      <c r="AB128" s="3"/>
    </row>
    <row r="129" spans="1:28" ht="14">
      <c r="A129" s="3" t="s">
        <v>172</v>
      </c>
      <c r="B129" s="3">
        <v>2015</v>
      </c>
      <c r="C129" s="3" t="s">
        <v>144</v>
      </c>
      <c r="D129" s="3">
        <v>8</v>
      </c>
      <c r="E129" s="3">
        <v>1000</v>
      </c>
      <c r="F129" s="3" t="s">
        <v>145</v>
      </c>
      <c r="G129" s="3"/>
      <c r="H129" s="3"/>
      <c r="I129" s="3"/>
      <c r="J129" s="3">
        <v>36</v>
      </c>
      <c r="K129" s="3">
        <f t="shared" si="1"/>
        <v>8.82</v>
      </c>
      <c r="L129" s="3"/>
      <c r="M129" s="3" t="s">
        <v>147</v>
      </c>
      <c r="N129" s="3">
        <f t="shared" si="61"/>
        <v>1.96</v>
      </c>
      <c r="O129" s="3">
        <f t="shared" si="3"/>
        <v>7.8540000000000001</v>
      </c>
      <c r="P129" s="3"/>
      <c r="Q129" s="48"/>
      <c r="R129" s="3"/>
      <c r="S129" s="3"/>
      <c r="T129" s="3"/>
      <c r="U129" s="28">
        <f t="shared" si="65"/>
        <v>0</v>
      </c>
      <c r="V129" s="28">
        <v>0</v>
      </c>
      <c r="W129" s="77">
        <v>17</v>
      </c>
      <c r="X129" s="77">
        <f t="shared" si="66"/>
        <v>17</v>
      </c>
      <c r="Y129" s="77">
        <f t="shared" si="67"/>
        <v>2.1645021645021645</v>
      </c>
      <c r="Z129" s="3"/>
      <c r="AA129" s="3"/>
      <c r="AB129" s="3"/>
    </row>
    <row r="130" spans="1:28" ht="14">
      <c r="A130" s="3" t="s">
        <v>173</v>
      </c>
      <c r="B130" s="3">
        <v>2015</v>
      </c>
      <c r="C130" s="3" t="s">
        <v>151</v>
      </c>
      <c r="D130" s="3">
        <v>2</v>
      </c>
      <c r="E130" s="3">
        <v>250</v>
      </c>
      <c r="F130" s="3" t="s">
        <v>145</v>
      </c>
      <c r="G130" s="3"/>
      <c r="H130" s="3"/>
      <c r="I130" s="3"/>
      <c r="J130" s="3">
        <v>56</v>
      </c>
      <c r="K130" s="3">
        <f t="shared" si="1"/>
        <v>13.719999999999999</v>
      </c>
      <c r="L130" s="3"/>
      <c r="M130" s="3" t="s">
        <v>147</v>
      </c>
      <c r="N130" s="3">
        <f t="shared" si="61"/>
        <v>3.048888888888889</v>
      </c>
      <c r="O130" s="3">
        <f t="shared" si="3"/>
        <v>12.217333333333332</v>
      </c>
      <c r="P130" s="3">
        <v>5989</v>
      </c>
      <c r="Q130" s="48">
        <f t="shared" ref="Q130:Q133" si="68">P130/N130</f>
        <v>1964.3221574344022</v>
      </c>
      <c r="R130" s="3">
        <f t="shared" ref="R130:R133" si="69">Q130/1000</f>
        <v>1.9643221574344023</v>
      </c>
      <c r="S130" s="3"/>
      <c r="T130" s="3"/>
      <c r="U130" s="28"/>
      <c r="V130" s="28"/>
      <c r="W130" s="77"/>
      <c r="X130" s="77"/>
      <c r="Y130" s="77"/>
      <c r="Z130" s="3"/>
      <c r="AA130" s="3"/>
      <c r="AB130" s="3"/>
    </row>
    <row r="131" spans="1:28" ht="14">
      <c r="A131" s="3" t="s">
        <v>173</v>
      </c>
      <c r="B131" s="3">
        <v>2015</v>
      </c>
      <c r="C131" s="3" t="s">
        <v>151</v>
      </c>
      <c r="D131" s="3">
        <v>4</v>
      </c>
      <c r="E131" s="3">
        <v>250</v>
      </c>
      <c r="F131" s="3" t="s">
        <v>145</v>
      </c>
      <c r="G131" s="3"/>
      <c r="H131" s="3"/>
      <c r="I131" s="3"/>
      <c r="J131" s="3">
        <v>38</v>
      </c>
      <c r="K131" s="3">
        <f t="shared" si="1"/>
        <v>9.31</v>
      </c>
      <c r="L131" s="3"/>
      <c r="M131" s="3" t="s">
        <v>147</v>
      </c>
      <c r="N131" s="3">
        <f t="shared" si="61"/>
        <v>2.068888888888889</v>
      </c>
      <c r="O131" s="3">
        <f t="shared" si="3"/>
        <v>8.2903333333333329</v>
      </c>
      <c r="P131" s="3">
        <v>4858</v>
      </c>
      <c r="Q131" s="48">
        <f t="shared" si="68"/>
        <v>2348.1203007518798</v>
      </c>
      <c r="R131" s="3">
        <f t="shared" si="69"/>
        <v>2.3481203007518796</v>
      </c>
      <c r="S131" s="3"/>
      <c r="T131" s="3"/>
      <c r="U131" s="28"/>
      <c r="V131" s="28"/>
      <c r="W131" s="77"/>
      <c r="X131" s="77"/>
      <c r="Y131" s="77"/>
      <c r="Z131" s="3"/>
      <c r="AA131" s="3"/>
      <c r="AB131" s="3"/>
    </row>
    <row r="132" spans="1:28" ht="14">
      <c r="A132" s="3" t="s">
        <v>173</v>
      </c>
      <c r="B132" s="3">
        <v>2015</v>
      </c>
      <c r="C132" s="3" t="s">
        <v>151</v>
      </c>
      <c r="D132" s="3">
        <v>5</v>
      </c>
      <c r="E132" s="3">
        <v>250</v>
      </c>
      <c r="F132" s="3" t="s">
        <v>145</v>
      </c>
      <c r="G132" s="3"/>
      <c r="H132" s="3"/>
      <c r="I132" s="3"/>
      <c r="J132" s="3">
        <v>55</v>
      </c>
      <c r="K132" s="3">
        <f t="shared" si="1"/>
        <v>13.475</v>
      </c>
      <c r="L132" s="3"/>
      <c r="M132" s="3" t="s">
        <v>147</v>
      </c>
      <c r="N132" s="3">
        <f t="shared" si="61"/>
        <v>2.9944444444444445</v>
      </c>
      <c r="O132" s="3">
        <f t="shared" si="3"/>
        <v>11.999166666666666</v>
      </c>
      <c r="P132" s="3">
        <v>6095</v>
      </c>
      <c r="Q132" s="48">
        <f t="shared" si="68"/>
        <v>2035.4359925788497</v>
      </c>
      <c r="R132" s="3">
        <f t="shared" si="69"/>
        <v>2.0354359925788499</v>
      </c>
      <c r="S132" s="3"/>
      <c r="T132" s="3"/>
      <c r="U132" s="28"/>
      <c r="V132" s="28"/>
      <c r="W132" s="77"/>
      <c r="X132" s="77"/>
      <c r="Y132" s="77"/>
      <c r="Z132" s="3"/>
      <c r="AA132" s="3"/>
      <c r="AB132" s="3"/>
    </row>
    <row r="133" spans="1:28" ht="14">
      <c r="A133" s="3" t="s">
        <v>173</v>
      </c>
      <c r="B133" s="3">
        <v>2015</v>
      </c>
      <c r="C133" s="3" t="s">
        <v>151</v>
      </c>
      <c r="D133" s="3">
        <v>8</v>
      </c>
      <c r="E133" s="3">
        <v>250</v>
      </c>
      <c r="F133" s="3" t="s">
        <v>145</v>
      </c>
      <c r="G133" s="3"/>
      <c r="H133" s="3"/>
      <c r="I133" s="3"/>
      <c r="J133" s="3">
        <v>42</v>
      </c>
      <c r="K133" s="3">
        <f t="shared" si="1"/>
        <v>10.29</v>
      </c>
      <c r="L133" s="3"/>
      <c r="M133" s="3" t="s">
        <v>147</v>
      </c>
      <c r="N133" s="3">
        <f t="shared" si="61"/>
        <v>2.2866666666666666</v>
      </c>
      <c r="O133" s="3">
        <f t="shared" si="3"/>
        <v>9.1630000000000003</v>
      </c>
      <c r="P133" s="3">
        <v>7281</v>
      </c>
      <c r="Q133" s="48">
        <f t="shared" si="68"/>
        <v>3184.1107871720119</v>
      </c>
      <c r="R133" s="3">
        <f t="shared" si="69"/>
        <v>3.184110787172012</v>
      </c>
      <c r="S133" s="3"/>
      <c r="T133" s="3"/>
      <c r="U133" s="28"/>
      <c r="V133" s="28"/>
      <c r="W133" s="77"/>
      <c r="X133" s="77"/>
      <c r="Y133" s="77"/>
      <c r="Z133" s="3"/>
      <c r="AA133" s="3"/>
      <c r="AB133" s="3"/>
    </row>
    <row r="134" spans="1:28" ht="14">
      <c r="A134" s="3" t="s">
        <v>173</v>
      </c>
      <c r="B134" s="3">
        <v>2015</v>
      </c>
      <c r="C134" s="3" t="s">
        <v>151</v>
      </c>
      <c r="D134" s="3">
        <v>2</v>
      </c>
      <c r="E134" s="3">
        <v>1000</v>
      </c>
      <c r="F134" s="3" t="s">
        <v>145</v>
      </c>
      <c r="G134" s="3"/>
      <c r="H134" s="3"/>
      <c r="I134" s="3"/>
      <c r="J134" s="3">
        <v>45</v>
      </c>
      <c r="K134" s="3">
        <f t="shared" si="1"/>
        <v>11.025</v>
      </c>
      <c r="L134" s="3"/>
      <c r="M134" s="3" t="s">
        <v>147</v>
      </c>
      <c r="N134" s="3">
        <f t="shared" si="61"/>
        <v>2.4500000000000002</v>
      </c>
      <c r="O134" s="3">
        <f t="shared" si="3"/>
        <v>9.817499999999999</v>
      </c>
      <c r="P134" s="3"/>
      <c r="Q134" s="48"/>
      <c r="R134" s="3"/>
      <c r="S134" s="3"/>
      <c r="T134" s="3"/>
      <c r="U134" s="28">
        <f t="shared" ref="U134:U137" si="70">V134/O134</f>
        <v>1.9353195823784062</v>
      </c>
      <c r="V134" s="28">
        <v>19</v>
      </c>
      <c r="W134" s="77"/>
      <c r="X134" s="77"/>
      <c r="Y134" s="77"/>
      <c r="Z134" s="3"/>
      <c r="AA134" s="3"/>
      <c r="AB134" s="3"/>
    </row>
    <row r="135" spans="1:28" ht="14">
      <c r="A135" s="3" t="s">
        <v>173</v>
      </c>
      <c r="B135" s="3">
        <v>2015</v>
      </c>
      <c r="C135" s="3" t="s">
        <v>151</v>
      </c>
      <c r="D135" s="3">
        <v>4</v>
      </c>
      <c r="E135" s="3">
        <v>1000</v>
      </c>
      <c r="F135" s="3" t="s">
        <v>145</v>
      </c>
      <c r="G135" s="3"/>
      <c r="H135" s="3"/>
      <c r="I135" s="3"/>
      <c r="J135" s="3">
        <v>37</v>
      </c>
      <c r="K135" s="3">
        <f t="shared" si="1"/>
        <v>9.0649999999999995</v>
      </c>
      <c r="L135" s="3"/>
      <c r="M135" s="3" t="s">
        <v>147</v>
      </c>
      <c r="N135" s="3">
        <f t="shared" si="61"/>
        <v>2.0144444444444445</v>
      </c>
      <c r="O135" s="3">
        <f t="shared" si="3"/>
        <v>8.072166666666666</v>
      </c>
      <c r="P135" s="3"/>
      <c r="Q135" s="48"/>
      <c r="R135" s="3"/>
      <c r="S135" s="3"/>
      <c r="T135" s="3"/>
      <c r="U135" s="28">
        <f t="shared" si="70"/>
        <v>1.610472198707493</v>
      </c>
      <c r="V135" s="28">
        <v>13</v>
      </c>
      <c r="W135" s="77"/>
      <c r="X135" s="77"/>
      <c r="Y135" s="77"/>
      <c r="Z135" s="3"/>
      <c r="AA135" s="3"/>
      <c r="AB135" s="3"/>
    </row>
    <row r="136" spans="1:28" ht="14">
      <c r="A136" s="3" t="s">
        <v>173</v>
      </c>
      <c r="B136" s="3">
        <v>2015</v>
      </c>
      <c r="C136" s="3" t="s">
        <v>151</v>
      </c>
      <c r="D136" s="3">
        <v>5</v>
      </c>
      <c r="E136" s="3">
        <v>1000</v>
      </c>
      <c r="F136" s="3" t="s">
        <v>145</v>
      </c>
      <c r="G136" s="3"/>
      <c r="H136" s="3"/>
      <c r="I136" s="3"/>
      <c r="J136" s="3">
        <v>45</v>
      </c>
      <c r="K136" s="3">
        <f t="shared" si="1"/>
        <v>11.025</v>
      </c>
      <c r="L136" s="3"/>
      <c r="M136" s="3" t="s">
        <v>147</v>
      </c>
      <c r="N136" s="3">
        <f t="shared" si="61"/>
        <v>2.4500000000000002</v>
      </c>
      <c r="O136" s="3">
        <f t="shared" si="3"/>
        <v>9.817499999999999</v>
      </c>
      <c r="P136" s="3"/>
      <c r="Q136" s="48"/>
      <c r="R136" s="3"/>
      <c r="S136" s="3"/>
      <c r="T136" s="3"/>
      <c r="U136" s="28">
        <f t="shared" si="70"/>
        <v>0</v>
      </c>
      <c r="V136" s="28">
        <v>0</v>
      </c>
      <c r="W136" s="77"/>
      <c r="X136" s="77"/>
      <c r="Y136" s="77"/>
      <c r="Z136" s="3"/>
      <c r="AA136" s="3"/>
      <c r="AB136" s="3"/>
    </row>
    <row r="137" spans="1:28" ht="14">
      <c r="A137" s="3" t="s">
        <v>173</v>
      </c>
      <c r="B137" s="3">
        <v>2015</v>
      </c>
      <c r="C137" s="3" t="s">
        <v>151</v>
      </c>
      <c r="D137" s="3">
        <v>8</v>
      </c>
      <c r="E137" s="3">
        <v>1000</v>
      </c>
      <c r="F137" s="3" t="s">
        <v>145</v>
      </c>
      <c r="G137" s="3"/>
      <c r="H137" s="3"/>
      <c r="I137" s="3"/>
      <c r="J137" s="3">
        <v>34</v>
      </c>
      <c r="K137" s="3">
        <f t="shared" si="1"/>
        <v>8.33</v>
      </c>
      <c r="L137" s="3"/>
      <c r="M137" s="3" t="s">
        <v>147</v>
      </c>
      <c r="N137" s="3">
        <f t="shared" si="61"/>
        <v>1.8511111111111112</v>
      </c>
      <c r="O137" s="3">
        <f t="shared" si="3"/>
        <v>7.4176666666666664</v>
      </c>
      <c r="P137" s="3"/>
      <c r="Q137" s="48"/>
      <c r="R137" s="3"/>
      <c r="S137" s="3"/>
      <c r="T137" s="3"/>
      <c r="U137" s="28">
        <f t="shared" si="70"/>
        <v>0</v>
      </c>
      <c r="V137" s="28">
        <v>0</v>
      </c>
      <c r="W137" s="77"/>
      <c r="X137" s="77"/>
      <c r="Y137" s="77"/>
      <c r="Z137" s="3"/>
      <c r="AA137" s="3"/>
      <c r="AB137" s="3"/>
    </row>
    <row r="138" spans="1:28" ht="14">
      <c r="A138" s="3" t="s">
        <v>174</v>
      </c>
      <c r="B138" s="3">
        <v>2015</v>
      </c>
      <c r="C138" s="3" t="s">
        <v>154</v>
      </c>
      <c r="D138" s="3">
        <v>2</v>
      </c>
      <c r="E138" s="3">
        <v>250</v>
      </c>
      <c r="F138" s="3" t="s">
        <v>145</v>
      </c>
      <c r="G138" s="3">
        <f>36/3.3</f>
        <v>10.90909090909091</v>
      </c>
      <c r="H138" s="3">
        <v>2616</v>
      </c>
      <c r="I138" s="3">
        <v>2670</v>
      </c>
      <c r="J138" s="3">
        <f t="shared" ref="J138:J201" si="71">I138-H138</f>
        <v>54</v>
      </c>
      <c r="K138" s="3">
        <f t="shared" si="1"/>
        <v>13.23</v>
      </c>
      <c r="L138" s="3">
        <v>3001</v>
      </c>
      <c r="M138" s="3" t="s">
        <v>147</v>
      </c>
      <c r="N138" s="3">
        <f t="shared" si="61"/>
        <v>2.94</v>
      </c>
      <c r="O138" s="3">
        <f t="shared" si="3"/>
        <v>11.781000000000001</v>
      </c>
      <c r="P138" s="3">
        <v>2852</v>
      </c>
      <c r="Q138" s="48">
        <f t="shared" ref="Q138:Q141" si="72">P138/N138</f>
        <v>970.06802721088434</v>
      </c>
      <c r="R138" s="3">
        <f t="shared" ref="R138:R141" si="73">Q138/1000</f>
        <v>0.97006802721088436</v>
      </c>
      <c r="S138" s="3"/>
      <c r="T138" s="3"/>
      <c r="U138" s="28"/>
      <c r="V138" s="28"/>
      <c r="W138" s="77"/>
      <c r="X138" s="77"/>
      <c r="Y138" s="77"/>
      <c r="Z138" s="3"/>
      <c r="AA138" s="3"/>
      <c r="AB138" s="3"/>
    </row>
    <row r="139" spans="1:28" ht="14">
      <c r="A139" s="3" t="s">
        <v>174</v>
      </c>
      <c r="B139" s="3">
        <v>2015</v>
      </c>
      <c r="C139" s="3" t="s">
        <v>154</v>
      </c>
      <c r="D139" s="3">
        <v>4</v>
      </c>
      <c r="E139" s="3">
        <v>250</v>
      </c>
      <c r="F139" s="3" t="s">
        <v>145</v>
      </c>
      <c r="G139" s="3">
        <f>24/3.3</f>
        <v>7.2727272727272734</v>
      </c>
      <c r="H139" s="3">
        <v>2562</v>
      </c>
      <c r="I139" s="3">
        <v>2616</v>
      </c>
      <c r="J139" s="3">
        <f t="shared" si="71"/>
        <v>54</v>
      </c>
      <c r="K139" s="3">
        <f t="shared" si="1"/>
        <v>13.23</v>
      </c>
      <c r="L139" s="3">
        <v>1514</v>
      </c>
      <c r="M139" s="3" t="s">
        <v>147</v>
      </c>
      <c r="N139" s="3">
        <f t="shared" si="61"/>
        <v>2.94</v>
      </c>
      <c r="O139" s="3">
        <f t="shared" si="3"/>
        <v>11.781000000000001</v>
      </c>
      <c r="P139" s="3">
        <v>6175</v>
      </c>
      <c r="Q139" s="48">
        <f t="shared" si="72"/>
        <v>2100.3401360544217</v>
      </c>
      <c r="R139" s="3">
        <f t="shared" si="73"/>
        <v>2.1003401360544216</v>
      </c>
      <c r="S139" s="3"/>
      <c r="T139" s="3"/>
      <c r="U139" s="28"/>
      <c r="V139" s="28"/>
      <c r="W139" s="77"/>
      <c r="X139" s="77"/>
      <c r="Y139" s="77"/>
      <c r="Z139" s="3"/>
      <c r="AA139" s="3"/>
      <c r="AB139" s="3"/>
    </row>
    <row r="140" spans="1:28" ht="14">
      <c r="A140" s="3" t="s">
        <v>174</v>
      </c>
      <c r="B140" s="3">
        <v>2015</v>
      </c>
      <c r="C140" s="3" t="s">
        <v>154</v>
      </c>
      <c r="D140" s="3">
        <v>5</v>
      </c>
      <c r="E140" s="3">
        <v>250</v>
      </c>
      <c r="F140" s="3" t="s">
        <v>145</v>
      </c>
      <c r="G140" s="3">
        <f>53/3.3</f>
        <v>16.060606060606062</v>
      </c>
      <c r="H140" s="3">
        <v>2496</v>
      </c>
      <c r="I140" s="3">
        <v>2562</v>
      </c>
      <c r="J140" s="3">
        <f t="shared" si="71"/>
        <v>66</v>
      </c>
      <c r="K140" s="3">
        <f t="shared" si="1"/>
        <v>16.169999999999998</v>
      </c>
      <c r="L140" s="3">
        <v>1505</v>
      </c>
      <c r="M140" s="3" t="s">
        <v>147</v>
      </c>
      <c r="N140" s="3">
        <f t="shared" si="61"/>
        <v>3.5933333333333333</v>
      </c>
      <c r="O140" s="3">
        <f t="shared" si="3"/>
        <v>14.398999999999999</v>
      </c>
      <c r="P140" s="3">
        <v>17351</v>
      </c>
      <c r="Q140" s="48">
        <f t="shared" si="72"/>
        <v>4828.6641929499074</v>
      </c>
      <c r="R140" s="3">
        <f t="shared" si="73"/>
        <v>4.8286641929499075</v>
      </c>
      <c r="S140" s="3"/>
      <c r="T140" s="3"/>
      <c r="U140" s="28"/>
      <c r="V140" s="28"/>
      <c r="W140" s="77"/>
      <c r="X140" s="77"/>
      <c r="Y140" s="77"/>
      <c r="Z140" s="3"/>
      <c r="AA140" s="3"/>
      <c r="AB140" s="3"/>
    </row>
    <row r="141" spans="1:28" ht="14">
      <c r="A141" s="3" t="s">
        <v>174</v>
      </c>
      <c r="B141" s="3">
        <v>2015</v>
      </c>
      <c r="C141" s="3" t="s">
        <v>154</v>
      </c>
      <c r="D141" s="3">
        <v>8</v>
      </c>
      <c r="E141" s="3">
        <v>250</v>
      </c>
      <c r="F141" s="3" t="s">
        <v>145</v>
      </c>
      <c r="G141" s="3">
        <f>36/3.3</f>
        <v>10.90909090909091</v>
      </c>
      <c r="H141" s="3">
        <v>2460</v>
      </c>
      <c r="I141" s="3">
        <v>2496</v>
      </c>
      <c r="J141" s="3">
        <f t="shared" si="71"/>
        <v>36</v>
      </c>
      <c r="K141" s="3">
        <f t="shared" si="1"/>
        <v>8.82</v>
      </c>
      <c r="L141" s="3">
        <v>1503</v>
      </c>
      <c r="M141" s="3" t="s">
        <v>147</v>
      </c>
      <c r="N141" s="3">
        <f t="shared" si="61"/>
        <v>1.96</v>
      </c>
      <c r="O141" s="3">
        <f t="shared" si="3"/>
        <v>7.8540000000000001</v>
      </c>
      <c r="P141" s="3">
        <v>1723</v>
      </c>
      <c r="Q141" s="48">
        <f t="shared" si="72"/>
        <v>879.08163265306121</v>
      </c>
      <c r="R141" s="3">
        <f t="shared" si="73"/>
        <v>0.87908163265306116</v>
      </c>
      <c r="S141" s="3"/>
      <c r="T141" s="3"/>
      <c r="U141" s="28"/>
      <c r="V141" s="28"/>
      <c r="W141" s="77"/>
      <c r="X141" s="77"/>
      <c r="Y141" s="77"/>
      <c r="Z141" s="3"/>
      <c r="AA141" s="3"/>
      <c r="AB141" s="3"/>
    </row>
    <row r="142" spans="1:28" ht="14">
      <c r="A142" s="3" t="s">
        <v>174</v>
      </c>
      <c r="B142" s="3">
        <v>2015</v>
      </c>
      <c r="C142" s="3" t="s">
        <v>154</v>
      </c>
      <c r="D142" s="3">
        <v>2</v>
      </c>
      <c r="E142" s="3">
        <v>1000</v>
      </c>
      <c r="F142" s="3" t="s">
        <v>145</v>
      </c>
      <c r="G142" s="3">
        <v>10.9</v>
      </c>
      <c r="H142" s="3">
        <v>17768</v>
      </c>
      <c r="I142" s="3">
        <v>17811</v>
      </c>
      <c r="J142" s="3">
        <f t="shared" si="71"/>
        <v>43</v>
      </c>
      <c r="K142" s="3">
        <f t="shared" si="1"/>
        <v>10.535</v>
      </c>
      <c r="L142" s="3">
        <v>3000</v>
      </c>
      <c r="M142" s="3" t="s">
        <v>147</v>
      </c>
      <c r="N142" s="3">
        <f t="shared" si="61"/>
        <v>2.3411111111111111</v>
      </c>
      <c r="O142" s="3">
        <f t="shared" si="3"/>
        <v>9.3811666666666671</v>
      </c>
      <c r="P142" s="3"/>
      <c r="Q142" s="48"/>
      <c r="R142" s="3"/>
      <c r="S142" s="3"/>
      <c r="T142" s="3"/>
      <c r="U142" s="28">
        <v>0</v>
      </c>
      <c r="V142" s="28">
        <v>0</v>
      </c>
      <c r="W142" s="77">
        <v>3</v>
      </c>
      <c r="X142" s="77">
        <f t="shared" si="66"/>
        <v>3</v>
      </c>
      <c r="Y142" s="77">
        <f t="shared" si="67"/>
        <v>0.31978964947501198</v>
      </c>
      <c r="Z142" s="3"/>
      <c r="AA142" s="3"/>
      <c r="AB142" s="3"/>
    </row>
    <row r="143" spans="1:28" ht="14">
      <c r="A143" s="3" t="s">
        <v>174</v>
      </c>
      <c r="B143" s="3">
        <v>2015</v>
      </c>
      <c r="C143" s="3" t="s">
        <v>154</v>
      </c>
      <c r="D143" s="3">
        <v>4</v>
      </c>
      <c r="E143" s="3">
        <v>1000</v>
      </c>
      <c r="F143" s="3" t="s">
        <v>145</v>
      </c>
      <c r="G143" s="3">
        <f>24/3.3</f>
        <v>7.2727272727272734</v>
      </c>
      <c r="H143" s="3">
        <v>17726</v>
      </c>
      <c r="I143" s="3">
        <v>17766</v>
      </c>
      <c r="J143" s="3">
        <f t="shared" si="71"/>
        <v>40</v>
      </c>
      <c r="K143" s="3">
        <f t="shared" si="1"/>
        <v>9.8000000000000007</v>
      </c>
      <c r="L143" s="3">
        <v>226</v>
      </c>
      <c r="M143" s="3" t="s">
        <v>147</v>
      </c>
      <c r="N143" s="3">
        <f t="shared" si="61"/>
        <v>2.1777777777777776</v>
      </c>
      <c r="O143" s="3">
        <f t="shared" si="3"/>
        <v>8.7266666666666666</v>
      </c>
      <c r="P143" s="3"/>
      <c r="Q143" s="48"/>
      <c r="R143" s="3"/>
      <c r="S143" s="3"/>
      <c r="T143" s="3"/>
      <c r="U143" s="28">
        <f t="shared" ref="U143:U145" si="74">V143/O143</f>
        <v>27.845683728036668</v>
      </c>
      <c r="V143" s="28">
        <v>243</v>
      </c>
      <c r="W143" s="77">
        <v>6</v>
      </c>
      <c r="X143" s="77">
        <f t="shared" si="66"/>
        <v>249</v>
      </c>
      <c r="Y143" s="77">
        <f>(X143/O143)</f>
        <v>28.533231474407945</v>
      </c>
      <c r="Z143" s="3" t="s">
        <v>597</v>
      </c>
      <c r="AA143" s="3"/>
      <c r="AB143" s="3"/>
    </row>
    <row r="144" spans="1:28" ht="14">
      <c r="A144" s="3" t="s">
        <v>174</v>
      </c>
      <c r="B144" s="3">
        <v>2015</v>
      </c>
      <c r="C144" s="3" t="s">
        <v>154</v>
      </c>
      <c r="D144" s="3">
        <v>5</v>
      </c>
      <c r="E144" s="3">
        <v>1000</v>
      </c>
      <c r="F144" s="3" t="s">
        <v>145</v>
      </c>
      <c r="G144" s="3">
        <f>53/3.3</f>
        <v>16.060606060606062</v>
      </c>
      <c r="H144" s="3">
        <v>17676</v>
      </c>
      <c r="I144" s="3">
        <v>17726</v>
      </c>
      <c r="J144" s="3">
        <f t="shared" si="71"/>
        <v>50</v>
      </c>
      <c r="K144" s="3">
        <f t="shared" si="1"/>
        <v>12.25</v>
      </c>
      <c r="L144" s="3">
        <v>1502</v>
      </c>
      <c r="M144" s="3" t="s">
        <v>147</v>
      </c>
      <c r="N144" s="3">
        <f t="shared" si="61"/>
        <v>2.7222222222222223</v>
      </c>
      <c r="O144" s="3">
        <f t="shared" si="3"/>
        <v>10.908333333333333</v>
      </c>
      <c r="P144" s="3"/>
      <c r="Q144" s="48"/>
      <c r="R144" s="3"/>
      <c r="S144" s="3"/>
      <c r="T144" s="3"/>
      <c r="U144" s="28">
        <f t="shared" si="74"/>
        <v>0.27501909854851031</v>
      </c>
      <c r="V144" s="28">
        <v>3</v>
      </c>
      <c r="W144" s="77">
        <v>9</v>
      </c>
      <c r="X144" s="77">
        <f t="shared" si="66"/>
        <v>12</v>
      </c>
      <c r="Y144" s="77">
        <f t="shared" si="67"/>
        <v>1.1000763941940412</v>
      </c>
      <c r="Z144" s="3"/>
      <c r="AA144" s="3"/>
      <c r="AB144" s="3"/>
    </row>
    <row r="145" spans="1:28" ht="14">
      <c r="A145" s="3" t="s">
        <v>174</v>
      </c>
      <c r="B145" s="3">
        <v>2015</v>
      </c>
      <c r="C145" s="3" t="s">
        <v>154</v>
      </c>
      <c r="D145" s="3">
        <v>8</v>
      </c>
      <c r="E145" s="3">
        <v>1000</v>
      </c>
      <c r="F145" s="3" t="s">
        <v>145</v>
      </c>
      <c r="G145" s="3">
        <f>36/3.3</f>
        <v>10.90909090909091</v>
      </c>
      <c r="H145" s="3">
        <v>17634</v>
      </c>
      <c r="I145" s="3">
        <v>17676</v>
      </c>
      <c r="J145" s="3">
        <f t="shared" si="71"/>
        <v>42</v>
      </c>
      <c r="K145" s="3">
        <f t="shared" si="1"/>
        <v>10.29</v>
      </c>
      <c r="L145" s="3">
        <v>1507</v>
      </c>
      <c r="M145" s="3" t="s">
        <v>147</v>
      </c>
      <c r="N145" s="3">
        <f t="shared" si="61"/>
        <v>2.2866666666666666</v>
      </c>
      <c r="O145" s="3">
        <f t="shared" si="3"/>
        <v>9.1630000000000003</v>
      </c>
      <c r="P145" s="3"/>
      <c r="Q145" s="48"/>
      <c r="R145" s="3"/>
      <c r="S145" s="3"/>
      <c r="T145" s="3"/>
      <c r="U145" s="28">
        <f t="shared" si="74"/>
        <v>0.32740368874822656</v>
      </c>
      <c r="V145" s="28">
        <v>3</v>
      </c>
      <c r="W145" s="77">
        <v>4</v>
      </c>
      <c r="X145" s="77">
        <f t="shared" si="66"/>
        <v>7</v>
      </c>
      <c r="Y145" s="77">
        <f t="shared" si="67"/>
        <v>0.76394194041252861</v>
      </c>
      <c r="Z145" s="3"/>
      <c r="AA145" s="3"/>
      <c r="AB145" s="3"/>
    </row>
    <row r="146" spans="1:28" ht="14">
      <c r="A146" s="3" t="s">
        <v>175</v>
      </c>
      <c r="B146" s="3">
        <v>2015</v>
      </c>
      <c r="C146" s="3" t="s">
        <v>157</v>
      </c>
      <c r="D146" s="3">
        <v>2</v>
      </c>
      <c r="E146" s="3">
        <v>250</v>
      </c>
      <c r="F146" s="3" t="s">
        <v>145</v>
      </c>
      <c r="G146" s="3" t="s">
        <v>176</v>
      </c>
      <c r="H146" s="3">
        <v>2830</v>
      </c>
      <c r="I146" s="3">
        <v>2871</v>
      </c>
      <c r="J146" s="3">
        <f t="shared" si="71"/>
        <v>41</v>
      </c>
      <c r="K146" s="3">
        <f t="shared" si="1"/>
        <v>10.045</v>
      </c>
      <c r="L146" s="3"/>
      <c r="M146" s="3" t="s">
        <v>147</v>
      </c>
      <c r="N146" s="3">
        <f t="shared" si="61"/>
        <v>2.2322222222222226</v>
      </c>
      <c r="O146" s="3">
        <f t="shared" si="3"/>
        <v>8.9448333333333334</v>
      </c>
      <c r="P146" s="3">
        <v>5802</v>
      </c>
      <c r="Q146" s="48">
        <f t="shared" ref="Q146:Q149" si="75">P146/N146</f>
        <v>2599.2035838725728</v>
      </c>
      <c r="R146" s="3">
        <f t="shared" ref="R146:R149" si="76">Q146/1000</f>
        <v>2.5992035838725727</v>
      </c>
      <c r="S146" s="3"/>
      <c r="T146" s="3"/>
      <c r="U146" s="28"/>
      <c r="V146" s="28"/>
      <c r="W146" s="77"/>
      <c r="X146" s="77"/>
      <c r="Y146" s="77"/>
      <c r="Z146" s="3"/>
      <c r="AA146" s="3"/>
      <c r="AB146" s="3"/>
    </row>
    <row r="147" spans="1:28" ht="14">
      <c r="A147" s="3" t="s">
        <v>175</v>
      </c>
      <c r="B147" s="3">
        <v>2015</v>
      </c>
      <c r="C147" s="3" t="s">
        <v>157</v>
      </c>
      <c r="D147" s="3">
        <v>4</v>
      </c>
      <c r="E147" s="3">
        <v>250</v>
      </c>
      <c r="F147" s="3" t="s">
        <v>145</v>
      </c>
      <c r="G147" s="3">
        <f>38/3.3</f>
        <v>11.515151515151516</v>
      </c>
      <c r="H147" s="3">
        <v>2792</v>
      </c>
      <c r="I147" s="3">
        <v>2830</v>
      </c>
      <c r="J147" s="3">
        <f t="shared" si="71"/>
        <v>38</v>
      </c>
      <c r="K147" s="3">
        <f t="shared" si="1"/>
        <v>9.31</v>
      </c>
      <c r="L147" s="3"/>
      <c r="M147" s="3" t="s">
        <v>147</v>
      </c>
      <c r="N147" s="3">
        <f t="shared" si="61"/>
        <v>2.068888888888889</v>
      </c>
      <c r="O147" s="3">
        <f t="shared" si="3"/>
        <v>8.2903333333333329</v>
      </c>
      <c r="P147" s="3">
        <v>3994</v>
      </c>
      <c r="Q147" s="48">
        <f t="shared" si="75"/>
        <v>1930.5048335123522</v>
      </c>
      <c r="R147" s="3">
        <f t="shared" si="76"/>
        <v>1.9305048335123522</v>
      </c>
      <c r="S147" s="3"/>
      <c r="T147" s="3"/>
      <c r="U147" s="28"/>
      <c r="V147" s="28"/>
      <c r="W147" s="77"/>
      <c r="X147" s="77"/>
      <c r="Y147" s="77"/>
      <c r="Z147" s="3"/>
      <c r="AA147" s="3"/>
      <c r="AB147" s="3"/>
    </row>
    <row r="148" spans="1:28" ht="14">
      <c r="A148" s="3" t="s">
        <v>175</v>
      </c>
      <c r="B148" s="3">
        <v>2015</v>
      </c>
      <c r="C148" s="3" t="s">
        <v>157</v>
      </c>
      <c r="D148" s="3">
        <v>5</v>
      </c>
      <c r="E148" s="3">
        <v>250</v>
      </c>
      <c r="F148" s="3" t="s">
        <v>145</v>
      </c>
      <c r="G148" s="3">
        <f>56/3.3</f>
        <v>16.969696969696969</v>
      </c>
      <c r="H148" s="3">
        <v>2726</v>
      </c>
      <c r="I148" s="3">
        <v>2792</v>
      </c>
      <c r="J148" s="3">
        <f t="shared" si="71"/>
        <v>66</v>
      </c>
      <c r="K148" s="3">
        <f t="shared" si="1"/>
        <v>16.169999999999998</v>
      </c>
      <c r="L148" s="3"/>
      <c r="M148" s="3" t="s">
        <v>147</v>
      </c>
      <c r="N148" s="3">
        <f t="shared" si="61"/>
        <v>3.5933333333333333</v>
      </c>
      <c r="O148" s="3">
        <f t="shared" si="3"/>
        <v>14.398999999999999</v>
      </c>
      <c r="P148" s="3">
        <v>2570</v>
      </c>
      <c r="Q148" s="48">
        <f t="shared" si="75"/>
        <v>715.21335807050093</v>
      </c>
      <c r="R148" s="3">
        <f t="shared" si="76"/>
        <v>0.7152133580705009</v>
      </c>
      <c r="S148" s="3"/>
      <c r="T148" s="3"/>
      <c r="U148" s="28"/>
      <c r="V148" s="28"/>
      <c r="W148" s="77"/>
      <c r="X148" s="77"/>
      <c r="Y148" s="77"/>
      <c r="Z148" s="3"/>
      <c r="AA148" s="3"/>
      <c r="AB148" s="3"/>
    </row>
    <row r="149" spans="1:28" ht="14">
      <c r="A149" s="3" t="s">
        <v>175</v>
      </c>
      <c r="B149" s="3">
        <v>2015</v>
      </c>
      <c r="C149" s="3" t="s">
        <v>157</v>
      </c>
      <c r="D149" s="3">
        <v>8</v>
      </c>
      <c r="E149" s="3">
        <v>250</v>
      </c>
      <c r="F149" s="3" t="s">
        <v>145</v>
      </c>
      <c r="G149" s="3">
        <f>35/3.3</f>
        <v>10.606060606060607</v>
      </c>
      <c r="H149" s="3">
        <v>2671</v>
      </c>
      <c r="I149" s="3">
        <v>2725</v>
      </c>
      <c r="J149" s="3">
        <f t="shared" si="71"/>
        <v>54</v>
      </c>
      <c r="K149" s="3">
        <f t="shared" si="1"/>
        <v>13.23</v>
      </c>
      <c r="L149" s="3"/>
      <c r="M149" s="3" t="s">
        <v>147</v>
      </c>
      <c r="N149" s="3">
        <f t="shared" si="61"/>
        <v>2.94</v>
      </c>
      <c r="O149" s="3">
        <f t="shared" si="3"/>
        <v>11.781000000000001</v>
      </c>
      <c r="P149" s="3">
        <v>2907</v>
      </c>
      <c r="Q149" s="48">
        <f t="shared" si="75"/>
        <v>988.77551020408168</v>
      </c>
      <c r="R149" s="3">
        <f t="shared" si="76"/>
        <v>0.98877551020408172</v>
      </c>
      <c r="S149" s="3"/>
      <c r="T149" s="3"/>
      <c r="U149" s="28"/>
      <c r="V149" s="28"/>
      <c r="W149" s="77"/>
      <c r="X149" s="77"/>
      <c r="Y149" s="77"/>
      <c r="Z149" s="3"/>
      <c r="AA149" s="3"/>
      <c r="AB149" s="3"/>
    </row>
    <row r="150" spans="1:28" ht="14">
      <c r="A150" s="3" t="s">
        <v>175</v>
      </c>
      <c r="B150" s="3">
        <v>2015</v>
      </c>
      <c r="C150" s="3" t="s">
        <v>157</v>
      </c>
      <c r="D150" s="3">
        <v>2</v>
      </c>
      <c r="E150" s="3">
        <v>1000</v>
      </c>
      <c r="F150" s="3" t="s">
        <v>145</v>
      </c>
      <c r="G150" s="3" t="s">
        <v>176</v>
      </c>
      <c r="H150" s="3">
        <v>17971</v>
      </c>
      <c r="I150" s="3">
        <v>18009</v>
      </c>
      <c r="J150" s="3">
        <f t="shared" si="71"/>
        <v>38</v>
      </c>
      <c r="K150" s="3">
        <f t="shared" si="1"/>
        <v>9.31</v>
      </c>
      <c r="L150" s="3"/>
      <c r="M150" s="3" t="s">
        <v>147</v>
      </c>
      <c r="N150" s="3">
        <f t="shared" si="61"/>
        <v>2.068888888888889</v>
      </c>
      <c r="O150" s="3">
        <f t="shared" si="3"/>
        <v>8.2903333333333329</v>
      </c>
      <c r="P150" s="3"/>
      <c r="Q150" s="48"/>
      <c r="R150" s="3"/>
      <c r="S150" s="3"/>
      <c r="T150" s="3"/>
      <c r="U150" s="28">
        <f t="shared" ref="U150:U152" si="77">V150/O150</f>
        <v>0</v>
      </c>
      <c r="V150" s="28">
        <v>0</v>
      </c>
      <c r="W150" s="77">
        <v>3</v>
      </c>
      <c r="X150" s="77">
        <f t="shared" si="66"/>
        <v>3</v>
      </c>
      <c r="Y150" s="77">
        <f t="shared" si="67"/>
        <v>0.36186723493225043</v>
      </c>
      <c r="Z150" s="3"/>
      <c r="AA150" s="3"/>
      <c r="AB150" s="3"/>
    </row>
    <row r="151" spans="1:28" ht="14">
      <c r="A151" s="3" t="s">
        <v>175</v>
      </c>
      <c r="B151" s="3">
        <v>2015</v>
      </c>
      <c r="C151" s="3" t="s">
        <v>157</v>
      </c>
      <c r="D151" s="3">
        <v>4</v>
      </c>
      <c r="E151" s="3">
        <v>1000</v>
      </c>
      <c r="F151" s="3" t="s">
        <v>145</v>
      </c>
      <c r="G151" s="3">
        <f>38/3.3</f>
        <v>11.515151515151516</v>
      </c>
      <c r="H151" s="3">
        <v>17922</v>
      </c>
      <c r="I151" s="3">
        <v>17971</v>
      </c>
      <c r="J151" s="3">
        <f t="shared" si="71"/>
        <v>49</v>
      </c>
      <c r="K151" s="3">
        <f t="shared" si="1"/>
        <v>12.004999999999999</v>
      </c>
      <c r="L151" s="3"/>
      <c r="M151" s="3" t="s">
        <v>147</v>
      </c>
      <c r="N151" s="3">
        <f t="shared" si="61"/>
        <v>2.6677777777777778</v>
      </c>
      <c r="O151" s="3">
        <f t="shared" si="3"/>
        <v>10.690166666666666</v>
      </c>
      <c r="P151" s="3"/>
      <c r="Q151" s="48"/>
      <c r="R151" s="3"/>
      <c r="S151" s="3"/>
      <c r="T151" s="3"/>
      <c r="U151" s="28">
        <f t="shared" si="77"/>
        <v>2.5256855989148908</v>
      </c>
      <c r="V151" s="28">
        <v>27</v>
      </c>
      <c r="W151" s="77">
        <v>9</v>
      </c>
      <c r="X151" s="77">
        <f t="shared" si="66"/>
        <v>36</v>
      </c>
      <c r="Y151" s="77">
        <f t="shared" si="67"/>
        <v>3.3675807985531878</v>
      </c>
      <c r="Z151" s="3"/>
      <c r="AA151" s="3"/>
      <c r="AB151" s="3"/>
    </row>
    <row r="152" spans="1:28" ht="14">
      <c r="A152" s="3" t="s">
        <v>175</v>
      </c>
      <c r="B152" s="3">
        <v>2015</v>
      </c>
      <c r="C152" s="3" t="s">
        <v>157</v>
      </c>
      <c r="D152" s="3">
        <v>5</v>
      </c>
      <c r="E152" s="3">
        <v>1000</v>
      </c>
      <c r="F152" s="3" t="s">
        <v>145</v>
      </c>
      <c r="G152" s="3">
        <f>56/3.3</f>
        <v>16.969696969696969</v>
      </c>
      <c r="H152" s="3">
        <v>17854</v>
      </c>
      <c r="I152" s="3">
        <v>17922</v>
      </c>
      <c r="J152" s="3">
        <f t="shared" si="71"/>
        <v>68</v>
      </c>
      <c r="K152" s="3">
        <f t="shared" si="1"/>
        <v>16.66</v>
      </c>
      <c r="L152" s="3"/>
      <c r="M152" s="3" t="s">
        <v>147</v>
      </c>
      <c r="N152" s="3">
        <f t="shared" si="61"/>
        <v>3.7022222222222223</v>
      </c>
      <c r="O152" s="3">
        <f t="shared" si="3"/>
        <v>14.835333333333333</v>
      </c>
      <c r="P152" s="3"/>
      <c r="Q152" s="48"/>
      <c r="R152" s="3"/>
      <c r="S152" s="3"/>
      <c r="T152" s="3"/>
      <c r="U152" s="28">
        <f t="shared" si="77"/>
        <v>0</v>
      </c>
      <c r="V152" s="28">
        <v>0</v>
      </c>
      <c r="W152" s="77">
        <v>3</v>
      </c>
      <c r="X152" s="77">
        <f t="shared" si="66"/>
        <v>3</v>
      </c>
      <c r="Y152" s="77">
        <f t="shared" si="67"/>
        <v>0.2022199254033164</v>
      </c>
      <c r="Z152" s="3"/>
      <c r="AA152" s="3"/>
      <c r="AB152" s="3"/>
    </row>
    <row r="153" spans="1:28" ht="14">
      <c r="A153" s="8" t="s">
        <v>175</v>
      </c>
      <c r="B153" s="8">
        <v>2015</v>
      </c>
      <c r="C153" s="8" t="s">
        <v>157</v>
      </c>
      <c r="D153" s="8">
        <v>8</v>
      </c>
      <c r="E153" s="8">
        <v>1000</v>
      </c>
      <c r="F153" s="8" t="s">
        <v>145</v>
      </c>
      <c r="G153" s="8">
        <f>35/3.3</f>
        <v>10.606060606060607</v>
      </c>
      <c r="H153" s="8">
        <v>17812</v>
      </c>
      <c r="I153" s="8">
        <v>17854</v>
      </c>
      <c r="J153" s="8">
        <f t="shared" si="71"/>
        <v>42</v>
      </c>
      <c r="K153" s="8">
        <f t="shared" si="1"/>
        <v>10.29</v>
      </c>
      <c r="L153" s="8"/>
      <c r="M153" s="8" t="s">
        <v>147</v>
      </c>
      <c r="N153" s="8">
        <f t="shared" si="61"/>
        <v>2.2866666666666666</v>
      </c>
      <c r="O153" s="8">
        <f t="shared" si="3"/>
        <v>9.1630000000000003</v>
      </c>
      <c r="P153" s="8"/>
      <c r="Q153" s="49"/>
      <c r="R153" s="8"/>
      <c r="S153" s="8"/>
      <c r="T153" s="8"/>
      <c r="U153" s="29">
        <v>0</v>
      </c>
      <c r="V153" s="29" t="s">
        <v>170</v>
      </c>
      <c r="W153" s="78" t="s">
        <v>170</v>
      </c>
      <c r="X153" s="78" t="s">
        <v>170</v>
      </c>
      <c r="Y153" s="77" t="s">
        <v>170</v>
      </c>
      <c r="Z153" s="8" t="s">
        <v>598</v>
      </c>
      <c r="AA153" s="8"/>
      <c r="AB153" s="8"/>
    </row>
    <row r="154" spans="1:28" ht="14">
      <c r="A154" s="3" t="s">
        <v>177</v>
      </c>
      <c r="B154" s="3">
        <v>2015</v>
      </c>
      <c r="C154" s="3" t="s">
        <v>159</v>
      </c>
      <c r="D154" s="3">
        <v>2</v>
      </c>
      <c r="E154" s="3">
        <v>250</v>
      </c>
      <c r="F154" s="3" t="s">
        <v>145</v>
      </c>
      <c r="G154" s="3"/>
      <c r="H154" s="3">
        <v>25595</v>
      </c>
      <c r="I154" s="3">
        <v>25632</v>
      </c>
      <c r="J154" s="3">
        <f t="shared" si="71"/>
        <v>37</v>
      </c>
      <c r="K154" s="3">
        <f t="shared" si="1"/>
        <v>9.0649999999999995</v>
      </c>
      <c r="L154" s="3"/>
      <c r="M154" s="3" t="s">
        <v>147</v>
      </c>
      <c r="N154" s="3">
        <f t="shared" si="61"/>
        <v>2.0144444444444445</v>
      </c>
      <c r="O154" s="3">
        <f t="shared" si="3"/>
        <v>8.072166666666666</v>
      </c>
      <c r="P154" s="3" t="s">
        <v>170</v>
      </c>
      <c r="Q154" s="48" t="s">
        <v>170</v>
      </c>
      <c r="R154" s="3"/>
      <c r="S154" s="3"/>
      <c r="T154" s="3"/>
      <c r="U154" s="28"/>
      <c r="V154" s="28"/>
      <c r="W154" s="77"/>
      <c r="X154" s="77"/>
      <c r="Y154" s="77"/>
      <c r="Z154" s="3"/>
      <c r="AA154" s="3"/>
      <c r="AB154" s="3" t="s">
        <v>178</v>
      </c>
    </row>
    <row r="155" spans="1:28" ht="14">
      <c r="A155" s="3" t="s">
        <v>177</v>
      </c>
      <c r="B155" s="3">
        <v>2015</v>
      </c>
      <c r="C155" s="3" t="s">
        <v>159</v>
      </c>
      <c r="D155" s="3">
        <v>4</v>
      </c>
      <c r="E155" s="3">
        <v>250</v>
      </c>
      <c r="F155" s="3" t="s">
        <v>145</v>
      </c>
      <c r="G155" s="3"/>
      <c r="H155" s="3">
        <v>25562</v>
      </c>
      <c r="I155" s="3">
        <v>25595</v>
      </c>
      <c r="J155" s="3">
        <f t="shared" si="71"/>
        <v>33</v>
      </c>
      <c r="K155" s="3">
        <f t="shared" si="1"/>
        <v>8.0849999999999991</v>
      </c>
      <c r="L155" s="3"/>
      <c r="M155" s="3" t="s">
        <v>147</v>
      </c>
      <c r="N155" s="3">
        <f t="shared" si="61"/>
        <v>1.7966666666666666</v>
      </c>
      <c r="O155" s="3">
        <f t="shared" si="3"/>
        <v>7.1994999999999996</v>
      </c>
      <c r="P155" s="3">
        <v>1003</v>
      </c>
      <c r="Q155" s="48">
        <f t="shared" ref="Q155:Q157" si="78">P155/N155</f>
        <v>558.25602968460112</v>
      </c>
      <c r="R155" s="3">
        <f t="shared" ref="R155:R157" si="79">Q155/1000</f>
        <v>0.55825602968460108</v>
      </c>
      <c r="S155" s="3"/>
      <c r="T155" s="3"/>
      <c r="U155" s="28"/>
      <c r="V155" s="28"/>
      <c r="W155" s="77"/>
      <c r="X155" s="77"/>
      <c r="Y155" s="77"/>
      <c r="Z155" s="3"/>
      <c r="AA155" s="3"/>
      <c r="AB155" s="3"/>
    </row>
    <row r="156" spans="1:28" ht="14">
      <c r="A156" s="3" t="s">
        <v>177</v>
      </c>
      <c r="B156" s="3">
        <v>2015</v>
      </c>
      <c r="C156" s="3" t="s">
        <v>159</v>
      </c>
      <c r="D156" s="3">
        <v>5</v>
      </c>
      <c r="E156" s="3">
        <v>250</v>
      </c>
      <c r="F156" s="3" t="s">
        <v>145</v>
      </c>
      <c r="G156" s="3"/>
      <c r="H156" s="3">
        <v>25516</v>
      </c>
      <c r="I156" s="3">
        <v>25562</v>
      </c>
      <c r="J156" s="3">
        <f t="shared" si="71"/>
        <v>46</v>
      </c>
      <c r="K156" s="3">
        <f t="shared" si="1"/>
        <v>11.27</v>
      </c>
      <c r="L156" s="3"/>
      <c r="M156" s="3" t="s">
        <v>147</v>
      </c>
      <c r="N156" s="3">
        <f t="shared" si="61"/>
        <v>2.5044444444444443</v>
      </c>
      <c r="O156" s="3">
        <f t="shared" si="3"/>
        <v>10.035666666666666</v>
      </c>
      <c r="P156" s="3">
        <v>1825</v>
      </c>
      <c r="Q156" s="48">
        <f t="shared" si="78"/>
        <v>728.70452528837632</v>
      </c>
      <c r="R156" s="3">
        <f t="shared" si="79"/>
        <v>0.72870452528837637</v>
      </c>
      <c r="S156" s="3"/>
      <c r="T156" s="3"/>
      <c r="U156" s="28"/>
      <c r="V156" s="28"/>
      <c r="W156" s="77"/>
      <c r="X156" s="77"/>
      <c r="Y156" s="77"/>
      <c r="Z156" s="3"/>
      <c r="AA156" s="3"/>
      <c r="AB156" s="3"/>
    </row>
    <row r="157" spans="1:28" ht="14">
      <c r="A157" s="3" t="s">
        <v>177</v>
      </c>
      <c r="B157" s="3">
        <v>2015</v>
      </c>
      <c r="C157" s="3" t="s">
        <v>159</v>
      </c>
      <c r="D157" s="3">
        <v>8</v>
      </c>
      <c r="E157" s="3">
        <v>250</v>
      </c>
      <c r="F157" s="3" t="s">
        <v>145</v>
      </c>
      <c r="G157" s="3"/>
      <c r="H157" s="3">
        <v>25467</v>
      </c>
      <c r="I157" s="3">
        <v>25516</v>
      </c>
      <c r="J157" s="3">
        <f t="shared" si="71"/>
        <v>49</v>
      </c>
      <c r="K157" s="3">
        <f t="shared" si="1"/>
        <v>12.004999999999999</v>
      </c>
      <c r="L157" s="3"/>
      <c r="M157" s="3" t="s">
        <v>147</v>
      </c>
      <c r="N157" s="3">
        <f t="shared" si="61"/>
        <v>2.6677777777777778</v>
      </c>
      <c r="O157" s="3">
        <f t="shared" si="3"/>
        <v>10.690166666666666</v>
      </c>
      <c r="P157" s="3">
        <v>781</v>
      </c>
      <c r="Q157" s="48">
        <f t="shared" si="78"/>
        <v>292.75301957517701</v>
      </c>
      <c r="R157" s="3">
        <f t="shared" si="79"/>
        <v>0.29275301957517702</v>
      </c>
      <c r="S157" s="3"/>
      <c r="T157" s="3"/>
      <c r="U157" s="28"/>
      <c r="V157" s="28"/>
      <c r="W157" s="77"/>
      <c r="X157" s="77"/>
      <c r="Y157" s="77"/>
      <c r="Z157" s="3"/>
      <c r="AA157" s="3"/>
      <c r="AB157" s="3"/>
    </row>
    <row r="158" spans="1:28" ht="14">
      <c r="A158" s="3" t="s">
        <v>177</v>
      </c>
      <c r="B158" s="3">
        <v>2015</v>
      </c>
      <c r="C158" s="3" t="s">
        <v>159</v>
      </c>
      <c r="D158" s="3">
        <v>2</v>
      </c>
      <c r="E158" s="3">
        <v>1000</v>
      </c>
      <c r="F158" s="3" t="s">
        <v>145</v>
      </c>
      <c r="G158" s="3"/>
      <c r="H158" s="3">
        <v>18136</v>
      </c>
      <c r="I158" s="3">
        <v>18210</v>
      </c>
      <c r="J158" s="3">
        <f t="shared" si="71"/>
        <v>74</v>
      </c>
      <c r="K158" s="3">
        <f t="shared" si="1"/>
        <v>18.13</v>
      </c>
      <c r="L158" s="3"/>
      <c r="M158" s="3" t="s">
        <v>147</v>
      </c>
      <c r="N158" s="3">
        <f t="shared" si="61"/>
        <v>4.028888888888889</v>
      </c>
      <c r="O158" s="3">
        <f t="shared" si="3"/>
        <v>16.144333333333332</v>
      </c>
      <c r="P158" s="3"/>
      <c r="Q158" s="48"/>
      <c r="R158" s="3"/>
      <c r="S158" s="3"/>
      <c r="T158" s="3"/>
      <c r="U158" s="28">
        <f t="shared" ref="U158:U160" si="80">V158/O158</f>
        <v>24.652612887907008</v>
      </c>
      <c r="V158" s="28">
        <v>398</v>
      </c>
      <c r="W158" s="77"/>
      <c r="X158" s="77"/>
      <c r="Y158" s="77"/>
      <c r="Z158" s="3"/>
      <c r="AA158" s="3"/>
      <c r="AB158" s="3"/>
    </row>
    <row r="159" spans="1:28" ht="14">
      <c r="A159" s="3" t="s">
        <v>177</v>
      </c>
      <c r="B159" s="3">
        <v>2015</v>
      </c>
      <c r="C159" s="3" t="s">
        <v>159</v>
      </c>
      <c r="D159" s="3">
        <v>4</v>
      </c>
      <c r="E159" s="3">
        <v>1000</v>
      </c>
      <c r="F159" s="3" t="s">
        <v>145</v>
      </c>
      <c r="G159" s="3"/>
      <c r="H159" s="3">
        <v>18130</v>
      </c>
      <c r="I159" s="3">
        <v>18163</v>
      </c>
      <c r="J159" s="3">
        <f t="shared" si="71"/>
        <v>33</v>
      </c>
      <c r="K159" s="3">
        <f t="shared" si="1"/>
        <v>8.0849999999999991</v>
      </c>
      <c r="L159" s="3"/>
      <c r="M159" s="3" t="s">
        <v>147</v>
      </c>
      <c r="N159" s="3">
        <f t="shared" si="61"/>
        <v>1.7966666666666666</v>
      </c>
      <c r="O159" s="3">
        <f t="shared" si="3"/>
        <v>7.1994999999999996</v>
      </c>
      <c r="P159" s="3"/>
      <c r="Q159" s="48"/>
      <c r="R159" s="3"/>
      <c r="S159" s="3"/>
      <c r="T159" s="3"/>
      <c r="U159" s="28">
        <f t="shared" si="80"/>
        <v>14.862143204389195</v>
      </c>
      <c r="V159" s="28">
        <v>107</v>
      </c>
      <c r="W159" s="77"/>
      <c r="X159" s="77"/>
      <c r="Y159" s="77"/>
      <c r="Z159" s="3"/>
      <c r="AA159" s="3"/>
      <c r="AB159" s="3"/>
    </row>
    <row r="160" spans="1:28" ht="14">
      <c r="A160" s="3" t="s">
        <v>177</v>
      </c>
      <c r="B160" s="3">
        <v>2015</v>
      </c>
      <c r="C160" s="3" t="s">
        <v>159</v>
      </c>
      <c r="D160" s="3">
        <v>5</v>
      </c>
      <c r="E160" s="3">
        <v>1000</v>
      </c>
      <c r="F160" s="3" t="s">
        <v>145</v>
      </c>
      <c r="G160" s="3"/>
      <c r="H160" s="3">
        <v>18066</v>
      </c>
      <c r="I160" s="3">
        <v>18130</v>
      </c>
      <c r="J160" s="3">
        <f t="shared" si="71"/>
        <v>64</v>
      </c>
      <c r="K160" s="3">
        <f t="shared" si="1"/>
        <v>15.68</v>
      </c>
      <c r="L160" s="3"/>
      <c r="M160" s="3" t="s">
        <v>147</v>
      </c>
      <c r="N160" s="3">
        <f t="shared" si="61"/>
        <v>3.4844444444444447</v>
      </c>
      <c r="O160" s="3">
        <f t="shared" si="3"/>
        <v>13.962666666666667</v>
      </c>
      <c r="P160" s="3"/>
      <c r="Q160" s="48"/>
      <c r="R160" s="3"/>
      <c r="S160" s="3"/>
      <c r="T160" s="3"/>
      <c r="U160" s="28">
        <f t="shared" si="80"/>
        <v>22.488540870893811</v>
      </c>
      <c r="V160" s="28">
        <v>314</v>
      </c>
      <c r="W160" s="77"/>
      <c r="X160" s="77"/>
      <c r="Y160" s="77"/>
      <c r="Z160" s="3"/>
      <c r="AA160" s="3"/>
      <c r="AB160" s="3"/>
    </row>
    <row r="161" spans="1:28" ht="14">
      <c r="A161" s="3" t="s">
        <v>177</v>
      </c>
      <c r="B161" s="3">
        <v>2015</v>
      </c>
      <c r="C161" s="3" t="s">
        <v>159</v>
      </c>
      <c r="D161" s="3">
        <v>8</v>
      </c>
      <c r="E161" s="3">
        <v>1000</v>
      </c>
      <c r="F161" s="3" t="s">
        <v>145</v>
      </c>
      <c r="G161" s="3"/>
      <c r="H161" s="3">
        <v>18026</v>
      </c>
      <c r="I161" s="3">
        <v>18066</v>
      </c>
      <c r="J161" s="3">
        <f t="shared" si="71"/>
        <v>40</v>
      </c>
      <c r="K161" s="3">
        <f t="shared" si="1"/>
        <v>9.8000000000000007</v>
      </c>
      <c r="L161" s="3"/>
      <c r="M161" s="3" t="s">
        <v>147</v>
      </c>
      <c r="N161" s="3">
        <f t="shared" si="61"/>
        <v>2.1777777777777776</v>
      </c>
      <c r="O161" s="3">
        <f t="shared" si="3"/>
        <v>8.7266666666666666</v>
      </c>
      <c r="P161" s="3"/>
      <c r="Q161" s="48"/>
      <c r="R161" s="3"/>
      <c r="S161" s="3"/>
      <c r="T161" s="3"/>
      <c r="U161" s="28">
        <v>0</v>
      </c>
      <c r="V161" s="28" t="s">
        <v>170</v>
      </c>
      <c r="W161" s="77"/>
      <c r="X161" s="77"/>
      <c r="Y161" s="77"/>
      <c r="Z161" s="3"/>
      <c r="AA161" s="3"/>
      <c r="AB161" s="3"/>
    </row>
    <row r="162" spans="1:28" ht="14">
      <c r="A162" s="3" t="s">
        <v>88</v>
      </c>
      <c r="B162" s="3">
        <v>2016</v>
      </c>
      <c r="C162" s="3" t="s">
        <v>179</v>
      </c>
      <c r="D162" s="3">
        <v>2</v>
      </c>
      <c r="E162" s="3">
        <v>250</v>
      </c>
      <c r="F162" s="3" t="s">
        <v>145</v>
      </c>
      <c r="G162" s="3"/>
      <c r="H162" s="3">
        <v>25742</v>
      </c>
      <c r="I162" s="3">
        <v>25786</v>
      </c>
      <c r="J162" s="3">
        <f t="shared" si="71"/>
        <v>44</v>
      </c>
      <c r="K162" s="3">
        <f t="shared" si="1"/>
        <v>10.78</v>
      </c>
      <c r="L162" s="3"/>
      <c r="M162" s="3" t="s">
        <v>147</v>
      </c>
      <c r="N162" s="3">
        <f t="shared" si="61"/>
        <v>2.3955555555555557</v>
      </c>
      <c r="O162" s="3">
        <f t="shared" si="3"/>
        <v>9.5993333333333322</v>
      </c>
      <c r="P162" s="3">
        <v>9135</v>
      </c>
      <c r="Q162" s="48">
        <f t="shared" ref="Q162:Q165" si="81">P162/N162</f>
        <v>3813.3116883116882</v>
      </c>
      <c r="R162" s="3">
        <f t="shared" ref="R162:R165" si="82">Q162/1000</f>
        <v>3.8133116883116882</v>
      </c>
      <c r="S162" s="3"/>
      <c r="T162" s="3"/>
      <c r="U162" s="28"/>
      <c r="V162" s="28"/>
      <c r="W162" s="77"/>
      <c r="X162" s="77"/>
      <c r="Y162" s="77"/>
      <c r="Z162" s="3"/>
      <c r="AA162" s="3"/>
      <c r="AB162" s="3"/>
    </row>
    <row r="163" spans="1:28" ht="14">
      <c r="A163" s="3" t="s">
        <v>88</v>
      </c>
      <c r="B163" s="3">
        <v>2016</v>
      </c>
      <c r="C163" s="3" t="s">
        <v>179</v>
      </c>
      <c r="D163" s="3">
        <v>4</v>
      </c>
      <c r="E163" s="3">
        <v>250</v>
      </c>
      <c r="F163" s="3" t="s">
        <v>145</v>
      </c>
      <c r="G163" s="3">
        <f>36/3.3</f>
        <v>10.90909090909091</v>
      </c>
      <c r="H163" s="3">
        <v>25714</v>
      </c>
      <c r="I163" s="3">
        <v>25742</v>
      </c>
      <c r="J163" s="3">
        <f t="shared" si="71"/>
        <v>28</v>
      </c>
      <c r="K163" s="3">
        <f t="shared" si="1"/>
        <v>6.8599999999999994</v>
      </c>
      <c r="L163" s="3"/>
      <c r="M163" s="3" t="s">
        <v>147</v>
      </c>
      <c r="N163" s="3">
        <f t="shared" si="61"/>
        <v>1.5244444444444445</v>
      </c>
      <c r="O163" s="3">
        <f t="shared" si="3"/>
        <v>6.1086666666666662</v>
      </c>
      <c r="P163" s="3">
        <v>1512</v>
      </c>
      <c r="Q163" s="48">
        <f t="shared" si="81"/>
        <v>991.83673469387747</v>
      </c>
      <c r="R163" s="3">
        <f t="shared" si="82"/>
        <v>0.99183673469387745</v>
      </c>
      <c r="S163" s="3"/>
      <c r="T163" s="3"/>
      <c r="U163" s="28"/>
      <c r="V163" s="28"/>
      <c r="W163" s="77"/>
      <c r="X163" s="77"/>
      <c r="Y163" s="77"/>
      <c r="Z163" s="3"/>
      <c r="AA163" s="3"/>
      <c r="AB163" s="3"/>
    </row>
    <row r="164" spans="1:28" ht="14">
      <c r="A164" s="3" t="s">
        <v>88</v>
      </c>
      <c r="B164" s="3">
        <v>2016</v>
      </c>
      <c r="C164" s="3" t="s">
        <v>179</v>
      </c>
      <c r="D164" s="3">
        <v>5</v>
      </c>
      <c r="E164" s="3">
        <v>250</v>
      </c>
      <c r="F164" s="3" t="s">
        <v>145</v>
      </c>
      <c r="G164" s="3">
        <f>44/3.3</f>
        <v>13.333333333333334</v>
      </c>
      <c r="H164" s="3">
        <v>25669</v>
      </c>
      <c r="I164" s="3">
        <v>25714</v>
      </c>
      <c r="J164" s="3">
        <f t="shared" si="71"/>
        <v>45</v>
      </c>
      <c r="K164" s="3">
        <f t="shared" si="1"/>
        <v>11.025</v>
      </c>
      <c r="L164" s="3"/>
      <c r="M164" s="3" t="s">
        <v>147</v>
      </c>
      <c r="N164" s="3">
        <f t="shared" si="61"/>
        <v>2.4500000000000002</v>
      </c>
      <c r="O164" s="3">
        <f t="shared" si="3"/>
        <v>9.817499999999999</v>
      </c>
      <c r="P164" s="3">
        <v>10416</v>
      </c>
      <c r="Q164" s="48">
        <f t="shared" si="81"/>
        <v>4251.4285714285716</v>
      </c>
      <c r="R164" s="3">
        <f t="shared" si="82"/>
        <v>4.2514285714285718</v>
      </c>
      <c r="S164" s="3"/>
      <c r="T164" s="3"/>
      <c r="U164" s="28"/>
      <c r="V164" s="28"/>
      <c r="W164" s="77"/>
      <c r="X164" s="77"/>
      <c r="Y164" s="77"/>
      <c r="Z164" s="3"/>
      <c r="AA164" s="3"/>
      <c r="AB164" s="3"/>
    </row>
    <row r="165" spans="1:28" ht="14">
      <c r="A165" s="3" t="s">
        <v>88</v>
      </c>
      <c r="B165" s="3">
        <v>2016</v>
      </c>
      <c r="C165" s="3" t="s">
        <v>179</v>
      </c>
      <c r="D165" s="3">
        <v>8</v>
      </c>
      <c r="E165" s="3">
        <v>250</v>
      </c>
      <c r="F165" s="3" t="s">
        <v>145</v>
      </c>
      <c r="G165" s="3">
        <f>40/3.3</f>
        <v>12.121212121212121</v>
      </c>
      <c r="H165" s="3">
        <v>25632</v>
      </c>
      <c r="I165" s="3">
        <v>25669</v>
      </c>
      <c r="J165" s="3">
        <f t="shared" si="71"/>
        <v>37</v>
      </c>
      <c r="K165" s="3">
        <f t="shared" si="1"/>
        <v>9.0649999999999995</v>
      </c>
      <c r="L165" s="3"/>
      <c r="M165" s="3" t="s">
        <v>147</v>
      </c>
      <c r="N165" s="3">
        <f t="shared" si="61"/>
        <v>2.0144444444444445</v>
      </c>
      <c r="O165" s="3">
        <f t="shared" si="3"/>
        <v>8.072166666666666</v>
      </c>
      <c r="P165" s="3">
        <v>2835</v>
      </c>
      <c r="Q165" s="48">
        <f t="shared" si="81"/>
        <v>1407.3359073359072</v>
      </c>
      <c r="R165" s="3">
        <f t="shared" si="82"/>
        <v>1.4073359073359073</v>
      </c>
      <c r="S165" s="3"/>
      <c r="T165" s="3"/>
      <c r="U165" s="28"/>
      <c r="V165" s="28"/>
      <c r="W165" s="77"/>
      <c r="X165" s="77"/>
      <c r="Y165" s="77"/>
      <c r="Z165" s="3"/>
      <c r="AA165" s="3"/>
      <c r="AB165" s="3"/>
    </row>
    <row r="166" spans="1:28" ht="14">
      <c r="A166" s="3" t="s">
        <v>88</v>
      </c>
      <c r="B166" s="3">
        <v>2016</v>
      </c>
      <c r="C166" s="3" t="s">
        <v>179</v>
      </c>
      <c r="D166" s="3">
        <v>2</v>
      </c>
      <c r="E166" s="3">
        <v>1000</v>
      </c>
      <c r="F166" s="3" t="s">
        <v>145</v>
      </c>
      <c r="G166" s="3"/>
      <c r="H166" s="3">
        <v>18410</v>
      </c>
      <c r="I166" s="3">
        <v>18460</v>
      </c>
      <c r="J166" s="3">
        <f t="shared" si="71"/>
        <v>50</v>
      </c>
      <c r="K166" s="3">
        <f t="shared" si="1"/>
        <v>12.25</v>
      </c>
      <c r="L166" s="3"/>
      <c r="M166" s="3" t="s">
        <v>147</v>
      </c>
      <c r="N166" s="3">
        <f t="shared" si="61"/>
        <v>2.7222222222222223</v>
      </c>
      <c r="O166" s="3">
        <f t="shared" si="3"/>
        <v>10.908333333333333</v>
      </c>
      <c r="P166" s="3"/>
      <c r="Q166" s="48"/>
      <c r="R166" s="3"/>
      <c r="S166" s="3"/>
      <c r="T166" s="3"/>
      <c r="U166" s="28">
        <f t="shared" ref="U166:U169" si="83">V166/O166</f>
        <v>1.8334606569900689</v>
      </c>
      <c r="V166" s="28">
        <v>20</v>
      </c>
      <c r="W166" s="77"/>
      <c r="X166" s="77"/>
      <c r="Y166" s="77"/>
      <c r="Z166" s="3"/>
      <c r="AA166" s="3"/>
      <c r="AB166" s="3"/>
    </row>
    <row r="167" spans="1:28" ht="14">
      <c r="A167" s="3" t="s">
        <v>88</v>
      </c>
      <c r="B167" s="3">
        <v>2016</v>
      </c>
      <c r="C167" s="3" t="s">
        <v>179</v>
      </c>
      <c r="D167" s="3">
        <v>4</v>
      </c>
      <c r="E167" s="3">
        <v>1000</v>
      </c>
      <c r="F167" s="3" t="s">
        <v>145</v>
      </c>
      <c r="G167" s="3">
        <f>36/3.3</f>
        <v>10.90909090909091</v>
      </c>
      <c r="H167" s="3">
        <v>18378</v>
      </c>
      <c r="I167" s="3">
        <v>18410</v>
      </c>
      <c r="J167" s="3">
        <f t="shared" si="71"/>
        <v>32</v>
      </c>
      <c r="K167" s="3">
        <f t="shared" si="1"/>
        <v>7.84</v>
      </c>
      <c r="L167" s="3"/>
      <c r="M167" s="3" t="s">
        <v>147</v>
      </c>
      <c r="N167" s="3">
        <f t="shared" si="61"/>
        <v>1.7422222222222223</v>
      </c>
      <c r="O167" s="3">
        <f t="shared" si="3"/>
        <v>6.9813333333333336</v>
      </c>
      <c r="P167" s="3"/>
      <c r="Q167" s="48"/>
      <c r="R167" s="3"/>
      <c r="S167" s="3"/>
      <c r="T167" s="3"/>
      <c r="U167" s="28">
        <f t="shared" si="83"/>
        <v>26.642475171886936</v>
      </c>
      <c r="V167" s="28">
        <v>186</v>
      </c>
      <c r="W167" s="77"/>
      <c r="X167" s="77"/>
      <c r="Y167" s="77"/>
      <c r="Z167" s="3"/>
      <c r="AA167" s="3"/>
      <c r="AB167" s="3"/>
    </row>
    <row r="168" spans="1:28" ht="14">
      <c r="A168" s="3" t="s">
        <v>88</v>
      </c>
      <c r="B168" s="3">
        <v>2016</v>
      </c>
      <c r="C168" s="3" t="s">
        <v>179</v>
      </c>
      <c r="D168" s="3">
        <v>5</v>
      </c>
      <c r="E168" s="3">
        <v>1000</v>
      </c>
      <c r="F168" s="3" t="s">
        <v>145</v>
      </c>
      <c r="G168" s="3">
        <f>44/3.3</f>
        <v>13.333333333333334</v>
      </c>
      <c r="H168" s="3">
        <v>18337</v>
      </c>
      <c r="I168" s="3">
        <v>18378</v>
      </c>
      <c r="J168" s="3">
        <f t="shared" si="71"/>
        <v>41</v>
      </c>
      <c r="K168" s="3">
        <f t="shared" si="1"/>
        <v>10.045</v>
      </c>
      <c r="L168" s="3"/>
      <c r="M168" s="3" t="s">
        <v>147</v>
      </c>
      <c r="N168" s="3">
        <f t="shared" si="61"/>
        <v>2.2322222222222226</v>
      </c>
      <c r="O168" s="3">
        <f t="shared" si="3"/>
        <v>8.9448333333333334</v>
      </c>
      <c r="P168" s="3"/>
      <c r="Q168" s="48"/>
      <c r="R168" s="3"/>
      <c r="S168" s="3"/>
      <c r="T168" s="3"/>
      <c r="U168" s="28">
        <f t="shared" si="83"/>
        <v>0</v>
      </c>
      <c r="V168" s="28">
        <v>0</v>
      </c>
      <c r="W168" s="77"/>
      <c r="X168" s="77"/>
      <c r="Y168" s="77"/>
      <c r="Z168" s="3"/>
      <c r="AA168" s="3"/>
      <c r="AB168" s="3"/>
    </row>
    <row r="169" spans="1:28" ht="14">
      <c r="A169" s="3" t="s">
        <v>88</v>
      </c>
      <c r="B169" s="3">
        <v>2016</v>
      </c>
      <c r="C169" s="3" t="s">
        <v>179</v>
      </c>
      <c r="D169" s="3">
        <v>8</v>
      </c>
      <c r="E169" s="3">
        <v>1000</v>
      </c>
      <c r="F169" s="3" t="s">
        <v>145</v>
      </c>
      <c r="G169" s="3">
        <f>40/3.3</f>
        <v>12.121212121212121</v>
      </c>
      <c r="H169" s="3">
        <v>18291</v>
      </c>
      <c r="I169" s="3">
        <v>18337</v>
      </c>
      <c r="J169" s="3">
        <f t="shared" si="71"/>
        <v>46</v>
      </c>
      <c r="K169" s="3">
        <f t="shared" si="1"/>
        <v>11.27</v>
      </c>
      <c r="L169" s="3"/>
      <c r="M169" s="3" t="s">
        <v>147</v>
      </c>
      <c r="N169" s="3">
        <f t="shared" si="61"/>
        <v>2.5044444444444443</v>
      </c>
      <c r="O169" s="3">
        <f t="shared" si="3"/>
        <v>10.035666666666666</v>
      </c>
      <c r="P169" s="3"/>
      <c r="Q169" s="48"/>
      <c r="R169" s="3"/>
      <c r="S169" s="3"/>
      <c r="T169" s="3"/>
      <c r="U169" s="28">
        <f t="shared" si="83"/>
        <v>0</v>
      </c>
      <c r="V169" s="28">
        <v>0</v>
      </c>
      <c r="W169" s="77"/>
      <c r="X169" s="77"/>
      <c r="Y169" s="77"/>
      <c r="Z169" s="3"/>
      <c r="AA169" s="3"/>
      <c r="AB169" s="3"/>
    </row>
    <row r="170" spans="1:28" ht="14">
      <c r="A170" s="8" t="s">
        <v>73</v>
      </c>
      <c r="B170" s="8">
        <v>2016</v>
      </c>
      <c r="C170" s="8" t="s">
        <v>144</v>
      </c>
      <c r="D170" s="8">
        <v>2</v>
      </c>
      <c r="E170" s="8">
        <v>250</v>
      </c>
      <c r="F170" s="8" t="s">
        <v>145</v>
      </c>
      <c r="G170" s="8">
        <f>37.9/3.3</f>
        <v>11.484848484848484</v>
      </c>
      <c r="H170" s="8">
        <v>25899</v>
      </c>
      <c r="I170" s="8">
        <v>25945</v>
      </c>
      <c r="J170" s="8">
        <f t="shared" si="71"/>
        <v>46</v>
      </c>
      <c r="K170" s="8">
        <f t="shared" si="1"/>
        <v>11.27</v>
      </c>
      <c r="L170" s="8"/>
      <c r="M170" s="8" t="s">
        <v>147</v>
      </c>
      <c r="N170" s="8">
        <f t="shared" si="61"/>
        <v>2.5044444444444443</v>
      </c>
      <c r="O170" s="8">
        <f t="shared" si="3"/>
        <v>10.035666666666666</v>
      </c>
      <c r="P170" s="8">
        <v>65468</v>
      </c>
      <c r="Q170" s="49">
        <f t="shared" ref="Q170:Q173" si="84">P170/N170</f>
        <v>26140.727595385983</v>
      </c>
      <c r="R170" s="8">
        <f t="shared" ref="R170:R173" si="85">Q170/1000</f>
        <v>26.140727595385982</v>
      </c>
      <c r="S170" s="8"/>
      <c r="T170" s="8"/>
      <c r="U170" s="29"/>
      <c r="V170" s="29"/>
      <c r="W170" s="78"/>
      <c r="X170" s="78"/>
      <c r="Y170" s="77"/>
      <c r="Z170" s="8"/>
      <c r="AA170" s="8"/>
      <c r="AB170" s="8"/>
    </row>
    <row r="171" spans="1:28" ht="14">
      <c r="A171" s="3" t="s">
        <v>73</v>
      </c>
      <c r="B171" s="3">
        <v>2016</v>
      </c>
      <c r="C171" s="3" t="s">
        <v>144</v>
      </c>
      <c r="D171" s="3">
        <v>4</v>
      </c>
      <c r="E171" s="3">
        <v>250</v>
      </c>
      <c r="F171" s="3" t="s">
        <v>145</v>
      </c>
      <c r="G171" s="3">
        <f>28.2/3.3</f>
        <v>8.545454545454545</v>
      </c>
      <c r="H171" s="3">
        <v>25862</v>
      </c>
      <c r="I171" s="3">
        <v>25899</v>
      </c>
      <c r="J171" s="3">
        <f t="shared" si="71"/>
        <v>37</v>
      </c>
      <c r="K171" s="3">
        <f t="shared" si="1"/>
        <v>9.0649999999999995</v>
      </c>
      <c r="L171" s="3"/>
      <c r="M171" s="3" t="s">
        <v>147</v>
      </c>
      <c r="N171" s="3">
        <f t="shared" si="61"/>
        <v>2.0144444444444445</v>
      </c>
      <c r="O171" s="3">
        <f t="shared" si="3"/>
        <v>8.072166666666666</v>
      </c>
      <c r="P171" s="3">
        <v>5238</v>
      </c>
      <c r="Q171" s="48">
        <f t="shared" si="84"/>
        <v>2600.2206287920571</v>
      </c>
      <c r="R171" s="3">
        <f t="shared" si="85"/>
        <v>2.6002206287920573</v>
      </c>
      <c r="S171" s="3"/>
      <c r="T171" s="3"/>
      <c r="U171" s="28"/>
      <c r="V171" s="28"/>
      <c r="W171" s="77"/>
      <c r="X171" s="77"/>
      <c r="Y171" s="77"/>
      <c r="Z171" s="3"/>
      <c r="AA171" s="3"/>
      <c r="AB171" s="3"/>
    </row>
    <row r="172" spans="1:28" ht="14">
      <c r="A172" s="3" t="s">
        <v>73</v>
      </c>
      <c r="B172" s="3">
        <v>2016</v>
      </c>
      <c r="C172" s="3" t="s">
        <v>144</v>
      </c>
      <c r="D172" s="3">
        <v>5</v>
      </c>
      <c r="E172" s="3">
        <v>250</v>
      </c>
      <c r="F172" s="3" t="s">
        <v>145</v>
      </c>
      <c r="G172" s="3">
        <f>41/3.3</f>
        <v>12.424242424242426</v>
      </c>
      <c r="H172" s="3">
        <v>25814</v>
      </c>
      <c r="I172" s="3">
        <v>25862</v>
      </c>
      <c r="J172" s="3">
        <f t="shared" si="71"/>
        <v>48</v>
      </c>
      <c r="K172" s="3">
        <f t="shared" si="1"/>
        <v>11.76</v>
      </c>
      <c r="L172" s="3"/>
      <c r="M172" s="3" t="s">
        <v>147</v>
      </c>
      <c r="N172" s="3">
        <f t="shared" si="61"/>
        <v>2.6133333333333333</v>
      </c>
      <c r="O172" s="3">
        <f t="shared" si="3"/>
        <v>10.472</v>
      </c>
      <c r="P172" s="3">
        <v>14166</v>
      </c>
      <c r="Q172" s="48">
        <f t="shared" si="84"/>
        <v>5420.6632653061224</v>
      </c>
      <c r="R172" s="3">
        <f t="shared" si="85"/>
        <v>5.4206632653061222</v>
      </c>
      <c r="S172" s="3"/>
      <c r="T172" s="3"/>
      <c r="U172" s="28"/>
      <c r="V172" s="28"/>
      <c r="W172" s="77"/>
      <c r="X172" s="77"/>
      <c r="Y172" s="77"/>
      <c r="Z172" s="3"/>
      <c r="AA172" s="3"/>
      <c r="AB172" s="3"/>
    </row>
    <row r="173" spans="1:28" ht="14">
      <c r="A173" s="3" t="s">
        <v>73</v>
      </c>
      <c r="B173" s="3">
        <v>2016</v>
      </c>
      <c r="C173" s="3" t="s">
        <v>144</v>
      </c>
      <c r="D173" s="3">
        <v>8</v>
      </c>
      <c r="E173" s="3">
        <v>250</v>
      </c>
      <c r="F173" s="3" t="s">
        <v>145</v>
      </c>
      <c r="G173" s="3">
        <f>37.8/3.3</f>
        <v>11.454545454545455</v>
      </c>
      <c r="H173" s="3">
        <v>25787</v>
      </c>
      <c r="I173" s="3">
        <v>25814</v>
      </c>
      <c r="J173" s="3">
        <f t="shared" si="71"/>
        <v>27</v>
      </c>
      <c r="K173" s="3">
        <f t="shared" si="1"/>
        <v>6.6150000000000002</v>
      </c>
      <c r="L173" s="3"/>
      <c r="M173" s="3" t="s">
        <v>147</v>
      </c>
      <c r="N173" s="3">
        <f t="shared" si="61"/>
        <v>1.47</v>
      </c>
      <c r="O173" s="3">
        <f t="shared" si="3"/>
        <v>5.8905000000000003</v>
      </c>
      <c r="P173" s="3">
        <v>5289</v>
      </c>
      <c r="Q173" s="48">
        <f t="shared" si="84"/>
        <v>3597.9591836734694</v>
      </c>
      <c r="R173" s="3">
        <f t="shared" si="85"/>
        <v>3.5979591836734692</v>
      </c>
      <c r="S173" s="3"/>
      <c r="T173" s="3"/>
      <c r="U173" s="28"/>
      <c r="V173" s="28"/>
      <c r="W173" s="77"/>
      <c r="X173" s="77"/>
      <c r="Y173" s="77"/>
      <c r="Z173" s="3"/>
      <c r="AA173" s="3"/>
      <c r="AB173" s="3"/>
    </row>
    <row r="174" spans="1:28" ht="14">
      <c r="A174" s="3" t="s">
        <v>73</v>
      </c>
      <c r="B174" s="3">
        <v>2016</v>
      </c>
      <c r="C174" s="3" t="s">
        <v>144</v>
      </c>
      <c r="D174" s="3">
        <v>2</v>
      </c>
      <c r="E174" s="3">
        <v>1000</v>
      </c>
      <c r="F174" s="3" t="s">
        <v>145</v>
      </c>
      <c r="G174" s="3">
        <f>37.9/3.3</f>
        <v>11.484848484848484</v>
      </c>
      <c r="H174" s="3">
        <v>18578</v>
      </c>
      <c r="I174" s="3">
        <v>18621</v>
      </c>
      <c r="J174" s="3">
        <f t="shared" si="71"/>
        <v>43</v>
      </c>
      <c r="K174" s="3">
        <f t="shared" si="1"/>
        <v>10.535</v>
      </c>
      <c r="L174" s="3"/>
      <c r="M174" s="3" t="s">
        <v>147</v>
      </c>
      <c r="N174" s="3">
        <f t="shared" si="61"/>
        <v>2.3411111111111111</v>
      </c>
      <c r="O174" s="3">
        <f t="shared" si="3"/>
        <v>9.3811666666666671</v>
      </c>
      <c r="P174" s="3"/>
      <c r="Q174" s="48"/>
      <c r="R174" s="3"/>
      <c r="S174" s="3"/>
      <c r="T174" s="3"/>
      <c r="U174" s="28">
        <f t="shared" ref="U174:U177" si="86">V174/O174</f>
        <v>1.5989482473750598</v>
      </c>
      <c r="V174" s="28">
        <v>15</v>
      </c>
      <c r="W174" s="77"/>
      <c r="X174" s="77"/>
      <c r="Y174" s="77"/>
      <c r="Z174" s="3"/>
      <c r="AA174" s="3"/>
      <c r="AB174" s="3"/>
    </row>
    <row r="175" spans="1:28" ht="14">
      <c r="A175" s="3" t="s">
        <v>73</v>
      </c>
      <c r="B175" s="3">
        <v>2016</v>
      </c>
      <c r="C175" s="3" t="s">
        <v>144</v>
      </c>
      <c r="D175" s="3">
        <v>4</v>
      </c>
      <c r="E175" s="3">
        <v>1000</v>
      </c>
      <c r="F175" s="3" t="s">
        <v>145</v>
      </c>
      <c r="G175" s="3">
        <f>28.2/3.3</f>
        <v>8.545454545454545</v>
      </c>
      <c r="H175" s="3">
        <v>18549</v>
      </c>
      <c r="I175" s="3">
        <v>18578</v>
      </c>
      <c r="J175" s="3">
        <f t="shared" si="71"/>
        <v>29</v>
      </c>
      <c r="K175" s="3">
        <f t="shared" si="1"/>
        <v>7.1049999999999995</v>
      </c>
      <c r="L175" s="3"/>
      <c r="M175" s="3" t="s">
        <v>147</v>
      </c>
      <c r="N175" s="3">
        <f t="shared" si="61"/>
        <v>1.578888888888889</v>
      </c>
      <c r="O175" s="3">
        <f t="shared" si="3"/>
        <v>6.3268333333333331</v>
      </c>
      <c r="P175" s="3"/>
      <c r="Q175" s="48"/>
      <c r="R175" s="3"/>
      <c r="S175" s="3"/>
      <c r="T175" s="3"/>
      <c r="U175" s="28">
        <f t="shared" si="86"/>
        <v>66.06780643291799</v>
      </c>
      <c r="V175" s="28">
        <v>418</v>
      </c>
      <c r="W175" s="77"/>
      <c r="X175" s="77"/>
      <c r="Y175" s="77"/>
      <c r="Z175" s="3"/>
      <c r="AA175" s="3"/>
      <c r="AB175" s="3"/>
    </row>
    <row r="176" spans="1:28" ht="14">
      <c r="A176" s="3" t="s">
        <v>73</v>
      </c>
      <c r="B176" s="3">
        <v>2016</v>
      </c>
      <c r="C176" s="3" t="s">
        <v>144</v>
      </c>
      <c r="D176" s="3">
        <v>5</v>
      </c>
      <c r="E176" s="3">
        <v>1000</v>
      </c>
      <c r="F176" s="3" t="s">
        <v>145</v>
      </c>
      <c r="G176" s="3">
        <f>41/3.3</f>
        <v>12.424242424242426</v>
      </c>
      <c r="H176" s="3">
        <v>18503</v>
      </c>
      <c r="I176" s="3">
        <v>18549</v>
      </c>
      <c r="J176" s="3">
        <f t="shared" si="71"/>
        <v>46</v>
      </c>
      <c r="K176" s="3">
        <f t="shared" si="1"/>
        <v>11.27</v>
      </c>
      <c r="L176" s="3"/>
      <c r="M176" s="3" t="s">
        <v>147</v>
      </c>
      <c r="N176" s="3">
        <f t="shared" si="61"/>
        <v>2.5044444444444443</v>
      </c>
      <c r="O176" s="3">
        <f t="shared" si="3"/>
        <v>10.035666666666666</v>
      </c>
      <c r="P176" s="3"/>
      <c r="Q176" s="48"/>
      <c r="R176" s="3"/>
      <c r="S176" s="3"/>
      <c r="T176" s="3"/>
      <c r="U176" s="28">
        <f t="shared" si="86"/>
        <v>9.9644600923373308E-2</v>
      </c>
      <c r="V176" s="28">
        <v>1</v>
      </c>
      <c r="W176" s="77"/>
      <c r="X176" s="77"/>
      <c r="Y176" s="77"/>
      <c r="Z176" s="3"/>
      <c r="AA176" s="3"/>
      <c r="AB176" s="3"/>
    </row>
    <row r="177" spans="1:28" ht="14">
      <c r="A177" s="3" t="s">
        <v>73</v>
      </c>
      <c r="B177" s="3">
        <v>2016</v>
      </c>
      <c r="C177" s="3" t="s">
        <v>144</v>
      </c>
      <c r="D177" s="3">
        <v>8</v>
      </c>
      <c r="E177" s="3">
        <v>1000</v>
      </c>
      <c r="F177" s="3" t="s">
        <v>145</v>
      </c>
      <c r="G177" s="3">
        <f>37.8/3.3</f>
        <v>11.454545454545455</v>
      </c>
      <c r="H177" s="3">
        <v>18460</v>
      </c>
      <c r="I177" s="3">
        <v>18503</v>
      </c>
      <c r="J177" s="3">
        <f t="shared" si="71"/>
        <v>43</v>
      </c>
      <c r="K177" s="3">
        <f t="shared" si="1"/>
        <v>10.535</v>
      </c>
      <c r="L177" s="3"/>
      <c r="M177" s="3" t="s">
        <v>147</v>
      </c>
      <c r="N177" s="3">
        <f t="shared" si="61"/>
        <v>2.3411111111111111</v>
      </c>
      <c r="O177" s="3">
        <f t="shared" si="3"/>
        <v>9.3811666666666671</v>
      </c>
      <c r="P177" s="3"/>
      <c r="Q177" s="48"/>
      <c r="R177" s="3"/>
      <c r="S177" s="3"/>
      <c r="T177" s="3"/>
      <c r="U177" s="28">
        <f t="shared" si="86"/>
        <v>0.42638619930001598</v>
      </c>
      <c r="V177" s="28">
        <v>4</v>
      </c>
      <c r="W177" s="77"/>
      <c r="X177" s="77"/>
      <c r="Y177" s="77"/>
      <c r="Z177" s="3"/>
      <c r="AA177" s="3"/>
      <c r="AB177" s="3"/>
    </row>
    <row r="178" spans="1:28" s="33" customFormat="1" ht="14">
      <c r="A178" s="32" t="s">
        <v>67</v>
      </c>
      <c r="B178" s="32">
        <v>2016</v>
      </c>
      <c r="C178" s="32" t="s">
        <v>144</v>
      </c>
      <c r="D178" s="32">
        <v>2</v>
      </c>
      <c r="E178" s="32">
        <v>250</v>
      </c>
      <c r="F178" s="32" t="s">
        <v>145</v>
      </c>
      <c r="G178" s="32">
        <f>37/3.3</f>
        <v>11.212121212121213</v>
      </c>
      <c r="H178" s="32">
        <v>26188</v>
      </c>
      <c r="I178" s="32">
        <v>26233</v>
      </c>
      <c r="J178" s="32">
        <f t="shared" si="71"/>
        <v>45</v>
      </c>
      <c r="K178" s="32">
        <f t="shared" si="1"/>
        <v>11.025</v>
      </c>
      <c r="L178" s="32"/>
      <c r="M178" s="32" t="s">
        <v>147</v>
      </c>
      <c r="N178" s="32">
        <f t="shared" si="61"/>
        <v>2.4500000000000002</v>
      </c>
      <c r="O178" s="32">
        <f t="shared" si="3"/>
        <v>9.817499999999999</v>
      </c>
      <c r="P178" s="32">
        <v>8829</v>
      </c>
      <c r="Q178" s="48">
        <f t="shared" ref="Q178:Q181" si="87">P178/N178</f>
        <v>3603.6734693877547</v>
      </c>
      <c r="R178" s="32">
        <f t="shared" ref="R178:R181" si="88">Q178/1000</f>
        <v>3.6036734693877546</v>
      </c>
      <c r="S178" s="32"/>
      <c r="T178" s="32"/>
      <c r="U178" s="37"/>
      <c r="V178" s="37"/>
      <c r="W178" s="77"/>
      <c r="X178" s="77"/>
      <c r="Y178" s="77"/>
      <c r="Z178" s="32"/>
      <c r="AA178" s="32"/>
      <c r="AB178" s="32"/>
    </row>
    <row r="179" spans="1:28" s="33" customFormat="1" ht="14">
      <c r="A179" s="39" t="s">
        <v>67</v>
      </c>
      <c r="B179" s="39">
        <v>2016</v>
      </c>
      <c r="C179" s="39" t="s">
        <v>144</v>
      </c>
      <c r="D179" s="39">
        <v>4</v>
      </c>
      <c r="E179" s="39">
        <v>250</v>
      </c>
      <c r="F179" s="39" t="s">
        <v>145</v>
      </c>
      <c r="G179" s="39">
        <f>25/3.3</f>
        <v>7.5757575757575761</v>
      </c>
      <c r="H179" s="39">
        <v>26148</v>
      </c>
      <c r="I179" s="39">
        <v>26188</v>
      </c>
      <c r="J179" s="39">
        <f t="shared" si="71"/>
        <v>40</v>
      </c>
      <c r="K179" s="39">
        <f t="shared" si="1"/>
        <v>9.8000000000000007</v>
      </c>
      <c r="L179" s="39"/>
      <c r="M179" s="39" t="s">
        <v>147</v>
      </c>
      <c r="N179" s="39">
        <f t="shared" si="61"/>
        <v>2.1777777777777776</v>
      </c>
      <c r="O179" s="39">
        <f t="shared" si="3"/>
        <v>8.7266666666666666</v>
      </c>
      <c r="P179" s="39">
        <v>7137</v>
      </c>
      <c r="Q179" s="74">
        <f t="shared" si="87"/>
        <v>3277.1938775510207</v>
      </c>
      <c r="R179" s="39">
        <f t="shared" si="88"/>
        <v>3.2771938775510208</v>
      </c>
      <c r="S179" s="39"/>
      <c r="T179" s="39"/>
      <c r="U179" s="37"/>
      <c r="V179" s="37"/>
      <c r="W179" s="77"/>
      <c r="X179" s="77"/>
      <c r="Y179" s="77"/>
      <c r="Z179" s="39"/>
      <c r="AA179" s="39"/>
      <c r="AB179" s="39"/>
    </row>
    <row r="180" spans="1:28" s="33" customFormat="1" ht="14">
      <c r="A180" s="32" t="s">
        <v>67</v>
      </c>
      <c r="B180" s="32">
        <v>2016</v>
      </c>
      <c r="C180" s="32" t="s">
        <v>144</v>
      </c>
      <c r="D180" s="32">
        <v>5</v>
      </c>
      <c r="E180" s="32">
        <v>250</v>
      </c>
      <c r="F180" s="32" t="s">
        <v>145</v>
      </c>
      <c r="G180" s="32">
        <f>35/3.3</f>
        <v>10.606060606060607</v>
      </c>
      <c r="H180" s="32">
        <v>26090</v>
      </c>
      <c r="I180" s="32">
        <v>26148</v>
      </c>
      <c r="J180" s="32">
        <f t="shared" si="71"/>
        <v>58</v>
      </c>
      <c r="K180" s="32">
        <f t="shared" si="1"/>
        <v>14.209999999999999</v>
      </c>
      <c r="L180" s="32"/>
      <c r="M180" s="32" t="s">
        <v>147</v>
      </c>
      <c r="N180" s="32">
        <f t="shared" si="61"/>
        <v>3.157777777777778</v>
      </c>
      <c r="O180" s="32">
        <f t="shared" si="3"/>
        <v>12.653666666666666</v>
      </c>
      <c r="P180" s="32">
        <v>12440</v>
      </c>
      <c r="Q180" s="48">
        <f t="shared" si="87"/>
        <v>3939.4792399718503</v>
      </c>
      <c r="R180" s="32">
        <f t="shared" si="88"/>
        <v>3.9394792399718503</v>
      </c>
      <c r="S180" s="32"/>
      <c r="T180" s="32"/>
      <c r="U180" s="37"/>
      <c r="V180" s="37"/>
      <c r="W180" s="77"/>
      <c r="X180" s="77"/>
      <c r="Y180" s="77"/>
      <c r="Z180" s="32"/>
      <c r="AA180" s="32"/>
      <c r="AB180" s="32"/>
    </row>
    <row r="181" spans="1:28" s="33" customFormat="1" ht="14">
      <c r="A181" s="32" t="s">
        <v>67</v>
      </c>
      <c r="B181" s="32">
        <v>2016</v>
      </c>
      <c r="C181" s="32" t="s">
        <v>144</v>
      </c>
      <c r="D181" s="32">
        <v>8</v>
      </c>
      <c r="E181" s="32">
        <v>250</v>
      </c>
      <c r="F181" s="32" t="s">
        <v>145</v>
      </c>
      <c r="G181" s="32">
        <f>32.8/3.3</f>
        <v>9.9393939393939394</v>
      </c>
      <c r="H181" s="32">
        <v>26052</v>
      </c>
      <c r="I181" s="32">
        <v>26090</v>
      </c>
      <c r="J181" s="32">
        <f t="shared" si="71"/>
        <v>38</v>
      </c>
      <c r="K181" s="32">
        <f t="shared" si="1"/>
        <v>9.31</v>
      </c>
      <c r="L181" s="32"/>
      <c r="M181" s="32" t="s">
        <v>147</v>
      </c>
      <c r="N181" s="32">
        <f t="shared" si="61"/>
        <v>2.068888888888889</v>
      </c>
      <c r="O181" s="32">
        <f t="shared" si="3"/>
        <v>8.2903333333333329</v>
      </c>
      <c r="P181" s="32">
        <v>4819</v>
      </c>
      <c r="Q181" s="48">
        <f t="shared" si="87"/>
        <v>2329.2696025778732</v>
      </c>
      <c r="R181" s="32">
        <f t="shared" si="88"/>
        <v>2.3292696025778734</v>
      </c>
      <c r="S181" s="32"/>
      <c r="T181" s="32"/>
      <c r="U181" s="37"/>
      <c r="V181" s="37"/>
      <c r="W181" s="77"/>
      <c r="X181" s="77"/>
      <c r="Y181" s="77"/>
      <c r="Z181" s="32"/>
      <c r="AA181" s="32"/>
      <c r="AB181" s="32"/>
    </row>
    <row r="182" spans="1:28" ht="14">
      <c r="A182" s="3" t="s">
        <v>67</v>
      </c>
      <c r="B182" s="3">
        <v>2016</v>
      </c>
      <c r="C182" s="3" t="s">
        <v>144</v>
      </c>
      <c r="D182" s="3">
        <v>2</v>
      </c>
      <c r="E182" s="3">
        <v>1000</v>
      </c>
      <c r="F182" s="3" t="s">
        <v>145</v>
      </c>
      <c r="G182" s="3">
        <f>37/3.3</f>
        <v>11.212121212121213</v>
      </c>
      <c r="H182" s="3">
        <v>18779</v>
      </c>
      <c r="I182" s="3">
        <v>18812</v>
      </c>
      <c r="J182" s="3">
        <f t="shared" si="71"/>
        <v>33</v>
      </c>
      <c r="K182" s="3">
        <f t="shared" si="1"/>
        <v>8.0849999999999991</v>
      </c>
      <c r="L182" s="3"/>
      <c r="M182" s="3" t="s">
        <v>147</v>
      </c>
      <c r="N182" s="3">
        <f t="shared" si="61"/>
        <v>1.7966666666666666</v>
      </c>
      <c r="O182" s="3">
        <f t="shared" si="3"/>
        <v>7.1994999999999996</v>
      </c>
      <c r="P182" s="3"/>
      <c r="Q182" s="48"/>
      <c r="R182" s="3"/>
      <c r="S182" s="3"/>
      <c r="T182" s="3"/>
      <c r="U182" s="28">
        <f t="shared" ref="U182:U185" si="89">V182/O182</f>
        <v>0</v>
      </c>
      <c r="V182" s="28">
        <v>0</v>
      </c>
      <c r="W182" s="77">
        <v>13</v>
      </c>
      <c r="X182" s="78">
        <f t="shared" ref="X182:X184" si="90">SUM(V182:W182)</f>
        <v>13</v>
      </c>
      <c r="Y182" s="77">
        <f t="shared" si="67"/>
        <v>1.805680950065977</v>
      </c>
      <c r="Z182" s="3"/>
      <c r="AA182" s="3"/>
      <c r="AB182" s="3"/>
    </row>
    <row r="183" spans="1:28" ht="14">
      <c r="A183" s="3" t="s">
        <v>67</v>
      </c>
      <c r="B183" s="3">
        <v>2016</v>
      </c>
      <c r="C183" s="3" t="s">
        <v>144</v>
      </c>
      <c r="D183" s="3">
        <v>4</v>
      </c>
      <c r="E183" s="3">
        <v>1000</v>
      </c>
      <c r="F183" s="3" t="s">
        <v>145</v>
      </c>
      <c r="G183" s="3">
        <f>25/3.3</f>
        <v>7.5757575757575761</v>
      </c>
      <c r="H183" s="3">
        <v>18749</v>
      </c>
      <c r="I183" s="3">
        <v>18779</v>
      </c>
      <c r="J183" s="3">
        <f t="shared" si="71"/>
        <v>30</v>
      </c>
      <c r="K183" s="3">
        <f t="shared" si="1"/>
        <v>7.35</v>
      </c>
      <c r="L183" s="3"/>
      <c r="M183" s="3" t="s">
        <v>147</v>
      </c>
      <c r="N183" s="3">
        <f t="shared" si="61"/>
        <v>1.6333333333333335</v>
      </c>
      <c r="O183" s="3">
        <f t="shared" si="3"/>
        <v>6.5449999999999999</v>
      </c>
      <c r="P183" s="3"/>
      <c r="Q183" s="48"/>
      <c r="R183" s="3"/>
      <c r="S183" s="3"/>
      <c r="T183" s="3"/>
      <c r="U183" s="28">
        <f t="shared" si="89"/>
        <v>1.8334606569900689</v>
      </c>
      <c r="V183" s="28">
        <v>12</v>
      </c>
      <c r="W183" s="77">
        <v>5</v>
      </c>
      <c r="X183" s="78">
        <f t="shared" si="90"/>
        <v>17</v>
      </c>
      <c r="Y183" s="77">
        <f t="shared" si="67"/>
        <v>2.5974025974025974</v>
      </c>
      <c r="Z183" s="3"/>
      <c r="AA183" s="3"/>
      <c r="AB183" s="3"/>
    </row>
    <row r="184" spans="1:28" ht="14">
      <c r="A184" s="3" t="s">
        <v>67</v>
      </c>
      <c r="B184" s="3">
        <v>2016</v>
      </c>
      <c r="C184" s="3" t="s">
        <v>144</v>
      </c>
      <c r="D184" s="3">
        <v>5</v>
      </c>
      <c r="E184" s="3">
        <v>1000</v>
      </c>
      <c r="F184" s="3" t="s">
        <v>145</v>
      </c>
      <c r="G184" s="3">
        <f>35/3.3</f>
        <v>10.606060606060607</v>
      </c>
      <c r="H184" s="3">
        <v>18708</v>
      </c>
      <c r="I184" s="3">
        <v>18749</v>
      </c>
      <c r="J184" s="3">
        <f t="shared" si="71"/>
        <v>41</v>
      </c>
      <c r="K184" s="3">
        <f t="shared" si="1"/>
        <v>10.045</v>
      </c>
      <c r="M184" s="3" t="s">
        <v>147</v>
      </c>
      <c r="N184" s="3">
        <f t="shared" si="61"/>
        <v>2.2322222222222226</v>
      </c>
      <c r="O184" s="3">
        <f t="shared" si="3"/>
        <v>8.9448333333333334</v>
      </c>
      <c r="P184" s="3"/>
      <c r="Q184" s="48"/>
      <c r="R184" s="3"/>
      <c r="S184" s="3"/>
      <c r="T184" s="3"/>
      <c r="U184" s="28">
        <f t="shared" si="89"/>
        <v>0</v>
      </c>
      <c r="V184" s="28">
        <v>0</v>
      </c>
      <c r="W184" s="77">
        <v>17</v>
      </c>
      <c r="X184" s="78">
        <f t="shared" si="90"/>
        <v>17</v>
      </c>
      <c r="Y184" s="77">
        <f t="shared" si="67"/>
        <v>1.9005384859043395</v>
      </c>
      <c r="Z184" s="3"/>
      <c r="AA184" s="3"/>
      <c r="AB184" s="3"/>
    </row>
    <row r="185" spans="1:28" ht="14">
      <c r="A185" s="8" t="s">
        <v>67</v>
      </c>
      <c r="B185" s="8">
        <v>2016</v>
      </c>
      <c r="C185" s="8" t="s">
        <v>144</v>
      </c>
      <c r="D185" s="8">
        <v>8</v>
      </c>
      <c r="E185" s="8">
        <v>1000</v>
      </c>
      <c r="F185" s="8" t="s">
        <v>145</v>
      </c>
      <c r="G185" s="8">
        <f>32.8/3.3</f>
        <v>9.9393939393939394</v>
      </c>
      <c r="H185" s="8">
        <v>18611</v>
      </c>
      <c r="I185" s="8">
        <v>18708</v>
      </c>
      <c r="J185" s="8">
        <f t="shared" si="71"/>
        <v>97</v>
      </c>
      <c r="K185" s="8">
        <f t="shared" si="1"/>
        <v>23.765000000000001</v>
      </c>
      <c r="L185" s="8"/>
      <c r="M185" s="8" t="s">
        <v>147</v>
      </c>
      <c r="N185" s="8">
        <f t="shared" si="61"/>
        <v>5.2811111111111106</v>
      </c>
      <c r="O185" s="8">
        <f t="shared" si="3"/>
        <v>21.162166666666664</v>
      </c>
      <c r="P185" s="8"/>
      <c r="Q185" s="49"/>
      <c r="R185" s="8"/>
      <c r="S185" s="8"/>
      <c r="T185" s="8"/>
      <c r="U185" s="29">
        <f t="shared" si="89"/>
        <v>9.450828128814788E-2</v>
      </c>
      <c r="V185" s="29">
        <v>2</v>
      </c>
      <c r="W185" s="78">
        <v>4</v>
      </c>
      <c r="X185" s="78">
        <f>SUM(V185:W185)</f>
        <v>6</v>
      </c>
      <c r="Y185" s="77">
        <f t="shared" si="67"/>
        <v>0.28352484386444365</v>
      </c>
      <c r="Z185" s="8"/>
      <c r="AA185" s="8"/>
      <c r="AB185" s="8"/>
    </row>
    <row r="186" spans="1:28" ht="14">
      <c r="A186" s="3" t="s">
        <v>48</v>
      </c>
      <c r="B186" s="3">
        <v>2016</v>
      </c>
      <c r="C186" s="3" t="s">
        <v>151</v>
      </c>
      <c r="D186" s="3">
        <v>2</v>
      </c>
      <c r="E186" s="3">
        <v>250</v>
      </c>
      <c r="F186" s="3" t="s">
        <v>145</v>
      </c>
      <c r="G186" s="3">
        <f>38.4/3.3</f>
        <v>11.636363636363637</v>
      </c>
      <c r="H186" s="3">
        <v>26364</v>
      </c>
      <c r="I186" s="3">
        <v>26407</v>
      </c>
      <c r="J186" s="3">
        <f t="shared" si="71"/>
        <v>43</v>
      </c>
      <c r="K186" s="3">
        <f t="shared" si="1"/>
        <v>10.535</v>
      </c>
      <c r="L186" s="3"/>
      <c r="M186" s="3" t="s">
        <v>147</v>
      </c>
      <c r="N186" s="3">
        <f t="shared" si="61"/>
        <v>2.3411111111111111</v>
      </c>
      <c r="O186" s="3">
        <f t="shared" si="3"/>
        <v>9.3811666666666671</v>
      </c>
      <c r="P186" s="3">
        <v>6468</v>
      </c>
      <c r="Q186" s="48">
        <f t="shared" ref="Q186:Q189" si="91">P186/N186</f>
        <v>2762.7906976744184</v>
      </c>
      <c r="R186" s="3">
        <f t="shared" ref="R186:R189" si="92">Q186/1000</f>
        <v>2.7627906976744185</v>
      </c>
      <c r="S186" s="3"/>
      <c r="T186" s="3"/>
      <c r="U186" s="28"/>
      <c r="V186" s="28"/>
      <c r="W186" s="77"/>
      <c r="X186" s="77"/>
      <c r="Y186" s="77"/>
      <c r="Z186" s="3"/>
      <c r="AA186" s="3"/>
      <c r="AB186" s="3"/>
    </row>
    <row r="187" spans="1:28" ht="14">
      <c r="A187" s="3" t="s">
        <v>48</v>
      </c>
      <c r="B187" s="3">
        <v>2016</v>
      </c>
      <c r="C187" s="3" t="s">
        <v>151</v>
      </c>
      <c r="D187" s="3">
        <v>4</v>
      </c>
      <c r="E187" s="3">
        <v>250</v>
      </c>
      <c r="F187" s="3" t="s">
        <v>145</v>
      </c>
      <c r="G187" s="3">
        <f>24/3.3</f>
        <v>7.2727272727272734</v>
      </c>
      <c r="H187" s="3">
        <v>26328</v>
      </c>
      <c r="I187" s="3">
        <v>26364</v>
      </c>
      <c r="J187" s="3">
        <f t="shared" si="71"/>
        <v>36</v>
      </c>
      <c r="K187" s="3">
        <f t="shared" si="1"/>
        <v>8.82</v>
      </c>
      <c r="L187" s="3"/>
      <c r="M187" s="3" t="s">
        <v>147</v>
      </c>
      <c r="N187" s="3">
        <f t="shared" si="61"/>
        <v>1.96</v>
      </c>
      <c r="O187" s="3">
        <f t="shared" si="3"/>
        <v>7.8540000000000001</v>
      </c>
      <c r="P187" s="3">
        <v>7411</v>
      </c>
      <c r="Q187" s="48">
        <f t="shared" si="91"/>
        <v>3781.1224489795918</v>
      </c>
      <c r="R187" s="3">
        <f t="shared" si="92"/>
        <v>3.7811224489795916</v>
      </c>
      <c r="S187" s="3"/>
      <c r="T187" s="3"/>
      <c r="U187" s="28"/>
      <c r="V187" s="28"/>
      <c r="W187" s="77"/>
      <c r="X187" s="77"/>
      <c r="Y187" s="77"/>
      <c r="Z187" s="3"/>
      <c r="AA187" s="3"/>
      <c r="AB187" s="3"/>
    </row>
    <row r="188" spans="1:28" ht="14">
      <c r="A188" s="3" t="s">
        <v>48</v>
      </c>
      <c r="B188" s="3">
        <v>2016</v>
      </c>
      <c r="C188" s="3" t="s">
        <v>151</v>
      </c>
      <c r="D188" s="3">
        <v>5</v>
      </c>
      <c r="E188" s="3">
        <v>250</v>
      </c>
      <c r="F188" s="3" t="s">
        <v>145</v>
      </c>
      <c r="G188" s="3">
        <f>30.5/3.3</f>
        <v>9.2424242424242422</v>
      </c>
      <c r="H188" s="3">
        <v>26295</v>
      </c>
      <c r="I188" s="3">
        <v>26328</v>
      </c>
      <c r="J188" s="3">
        <f t="shared" si="71"/>
        <v>33</v>
      </c>
      <c r="K188" s="3">
        <f t="shared" si="1"/>
        <v>8.0849999999999991</v>
      </c>
      <c r="L188" s="3"/>
      <c r="M188" s="3" t="s">
        <v>147</v>
      </c>
      <c r="N188" s="3">
        <f t="shared" si="61"/>
        <v>1.7966666666666666</v>
      </c>
      <c r="O188" s="3">
        <f t="shared" si="3"/>
        <v>7.1994999999999996</v>
      </c>
      <c r="P188" s="3">
        <v>5067</v>
      </c>
      <c r="Q188" s="48">
        <f t="shared" si="91"/>
        <v>2820.2226345083486</v>
      </c>
      <c r="R188" s="3">
        <f t="shared" si="92"/>
        <v>2.8202226345083488</v>
      </c>
      <c r="S188" s="3"/>
      <c r="T188" s="3"/>
      <c r="U188" s="28"/>
      <c r="V188" s="28"/>
      <c r="W188" s="77"/>
      <c r="X188" s="77"/>
      <c r="Y188" s="77"/>
      <c r="Z188" s="3"/>
      <c r="AA188" s="3"/>
      <c r="AB188" s="3"/>
    </row>
    <row r="189" spans="1:28" ht="14">
      <c r="A189" s="3" t="s">
        <v>48</v>
      </c>
      <c r="B189" s="3">
        <v>2016</v>
      </c>
      <c r="C189" s="3" t="s">
        <v>151</v>
      </c>
      <c r="D189" s="3">
        <v>8</v>
      </c>
      <c r="E189" s="3">
        <v>250</v>
      </c>
      <c r="F189" s="3" t="s">
        <v>145</v>
      </c>
      <c r="G189" s="3">
        <f>35.5/3.3</f>
        <v>10.757575757575758</v>
      </c>
      <c r="H189" s="3">
        <v>26252</v>
      </c>
      <c r="I189" s="3">
        <v>26295</v>
      </c>
      <c r="J189" s="3">
        <f t="shared" si="71"/>
        <v>43</v>
      </c>
      <c r="K189" s="3">
        <f t="shared" si="1"/>
        <v>10.535</v>
      </c>
      <c r="L189" s="3"/>
      <c r="M189" s="3" t="s">
        <v>147</v>
      </c>
      <c r="N189" s="3">
        <f t="shared" si="61"/>
        <v>2.3411111111111111</v>
      </c>
      <c r="O189" s="3">
        <f t="shared" si="3"/>
        <v>9.3811666666666671</v>
      </c>
      <c r="P189" s="3">
        <v>9910</v>
      </c>
      <c r="Q189" s="48">
        <f t="shared" si="91"/>
        <v>4233.0327479829139</v>
      </c>
      <c r="R189" s="3">
        <f t="shared" si="92"/>
        <v>4.2330327479829135</v>
      </c>
      <c r="S189" s="3"/>
      <c r="T189" s="3"/>
      <c r="U189" s="28"/>
      <c r="V189" s="28"/>
      <c r="W189" s="77"/>
      <c r="X189" s="77"/>
      <c r="Y189" s="77"/>
      <c r="Z189" s="3"/>
      <c r="AA189" s="3"/>
      <c r="AB189" s="3"/>
    </row>
    <row r="190" spans="1:28" ht="14">
      <c r="A190" s="3" t="s">
        <v>48</v>
      </c>
      <c r="B190" s="3">
        <v>2016</v>
      </c>
      <c r="C190" s="3" t="s">
        <v>151</v>
      </c>
      <c r="D190" s="3">
        <v>2</v>
      </c>
      <c r="E190" s="3">
        <v>1000</v>
      </c>
      <c r="F190" s="3" t="s">
        <v>145</v>
      </c>
      <c r="G190" s="3">
        <f>38.4/3.3</f>
        <v>11.636363636363637</v>
      </c>
      <c r="H190" s="3">
        <v>18922</v>
      </c>
      <c r="I190" s="3">
        <v>18971</v>
      </c>
      <c r="J190" s="3">
        <f t="shared" si="71"/>
        <v>49</v>
      </c>
      <c r="K190" s="3">
        <f t="shared" si="1"/>
        <v>12.004999999999999</v>
      </c>
      <c r="L190" s="3"/>
      <c r="M190" s="3" t="s">
        <v>147</v>
      </c>
      <c r="N190" s="3">
        <f t="shared" si="61"/>
        <v>2.6677777777777778</v>
      </c>
      <c r="O190" s="3">
        <f t="shared" si="3"/>
        <v>10.690166666666666</v>
      </c>
      <c r="P190" s="3"/>
      <c r="Q190" s="48"/>
      <c r="R190" s="3"/>
      <c r="S190" s="3"/>
      <c r="T190" s="3"/>
      <c r="U190" s="28">
        <f t="shared" ref="U190:U193" si="93">V190/O190</f>
        <v>20.111940880248202</v>
      </c>
      <c r="V190" s="28">
        <v>215</v>
      </c>
      <c r="W190" s="77"/>
      <c r="X190" s="77"/>
      <c r="Y190" s="77"/>
      <c r="Z190" s="3"/>
      <c r="AA190" s="3"/>
      <c r="AB190" s="3"/>
    </row>
    <row r="191" spans="1:28" ht="14">
      <c r="A191" s="3" t="s">
        <v>48</v>
      </c>
      <c r="B191" s="3">
        <v>2016</v>
      </c>
      <c r="C191" s="3" t="s">
        <v>151</v>
      </c>
      <c r="D191" s="3">
        <v>4</v>
      </c>
      <c r="E191" s="3">
        <v>1000</v>
      </c>
      <c r="F191" s="3" t="s">
        <v>145</v>
      </c>
      <c r="G191" s="3">
        <f>24/3.3</f>
        <v>7.2727272727272734</v>
      </c>
      <c r="H191" s="3">
        <v>18892</v>
      </c>
      <c r="I191" s="3">
        <v>18922</v>
      </c>
      <c r="J191" s="3">
        <f t="shared" si="71"/>
        <v>30</v>
      </c>
      <c r="K191" s="3">
        <f t="shared" si="1"/>
        <v>7.35</v>
      </c>
      <c r="L191" s="3"/>
      <c r="M191" s="3" t="s">
        <v>147</v>
      </c>
      <c r="N191" s="3">
        <f t="shared" si="61"/>
        <v>1.6333333333333335</v>
      </c>
      <c r="O191" s="3">
        <f t="shared" si="3"/>
        <v>6.5449999999999999</v>
      </c>
      <c r="P191" s="3"/>
      <c r="Q191" s="48"/>
      <c r="R191" s="3"/>
      <c r="S191" s="3"/>
      <c r="T191" s="3"/>
      <c r="U191" s="28">
        <f t="shared" si="93"/>
        <v>3.0557677616501144</v>
      </c>
      <c r="V191" s="28">
        <v>20</v>
      </c>
      <c r="W191" s="77"/>
      <c r="X191" s="77"/>
      <c r="Y191" s="77"/>
      <c r="Z191" s="3"/>
      <c r="AA191" s="3"/>
      <c r="AB191" s="3"/>
    </row>
    <row r="192" spans="1:28" ht="14">
      <c r="A192" s="3" t="s">
        <v>48</v>
      </c>
      <c r="B192" s="3">
        <v>2016</v>
      </c>
      <c r="C192" s="3" t="s">
        <v>151</v>
      </c>
      <c r="D192" s="3">
        <v>5</v>
      </c>
      <c r="E192" s="3">
        <v>1000</v>
      </c>
      <c r="F192" s="3" t="s">
        <v>145</v>
      </c>
      <c r="G192" s="3">
        <f>30.5/3.3</f>
        <v>9.2424242424242422</v>
      </c>
      <c r="H192" s="3">
        <v>18859</v>
      </c>
      <c r="I192" s="3">
        <v>18892</v>
      </c>
      <c r="J192" s="3">
        <f t="shared" si="71"/>
        <v>33</v>
      </c>
      <c r="K192" s="3">
        <f t="shared" si="1"/>
        <v>8.0849999999999991</v>
      </c>
      <c r="L192" s="3"/>
      <c r="M192" s="3" t="s">
        <v>147</v>
      </c>
      <c r="N192" s="3">
        <f t="shared" si="61"/>
        <v>1.7966666666666666</v>
      </c>
      <c r="O192" s="3">
        <f t="shared" si="3"/>
        <v>7.1994999999999996</v>
      </c>
      <c r="P192" s="3"/>
      <c r="Q192" s="48"/>
      <c r="R192" s="3"/>
      <c r="S192" s="3"/>
      <c r="T192" s="3"/>
      <c r="U192" s="28">
        <f t="shared" si="93"/>
        <v>0.13889853462045976</v>
      </c>
      <c r="V192" s="28">
        <v>1</v>
      </c>
      <c r="W192" s="77"/>
      <c r="X192" s="77"/>
      <c r="Y192" s="77"/>
      <c r="Z192" s="3"/>
      <c r="AA192" s="3"/>
      <c r="AB192" s="3"/>
    </row>
    <row r="193" spans="1:28" ht="14">
      <c r="A193" s="3" t="s">
        <v>48</v>
      </c>
      <c r="B193" s="3">
        <v>2016</v>
      </c>
      <c r="C193" s="3" t="s">
        <v>151</v>
      </c>
      <c r="D193" s="3">
        <v>8</v>
      </c>
      <c r="E193" s="3">
        <v>1000</v>
      </c>
      <c r="F193" s="3" t="s">
        <v>145</v>
      </c>
      <c r="G193" s="3">
        <f>35.5/3.3</f>
        <v>10.757575757575758</v>
      </c>
      <c r="H193" s="3">
        <v>18815</v>
      </c>
      <c r="I193" s="3">
        <v>18859</v>
      </c>
      <c r="J193" s="3">
        <f t="shared" si="71"/>
        <v>44</v>
      </c>
      <c r="K193" s="3">
        <f t="shared" si="1"/>
        <v>10.78</v>
      </c>
      <c r="L193" s="3"/>
      <c r="M193" s="3" t="s">
        <v>147</v>
      </c>
      <c r="N193" s="3">
        <f t="shared" si="61"/>
        <v>2.3955555555555557</v>
      </c>
      <c r="O193" s="3">
        <f t="shared" si="3"/>
        <v>9.5993333333333322</v>
      </c>
      <c r="P193" s="3"/>
      <c r="Q193" s="48"/>
      <c r="R193" s="3"/>
      <c r="S193" s="3"/>
      <c r="T193" s="3"/>
      <c r="U193" s="28">
        <f t="shared" si="93"/>
        <v>0.10417390096534483</v>
      </c>
      <c r="V193" s="28">
        <v>1</v>
      </c>
      <c r="W193" s="77"/>
      <c r="X193" s="77"/>
      <c r="Y193" s="77"/>
      <c r="Z193" s="3"/>
      <c r="AA193" s="3"/>
      <c r="AB193" s="3"/>
    </row>
    <row r="194" spans="1:28" s="33" customFormat="1" ht="14">
      <c r="A194" s="31" t="s">
        <v>57</v>
      </c>
      <c r="B194" s="32">
        <v>2016</v>
      </c>
      <c r="C194" s="32" t="s">
        <v>154</v>
      </c>
      <c r="D194" s="32">
        <v>2</v>
      </c>
      <c r="E194" s="32">
        <v>250</v>
      </c>
      <c r="F194" s="32" t="s">
        <v>145</v>
      </c>
      <c r="G194" s="32">
        <f>32.6/3.3</f>
        <v>9.8787878787878789</v>
      </c>
      <c r="H194" s="32">
        <v>26545</v>
      </c>
      <c r="I194" s="32">
        <v>26583</v>
      </c>
      <c r="J194" s="32">
        <f t="shared" si="71"/>
        <v>38</v>
      </c>
      <c r="K194" s="32">
        <f t="shared" si="1"/>
        <v>9.31</v>
      </c>
      <c r="L194" s="32"/>
      <c r="M194" s="32" t="s">
        <v>147</v>
      </c>
      <c r="N194" s="32">
        <f t="shared" si="61"/>
        <v>2.068888888888889</v>
      </c>
      <c r="O194" s="32">
        <f t="shared" si="3"/>
        <v>8.2903333333333329</v>
      </c>
      <c r="P194" s="32">
        <v>15529</v>
      </c>
      <c r="Q194" s="48">
        <f t="shared" ref="Q194:Q257" si="94">P194/N194</f>
        <v>7505.9613319011814</v>
      </c>
      <c r="R194" s="32">
        <f t="shared" ref="R194:R257" si="95">Q194/1000</f>
        <v>7.5059613319011813</v>
      </c>
      <c r="S194" s="32"/>
      <c r="T194" s="32"/>
      <c r="U194" s="37"/>
      <c r="V194" s="37"/>
      <c r="W194" s="77"/>
      <c r="X194" s="77"/>
      <c r="Y194" s="77"/>
      <c r="Z194" s="32"/>
      <c r="AA194" s="32"/>
      <c r="AB194" s="32"/>
    </row>
    <row r="195" spans="1:28" s="33" customFormat="1" ht="14">
      <c r="A195" s="31" t="s">
        <v>57</v>
      </c>
      <c r="B195" s="32">
        <v>2016</v>
      </c>
      <c r="C195" s="32" t="s">
        <v>154</v>
      </c>
      <c r="D195" s="32">
        <v>4</v>
      </c>
      <c r="E195" s="32">
        <v>250</v>
      </c>
      <c r="F195" s="32" t="s">
        <v>145</v>
      </c>
      <c r="G195" s="32">
        <f>23.4/3.3</f>
        <v>7.0909090909090908</v>
      </c>
      <c r="H195" s="32">
        <v>26518</v>
      </c>
      <c r="I195" s="32">
        <v>26543</v>
      </c>
      <c r="J195" s="32">
        <f t="shared" si="71"/>
        <v>25</v>
      </c>
      <c r="K195" s="32">
        <f t="shared" si="1"/>
        <v>6.125</v>
      </c>
      <c r="L195" s="32"/>
      <c r="M195" s="32" t="s">
        <v>147</v>
      </c>
      <c r="N195" s="32">
        <f t="shared" si="61"/>
        <v>1.3611111111111112</v>
      </c>
      <c r="O195" s="32">
        <f t="shared" si="3"/>
        <v>5.4541666666666666</v>
      </c>
      <c r="P195" s="32">
        <v>6678</v>
      </c>
      <c r="Q195" s="48">
        <f t="shared" si="94"/>
        <v>4906.2857142857138</v>
      </c>
      <c r="R195" s="32">
        <f t="shared" si="95"/>
        <v>4.9062857142857137</v>
      </c>
      <c r="S195" s="32"/>
      <c r="T195" s="32"/>
      <c r="U195" s="37"/>
      <c r="V195" s="37"/>
      <c r="W195" s="77"/>
      <c r="X195" s="77"/>
      <c r="Y195" s="77"/>
      <c r="Z195" s="32"/>
      <c r="AA195" s="32"/>
      <c r="AB195" s="32"/>
    </row>
    <row r="196" spans="1:28" s="33" customFormat="1" ht="14">
      <c r="A196" s="31" t="s">
        <v>57</v>
      </c>
      <c r="B196" s="32">
        <v>2016</v>
      </c>
      <c r="C196" s="32" t="s">
        <v>154</v>
      </c>
      <c r="D196" s="32">
        <v>5</v>
      </c>
      <c r="E196" s="32">
        <v>250</v>
      </c>
      <c r="F196" s="32" t="s">
        <v>145</v>
      </c>
      <c r="G196" s="32">
        <f>35.1/3.3</f>
        <v>10.636363636363637</v>
      </c>
      <c r="H196" s="32">
        <v>26439</v>
      </c>
      <c r="I196" s="32">
        <v>26518</v>
      </c>
      <c r="J196" s="32">
        <f t="shared" si="71"/>
        <v>79</v>
      </c>
      <c r="K196" s="32">
        <f t="shared" si="1"/>
        <v>19.355</v>
      </c>
      <c r="L196" s="32"/>
      <c r="M196" s="32" t="s">
        <v>147</v>
      </c>
      <c r="N196" s="32">
        <f t="shared" si="61"/>
        <v>4.3011111111111111</v>
      </c>
      <c r="O196" s="32">
        <f t="shared" si="3"/>
        <v>17.235166666666665</v>
      </c>
      <c r="P196" s="32">
        <v>12546</v>
      </c>
      <c r="Q196" s="48">
        <f t="shared" si="94"/>
        <v>2916.9206923275638</v>
      </c>
      <c r="R196" s="32">
        <f t="shared" si="95"/>
        <v>2.9169206923275639</v>
      </c>
      <c r="S196" s="32"/>
      <c r="T196" s="32"/>
      <c r="U196" s="37"/>
      <c r="V196" s="37"/>
      <c r="W196" s="77"/>
      <c r="X196" s="77"/>
      <c r="Y196" s="77"/>
      <c r="Z196" s="32"/>
      <c r="AA196" s="32"/>
      <c r="AB196" s="32"/>
    </row>
    <row r="197" spans="1:28" s="33" customFormat="1" ht="14">
      <c r="A197" s="31" t="s">
        <v>57</v>
      </c>
      <c r="B197" s="32">
        <v>2016</v>
      </c>
      <c r="C197" s="32" t="s">
        <v>154</v>
      </c>
      <c r="D197" s="32">
        <v>8</v>
      </c>
      <c r="E197" s="32">
        <v>250</v>
      </c>
      <c r="F197" s="32" t="s">
        <v>145</v>
      </c>
      <c r="G197" s="32">
        <f>28/3.3</f>
        <v>8.4848484848484844</v>
      </c>
      <c r="H197" s="32">
        <v>26408</v>
      </c>
      <c r="I197" s="32">
        <v>26439</v>
      </c>
      <c r="J197" s="32">
        <f t="shared" si="71"/>
        <v>31</v>
      </c>
      <c r="K197" s="32">
        <f t="shared" si="1"/>
        <v>7.5949999999999998</v>
      </c>
      <c r="L197" s="32"/>
      <c r="M197" s="32" t="s">
        <v>147</v>
      </c>
      <c r="N197" s="32">
        <f t="shared" si="61"/>
        <v>1.6877777777777778</v>
      </c>
      <c r="O197" s="32">
        <f t="shared" si="3"/>
        <v>6.7631666666666659</v>
      </c>
      <c r="P197" s="32">
        <v>4511</v>
      </c>
      <c r="Q197" s="48">
        <f t="shared" si="94"/>
        <v>2672.7452271231073</v>
      </c>
      <c r="R197" s="32">
        <f t="shared" si="95"/>
        <v>2.6727452271231074</v>
      </c>
      <c r="S197" s="32"/>
      <c r="T197" s="32"/>
      <c r="U197" s="37"/>
      <c r="V197" s="37"/>
      <c r="W197" s="77"/>
      <c r="X197" s="77"/>
      <c r="Y197" s="77"/>
      <c r="Z197" s="32"/>
      <c r="AA197" s="32"/>
      <c r="AB197" s="32"/>
    </row>
    <row r="198" spans="1:28" ht="14">
      <c r="A198" s="13" t="s">
        <v>57</v>
      </c>
      <c r="B198" s="3">
        <v>2016</v>
      </c>
      <c r="C198" s="3" t="s">
        <v>154</v>
      </c>
      <c r="D198" s="3">
        <v>2</v>
      </c>
      <c r="E198" s="3">
        <v>1000</v>
      </c>
      <c r="F198" s="3" t="s">
        <v>145</v>
      </c>
      <c r="G198" s="3">
        <f>32.6/3.3</f>
        <v>9.8787878787878789</v>
      </c>
      <c r="H198" s="3">
        <v>19073</v>
      </c>
      <c r="I198" s="3">
        <v>19104</v>
      </c>
      <c r="J198" s="3">
        <f t="shared" si="71"/>
        <v>31</v>
      </c>
      <c r="K198" s="3">
        <f t="shared" si="1"/>
        <v>7.5949999999999998</v>
      </c>
      <c r="L198" s="3"/>
      <c r="M198" s="3" t="s">
        <v>147</v>
      </c>
      <c r="N198" s="3">
        <f t="shared" si="61"/>
        <v>1.6877777777777778</v>
      </c>
      <c r="O198" s="3">
        <f t="shared" si="3"/>
        <v>6.7631666666666659</v>
      </c>
      <c r="P198" s="32"/>
      <c r="Q198" s="48"/>
      <c r="R198" s="36">
        <f t="shared" si="95"/>
        <v>0</v>
      </c>
      <c r="S198" s="3"/>
      <c r="T198" s="3"/>
      <c r="U198" s="28">
        <f t="shared" ref="U198:U216" si="96">V198/O198</f>
        <v>0</v>
      </c>
      <c r="V198" s="28">
        <v>0</v>
      </c>
      <c r="W198" s="77">
        <v>5</v>
      </c>
      <c r="X198" s="77">
        <f t="shared" ref="X198:X201" si="97">SUM(V198:W198)</f>
        <v>5</v>
      </c>
      <c r="Y198" s="77">
        <f t="shared" ref="Y198:Y260" si="98">(X198/O198)</f>
        <v>0.73929865201212464</v>
      </c>
      <c r="Z198" s="3"/>
      <c r="AA198" s="3"/>
      <c r="AB198" s="3"/>
    </row>
    <row r="199" spans="1:28" ht="14">
      <c r="A199" s="13" t="s">
        <v>57</v>
      </c>
      <c r="B199" s="3">
        <v>2016</v>
      </c>
      <c r="C199" s="3" t="s">
        <v>154</v>
      </c>
      <c r="D199" s="3">
        <v>4</v>
      </c>
      <c r="E199" s="3">
        <v>1000</v>
      </c>
      <c r="F199" s="3" t="s">
        <v>145</v>
      </c>
      <c r="G199" s="3">
        <f>23.4/3.3</f>
        <v>7.0909090909090908</v>
      </c>
      <c r="H199" s="3">
        <v>19042</v>
      </c>
      <c r="I199" s="3">
        <v>19073</v>
      </c>
      <c r="J199" s="3">
        <f t="shared" si="71"/>
        <v>31</v>
      </c>
      <c r="K199" s="3">
        <f t="shared" si="1"/>
        <v>7.5949999999999998</v>
      </c>
      <c r="L199" s="3"/>
      <c r="M199" s="3" t="s">
        <v>147</v>
      </c>
      <c r="N199" s="3">
        <f t="shared" si="61"/>
        <v>1.6877777777777778</v>
      </c>
      <c r="O199" s="3">
        <f t="shared" si="3"/>
        <v>6.7631666666666659</v>
      </c>
      <c r="P199" s="3"/>
      <c r="Q199" s="48"/>
      <c r="R199" s="36">
        <f t="shared" si="95"/>
        <v>0</v>
      </c>
      <c r="S199" s="3"/>
      <c r="T199" s="3"/>
      <c r="U199" s="28">
        <f t="shared" si="96"/>
        <v>1.3307375736218243</v>
      </c>
      <c r="V199" s="28">
        <v>9</v>
      </c>
      <c r="W199" s="77">
        <v>4</v>
      </c>
      <c r="X199" s="77">
        <f t="shared" si="97"/>
        <v>13</v>
      </c>
      <c r="Y199" s="77">
        <f t="shared" si="98"/>
        <v>1.9221764952315239</v>
      </c>
      <c r="Z199" s="3"/>
      <c r="AA199" s="3"/>
      <c r="AB199" s="3"/>
    </row>
    <row r="200" spans="1:28" ht="14">
      <c r="A200" s="13" t="s">
        <v>57</v>
      </c>
      <c r="B200" s="3">
        <v>2016</v>
      </c>
      <c r="C200" s="3" t="s">
        <v>154</v>
      </c>
      <c r="D200" s="3">
        <v>5</v>
      </c>
      <c r="E200" s="3">
        <v>1000</v>
      </c>
      <c r="F200" s="3" t="s">
        <v>145</v>
      </c>
      <c r="G200" s="3">
        <f>35.1/3.3</f>
        <v>10.636363636363637</v>
      </c>
      <c r="H200" s="3">
        <v>19008</v>
      </c>
      <c r="I200" s="3">
        <v>19041</v>
      </c>
      <c r="J200" s="3">
        <f t="shared" si="71"/>
        <v>33</v>
      </c>
      <c r="K200" s="3">
        <f t="shared" si="1"/>
        <v>8.0849999999999991</v>
      </c>
      <c r="L200" s="3"/>
      <c r="M200" s="3" t="s">
        <v>147</v>
      </c>
      <c r="N200" s="3">
        <f t="shared" si="61"/>
        <v>1.7966666666666666</v>
      </c>
      <c r="O200" s="3">
        <f t="shared" si="3"/>
        <v>7.1994999999999996</v>
      </c>
      <c r="P200" s="3"/>
      <c r="Q200" s="48"/>
      <c r="R200" s="36">
        <f t="shared" si="95"/>
        <v>0</v>
      </c>
      <c r="S200" s="3"/>
      <c r="T200" s="3"/>
      <c r="U200" s="28">
        <f t="shared" si="96"/>
        <v>0.13889853462045976</v>
      </c>
      <c r="V200" s="28">
        <v>1</v>
      </c>
      <c r="W200" s="77">
        <v>1</v>
      </c>
      <c r="X200" s="77">
        <f>SUM(V200:W200)</f>
        <v>2</v>
      </c>
      <c r="Y200" s="77">
        <f t="shared" si="98"/>
        <v>0.27779706924091951</v>
      </c>
      <c r="Z200" s="3"/>
      <c r="AA200" s="3"/>
      <c r="AB200" s="3"/>
    </row>
    <row r="201" spans="1:28" ht="14">
      <c r="A201" s="13" t="s">
        <v>57</v>
      </c>
      <c r="B201" s="3">
        <v>2016</v>
      </c>
      <c r="C201" s="3" t="s">
        <v>154</v>
      </c>
      <c r="D201" s="3">
        <v>8</v>
      </c>
      <c r="E201" s="3">
        <v>1000</v>
      </c>
      <c r="F201" s="3" t="s">
        <v>145</v>
      </c>
      <c r="G201" s="3">
        <f>28/3.3</f>
        <v>8.4848484848484844</v>
      </c>
      <c r="H201" s="3">
        <v>18971</v>
      </c>
      <c r="I201" s="3">
        <v>19008</v>
      </c>
      <c r="J201" s="3">
        <f t="shared" si="71"/>
        <v>37</v>
      </c>
      <c r="K201" s="3">
        <f t="shared" si="1"/>
        <v>9.0649999999999995</v>
      </c>
      <c r="L201" s="3"/>
      <c r="M201" s="3" t="s">
        <v>147</v>
      </c>
      <c r="N201" s="3">
        <f t="shared" si="61"/>
        <v>2.0144444444444445</v>
      </c>
      <c r="O201" s="3">
        <f t="shared" si="3"/>
        <v>8.072166666666666</v>
      </c>
      <c r="P201" s="3"/>
      <c r="Q201" s="48"/>
      <c r="R201" s="36">
        <f t="shared" si="95"/>
        <v>0</v>
      </c>
      <c r="S201" s="3"/>
      <c r="T201" s="3"/>
      <c r="U201" s="28">
        <f t="shared" si="96"/>
        <v>0</v>
      </c>
      <c r="V201" s="28">
        <v>0</v>
      </c>
      <c r="W201" s="77">
        <v>3</v>
      </c>
      <c r="X201" s="77">
        <f t="shared" si="97"/>
        <v>3</v>
      </c>
      <c r="Y201" s="77">
        <f t="shared" si="98"/>
        <v>0.37164743047095994</v>
      </c>
      <c r="Z201" s="3"/>
      <c r="AA201" s="3"/>
      <c r="AB201" s="3"/>
    </row>
    <row r="202" spans="1:28" ht="15" customHeight="1">
      <c r="A202" s="21" t="s">
        <v>109</v>
      </c>
      <c r="B202" s="3">
        <v>2016</v>
      </c>
      <c r="C202" s="3" t="s">
        <v>180</v>
      </c>
      <c r="D202" s="3">
        <v>5</v>
      </c>
      <c r="E202" s="3">
        <v>1000</v>
      </c>
      <c r="F202" s="3" t="s">
        <v>145</v>
      </c>
      <c r="G202" s="3">
        <v>9.8755199999999999</v>
      </c>
      <c r="H202" s="3">
        <v>19144.900000000001</v>
      </c>
      <c r="I202" s="3">
        <v>19187.400000000001</v>
      </c>
      <c r="J202" s="3">
        <f t="shared" ref="J202:J265" si="99">I202-H202</f>
        <v>42.5</v>
      </c>
      <c r="K202" s="3">
        <f t="shared" ref="K202:K265" si="100">J202*0.245</f>
        <v>10.4125</v>
      </c>
      <c r="L202" s="3"/>
      <c r="M202" s="17" t="s">
        <v>147</v>
      </c>
      <c r="N202" s="3">
        <f t="shared" ref="N202:N265" si="101">(J202/3.6)*0.196</f>
        <v>2.3138888888888891</v>
      </c>
      <c r="O202" s="3">
        <f t="shared" ref="O202:O265" si="102">(J202/3.6)*0.7854</f>
        <v>9.2720833333333328</v>
      </c>
      <c r="P202" s="3"/>
      <c r="Q202" s="48"/>
      <c r="R202" s="36">
        <f t="shared" si="95"/>
        <v>0</v>
      </c>
      <c r="S202" s="3"/>
      <c r="T202" s="3"/>
      <c r="U202" s="28"/>
      <c r="V202" s="28"/>
      <c r="W202" s="77"/>
      <c r="X202" s="77"/>
      <c r="Y202" s="77"/>
      <c r="Z202" s="3"/>
      <c r="AA202" s="3"/>
      <c r="AB202" s="3"/>
    </row>
    <row r="203" spans="1:28" ht="15" customHeight="1">
      <c r="A203" s="21" t="s">
        <v>109</v>
      </c>
      <c r="B203" s="3">
        <v>2016</v>
      </c>
      <c r="C203" s="17" t="s">
        <v>180</v>
      </c>
      <c r="D203" s="3">
        <v>5</v>
      </c>
      <c r="E203" s="3">
        <v>250</v>
      </c>
      <c r="F203" s="3" t="s">
        <v>145</v>
      </c>
      <c r="G203" s="3">
        <v>9.8755199999999999</v>
      </c>
      <c r="H203" s="3">
        <v>26627.599999999999</v>
      </c>
      <c r="I203" s="3">
        <v>26660.9</v>
      </c>
      <c r="J203" s="3">
        <f t="shared" si="99"/>
        <v>33.30000000000291</v>
      </c>
      <c r="K203" s="3">
        <f t="shared" si="100"/>
        <v>8.1585000000007124</v>
      </c>
      <c r="L203" s="3"/>
      <c r="M203" s="17" t="s">
        <v>147</v>
      </c>
      <c r="N203" s="3">
        <f t="shared" si="101"/>
        <v>1.8130000000001585</v>
      </c>
      <c r="O203" s="3">
        <f t="shared" si="102"/>
        <v>7.2649500000006348</v>
      </c>
      <c r="P203" s="3"/>
      <c r="Q203" s="48"/>
      <c r="R203" s="36">
        <f t="shared" si="95"/>
        <v>0</v>
      </c>
      <c r="S203" s="3"/>
      <c r="T203" s="3"/>
      <c r="U203" s="28"/>
      <c r="V203" s="28"/>
      <c r="W203" s="77"/>
      <c r="X203" s="77"/>
      <c r="Y203" s="77"/>
      <c r="Z203" s="3"/>
      <c r="AA203" s="3"/>
      <c r="AB203" s="3"/>
    </row>
    <row r="204" spans="1:28" ht="15" customHeight="1">
      <c r="A204" s="21" t="s">
        <v>109</v>
      </c>
      <c r="B204" s="3">
        <v>2016</v>
      </c>
      <c r="C204" s="17" t="s">
        <v>180</v>
      </c>
      <c r="D204" s="3">
        <v>4</v>
      </c>
      <c r="E204" s="3">
        <v>1000</v>
      </c>
      <c r="F204" s="3" t="s">
        <v>145</v>
      </c>
      <c r="G204" s="3">
        <v>6.0960000000000001</v>
      </c>
      <c r="H204" s="3">
        <v>19187.599999999999</v>
      </c>
      <c r="I204" s="3">
        <v>19216.400000000001</v>
      </c>
      <c r="J204" s="3">
        <f t="shared" si="99"/>
        <v>28.80000000000291</v>
      </c>
      <c r="K204" s="3">
        <f t="shared" si="100"/>
        <v>7.0560000000007133</v>
      </c>
      <c r="L204" s="3"/>
      <c r="M204" s="17" t="s">
        <v>147</v>
      </c>
      <c r="N204" s="3">
        <f t="shared" si="101"/>
        <v>1.5680000000001584</v>
      </c>
      <c r="O204" s="3">
        <f t="shared" si="102"/>
        <v>6.2832000000006349</v>
      </c>
      <c r="P204" s="3"/>
      <c r="Q204" s="48"/>
      <c r="R204" s="36">
        <f t="shared" si="95"/>
        <v>0</v>
      </c>
      <c r="S204" s="3"/>
      <c r="T204" s="3"/>
      <c r="U204" s="28"/>
      <c r="V204" s="28"/>
      <c r="W204" s="77"/>
      <c r="X204" s="77"/>
      <c r="Y204" s="77"/>
      <c r="Z204" s="3"/>
      <c r="AA204" s="3"/>
      <c r="AB204" s="3"/>
    </row>
    <row r="205" spans="1:28" ht="15" customHeight="1">
      <c r="A205" s="21" t="s">
        <v>109</v>
      </c>
      <c r="B205" s="3">
        <v>2016</v>
      </c>
      <c r="C205" s="17" t="s">
        <v>180</v>
      </c>
      <c r="D205" s="3">
        <v>4</v>
      </c>
      <c r="E205" s="3">
        <v>250</v>
      </c>
      <c r="F205" s="3" t="s">
        <v>145</v>
      </c>
      <c r="G205" s="3">
        <v>6.0960000000000001</v>
      </c>
      <c r="H205" s="3">
        <v>26661</v>
      </c>
      <c r="I205" s="3">
        <v>26692.2</v>
      </c>
      <c r="J205" s="3">
        <f t="shared" si="99"/>
        <v>31.200000000000728</v>
      </c>
      <c r="K205" s="3">
        <f t="shared" si="100"/>
        <v>7.6440000000001778</v>
      </c>
      <c r="L205" s="3"/>
      <c r="M205" s="17" t="s">
        <v>147</v>
      </c>
      <c r="N205" s="3">
        <f t="shared" si="101"/>
        <v>1.6986666666667063</v>
      </c>
      <c r="O205" s="3">
        <f t="shared" si="102"/>
        <v>6.8068000000001581</v>
      </c>
      <c r="P205" s="3"/>
      <c r="Q205" s="48"/>
      <c r="R205" s="36">
        <f t="shared" si="95"/>
        <v>0</v>
      </c>
      <c r="S205" s="3"/>
      <c r="T205" s="3"/>
      <c r="U205" s="28"/>
      <c r="V205" s="28"/>
      <c r="W205" s="77"/>
      <c r="X205" s="77"/>
      <c r="Y205" s="77"/>
      <c r="Z205" s="3"/>
      <c r="AA205" s="3"/>
      <c r="AB205" s="3"/>
    </row>
    <row r="206" spans="1:28" ht="15" customHeight="1">
      <c r="A206" s="21" t="s">
        <v>109</v>
      </c>
      <c r="B206" s="3">
        <v>2016</v>
      </c>
      <c r="C206" s="17" t="s">
        <v>180</v>
      </c>
      <c r="D206" s="3">
        <v>8</v>
      </c>
      <c r="E206" s="3">
        <v>1000</v>
      </c>
      <c r="F206" s="3" t="s">
        <v>145</v>
      </c>
      <c r="G206" s="3">
        <v>11.7348</v>
      </c>
      <c r="H206" s="3">
        <v>19105</v>
      </c>
      <c r="I206" s="3">
        <v>19144.900000000001</v>
      </c>
      <c r="J206" s="3">
        <f t="shared" si="99"/>
        <v>39.900000000001455</v>
      </c>
      <c r="K206" s="3">
        <f t="shared" si="100"/>
        <v>9.7755000000003562</v>
      </c>
      <c r="L206" s="3"/>
      <c r="M206" s="17" t="s">
        <v>147</v>
      </c>
      <c r="N206" s="3">
        <f t="shared" si="101"/>
        <v>2.1723333333334125</v>
      </c>
      <c r="O206" s="3">
        <f t="shared" si="102"/>
        <v>8.7048500000003166</v>
      </c>
      <c r="P206" s="3"/>
      <c r="Q206" s="48"/>
      <c r="R206" s="36">
        <f t="shared" si="95"/>
        <v>0</v>
      </c>
      <c r="S206" s="3"/>
      <c r="T206" s="3"/>
      <c r="U206" s="28"/>
      <c r="V206" s="28"/>
      <c r="W206" s="77"/>
      <c r="X206" s="77"/>
      <c r="Y206" s="77"/>
      <c r="Z206" s="3"/>
      <c r="AA206" s="3"/>
      <c r="AB206" s="3"/>
    </row>
    <row r="207" spans="1:28" ht="15" customHeight="1">
      <c r="A207" s="21" t="s">
        <v>109</v>
      </c>
      <c r="B207" s="3">
        <v>2016</v>
      </c>
      <c r="C207" s="17" t="s">
        <v>180</v>
      </c>
      <c r="D207" s="3">
        <v>8</v>
      </c>
      <c r="E207" s="3">
        <v>250</v>
      </c>
      <c r="F207" s="3" t="s">
        <v>145</v>
      </c>
      <c r="G207" s="3">
        <v>11.7348</v>
      </c>
      <c r="H207" s="3">
        <v>26585</v>
      </c>
      <c r="I207" s="3">
        <v>26627.599999999999</v>
      </c>
      <c r="J207" s="3">
        <f t="shared" si="99"/>
        <v>42.599999999998545</v>
      </c>
      <c r="K207" s="3">
        <f t="shared" si="100"/>
        <v>10.436999999999644</v>
      </c>
      <c r="L207" s="3"/>
      <c r="M207" s="17" t="s">
        <v>147</v>
      </c>
      <c r="N207" s="3">
        <f t="shared" si="101"/>
        <v>2.3193333333332542</v>
      </c>
      <c r="O207" s="3">
        <f t="shared" si="102"/>
        <v>9.2938999999996827</v>
      </c>
      <c r="P207" s="3"/>
      <c r="Q207" s="48"/>
      <c r="R207" s="36">
        <f t="shared" si="95"/>
        <v>0</v>
      </c>
      <c r="S207" s="3"/>
      <c r="T207" s="3"/>
      <c r="U207" s="28"/>
      <c r="V207" s="28"/>
      <c r="W207" s="77"/>
      <c r="X207" s="77"/>
      <c r="Y207" s="77"/>
      <c r="Z207" s="3"/>
      <c r="AA207" s="3"/>
      <c r="AB207" s="3"/>
    </row>
    <row r="208" spans="1:28" ht="15" customHeight="1">
      <c r="A208" s="21" t="s">
        <v>109</v>
      </c>
      <c r="B208" s="3">
        <v>2016</v>
      </c>
      <c r="C208" s="17" t="s">
        <v>180</v>
      </c>
      <c r="D208" s="3">
        <v>2</v>
      </c>
      <c r="E208" s="3">
        <v>1000</v>
      </c>
      <c r="F208" s="3" t="s">
        <v>145</v>
      </c>
      <c r="G208" s="3">
        <v>9.7536000000000005</v>
      </c>
      <c r="H208" s="3">
        <v>19217</v>
      </c>
      <c r="I208" s="3">
        <v>19265.599999999999</v>
      </c>
      <c r="J208" s="3">
        <f t="shared" si="99"/>
        <v>48.599999999998545</v>
      </c>
      <c r="K208" s="3">
        <f t="shared" si="100"/>
        <v>11.906999999999643</v>
      </c>
      <c r="L208" s="3"/>
      <c r="M208" s="17" t="s">
        <v>147</v>
      </c>
      <c r="N208" s="3">
        <f t="shared" si="101"/>
        <v>2.6459999999999209</v>
      </c>
      <c r="O208" s="3">
        <f t="shared" si="102"/>
        <v>10.602899999999682</v>
      </c>
      <c r="P208" s="3"/>
      <c r="Q208" s="48"/>
      <c r="R208" s="36">
        <f t="shared" si="95"/>
        <v>0</v>
      </c>
      <c r="S208" s="3"/>
      <c r="T208" s="3"/>
      <c r="U208" s="28"/>
      <c r="V208" s="28"/>
      <c r="W208" s="77"/>
      <c r="X208" s="77"/>
      <c r="Y208" s="77"/>
      <c r="Z208" s="3"/>
      <c r="AA208" s="3"/>
      <c r="AB208" s="3"/>
    </row>
    <row r="209" spans="1:28" ht="15" customHeight="1">
      <c r="A209" s="21" t="s">
        <v>109</v>
      </c>
      <c r="B209" s="3">
        <v>2016</v>
      </c>
      <c r="C209" s="17" t="s">
        <v>180</v>
      </c>
      <c r="D209" s="3">
        <v>2</v>
      </c>
      <c r="E209" s="3">
        <v>250</v>
      </c>
      <c r="F209" s="3" t="s">
        <v>145</v>
      </c>
      <c r="G209" s="3">
        <v>9.7536000000000005</v>
      </c>
      <c r="H209" s="3">
        <v>26733.1</v>
      </c>
      <c r="I209" s="3">
        <v>26778.799999999999</v>
      </c>
      <c r="J209" s="3">
        <f t="shared" si="99"/>
        <v>45.700000000000728</v>
      </c>
      <c r="K209" s="3">
        <f t="shared" si="100"/>
        <v>11.196500000000178</v>
      </c>
      <c r="L209" s="3"/>
      <c r="M209" s="17" t="s">
        <v>147</v>
      </c>
      <c r="N209" s="3">
        <f t="shared" si="101"/>
        <v>2.4881111111111505</v>
      </c>
      <c r="O209" s="3">
        <f t="shared" si="102"/>
        <v>9.9702166666668237</v>
      </c>
      <c r="P209" s="3"/>
      <c r="Q209" s="48"/>
      <c r="R209" s="36">
        <f t="shared" si="95"/>
        <v>0</v>
      </c>
      <c r="S209" s="3"/>
      <c r="T209" s="3"/>
      <c r="U209" s="28"/>
      <c r="V209" s="28"/>
      <c r="W209" s="77"/>
      <c r="X209" s="77"/>
      <c r="Y209" s="77"/>
      <c r="Z209" s="3"/>
      <c r="AA209" s="3"/>
      <c r="AB209" s="3"/>
    </row>
    <row r="210" spans="1:28" ht="15" customHeight="1">
      <c r="A210" s="21" t="s">
        <v>113</v>
      </c>
      <c r="B210" s="3">
        <v>2016</v>
      </c>
      <c r="C210" s="17" t="s">
        <v>157</v>
      </c>
      <c r="D210" s="3">
        <v>8</v>
      </c>
      <c r="E210" s="3">
        <v>1000</v>
      </c>
      <c r="F210" s="3" t="s">
        <v>145</v>
      </c>
      <c r="G210" s="3">
        <v>10.058400000000001</v>
      </c>
      <c r="H210" s="3">
        <v>19315.3</v>
      </c>
      <c r="I210" s="3">
        <v>19372.900000000001</v>
      </c>
      <c r="J210" s="3">
        <f t="shared" si="99"/>
        <v>57.600000000002183</v>
      </c>
      <c r="K210" s="3">
        <f t="shared" si="100"/>
        <v>14.112000000000535</v>
      </c>
      <c r="L210" s="3"/>
      <c r="M210" s="17" t="s">
        <v>147</v>
      </c>
      <c r="N210" s="3">
        <f t="shared" si="101"/>
        <v>3.1360000000001191</v>
      </c>
      <c r="O210" s="3">
        <f t="shared" si="102"/>
        <v>12.566400000000478</v>
      </c>
      <c r="P210" s="36"/>
      <c r="Q210" s="48"/>
      <c r="R210" s="36">
        <f t="shared" si="95"/>
        <v>0</v>
      </c>
      <c r="S210" s="3"/>
      <c r="T210" s="3"/>
      <c r="U210" s="28">
        <f t="shared" si="96"/>
        <v>286.55780494014698</v>
      </c>
      <c r="V210" s="28">
        <v>3601</v>
      </c>
      <c r="W210" s="77">
        <v>57</v>
      </c>
      <c r="X210" s="77">
        <f t="shared" ref="X210" si="103">SUM(V210:W210)</f>
        <v>3658</v>
      </c>
      <c r="Y210" s="77">
        <f t="shared" si="98"/>
        <v>291.09371021134621</v>
      </c>
      <c r="Z210" s="3"/>
      <c r="AA210" s="3"/>
      <c r="AB210" s="3"/>
    </row>
    <row r="211" spans="1:28" s="33" customFormat="1" ht="14">
      <c r="A211" s="43" t="s">
        <v>113</v>
      </c>
      <c r="B211" s="32">
        <v>2016</v>
      </c>
      <c r="C211" s="44" t="s">
        <v>157</v>
      </c>
      <c r="D211" s="32">
        <v>8</v>
      </c>
      <c r="E211" s="32">
        <v>250</v>
      </c>
      <c r="F211" s="32" t="s">
        <v>145</v>
      </c>
      <c r="G211" s="32">
        <v>10.058400000000001</v>
      </c>
      <c r="H211" s="32">
        <v>26779.1</v>
      </c>
      <c r="I211" s="32">
        <v>26855.5</v>
      </c>
      <c r="J211" s="32">
        <f t="shared" si="99"/>
        <v>76.400000000001455</v>
      </c>
      <c r="K211" s="32">
        <f t="shared" si="100"/>
        <v>18.718000000000355</v>
      </c>
      <c r="L211" s="32"/>
      <c r="M211" s="44" t="s">
        <v>147</v>
      </c>
      <c r="N211" s="32">
        <f t="shared" si="101"/>
        <v>4.1595555555556354</v>
      </c>
      <c r="O211" s="32">
        <f t="shared" si="102"/>
        <v>16.66793333333365</v>
      </c>
      <c r="P211" s="36">
        <v>17520</v>
      </c>
      <c r="Q211" s="48">
        <f t="shared" si="94"/>
        <v>4211.988460305507</v>
      </c>
      <c r="R211" s="36">
        <f t="shared" si="95"/>
        <v>4.2119884603055073</v>
      </c>
      <c r="S211" s="32"/>
      <c r="T211" s="32"/>
      <c r="U211" s="28"/>
      <c r="V211" s="37"/>
      <c r="W211" s="77"/>
      <c r="X211" s="77"/>
      <c r="Y211" s="77"/>
      <c r="Z211" s="32"/>
      <c r="AA211" s="32"/>
      <c r="AB211" s="32"/>
    </row>
    <row r="212" spans="1:28" ht="14">
      <c r="A212" s="21" t="s">
        <v>113</v>
      </c>
      <c r="B212" s="3">
        <v>2016</v>
      </c>
      <c r="C212" s="17" t="s">
        <v>157</v>
      </c>
      <c r="D212" s="3">
        <v>5</v>
      </c>
      <c r="E212" s="3">
        <v>1000</v>
      </c>
      <c r="F212" s="3" t="s">
        <v>145</v>
      </c>
      <c r="G212" s="3">
        <v>15.179040000000001</v>
      </c>
      <c r="H212" s="3">
        <v>19372.900000000001</v>
      </c>
      <c r="I212" s="3">
        <v>19434.599999999999</v>
      </c>
      <c r="J212" s="3">
        <f t="shared" si="99"/>
        <v>61.69999999999709</v>
      </c>
      <c r="K212" s="3">
        <f t="shared" si="100"/>
        <v>15.116499999999286</v>
      </c>
      <c r="L212" s="3"/>
      <c r="M212" s="17" t="s">
        <v>147</v>
      </c>
      <c r="N212" s="3">
        <f t="shared" si="101"/>
        <v>3.3592222222220638</v>
      </c>
      <c r="O212" s="3">
        <f t="shared" si="102"/>
        <v>13.460883333332697</v>
      </c>
      <c r="P212" s="36"/>
      <c r="Q212" s="48">
        <f t="shared" si="94"/>
        <v>0</v>
      </c>
      <c r="R212" s="36">
        <f t="shared" si="95"/>
        <v>0</v>
      </c>
      <c r="S212" s="3"/>
      <c r="T212" s="3"/>
      <c r="U212" s="28">
        <f t="shared" si="96"/>
        <v>3.4173091661891064</v>
      </c>
      <c r="V212" s="28">
        <v>46</v>
      </c>
      <c r="W212" s="77">
        <v>47</v>
      </c>
      <c r="X212" s="77">
        <f t="shared" ref="X212:X214" si="104">SUM(V212:W212)</f>
        <v>93</v>
      </c>
      <c r="Y212" s="77">
        <f t="shared" si="98"/>
        <v>6.9089076620779757</v>
      </c>
      <c r="Z212" s="3"/>
      <c r="AA212" s="3"/>
      <c r="AB212" s="3"/>
    </row>
    <row r="213" spans="1:28" s="33" customFormat="1" ht="14">
      <c r="A213" s="43" t="s">
        <v>113</v>
      </c>
      <c r="B213" s="32">
        <v>2016</v>
      </c>
      <c r="C213" s="44" t="s">
        <v>157</v>
      </c>
      <c r="D213" s="32">
        <v>5</v>
      </c>
      <c r="E213" s="32">
        <v>250</v>
      </c>
      <c r="F213" s="32" t="s">
        <v>145</v>
      </c>
      <c r="G213" s="32">
        <v>15.179040000000001</v>
      </c>
      <c r="H213" s="32">
        <v>26855.5</v>
      </c>
      <c r="I213" s="32">
        <v>26933.1</v>
      </c>
      <c r="J213" s="32">
        <f t="shared" si="99"/>
        <v>77.599999999998545</v>
      </c>
      <c r="K213" s="32">
        <f t="shared" si="100"/>
        <v>19.011999999999642</v>
      </c>
      <c r="L213" s="32"/>
      <c r="M213" s="44" t="s">
        <v>147</v>
      </c>
      <c r="N213" s="32">
        <f t="shared" si="101"/>
        <v>4.2248888888888096</v>
      </c>
      <c r="O213" s="32">
        <f t="shared" si="102"/>
        <v>16.929733333333015</v>
      </c>
      <c r="P213" s="46">
        <v>33314</v>
      </c>
      <c r="Q213" s="48">
        <f t="shared" si="94"/>
        <v>7885.1777824533356</v>
      </c>
      <c r="R213" s="36">
        <f t="shared" si="95"/>
        <v>7.8851777824533356</v>
      </c>
      <c r="S213" s="32"/>
      <c r="T213" s="32"/>
      <c r="U213" s="28"/>
      <c r="V213" s="37"/>
      <c r="W213" s="77"/>
      <c r="X213" s="77"/>
      <c r="Y213" s="77"/>
      <c r="Z213" s="32"/>
      <c r="AA213" s="32"/>
      <c r="AB213" s="32"/>
    </row>
    <row r="214" spans="1:28" ht="14">
      <c r="A214" s="21" t="s">
        <v>113</v>
      </c>
      <c r="B214" s="3">
        <v>2016</v>
      </c>
      <c r="C214" s="17" t="s">
        <v>157</v>
      </c>
      <c r="D214" s="3">
        <v>4</v>
      </c>
      <c r="E214" s="3">
        <v>1000</v>
      </c>
      <c r="F214" s="3" t="s">
        <v>145</v>
      </c>
      <c r="G214" s="3">
        <v>6.79704</v>
      </c>
      <c r="H214" s="3">
        <v>19434.599999999999</v>
      </c>
      <c r="I214" s="3">
        <v>19480.2</v>
      </c>
      <c r="J214" s="3">
        <f t="shared" si="99"/>
        <v>45.600000000002183</v>
      </c>
      <c r="K214" s="3">
        <f t="shared" si="100"/>
        <v>11.172000000000535</v>
      </c>
      <c r="L214" s="3"/>
      <c r="M214" s="17" t="s">
        <v>147</v>
      </c>
      <c r="N214" s="3">
        <f t="shared" si="101"/>
        <v>2.4826666666667854</v>
      </c>
      <c r="O214" s="3">
        <f t="shared" si="102"/>
        <v>9.9484000000004755</v>
      </c>
      <c r="P214" s="47"/>
      <c r="Q214" s="48">
        <f t="shared" si="94"/>
        <v>0</v>
      </c>
      <c r="R214" s="36">
        <f t="shared" si="95"/>
        <v>0</v>
      </c>
      <c r="S214" s="3"/>
      <c r="T214" s="3"/>
      <c r="U214" s="28">
        <f t="shared" si="96"/>
        <v>11.760685135297576</v>
      </c>
      <c r="V214" s="28">
        <v>117</v>
      </c>
      <c r="W214" s="77">
        <v>10</v>
      </c>
      <c r="X214" s="77">
        <f t="shared" si="104"/>
        <v>127</v>
      </c>
      <c r="Y214" s="77">
        <f t="shared" si="98"/>
        <v>12.765871898998224</v>
      </c>
      <c r="Z214" s="3"/>
      <c r="AA214" s="3"/>
      <c r="AB214" s="3"/>
    </row>
    <row r="215" spans="1:28" s="33" customFormat="1" ht="14">
      <c r="A215" s="43" t="s">
        <v>113</v>
      </c>
      <c r="B215" s="32">
        <v>2016</v>
      </c>
      <c r="C215" s="44" t="s">
        <v>157</v>
      </c>
      <c r="D215" s="32">
        <v>4</v>
      </c>
      <c r="E215" s="32">
        <v>250</v>
      </c>
      <c r="F215" s="32" t="s">
        <v>145</v>
      </c>
      <c r="G215" s="32">
        <v>6.79704</v>
      </c>
      <c r="H215" s="32">
        <v>26933.1</v>
      </c>
      <c r="I215" s="32">
        <v>26953.5</v>
      </c>
      <c r="J215" s="32">
        <f t="shared" si="99"/>
        <v>20.400000000001455</v>
      </c>
      <c r="K215" s="32">
        <f t="shared" si="100"/>
        <v>4.9980000000003564</v>
      </c>
      <c r="L215" s="32"/>
      <c r="M215" s="44" t="s">
        <v>147</v>
      </c>
      <c r="N215" s="32">
        <f t="shared" si="101"/>
        <v>1.110666666666746</v>
      </c>
      <c r="O215" s="32">
        <f t="shared" si="102"/>
        <v>4.4506000000003176</v>
      </c>
      <c r="P215" s="46">
        <v>5492</v>
      </c>
      <c r="Q215" s="48">
        <f t="shared" si="94"/>
        <v>4944.777911164113</v>
      </c>
      <c r="R215" s="36">
        <f t="shared" si="95"/>
        <v>4.9447779111641132</v>
      </c>
      <c r="S215" s="32"/>
      <c r="T215" s="32"/>
      <c r="U215" s="28"/>
      <c r="V215" s="37"/>
      <c r="W215" s="77"/>
      <c r="X215" s="77"/>
      <c r="Y215" s="77"/>
      <c r="Z215" s="32"/>
      <c r="AA215" s="32"/>
      <c r="AB215" s="32"/>
    </row>
    <row r="216" spans="1:28" ht="14">
      <c r="A216" s="21" t="s">
        <v>113</v>
      </c>
      <c r="B216" s="3">
        <v>2016</v>
      </c>
      <c r="C216" s="17" t="s">
        <v>157</v>
      </c>
      <c r="D216" s="3">
        <v>2</v>
      </c>
      <c r="E216" s="3">
        <v>1000</v>
      </c>
      <c r="F216" s="3" t="s">
        <v>145</v>
      </c>
      <c r="G216" s="3">
        <v>11.399520000000001</v>
      </c>
      <c r="H216" s="3">
        <v>19480.2</v>
      </c>
      <c r="I216" s="3">
        <v>19526.8</v>
      </c>
      <c r="J216" s="3">
        <f t="shared" si="99"/>
        <v>46.599999999998545</v>
      </c>
      <c r="K216" s="3">
        <f t="shared" si="100"/>
        <v>11.416999999999643</v>
      </c>
      <c r="L216" s="3"/>
      <c r="M216" s="17" t="s">
        <v>147</v>
      </c>
      <c r="N216" s="3">
        <f t="shared" si="101"/>
        <v>2.5371111111110318</v>
      </c>
      <c r="O216" s="3">
        <f t="shared" si="102"/>
        <v>10.166566666666348</v>
      </c>
      <c r="P216" s="47"/>
      <c r="Q216" s="48">
        <f t="shared" si="94"/>
        <v>0</v>
      </c>
      <c r="R216" s="36">
        <f t="shared" si="95"/>
        <v>0</v>
      </c>
      <c r="S216" s="3"/>
      <c r="T216" s="3"/>
      <c r="U216" s="28">
        <f t="shared" si="96"/>
        <v>0.49180811614542008</v>
      </c>
      <c r="V216" s="28">
        <v>5</v>
      </c>
      <c r="W216" s="77">
        <v>14</v>
      </c>
      <c r="X216" s="77">
        <f>SUM(V216:W216)</f>
        <v>19</v>
      </c>
      <c r="Y216" s="77">
        <f t="shared" si="98"/>
        <v>1.8688708413525965</v>
      </c>
      <c r="Z216" s="3"/>
      <c r="AA216" s="3"/>
      <c r="AB216" s="3"/>
    </row>
    <row r="217" spans="1:28" s="33" customFormat="1" ht="14">
      <c r="A217" s="43" t="s">
        <v>113</v>
      </c>
      <c r="B217" s="32">
        <v>2016</v>
      </c>
      <c r="C217" s="44" t="s">
        <v>157</v>
      </c>
      <c r="D217" s="32">
        <v>2</v>
      </c>
      <c r="E217" s="32">
        <v>250</v>
      </c>
      <c r="F217" s="32" t="s">
        <v>145</v>
      </c>
      <c r="G217" s="32">
        <v>11.399520000000001</v>
      </c>
      <c r="H217" s="32">
        <v>26953.5</v>
      </c>
      <c r="I217" s="32">
        <v>27000.7</v>
      </c>
      <c r="J217" s="32">
        <f t="shared" si="99"/>
        <v>47.200000000000728</v>
      </c>
      <c r="K217" s="32">
        <f t="shared" si="100"/>
        <v>11.564000000000178</v>
      </c>
      <c r="L217" s="32"/>
      <c r="M217" s="44" t="s">
        <v>147</v>
      </c>
      <c r="N217" s="32">
        <f t="shared" si="101"/>
        <v>2.5697777777778175</v>
      </c>
      <c r="O217" s="32">
        <f t="shared" si="102"/>
        <v>10.297466666666825</v>
      </c>
      <c r="P217" s="47">
        <v>35471</v>
      </c>
      <c r="Q217" s="48">
        <f t="shared" si="94"/>
        <v>13803.139052230848</v>
      </c>
      <c r="R217" s="36">
        <f t="shared" si="95"/>
        <v>13.803139052230849</v>
      </c>
      <c r="S217" s="32"/>
      <c r="T217" s="32"/>
      <c r="U217" s="28"/>
      <c r="V217" s="37"/>
      <c r="W217" s="77"/>
      <c r="X217" s="77"/>
      <c r="Y217" s="77"/>
      <c r="Z217" s="32"/>
      <c r="AA217" s="32"/>
      <c r="AB217" s="32"/>
    </row>
    <row r="218" spans="1:28" ht="15" customHeight="1">
      <c r="A218" s="21" t="s">
        <v>123</v>
      </c>
      <c r="B218" s="3">
        <v>2016</v>
      </c>
      <c r="C218" s="3" t="s">
        <v>181</v>
      </c>
      <c r="D218" s="3">
        <v>2</v>
      </c>
      <c r="E218" s="3">
        <v>1000</v>
      </c>
      <c r="F218" s="3" t="s">
        <v>145</v>
      </c>
      <c r="G218" s="3">
        <v>10.972799999999999</v>
      </c>
      <c r="H218" s="3">
        <v>19669.2</v>
      </c>
      <c r="I218" s="3">
        <v>19725.8</v>
      </c>
      <c r="J218" s="3">
        <f t="shared" si="99"/>
        <v>56.599999999998545</v>
      </c>
      <c r="K218" s="3">
        <f t="shared" si="100"/>
        <v>13.866999999999644</v>
      </c>
      <c r="L218" s="3"/>
      <c r="M218" s="17" t="s">
        <v>147</v>
      </c>
      <c r="N218" s="3">
        <f t="shared" si="101"/>
        <v>3.0815555555554766</v>
      </c>
      <c r="O218" s="3">
        <f t="shared" si="102"/>
        <v>12.348233333333015</v>
      </c>
      <c r="P218" s="36"/>
      <c r="Q218" s="48">
        <f t="shared" si="94"/>
        <v>0</v>
      </c>
      <c r="R218" s="36">
        <f t="shared" si="95"/>
        <v>0</v>
      </c>
      <c r="S218" s="3"/>
      <c r="T218" s="3"/>
      <c r="U218" s="28"/>
      <c r="V218" s="28"/>
      <c r="W218" s="77"/>
      <c r="X218" s="77"/>
      <c r="Y218" s="77"/>
      <c r="Z218" s="3"/>
      <c r="AA218" s="3"/>
      <c r="AB218" s="3"/>
    </row>
    <row r="219" spans="1:28" ht="15" customHeight="1">
      <c r="A219" s="21" t="s">
        <v>123</v>
      </c>
      <c r="B219" s="3">
        <v>2016</v>
      </c>
      <c r="C219" s="3" t="s">
        <v>159</v>
      </c>
      <c r="D219" s="3">
        <v>2</v>
      </c>
      <c r="E219" s="3">
        <v>250</v>
      </c>
      <c r="F219" s="3" t="s">
        <v>145</v>
      </c>
      <c r="G219" s="3">
        <v>10.972799999999999</v>
      </c>
      <c r="H219" s="3">
        <v>27127.3</v>
      </c>
      <c r="I219" s="3">
        <v>27176.400000000001</v>
      </c>
      <c r="J219" s="3">
        <f t="shared" si="99"/>
        <v>49.100000000002183</v>
      </c>
      <c r="K219" s="3">
        <f t="shared" si="100"/>
        <v>12.029500000000535</v>
      </c>
      <c r="L219" s="3"/>
      <c r="M219" s="17" t="s">
        <v>147</v>
      </c>
      <c r="N219" s="3">
        <f t="shared" si="101"/>
        <v>2.673222222222341</v>
      </c>
      <c r="O219" s="3">
        <f t="shared" si="102"/>
        <v>10.711983333333809</v>
      </c>
      <c r="P219" s="3"/>
      <c r="Q219" s="48">
        <f t="shared" si="94"/>
        <v>0</v>
      </c>
      <c r="R219" s="36">
        <f t="shared" si="95"/>
        <v>0</v>
      </c>
      <c r="S219" s="3"/>
      <c r="T219" s="3"/>
      <c r="U219" s="28"/>
      <c r="V219" s="28"/>
      <c r="W219" s="77"/>
      <c r="X219" s="77"/>
      <c r="Y219" s="77"/>
      <c r="Z219" s="3"/>
      <c r="AA219" s="3"/>
      <c r="AB219" s="3"/>
    </row>
    <row r="220" spans="1:28" ht="15" customHeight="1">
      <c r="A220" s="21" t="s">
        <v>123</v>
      </c>
      <c r="B220" s="3">
        <v>2016</v>
      </c>
      <c r="C220" s="3" t="s">
        <v>159</v>
      </c>
      <c r="D220" s="3">
        <v>4</v>
      </c>
      <c r="E220" s="3">
        <v>1000</v>
      </c>
      <c r="F220" s="3" t="s">
        <v>145</v>
      </c>
      <c r="G220" s="3">
        <v>8.6258400000000002</v>
      </c>
      <c r="H220" s="3">
        <v>19632.8</v>
      </c>
      <c r="I220" s="3">
        <v>19669.2</v>
      </c>
      <c r="J220" s="3">
        <f t="shared" si="99"/>
        <v>36.400000000001455</v>
      </c>
      <c r="K220" s="3">
        <f t="shared" si="100"/>
        <v>8.9180000000003563</v>
      </c>
      <c r="L220" s="3"/>
      <c r="M220" s="17" t="s">
        <v>147</v>
      </c>
      <c r="N220" s="3">
        <f t="shared" si="101"/>
        <v>1.9817777777778571</v>
      </c>
      <c r="O220" s="3">
        <f t="shared" si="102"/>
        <v>7.9412666666669844</v>
      </c>
      <c r="P220" s="3"/>
      <c r="Q220" s="48">
        <f t="shared" si="94"/>
        <v>0</v>
      </c>
      <c r="R220" s="36">
        <f t="shared" si="95"/>
        <v>0</v>
      </c>
      <c r="S220" s="3"/>
      <c r="T220" s="3"/>
      <c r="U220" s="28"/>
      <c r="V220" s="28"/>
      <c r="W220" s="77"/>
      <c r="X220" s="77"/>
      <c r="Y220" s="77"/>
      <c r="Z220" s="3"/>
      <c r="AA220" s="3"/>
      <c r="AB220" s="3"/>
    </row>
    <row r="221" spans="1:28" ht="15" customHeight="1">
      <c r="A221" s="21" t="s">
        <v>123</v>
      </c>
      <c r="B221" s="3">
        <v>2016</v>
      </c>
      <c r="C221" s="3" t="s">
        <v>159</v>
      </c>
      <c r="D221" s="3">
        <v>4</v>
      </c>
      <c r="E221" s="3">
        <v>250</v>
      </c>
      <c r="F221" s="3" t="s">
        <v>145</v>
      </c>
      <c r="G221" s="3">
        <v>8.6258400000000002</v>
      </c>
      <c r="H221" s="3">
        <v>27097.200000000001</v>
      </c>
      <c r="I221" s="3">
        <v>27127.3</v>
      </c>
      <c r="J221" s="3">
        <f t="shared" si="99"/>
        <v>30.099999999998545</v>
      </c>
      <c r="K221" s="3">
        <f t="shared" si="100"/>
        <v>7.3744999999996432</v>
      </c>
      <c r="L221" s="3"/>
      <c r="M221" s="17" t="s">
        <v>147</v>
      </c>
      <c r="N221" s="3">
        <f t="shared" si="101"/>
        <v>1.6387777777776988</v>
      </c>
      <c r="O221" s="3">
        <f t="shared" si="102"/>
        <v>6.5668166666663499</v>
      </c>
      <c r="P221" s="3"/>
      <c r="Q221" s="48">
        <f t="shared" si="94"/>
        <v>0</v>
      </c>
      <c r="R221" s="36">
        <f t="shared" si="95"/>
        <v>0</v>
      </c>
      <c r="S221" s="3"/>
      <c r="T221" s="3"/>
      <c r="U221" s="28"/>
      <c r="V221" s="28"/>
      <c r="W221" s="77"/>
      <c r="X221" s="77"/>
      <c r="Y221" s="77"/>
      <c r="Z221" s="3"/>
      <c r="AA221" s="3"/>
      <c r="AB221" s="3"/>
    </row>
    <row r="222" spans="1:28" ht="15" customHeight="1">
      <c r="A222" s="21" t="s">
        <v>123</v>
      </c>
      <c r="B222" s="3">
        <v>2016</v>
      </c>
      <c r="C222" s="3" t="s">
        <v>159</v>
      </c>
      <c r="D222" s="3">
        <v>5</v>
      </c>
      <c r="E222" s="3">
        <v>1000</v>
      </c>
      <c r="F222" s="3" t="s">
        <v>145</v>
      </c>
      <c r="G222" s="3">
        <v>13.13688</v>
      </c>
      <c r="H222" s="3">
        <v>19576.8</v>
      </c>
      <c r="I222" s="3">
        <v>19632.8</v>
      </c>
      <c r="J222" s="3">
        <f t="shared" si="99"/>
        <v>56</v>
      </c>
      <c r="K222" s="3">
        <f t="shared" si="100"/>
        <v>13.719999999999999</v>
      </c>
      <c r="L222" s="3"/>
      <c r="M222" s="17" t="s">
        <v>147</v>
      </c>
      <c r="N222" s="3">
        <f t="shared" si="101"/>
        <v>3.048888888888889</v>
      </c>
      <c r="O222" s="3">
        <f t="shared" si="102"/>
        <v>12.217333333333332</v>
      </c>
      <c r="P222" s="3"/>
      <c r="Q222" s="48">
        <f t="shared" si="94"/>
        <v>0</v>
      </c>
      <c r="R222" s="36">
        <f t="shared" si="95"/>
        <v>0</v>
      </c>
      <c r="S222" s="3"/>
      <c r="T222" s="3"/>
      <c r="U222" s="28"/>
      <c r="V222" s="28"/>
      <c r="W222" s="77"/>
      <c r="X222" s="77"/>
      <c r="Y222" s="77"/>
      <c r="Z222" s="3"/>
      <c r="AA222" s="3"/>
      <c r="AB222" s="3"/>
    </row>
    <row r="223" spans="1:28" ht="15" customHeight="1">
      <c r="A223" s="21" t="s">
        <v>123</v>
      </c>
      <c r="B223" s="3">
        <v>2016</v>
      </c>
      <c r="C223" s="3" t="s">
        <v>159</v>
      </c>
      <c r="D223" s="3">
        <v>5</v>
      </c>
      <c r="E223" s="3">
        <v>250</v>
      </c>
      <c r="F223" s="3" t="s">
        <v>145</v>
      </c>
      <c r="G223" s="3">
        <v>13.13688</v>
      </c>
      <c r="H223" s="3">
        <v>27052.799999999999</v>
      </c>
      <c r="I223" s="3">
        <v>27097.200000000001</v>
      </c>
      <c r="J223" s="3">
        <f t="shared" si="99"/>
        <v>44.400000000001455</v>
      </c>
      <c r="K223" s="3">
        <f t="shared" si="100"/>
        <v>10.878000000000357</v>
      </c>
      <c r="L223" s="3"/>
      <c r="M223" s="17" t="s">
        <v>147</v>
      </c>
      <c r="N223" s="3">
        <f t="shared" si="101"/>
        <v>2.4173333333334126</v>
      </c>
      <c r="O223" s="3">
        <f t="shared" si="102"/>
        <v>9.6866000000003165</v>
      </c>
      <c r="P223" s="3"/>
      <c r="Q223" s="48">
        <f t="shared" si="94"/>
        <v>0</v>
      </c>
      <c r="R223" s="36">
        <f t="shared" si="95"/>
        <v>0</v>
      </c>
      <c r="S223" s="3"/>
      <c r="T223" s="3"/>
      <c r="U223" s="28"/>
      <c r="V223" s="28"/>
      <c r="W223" s="77"/>
      <c r="X223" s="77"/>
      <c r="Y223" s="77"/>
      <c r="Z223" s="3"/>
      <c r="AA223" s="3"/>
      <c r="AB223" s="3"/>
    </row>
    <row r="224" spans="1:28" ht="15" customHeight="1">
      <c r="A224" s="21" t="s">
        <v>123</v>
      </c>
      <c r="B224" s="3">
        <v>2016</v>
      </c>
      <c r="C224" s="3" t="s">
        <v>159</v>
      </c>
      <c r="D224" s="3">
        <v>8</v>
      </c>
      <c r="E224" s="3">
        <v>1000</v>
      </c>
      <c r="F224" s="3" t="s">
        <v>145</v>
      </c>
      <c r="G224" s="3">
        <v>10.08888</v>
      </c>
      <c r="H224" s="3">
        <v>19539.2</v>
      </c>
      <c r="I224" s="3">
        <v>19576.8</v>
      </c>
      <c r="J224" s="3">
        <f t="shared" si="99"/>
        <v>37.599999999998545</v>
      </c>
      <c r="K224" s="3">
        <f t="shared" si="100"/>
        <v>9.2119999999996427</v>
      </c>
      <c r="L224" s="3"/>
      <c r="M224" s="17" t="s">
        <v>147</v>
      </c>
      <c r="N224" s="3">
        <f t="shared" si="101"/>
        <v>2.0471111111110321</v>
      </c>
      <c r="O224" s="3">
        <f t="shared" si="102"/>
        <v>8.2030666666663485</v>
      </c>
      <c r="P224" s="3"/>
      <c r="Q224" s="48">
        <f t="shared" si="94"/>
        <v>0</v>
      </c>
      <c r="R224" s="36">
        <f t="shared" si="95"/>
        <v>0</v>
      </c>
      <c r="S224" s="3"/>
      <c r="T224" s="3"/>
      <c r="U224" s="28"/>
      <c r="V224" s="28"/>
      <c r="W224" s="77"/>
      <c r="X224" s="77"/>
      <c r="Y224" s="77"/>
      <c r="Z224" s="3"/>
      <c r="AA224" s="3"/>
      <c r="AB224" s="3"/>
    </row>
    <row r="225" spans="1:28" ht="15" customHeight="1">
      <c r="A225" s="21" t="s">
        <v>123</v>
      </c>
      <c r="B225" s="3">
        <v>2016</v>
      </c>
      <c r="C225" s="3" t="s">
        <v>159</v>
      </c>
      <c r="D225" s="3">
        <v>8</v>
      </c>
      <c r="E225" s="3">
        <v>250</v>
      </c>
      <c r="F225" s="3" t="s">
        <v>145</v>
      </c>
      <c r="G225" s="3">
        <v>10.08888</v>
      </c>
      <c r="H225" s="3">
        <v>27000.9</v>
      </c>
      <c r="I225" s="3">
        <v>27052.6</v>
      </c>
      <c r="J225" s="3">
        <f t="shared" si="99"/>
        <v>51.69999999999709</v>
      </c>
      <c r="K225" s="3">
        <f t="shared" si="100"/>
        <v>12.666499999999287</v>
      </c>
      <c r="L225" s="3"/>
      <c r="M225" s="17" t="s">
        <v>147</v>
      </c>
      <c r="N225" s="3">
        <f t="shared" si="101"/>
        <v>2.8147777777776195</v>
      </c>
      <c r="O225" s="3">
        <f t="shared" si="102"/>
        <v>11.279216666666031</v>
      </c>
      <c r="P225" s="3"/>
      <c r="Q225" s="48">
        <f t="shared" si="94"/>
        <v>0</v>
      </c>
      <c r="R225" s="36">
        <f t="shared" si="95"/>
        <v>0</v>
      </c>
      <c r="S225" s="3"/>
      <c r="T225" s="3"/>
      <c r="U225" s="28"/>
      <c r="V225" s="28"/>
      <c r="W225" s="77"/>
      <c r="X225" s="77"/>
      <c r="Y225" s="77"/>
      <c r="Z225" s="3"/>
      <c r="AA225" s="3"/>
      <c r="AB225" s="3"/>
    </row>
    <row r="226" spans="1:28" ht="15" customHeight="1">
      <c r="A226" s="13" t="s">
        <v>182</v>
      </c>
      <c r="B226" s="3">
        <v>2017</v>
      </c>
      <c r="C226" s="3" t="s">
        <v>183</v>
      </c>
      <c r="D226" s="3">
        <v>4</v>
      </c>
      <c r="E226" s="16">
        <v>1000</v>
      </c>
      <c r="F226" s="3" t="s">
        <v>145</v>
      </c>
      <c r="G226" s="16">
        <v>9.4488000000000003</v>
      </c>
      <c r="H226" s="3">
        <v>19842.2</v>
      </c>
      <c r="I226" s="3">
        <v>19890.7</v>
      </c>
      <c r="J226" s="3">
        <f t="shared" si="99"/>
        <v>48.5</v>
      </c>
      <c r="K226" s="3">
        <f t="shared" si="100"/>
        <v>11.8825</v>
      </c>
      <c r="L226" s="3"/>
      <c r="M226" s="3" t="s">
        <v>147</v>
      </c>
      <c r="N226" s="3">
        <f t="shared" si="101"/>
        <v>2.6405555555555553</v>
      </c>
      <c r="O226" s="3">
        <f t="shared" si="102"/>
        <v>10.581083333333332</v>
      </c>
      <c r="P226" s="3"/>
      <c r="Q226" s="48">
        <f t="shared" si="94"/>
        <v>0</v>
      </c>
      <c r="R226" s="36">
        <f t="shared" si="95"/>
        <v>0</v>
      </c>
      <c r="S226" s="3"/>
      <c r="T226" s="3"/>
      <c r="U226" s="28"/>
      <c r="V226" s="28"/>
      <c r="W226" s="77">
        <v>0</v>
      </c>
      <c r="X226" s="77">
        <v>332</v>
      </c>
      <c r="Y226" s="77">
        <f t="shared" si="98"/>
        <v>31.376749387665097</v>
      </c>
      <c r="Z226" s="3"/>
      <c r="AA226" s="3"/>
      <c r="AB226" s="3"/>
    </row>
    <row r="227" spans="1:28" ht="15" customHeight="1">
      <c r="A227" s="13" t="s">
        <v>182</v>
      </c>
      <c r="B227" s="3">
        <v>2017</v>
      </c>
      <c r="C227" s="3" t="s">
        <v>183</v>
      </c>
      <c r="D227" s="3">
        <v>4</v>
      </c>
      <c r="E227" s="3">
        <v>250</v>
      </c>
      <c r="F227" s="3" t="s">
        <v>145</v>
      </c>
      <c r="G227" s="16">
        <v>9.4488000000000003</v>
      </c>
      <c r="H227" s="3">
        <v>43434.7</v>
      </c>
      <c r="I227" s="3">
        <v>43478</v>
      </c>
      <c r="J227" s="3">
        <f t="shared" si="99"/>
        <v>43.30000000000291</v>
      </c>
      <c r="K227" s="3">
        <f t="shared" si="100"/>
        <v>10.608500000000713</v>
      </c>
      <c r="L227" s="3"/>
      <c r="M227" s="3" t="s">
        <v>147</v>
      </c>
      <c r="N227" s="3">
        <f t="shared" si="101"/>
        <v>2.3574444444446025</v>
      </c>
      <c r="O227" s="3">
        <f t="shared" si="102"/>
        <v>9.4466166666672997</v>
      </c>
      <c r="P227" s="3">
        <v>4366</v>
      </c>
      <c r="Q227" s="48">
        <f t="shared" si="94"/>
        <v>1852.0054673138222</v>
      </c>
      <c r="R227" s="36">
        <f t="shared" si="95"/>
        <v>1.8520054673138222</v>
      </c>
      <c r="S227" s="3"/>
      <c r="T227" s="3"/>
      <c r="U227" s="28"/>
      <c r="V227" s="28"/>
      <c r="W227" s="77"/>
      <c r="X227" s="77"/>
      <c r="Y227" s="77"/>
      <c r="Z227" s="3"/>
      <c r="AA227" s="3"/>
      <c r="AB227" s="3"/>
    </row>
    <row r="228" spans="1:28" ht="15" customHeight="1">
      <c r="A228" s="13" t="s">
        <v>182</v>
      </c>
      <c r="B228" s="3">
        <v>2017</v>
      </c>
      <c r="C228" s="3" t="s">
        <v>183</v>
      </c>
      <c r="D228" s="3">
        <v>8</v>
      </c>
      <c r="E228" s="3">
        <v>1000</v>
      </c>
      <c r="F228" s="3" t="s">
        <v>145</v>
      </c>
      <c r="G228" s="16">
        <v>9.1440000000000001</v>
      </c>
      <c r="H228" s="3">
        <v>19742.599999999999</v>
      </c>
      <c r="I228" s="3">
        <v>19792.8</v>
      </c>
      <c r="J228" s="3">
        <f t="shared" si="99"/>
        <v>50.200000000000728</v>
      </c>
      <c r="K228" s="3">
        <f t="shared" si="100"/>
        <v>12.299000000000179</v>
      </c>
      <c r="L228" s="3"/>
      <c r="M228" s="3" t="s">
        <v>147</v>
      </c>
      <c r="N228" s="3">
        <f t="shared" si="101"/>
        <v>2.7331111111111506</v>
      </c>
      <c r="O228" s="3">
        <f t="shared" si="102"/>
        <v>10.951966666666824</v>
      </c>
      <c r="P228" s="3"/>
      <c r="Q228" s="48">
        <f t="shared" si="94"/>
        <v>0</v>
      </c>
      <c r="R228" s="36">
        <f t="shared" si="95"/>
        <v>0</v>
      </c>
      <c r="S228" s="3"/>
      <c r="T228" s="3"/>
      <c r="U228" s="28"/>
      <c r="V228" s="28"/>
      <c r="W228" s="77"/>
      <c r="X228" s="77">
        <v>42</v>
      </c>
      <c r="Y228" s="77">
        <f t="shared" si="98"/>
        <v>3.8349276690030769</v>
      </c>
      <c r="Z228" s="3"/>
      <c r="AA228" s="3"/>
      <c r="AB228" s="3"/>
    </row>
    <row r="229" spans="1:28" ht="15" customHeight="1">
      <c r="A229" s="13" t="s">
        <v>182</v>
      </c>
      <c r="B229" s="3">
        <v>2017</v>
      </c>
      <c r="C229" s="3" t="s">
        <v>183</v>
      </c>
      <c r="D229" s="3">
        <v>8</v>
      </c>
      <c r="E229" s="3">
        <v>250</v>
      </c>
      <c r="F229" s="3" t="s">
        <v>145</v>
      </c>
      <c r="G229" s="16">
        <v>9.1440000000000001</v>
      </c>
      <c r="H229" s="3">
        <v>43345.3</v>
      </c>
      <c r="I229" s="3">
        <v>43395.199999999997</v>
      </c>
      <c r="J229" s="3">
        <f t="shared" si="99"/>
        <v>49.899999999994179</v>
      </c>
      <c r="K229" s="3">
        <f t="shared" si="100"/>
        <v>12.225499999998574</v>
      </c>
      <c r="L229" s="3"/>
      <c r="M229" s="3" t="s">
        <v>147</v>
      </c>
      <c r="N229" s="3">
        <f t="shared" si="101"/>
        <v>2.7167777777774611</v>
      </c>
      <c r="O229" s="3">
        <f t="shared" si="102"/>
        <v>10.886516666665397</v>
      </c>
      <c r="P229" s="3">
        <v>6057.333333333333</v>
      </c>
      <c r="Q229" s="48">
        <f t="shared" si="94"/>
        <v>2229.6020612656475</v>
      </c>
      <c r="R229" s="36">
        <f t="shared" si="95"/>
        <v>2.2296020612656475</v>
      </c>
      <c r="S229" s="3"/>
      <c r="T229" s="3"/>
      <c r="U229" s="28"/>
      <c r="V229" s="28"/>
      <c r="W229" s="77"/>
      <c r="X229" s="77"/>
      <c r="Y229" s="77"/>
      <c r="Z229" s="3"/>
      <c r="AA229" s="3"/>
      <c r="AB229" s="3"/>
    </row>
    <row r="230" spans="1:28" ht="15" customHeight="1">
      <c r="A230" s="13" t="s">
        <v>182</v>
      </c>
      <c r="B230" s="3">
        <v>2017</v>
      </c>
      <c r="C230" s="3" t="s">
        <v>183</v>
      </c>
      <c r="D230" s="3">
        <v>5</v>
      </c>
      <c r="E230" s="3">
        <v>1000</v>
      </c>
      <c r="F230" s="3" t="s">
        <v>145</v>
      </c>
      <c r="G230" s="16">
        <v>12.4968</v>
      </c>
      <c r="H230" s="3">
        <v>19792.900000000001</v>
      </c>
      <c r="I230" s="3">
        <v>19842.2</v>
      </c>
      <c r="J230" s="3">
        <f t="shared" si="99"/>
        <v>49.299999999999272</v>
      </c>
      <c r="K230" s="3">
        <f t="shared" si="100"/>
        <v>12.078499999999822</v>
      </c>
      <c r="L230" s="3"/>
      <c r="M230" s="3" t="s">
        <v>147</v>
      </c>
      <c r="N230" s="3">
        <f t="shared" si="101"/>
        <v>2.6841111111110716</v>
      </c>
      <c r="O230" s="3">
        <f t="shared" si="102"/>
        <v>10.755616666666507</v>
      </c>
      <c r="P230" s="3"/>
      <c r="Q230" s="48">
        <f t="shared" si="94"/>
        <v>0</v>
      </c>
      <c r="R230" s="36">
        <f t="shared" si="95"/>
        <v>0</v>
      </c>
      <c r="S230" s="3"/>
      <c r="T230" s="3"/>
      <c r="U230" s="28"/>
      <c r="V230" s="28"/>
      <c r="W230" s="77"/>
      <c r="X230" s="77">
        <v>16</v>
      </c>
      <c r="Y230" s="77">
        <f t="shared" si="98"/>
        <v>1.4875948535416601</v>
      </c>
      <c r="Z230" s="3"/>
      <c r="AA230" s="3"/>
      <c r="AB230" s="3"/>
    </row>
    <row r="231" spans="1:28" ht="15" customHeight="1">
      <c r="A231" s="13" t="s">
        <v>182</v>
      </c>
      <c r="B231" s="3">
        <v>2017</v>
      </c>
      <c r="C231" s="3" t="s">
        <v>183</v>
      </c>
      <c r="D231" s="3">
        <v>5</v>
      </c>
      <c r="E231" s="3">
        <v>250</v>
      </c>
      <c r="F231" s="3" t="s">
        <v>145</v>
      </c>
      <c r="G231" s="16">
        <v>12.4968</v>
      </c>
      <c r="H231" s="3">
        <v>43395.199999999997</v>
      </c>
      <c r="I231" s="3">
        <v>43434.7</v>
      </c>
      <c r="J231" s="3">
        <f t="shared" si="99"/>
        <v>39.5</v>
      </c>
      <c r="K231" s="3">
        <f t="shared" si="100"/>
        <v>9.6775000000000002</v>
      </c>
      <c r="L231" s="3"/>
      <c r="M231" s="3" t="s">
        <v>147</v>
      </c>
      <c r="N231" s="3">
        <f t="shared" si="101"/>
        <v>2.1505555555555556</v>
      </c>
      <c r="O231" s="3">
        <f t="shared" si="102"/>
        <v>8.6175833333333323</v>
      </c>
      <c r="P231" s="3">
        <v>9854.1666666666661</v>
      </c>
      <c r="Q231" s="48">
        <f t="shared" si="94"/>
        <v>4582.1493154223708</v>
      </c>
      <c r="R231" s="36">
        <f t="shared" si="95"/>
        <v>4.5821493154223711</v>
      </c>
      <c r="S231" s="3"/>
      <c r="T231" s="3"/>
      <c r="U231" s="28"/>
      <c r="V231" s="28"/>
      <c r="W231" s="77"/>
      <c r="X231" s="77"/>
      <c r="Y231" s="77"/>
      <c r="Z231" s="3"/>
      <c r="AA231" s="3"/>
      <c r="AB231" s="3"/>
    </row>
    <row r="232" spans="1:28" ht="15" customHeight="1">
      <c r="A232" s="13" t="s">
        <v>182</v>
      </c>
      <c r="B232" s="3">
        <v>2017</v>
      </c>
      <c r="C232" s="3" t="s">
        <v>183</v>
      </c>
      <c r="D232" s="3">
        <v>2</v>
      </c>
      <c r="E232" s="3">
        <v>1000</v>
      </c>
      <c r="F232" s="3" t="s">
        <v>145</v>
      </c>
      <c r="G232" s="16">
        <v>11.2776</v>
      </c>
      <c r="H232" s="3">
        <v>19890.7</v>
      </c>
      <c r="I232" s="3">
        <v>19939.2</v>
      </c>
      <c r="J232" s="3">
        <f t="shared" si="99"/>
        <v>48.5</v>
      </c>
      <c r="K232" s="3">
        <f t="shared" si="100"/>
        <v>11.8825</v>
      </c>
      <c r="L232" s="3"/>
      <c r="M232" s="3" t="s">
        <v>147</v>
      </c>
      <c r="N232" s="3">
        <f t="shared" si="101"/>
        <v>2.6405555555555553</v>
      </c>
      <c r="O232" s="3">
        <f t="shared" si="102"/>
        <v>10.581083333333332</v>
      </c>
      <c r="P232" s="3"/>
      <c r="Q232" s="48">
        <f t="shared" si="94"/>
        <v>0</v>
      </c>
      <c r="R232" s="36">
        <f t="shared" si="95"/>
        <v>0</v>
      </c>
      <c r="S232" s="3"/>
      <c r="T232" s="3"/>
      <c r="U232" s="28"/>
      <c r="V232" s="28"/>
      <c r="W232" s="77"/>
      <c r="X232" s="77">
        <v>0</v>
      </c>
      <c r="Y232" s="77">
        <f t="shared" si="98"/>
        <v>0</v>
      </c>
      <c r="Z232" s="3"/>
      <c r="AA232" s="3"/>
      <c r="AB232" s="3"/>
    </row>
    <row r="233" spans="1:28" ht="15" customHeight="1">
      <c r="A233" s="13" t="s">
        <v>182</v>
      </c>
      <c r="B233" s="3">
        <v>2017</v>
      </c>
      <c r="C233" s="3" t="s">
        <v>183</v>
      </c>
      <c r="D233" s="3">
        <v>2</v>
      </c>
      <c r="E233" s="3">
        <v>250</v>
      </c>
      <c r="F233" s="3" t="s">
        <v>145</v>
      </c>
      <c r="G233" s="16">
        <v>11.2776</v>
      </c>
      <c r="H233" s="3">
        <v>43478</v>
      </c>
      <c r="I233" s="3">
        <v>43538.7</v>
      </c>
      <c r="J233" s="3">
        <f t="shared" si="99"/>
        <v>60.69999999999709</v>
      </c>
      <c r="K233" s="3">
        <f t="shared" si="100"/>
        <v>14.871499999999287</v>
      </c>
      <c r="L233" s="3"/>
      <c r="M233" s="3" t="s">
        <v>147</v>
      </c>
      <c r="N233" s="3">
        <f t="shared" si="101"/>
        <v>3.3047777777776193</v>
      </c>
      <c r="O233" s="3">
        <f t="shared" si="102"/>
        <v>13.242716666666031</v>
      </c>
      <c r="P233" s="3">
        <v>3760</v>
      </c>
      <c r="Q233" s="48">
        <f t="shared" si="94"/>
        <v>1137.7466967017995</v>
      </c>
      <c r="R233" s="36">
        <f t="shared" si="95"/>
        <v>1.1377466967017995</v>
      </c>
      <c r="S233" s="3"/>
      <c r="T233" s="3"/>
      <c r="U233" s="28"/>
      <c r="V233" s="28"/>
      <c r="W233" s="77"/>
      <c r="X233" s="77"/>
      <c r="Y233" s="77"/>
      <c r="Z233" s="3"/>
      <c r="AA233" s="3"/>
      <c r="AB233" s="3"/>
    </row>
    <row r="234" spans="1:28" ht="15" customHeight="1">
      <c r="A234" s="13" t="s">
        <v>184</v>
      </c>
      <c r="B234" s="3">
        <v>2017</v>
      </c>
      <c r="C234" s="3" t="s">
        <v>185</v>
      </c>
      <c r="D234" s="3">
        <v>5</v>
      </c>
      <c r="E234" s="3">
        <v>1000</v>
      </c>
      <c r="F234" s="3" t="s">
        <v>145</v>
      </c>
      <c r="G234" s="16">
        <v>12.46632</v>
      </c>
      <c r="H234" s="3">
        <v>20019.3</v>
      </c>
      <c r="I234" s="3">
        <v>20060.900000000001</v>
      </c>
      <c r="J234" s="3">
        <f t="shared" si="99"/>
        <v>41.600000000002183</v>
      </c>
      <c r="K234" s="3">
        <f t="shared" si="100"/>
        <v>10.192000000000535</v>
      </c>
      <c r="L234" s="3"/>
      <c r="M234" s="3" t="s">
        <v>147</v>
      </c>
      <c r="N234" s="3">
        <f t="shared" si="101"/>
        <v>2.2648888888890077</v>
      </c>
      <c r="O234" s="3">
        <f t="shared" si="102"/>
        <v>9.0757333333338082</v>
      </c>
      <c r="P234" s="3"/>
      <c r="Q234" s="48">
        <f t="shared" si="94"/>
        <v>0</v>
      </c>
      <c r="R234" s="36">
        <f t="shared" si="95"/>
        <v>0</v>
      </c>
      <c r="S234" s="3"/>
      <c r="T234" s="3"/>
      <c r="U234" s="28"/>
      <c r="V234" s="28"/>
      <c r="W234" s="77"/>
      <c r="X234" s="77">
        <v>5</v>
      </c>
      <c r="Y234" s="77">
        <f t="shared" si="98"/>
        <v>0.55091966856669861</v>
      </c>
      <c r="Z234" s="3"/>
      <c r="AA234" s="3"/>
      <c r="AB234" s="3"/>
    </row>
    <row r="235" spans="1:28" ht="15" customHeight="1">
      <c r="A235" s="21" t="s">
        <v>184</v>
      </c>
      <c r="B235" s="3">
        <v>2017</v>
      </c>
      <c r="C235" s="3" t="s">
        <v>185</v>
      </c>
      <c r="D235" s="3">
        <v>5</v>
      </c>
      <c r="E235" s="3">
        <v>250</v>
      </c>
      <c r="F235" s="3" t="s">
        <v>145</v>
      </c>
      <c r="G235" s="16">
        <v>12.46632</v>
      </c>
      <c r="H235" s="3">
        <v>94</v>
      </c>
      <c r="I235" s="3">
        <v>151</v>
      </c>
      <c r="J235" s="3">
        <f t="shared" si="99"/>
        <v>57</v>
      </c>
      <c r="K235" s="3">
        <f t="shared" si="100"/>
        <v>13.965</v>
      </c>
      <c r="L235" s="3"/>
      <c r="M235" s="17" t="s">
        <v>147</v>
      </c>
      <c r="N235" s="3">
        <f t="shared" si="101"/>
        <v>3.1033333333333331</v>
      </c>
      <c r="O235" s="3">
        <f t="shared" si="102"/>
        <v>12.435499999999999</v>
      </c>
      <c r="P235" s="3">
        <v>8721</v>
      </c>
      <c r="Q235" s="48">
        <f t="shared" si="94"/>
        <v>2810.2040816326535</v>
      </c>
      <c r="R235" s="36">
        <f t="shared" si="95"/>
        <v>2.8102040816326537</v>
      </c>
      <c r="S235" s="3"/>
      <c r="T235" s="3"/>
      <c r="U235" s="28"/>
      <c r="V235" s="28"/>
      <c r="W235" s="77"/>
      <c r="X235" s="77"/>
      <c r="Y235" s="77"/>
      <c r="Z235" s="3"/>
      <c r="AA235" s="3"/>
      <c r="AB235" s="3"/>
    </row>
    <row r="236" spans="1:28" ht="15" customHeight="1">
      <c r="A236" s="21" t="s">
        <v>184</v>
      </c>
      <c r="B236" s="3">
        <v>2017</v>
      </c>
      <c r="C236" s="3" t="s">
        <v>185</v>
      </c>
      <c r="D236" s="3">
        <v>2</v>
      </c>
      <c r="E236" s="3">
        <v>1000</v>
      </c>
      <c r="F236" s="3" t="s">
        <v>145</v>
      </c>
      <c r="G236" s="16">
        <v>9.7231199999999998</v>
      </c>
      <c r="H236" s="3">
        <v>20102.5</v>
      </c>
      <c r="I236" s="3">
        <v>20141.900000000001</v>
      </c>
      <c r="J236" s="3">
        <f t="shared" si="99"/>
        <v>39.400000000001455</v>
      </c>
      <c r="K236" s="3">
        <f t="shared" si="100"/>
        <v>9.6530000000003557</v>
      </c>
      <c r="L236" s="3"/>
      <c r="M236" s="17" t="s">
        <v>147</v>
      </c>
      <c r="N236" s="3">
        <f t="shared" si="101"/>
        <v>2.1451111111111905</v>
      </c>
      <c r="O236" s="3">
        <f t="shared" si="102"/>
        <v>8.5957666666669841</v>
      </c>
      <c r="P236" s="3"/>
      <c r="Q236" s="48">
        <f t="shared" si="94"/>
        <v>0</v>
      </c>
      <c r="R236" s="36">
        <f t="shared" si="95"/>
        <v>0</v>
      </c>
      <c r="S236" s="3"/>
      <c r="T236" s="3"/>
      <c r="U236" s="28"/>
      <c r="V236" s="28"/>
      <c r="W236" s="77"/>
      <c r="X236" s="77">
        <v>2</v>
      </c>
      <c r="Y236" s="77">
        <f t="shared" si="98"/>
        <v>0.23267267220685292</v>
      </c>
      <c r="Z236" s="3"/>
      <c r="AA236" s="3"/>
      <c r="AB236" s="3"/>
    </row>
    <row r="237" spans="1:28" ht="15" customHeight="1">
      <c r="A237" s="21" t="s">
        <v>184</v>
      </c>
      <c r="B237" s="3">
        <v>2017</v>
      </c>
      <c r="C237" s="3" t="s">
        <v>185</v>
      </c>
      <c r="D237" s="3">
        <v>2</v>
      </c>
      <c r="E237" s="3">
        <v>250</v>
      </c>
      <c r="F237" s="3" t="s">
        <v>145</v>
      </c>
      <c r="G237" s="16">
        <v>9.7231199999999998</v>
      </c>
      <c r="H237" s="3">
        <v>225.6</v>
      </c>
      <c r="I237" s="3">
        <v>270.2</v>
      </c>
      <c r="J237" s="3">
        <f t="shared" si="99"/>
        <v>44.599999999999994</v>
      </c>
      <c r="K237" s="3">
        <f t="shared" si="100"/>
        <v>10.926999999999998</v>
      </c>
      <c r="L237" s="3"/>
      <c r="M237" s="17" t="s">
        <v>147</v>
      </c>
      <c r="N237" s="3">
        <f t="shared" si="101"/>
        <v>2.4282222222222218</v>
      </c>
      <c r="O237" s="3">
        <f t="shared" si="102"/>
        <v>9.7302333333333326</v>
      </c>
      <c r="P237" s="3">
        <v>2062.75</v>
      </c>
      <c r="Q237" s="48">
        <f t="shared" si="94"/>
        <v>849.48979591836746</v>
      </c>
      <c r="R237" s="36">
        <f t="shared" si="95"/>
        <v>0.84948979591836749</v>
      </c>
      <c r="S237" s="3"/>
      <c r="T237" s="3"/>
      <c r="U237" s="28"/>
      <c r="V237" s="28"/>
      <c r="W237" s="77"/>
      <c r="X237" s="77"/>
      <c r="Y237" s="77"/>
      <c r="Z237" s="3"/>
      <c r="AA237" s="3"/>
      <c r="AB237" s="3"/>
    </row>
    <row r="238" spans="1:28" ht="15" customHeight="1">
      <c r="A238" s="21" t="s">
        <v>184</v>
      </c>
      <c r="B238" s="3">
        <v>2017</v>
      </c>
      <c r="C238" s="3" t="s">
        <v>185</v>
      </c>
      <c r="D238" s="3">
        <v>8</v>
      </c>
      <c r="E238" s="3">
        <v>1000</v>
      </c>
      <c r="F238" s="3" t="s">
        <v>145</v>
      </c>
      <c r="G238" s="16">
        <v>11.67384</v>
      </c>
      <c r="H238" s="3">
        <v>19976.7</v>
      </c>
      <c r="I238" s="3">
        <v>20019.400000000001</v>
      </c>
      <c r="J238" s="3">
        <f t="shared" si="99"/>
        <v>42.700000000000728</v>
      </c>
      <c r="K238" s="3">
        <f t="shared" si="100"/>
        <v>10.461500000000179</v>
      </c>
      <c r="L238" s="3"/>
      <c r="M238" s="17" t="s">
        <v>147</v>
      </c>
      <c r="N238" s="3">
        <f t="shared" si="101"/>
        <v>2.3247777777778174</v>
      </c>
      <c r="O238" s="3">
        <f t="shared" si="102"/>
        <v>9.315716666666825</v>
      </c>
      <c r="P238" s="3"/>
      <c r="Q238" s="48">
        <f t="shared" si="94"/>
        <v>0</v>
      </c>
      <c r="R238" s="36">
        <f t="shared" si="95"/>
        <v>0</v>
      </c>
      <c r="S238" s="3"/>
      <c r="T238" s="3"/>
      <c r="U238" s="28"/>
      <c r="V238" s="28"/>
      <c r="W238" s="77"/>
      <c r="X238" s="77">
        <v>21</v>
      </c>
      <c r="Y238" s="77">
        <f t="shared" si="98"/>
        <v>2.2542549061352921</v>
      </c>
      <c r="Z238" s="3"/>
      <c r="AA238" s="3"/>
      <c r="AB238" s="3"/>
    </row>
    <row r="239" spans="1:28" ht="15" customHeight="1">
      <c r="A239" s="21" t="s">
        <v>184</v>
      </c>
      <c r="B239" s="3">
        <v>2017</v>
      </c>
      <c r="C239" s="3" t="s">
        <v>185</v>
      </c>
      <c r="D239" s="3">
        <v>8</v>
      </c>
      <c r="E239" s="3">
        <v>250</v>
      </c>
      <c r="F239" s="3" t="s">
        <v>145</v>
      </c>
      <c r="G239" s="16">
        <v>11.67384</v>
      </c>
      <c r="H239" s="3">
        <v>38.700000000000003</v>
      </c>
      <c r="I239" s="3">
        <v>94</v>
      </c>
      <c r="J239" s="3">
        <f t="shared" si="99"/>
        <v>55.3</v>
      </c>
      <c r="K239" s="3">
        <f t="shared" si="100"/>
        <v>13.548499999999999</v>
      </c>
      <c r="L239" s="3"/>
      <c r="M239" s="17" t="s">
        <v>147</v>
      </c>
      <c r="N239" s="3">
        <f t="shared" si="101"/>
        <v>3.0107777777777778</v>
      </c>
      <c r="O239" s="3">
        <f t="shared" si="102"/>
        <v>12.064616666666666</v>
      </c>
      <c r="P239" s="3">
        <v>7752</v>
      </c>
      <c r="Q239" s="48">
        <f t="shared" si="94"/>
        <v>2574.7499723216592</v>
      </c>
      <c r="R239" s="36">
        <f t="shared" si="95"/>
        <v>2.5747499723216594</v>
      </c>
      <c r="S239" s="3"/>
      <c r="T239" s="3"/>
      <c r="U239" s="28"/>
      <c r="V239" s="28"/>
      <c r="W239" s="77"/>
      <c r="X239" s="77"/>
      <c r="Y239" s="77"/>
      <c r="Z239" s="3"/>
      <c r="AA239" s="3"/>
      <c r="AB239" s="3"/>
    </row>
    <row r="240" spans="1:28" ht="15" customHeight="1">
      <c r="A240" s="21" t="s">
        <v>184</v>
      </c>
      <c r="B240" s="3">
        <v>2017</v>
      </c>
      <c r="C240" s="3" t="s">
        <v>185</v>
      </c>
      <c r="D240" s="3">
        <v>4</v>
      </c>
      <c r="E240" s="3">
        <v>1000</v>
      </c>
      <c r="F240" s="3" t="s">
        <v>145</v>
      </c>
      <c r="G240" s="16">
        <v>8.5343999999999998</v>
      </c>
      <c r="H240" s="3">
        <v>20060.8</v>
      </c>
      <c r="I240" s="3">
        <v>20102.3</v>
      </c>
      <c r="J240" s="3">
        <f t="shared" si="99"/>
        <v>41.5</v>
      </c>
      <c r="K240" s="3">
        <f t="shared" si="100"/>
        <v>10.1675</v>
      </c>
      <c r="L240" s="3"/>
      <c r="M240" s="17" t="s">
        <v>147</v>
      </c>
      <c r="N240" s="3">
        <f t="shared" si="101"/>
        <v>2.2594444444444441</v>
      </c>
      <c r="O240" s="3">
        <f t="shared" si="102"/>
        <v>9.0539166666666659</v>
      </c>
      <c r="P240" s="3"/>
      <c r="Q240" s="48">
        <f t="shared" si="94"/>
        <v>0</v>
      </c>
      <c r="R240" s="36">
        <f t="shared" si="95"/>
        <v>0</v>
      </c>
      <c r="S240" s="3"/>
      <c r="T240" s="3"/>
      <c r="U240" s="28"/>
      <c r="V240" s="28"/>
      <c r="W240" s="77"/>
      <c r="X240" s="77">
        <v>13</v>
      </c>
      <c r="Y240" s="77">
        <f t="shared" si="98"/>
        <v>1.4358426831849938</v>
      </c>
      <c r="Z240" s="3"/>
      <c r="AA240" s="3"/>
      <c r="AB240" s="3"/>
    </row>
    <row r="241" spans="1:28" ht="15" customHeight="1">
      <c r="A241" s="21" t="s">
        <v>184</v>
      </c>
      <c r="B241" s="3">
        <v>2017</v>
      </c>
      <c r="C241" s="3" t="s">
        <v>185</v>
      </c>
      <c r="D241" s="3">
        <v>4</v>
      </c>
      <c r="E241" s="3">
        <v>250</v>
      </c>
      <c r="F241" s="3" t="s">
        <v>145</v>
      </c>
      <c r="G241" s="16">
        <v>8.5343999999999998</v>
      </c>
      <c r="H241" s="3">
        <v>194.2</v>
      </c>
      <c r="I241" s="3">
        <v>225.5</v>
      </c>
      <c r="J241" s="3">
        <f t="shared" si="99"/>
        <v>31.300000000000011</v>
      </c>
      <c r="K241" s="3">
        <f t="shared" si="100"/>
        <v>7.6685000000000025</v>
      </c>
      <c r="L241" s="3"/>
      <c r="M241" s="17" t="s">
        <v>147</v>
      </c>
      <c r="N241" s="3">
        <f t="shared" si="101"/>
        <v>1.704111111111112</v>
      </c>
      <c r="O241" s="3">
        <f t="shared" si="102"/>
        <v>6.8286166666666697</v>
      </c>
      <c r="P241" s="3">
        <v>4009.5</v>
      </c>
      <c r="Q241" s="48">
        <f t="shared" si="94"/>
        <v>2352.8395383712577</v>
      </c>
      <c r="R241" s="36">
        <f t="shared" si="95"/>
        <v>2.3528395383712577</v>
      </c>
      <c r="S241" s="3"/>
      <c r="T241" s="3"/>
      <c r="U241" s="28"/>
      <c r="V241" s="28"/>
      <c r="W241" s="77"/>
      <c r="X241" s="77"/>
      <c r="Y241" s="77"/>
      <c r="Z241" s="3"/>
      <c r="AA241" s="3"/>
      <c r="AB241" s="3"/>
    </row>
    <row r="242" spans="1:28" ht="15" customHeight="1">
      <c r="A242" s="13" t="s">
        <v>186</v>
      </c>
      <c r="B242" s="3">
        <v>2017</v>
      </c>
      <c r="C242" s="3" t="s">
        <v>187</v>
      </c>
      <c r="D242" s="3">
        <v>8</v>
      </c>
      <c r="E242" s="3">
        <v>1000</v>
      </c>
      <c r="F242" s="3" t="s">
        <v>145</v>
      </c>
      <c r="G242" s="16">
        <v>14.478</v>
      </c>
      <c r="H242" s="3">
        <v>1.8</v>
      </c>
      <c r="I242" s="3">
        <v>66.400000000000006</v>
      </c>
      <c r="J242" s="3">
        <f t="shared" si="99"/>
        <v>64.600000000000009</v>
      </c>
      <c r="K242" s="3">
        <f t="shared" si="100"/>
        <v>15.827000000000002</v>
      </c>
      <c r="L242" s="3"/>
      <c r="M242" s="3" t="s">
        <v>147</v>
      </c>
      <c r="N242" s="3">
        <f t="shared" si="101"/>
        <v>3.5171111111111117</v>
      </c>
      <c r="O242" s="3">
        <f t="shared" si="102"/>
        <v>14.093566666666668</v>
      </c>
      <c r="P242" s="3"/>
      <c r="Q242" s="48">
        <f t="shared" si="94"/>
        <v>0</v>
      </c>
      <c r="R242" s="36">
        <f t="shared" si="95"/>
        <v>0</v>
      </c>
      <c r="S242" s="3"/>
      <c r="T242" s="3"/>
      <c r="U242" s="28"/>
      <c r="V242" s="28"/>
      <c r="W242" s="77"/>
      <c r="X242" s="77">
        <v>25</v>
      </c>
      <c r="Y242" s="77">
        <f t="shared" si="98"/>
        <v>1.7738589947659333</v>
      </c>
      <c r="Z242" s="3"/>
      <c r="AA242" s="3"/>
      <c r="AB242" s="3"/>
    </row>
    <row r="243" spans="1:28" ht="15" customHeight="1">
      <c r="A243" s="13" t="s">
        <v>186</v>
      </c>
      <c r="B243" s="3">
        <v>2017</v>
      </c>
      <c r="C243" s="3" t="s">
        <v>187</v>
      </c>
      <c r="D243" s="3">
        <v>8</v>
      </c>
      <c r="E243" s="3">
        <v>250</v>
      </c>
      <c r="F243" s="3" t="s">
        <v>145</v>
      </c>
      <c r="G243" s="16">
        <v>14.478</v>
      </c>
      <c r="H243" s="3">
        <v>3578.9</v>
      </c>
      <c r="I243" s="3">
        <v>3627.3</v>
      </c>
      <c r="J243" s="3">
        <f t="shared" si="99"/>
        <v>48.400000000000091</v>
      </c>
      <c r="K243" s="3">
        <f t="shared" si="100"/>
        <v>11.858000000000022</v>
      </c>
      <c r="L243" s="3"/>
      <c r="M243" s="3" t="s">
        <v>147</v>
      </c>
      <c r="N243" s="3">
        <f t="shared" si="101"/>
        <v>2.6351111111111161</v>
      </c>
      <c r="O243" s="3">
        <f t="shared" si="102"/>
        <v>10.559266666666685</v>
      </c>
      <c r="P243" s="3">
        <v>12324</v>
      </c>
      <c r="Q243" s="48">
        <f t="shared" si="94"/>
        <v>4676.8426378815902</v>
      </c>
      <c r="R243" s="36">
        <f t="shared" si="95"/>
        <v>4.6768426378815899</v>
      </c>
      <c r="S243" s="3"/>
      <c r="T243" s="3"/>
      <c r="U243" s="28"/>
      <c r="V243" s="28"/>
      <c r="W243" s="77"/>
      <c r="X243" s="77"/>
      <c r="Y243" s="77"/>
      <c r="Z243" s="3"/>
      <c r="AA243" s="3"/>
      <c r="AB243" s="3"/>
    </row>
    <row r="244" spans="1:28" ht="15" customHeight="1">
      <c r="A244" s="13" t="s">
        <v>186</v>
      </c>
      <c r="B244" s="3">
        <v>2017</v>
      </c>
      <c r="C244" s="3" t="s">
        <v>187</v>
      </c>
      <c r="D244" s="3">
        <v>5</v>
      </c>
      <c r="E244" s="3">
        <v>1000</v>
      </c>
      <c r="F244" s="3" t="s">
        <v>145</v>
      </c>
      <c r="G244" s="16">
        <v>11.2776</v>
      </c>
      <c r="H244" s="3">
        <v>67.599999999999994</v>
      </c>
      <c r="I244" s="3">
        <v>112.9</v>
      </c>
      <c r="J244" s="3">
        <f t="shared" si="99"/>
        <v>45.300000000000011</v>
      </c>
      <c r="K244" s="3">
        <f t="shared" si="100"/>
        <v>11.098500000000003</v>
      </c>
      <c r="L244" s="3"/>
      <c r="M244" s="3" t="s">
        <v>147</v>
      </c>
      <c r="N244" s="3">
        <f t="shared" si="101"/>
        <v>2.4663333333333339</v>
      </c>
      <c r="O244" s="3">
        <f t="shared" si="102"/>
        <v>9.882950000000001</v>
      </c>
      <c r="P244" s="3"/>
      <c r="Q244" s="48">
        <f t="shared" si="94"/>
        <v>0</v>
      </c>
      <c r="R244" s="36">
        <f t="shared" si="95"/>
        <v>0</v>
      </c>
      <c r="S244" s="3"/>
      <c r="T244" s="3"/>
      <c r="U244" s="28"/>
      <c r="V244" s="28"/>
      <c r="W244" s="77"/>
      <c r="X244" s="77">
        <v>6</v>
      </c>
      <c r="Y244" s="77">
        <f t="shared" si="98"/>
        <v>0.60710617781128096</v>
      </c>
      <c r="Z244" s="3"/>
      <c r="AA244" s="3"/>
      <c r="AB244" s="3"/>
    </row>
    <row r="245" spans="1:28" ht="15" customHeight="1">
      <c r="A245" s="13" t="s">
        <v>186</v>
      </c>
      <c r="B245" s="3">
        <v>2017</v>
      </c>
      <c r="C245" s="3" t="s">
        <v>187</v>
      </c>
      <c r="D245" s="3">
        <v>5</v>
      </c>
      <c r="E245" s="3">
        <v>250</v>
      </c>
      <c r="F245" s="3" t="s">
        <v>145</v>
      </c>
      <c r="G245" s="16">
        <v>11.2776</v>
      </c>
      <c r="H245" s="3">
        <v>3627.4</v>
      </c>
      <c r="I245" s="3">
        <v>3676.9</v>
      </c>
      <c r="J245" s="3">
        <f t="shared" si="99"/>
        <v>49.5</v>
      </c>
      <c r="K245" s="3">
        <f t="shared" si="100"/>
        <v>12.1275</v>
      </c>
      <c r="L245" s="3"/>
      <c r="M245" s="3" t="s">
        <v>147</v>
      </c>
      <c r="N245" s="3">
        <f t="shared" si="101"/>
        <v>2.6950000000000003</v>
      </c>
      <c r="O245" s="3">
        <f t="shared" si="102"/>
        <v>10.799250000000001</v>
      </c>
      <c r="P245" s="3">
        <v>3732</v>
      </c>
      <c r="Q245" s="48">
        <f t="shared" si="94"/>
        <v>1384.786641929499</v>
      </c>
      <c r="R245" s="36">
        <f t="shared" si="95"/>
        <v>1.384786641929499</v>
      </c>
      <c r="S245" s="3"/>
      <c r="T245" s="3"/>
      <c r="U245" s="28"/>
      <c r="V245" s="28"/>
      <c r="W245" s="77"/>
      <c r="X245" s="77"/>
      <c r="Y245" s="77"/>
      <c r="Z245" s="3"/>
      <c r="AA245" s="3"/>
      <c r="AB245" s="3"/>
    </row>
    <row r="246" spans="1:28" ht="15" customHeight="1">
      <c r="A246" s="13" t="s">
        <v>186</v>
      </c>
      <c r="B246" s="3">
        <v>2017</v>
      </c>
      <c r="C246" s="3" t="s">
        <v>187</v>
      </c>
      <c r="D246" s="3">
        <v>4</v>
      </c>
      <c r="E246" s="3">
        <v>1000</v>
      </c>
      <c r="F246" s="3" t="s">
        <v>145</v>
      </c>
      <c r="G246" s="16">
        <v>7.0103999999999997</v>
      </c>
      <c r="H246" s="3">
        <v>113</v>
      </c>
      <c r="I246" s="3">
        <v>154.6</v>
      </c>
      <c r="J246" s="3">
        <f t="shared" si="99"/>
        <v>41.599999999999994</v>
      </c>
      <c r="K246" s="3">
        <f t="shared" si="100"/>
        <v>10.191999999999998</v>
      </c>
      <c r="L246" s="3"/>
      <c r="M246" s="3" t="s">
        <v>147</v>
      </c>
      <c r="N246" s="3">
        <f t="shared" si="101"/>
        <v>2.2648888888888887</v>
      </c>
      <c r="O246" s="3">
        <f t="shared" si="102"/>
        <v>9.0757333333333321</v>
      </c>
      <c r="P246" s="3"/>
      <c r="Q246" s="48">
        <f t="shared" si="94"/>
        <v>0</v>
      </c>
      <c r="R246" s="36">
        <f t="shared" si="95"/>
        <v>0</v>
      </c>
      <c r="S246" s="3"/>
      <c r="T246" s="3"/>
      <c r="U246" s="28"/>
      <c r="V246" s="28"/>
      <c r="W246" s="77"/>
      <c r="X246" s="77">
        <v>92</v>
      </c>
      <c r="Y246" s="77">
        <f t="shared" si="98"/>
        <v>10.136921901627785</v>
      </c>
      <c r="Z246" s="3"/>
      <c r="AA246" s="3"/>
      <c r="AB246" s="3"/>
    </row>
    <row r="247" spans="1:28" ht="15" customHeight="1">
      <c r="A247" s="13" t="s">
        <v>186</v>
      </c>
      <c r="B247" s="3">
        <v>2017</v>
      </c>
      <c r="C247" s="3" t="s">
        <v>187</v>
      </c>
      <c r="D247" s="3">
        <v>4</v>
      </c>
      <c r="E247" s="3">
        <v>250</v>
      </c>
      <c r="F247" s="3" t="s">
        <v>145</v>
      </c>
      <c r="G247" s="16">
        <v>7.0103999999999997</v>
      </c>
      <c r="H247" s="3">
        <v>3678</v>
      </c>
      <c r="I247" s="3">
        <v>3707.5</v>
      </c>
      <c r="J247" s="3">
        <f t="shared" si="99"/>
        <v>29.5</v>
      </c>
      <c r="K247" s="3">
        <f t="shared" si="100"/>
        <v>7.2275</v>
      </c>
      <c r="L247" s="3"/>
      <c r="M247" s="3" t="s">
        <v>147</v>
      </c>
      <c r="N247" s="3">
        <f t="shared" si="101"/>
        <v>1.6061111111111113</v>
      </c>
      <c r="O247" s="3">
        <f t="shared" si="102"/>
        <v>6.4359166666666665</v>
      </c>
      <c r="P247" s="3">
        <v>4042.5</v>
      </c>
      <c r="Q247" s="48">
        <f t="shared" si="94"/>
        <v>2516.9491525423728</v>
      </c>
      <c r="R247" s="36">
        <f t="shared" si="95"/>
        <v>2.5169491525423728</v>
      </c>
      <c r="S247" s="3"/>
      <c r="T247" s="3"/>
      <c r="U247" s="28"/>
      <c r="V247" s="28"/>
      <c r="W247" s="77"/>
      <c r="X247" s="77"/>
      <c r="Y247" s="77"/>
      <c r="Z247" s="3"/>
      <c r="AA247" s="3"/>
      <c r="AB247" s="3"/>
    </row>
    <row r="248" spans="1:28" ht="15" customHeight="1">
      <c r="A248" s="13" t="s">
        <v>186</v>
      </c>
      <c r="B248" s="3">
        <v>2017</v>
      </c>
      <c r="C248" s="3" t="s">
        <v>187</v>
      </c>
      <c r="D248" s="3">
        <v>2</v>
      </c>
      <c r="E248" s="3">
        <v>1000</v>
      </c>
      <c r="F248" s="3" t="s">
        <v>145</v>
      </c>
      <c r="G248" s="16">
        <v>10.667999999999999</v>
      </c>
      <c r="H248" s="3">
        <v>154.69999999999999</v>
      </c>
      <c r="I248" s="3">
        <v>215.3</v>
      </c>
      <c r="J248" s="3">
        <f t="shared" si="99"/>
        <v>60.600000000000023</v>
      </c>
      <c r="K248" s="3">
        <f t="shared" si="100"/>
        <v>14.847000000000005</v>
      </c>
      <c r="L248" s="3"/>
      <c r="M248" s="3" t="s">
        <v>147</v>
      </c>
      <c r="N248" s="3">
        <f t="shared" si="101"/>
        <v>3.2993333333333346</v>
      </c>
      <c r="O248" s="3">
        <f t="shared" si="102"/>
        <v>13.220900000000004</v>
      </c>
      <c r="P248" s="3"/>
      <c r="Q248" s="48">
        <f t="shared" si="94"/>
        <v>0</v>
      </c>
      <c r="R248" s="36">
        <f t="shared" si="95"/>
        <v>0</v>
      </c>
      <c r="S248" s="3"/>
      <c r="T248" s="3"/>
      <c r="U248" s="28"/>
      <c r="V248" s="28"/>
      <c r="W248" s="77"/>
      <c r="X248" s="77">
        <v>116</v>
      </c>
      <c r="Y248" s="77">
        <f t="shared" si="98"/>
        <v>8.773986642361713</v>
      </c>
      <c r="Z248" s="3"/>
      <c r="AA248" s="3"/>
      <c r="AB248" s="3"/>
    </row>
    <row r="249" spans="1:28" ht="15" customHeight="1">
      <c r="A249" s="13" t="s">
        <v>186</v>
      </c>
      <c r="B249" s="3">
        <v>2017</v>
      </c>
      <c r="C249" s="3" t="s">
        <v>187</v>
      </c>
      <c r="D249" s="3">
        <v>2</v>
      </c>
      <c r="E249" s="36">
        <v>250</v>
      </c>
      <c r="F249" s="3" t="s">
        <v>145</v>
      </c>
      <c r="G249" s="16">
        <v>10.667999999999999</v>
      </c>
      <c r="H249" s="3">
        <v>3707.8</v>
      </c>
      <c r="I249" s="3">
        <v>3765.9</v>
      </c>
      <c r="J249" s="3">
        <f t="shared" si="99"/>
        <v>58.099999999999909</v>
      </c>
      <c r="K249" s="3">
        <f t="shared" si="100"/>
        <v>14.234499999999978</v>
      </c>
      <c r="L249" s="3"/>
      <c r="M249" s="3" t="s">
        <v>147</v>
      </c>
      <c r="N249" s="3">
        <f t="shared" si="101"/>
        <v>3.1632222222222177</v>
      </c>
      <c r="O249" s="3">
        <f t="shared" si="102"/>
        <v>12.675483333333315</v>
      </c>
      <c r="P249" s="3">
        <v>27321</v>
      </c>
      <c r="Q249" s="48">
        <f t="shared" si="94"/>
        <v>8637.078927956738</v>
      </c>
      <c r="R249" s="36">
        <f t="shared" si="95"/>
        <v>8.6370789279567379</v>
      </c>
      <c r="S249" s="3"/>
      <c r="T249" s="3"/>
      <c r="U249" s="28"/>
      <c r="V249" s="28"/>
      <c r="W249" s="77"/>
      <c r="X249" s="77"/>
      <c r="Y249" s="77"/>
      <c r="Z249" s="3"/>
      <c r="AA249" s="3"/>
      <c r="AB249" s="3"/>
    </row>
    <row r="250" spans="1:28" ht="15" customHeight="1">
      <c r="A250" s="13" t="s">
        <v>188</v>
      </c>
      <c r="B250" s="3">
        <v>2017</v>
      </c>
      <c r="C250" s="3" t="s">
        <v>180</v>
      </c>
      <c r="D250" s="3">
        <v>2</v>
      </c>
      <c r="E250" s="36">
        <v>1000</v>
      </c>
      <c r="F250" s="3" t="s">
        <v>145</v>
      </c>
      <c r="G250" s="16">
        <v>9.9974399999999992</v>
      </c>
      <c r="H250" s="3">
        <v>351.7</v>
      </c>
      <c r="I250" s="3">
        <v>395.4</v>
      </c>
      <c r="J250" s="3">
        <f t="shared" si="99"/>
        <v>43.699999999999989</v>
      </c>
      <c r="K250" s="3">
        <f t="shared" si="100"/>
        <v>10.706499999999997</v>
      </c>
      <c r="L250" s="3"/>
      <c r="M250" s="3" t="s">
        <v>147</v>
      </c>
      <c r="N250" s="3">
        <f t="shared" si="101"/>
        <v>2.3792222222222219</v>
      </c>
      <c r="O250" s="3">
        <f t="shared" si="102"/>
        <v>9.5338833333333302</v>
      </c>
      <c r="P250" s="3"/>
      <c r="Q250" s="48">
        <f t="shared" si="94"/>
        <v>0</v>
      </c>
      <c r="R250" s="36">
        <f t="shared" si="95"/>
        <v>0</v>
      </c>
      <c r="S250" s="3"/>
      <c r="T250" s="3"/>
      <c r="U250" s="28"/>
      <c r="V250" s="28"/>
      <c r="W250" s="77"/>
      <c r="X250" s="77">
        <v>758</v>
      </c>
      <c r="Y250" s="77">
        <f t="shared" si="98"/>
        <v>79.505902631491566</v>
      </c>
      <c r="Z250" s="3"/>
      <c r="AA250" s="3"/>
      <c r="AB250" s="3"/>
    </row>
    <row r="251" spans="1:28" ht="15" customHeight="1">
      <c r="A251" s="13" t="s">
        <v>188</v>
      </c>
      <c r="B251" s="3">
        <v>2017</v>
      </c>
      <c r="C251" s="3" t="s">
        <v>180</v>
      </c>
      <c r="D251" s="3">
        <v>2</v>
      </c>
      <c r="E251" s="36">
        <v>250</v>
      </c>
      <c r="F251" s="3" t="s">
        <v>145</v>
      </c>
      <c r="G251" s="16">
        <v>9.9974399999999992</v>
      </c>
      <c r="H251" s="3">
        <v>3923.2</v>
      </c>
      <c r="I251" s="3">
        <v>3966.6</v>
      </c>
      <c r="J251" s="3">
        <f t="shared" si="99"/>
        <v>43.400000000000091</v>
      </c>
      <c r="K251" s="3">
        <f t="shared" si="100"/>
        <v>10.633000000000022</v>
      </c>
      <c r="L251" s="3"/>
      <c r="M251" s="3" t="s">
        <v>147</v>
      </c>
      <c r="N251" s="3">
        <f t="shared" si="101"/>
        <v>2.3628888888888939</v>
      </c>
      <c r="O251" s="3">
        <f t="shared" si="102"/>
        <v>9.468433333333353</v>
      </c>
      <c r="P251" s="3">
        <v>12168</v>
      </c>
      <c r="Q251" s="48">
        <f t="shared" si="94"/>
        <v>5149.6285150004596</v>
      </c>
      <c r="R251" s="36">
        <f t="shared" si="95"/>
        <v>5.1496285150004599</v>
      </c>
      <c r="S251" s="3"/>
      <c r="T251" s="3"/>
      <c r="U251" s="28"/>
      <c r="V251" s="28"/>
      <c r="W251" s="77"/>
      <c r="X251" s="77"/>
      <c r="Y251" s="77"/>
      <c r="Z251" s="3"/>
      <c r="AA251" s="3"/>
      <c r="AB251" s="3"/>
    </row>
    <row r="252" spans="1:28" ht="15" customHeight="1">
      <c r="A252" s="13" t="s">
        <v>188</v>
      </c>
      <c r="B252" s="3">
        <v>2017</v>
      </c>
      <c r="C252" s="3" t="s">
        <v>180</v>
      </c>
      <c r="D252" s="3">
        <v>4</v>
      </c>
      <c r="E252" s="36">
        <v>1000</v>
      </c>
      <c r="F252" s="3" t="s">
        <v>145</v>
      </c>
      <c r="G252" s="16">
        <v>6.0960000000000001</v>
      </c>
      <c r="H252" s="3">
        <v>309.10000000000002</v>
      </c>
      <c r="I252" s="3">
        <v>351.7</v>
      </c>
      <c r="J252" s="3">
        <f t="shared" si="99"/>
        <v>42.599999999999966</v>
      </c>
      <c r="K252" s="3">
        <f t="shared" si="100"/>
        <v>10.436999999999992</v>
      </c>
      <c r="L252" s="3"/>
      <c r="M252" s="3" t="s">
        <v>147</v>
      </c>
      <c r="N252" s="3">
        <f t="shared" si="101"/>
        <v>2.3193333333333315</v>
      </c>
      <c r="O252" s="3">
        <f t="shared" si="102"/>
        <v>9.2938999999999918</v>
      </c>
      <c r="P252" s="3"/>
      <c r="Q252" s="48">
        <f t="shared" si="94"/>
        <v>0</v>
      </c>
      <c r="R252" s="36">
        <f t="shared" si="95"/>
        <v>0</v>
      </c>
      <c r="S252" s="3"/>
      <c r="T252" s="3"/>
      <c r="U252" s="28"/>
      <c r="V252" s="28"/>
      <c r="W252" s="77"/>
      <c r="X252" s="77">
        <v>89</v>
      </c>
      <c r="Y252" s="77">
        <f t="shared" si="98"/>
        <v>9.5761736192556484</v>
      </c>
      <c r="Z252" s="3"/>
      <c r="AA252" s="3"/>
      <c r="AB252" s="3"/>
    </row>
    <row r="253" spans="1:28" ht="15" customHeight="1">
      <c r="A253" s="13" t="s">
        <v>188</v>
      </c>
      <c r="B253" s="3">
        <v>2017</v>
      </c>
      <c r="C253" s="3" t="s">
        <v>180</v>
      </c>
      <c r="D253" s="3">
        <v>4</v>
      </c>
      <c r="E253" s="36">
        <v>250</v>
      </c>
      <c r="F253" s="3" t="s">
        <v>145</v>
      </c>
      <c r="G253" s="16">
        <v>6.0960000000000001</v>
      </c>
      <c r="H253" s="3">
        <v>3874.7</v>
      </c>
      <c r="I253" s="3">
        <v>3923.1</v>
      </c>
      <c r="J253" s="3">
        <f t="shared" si="99"/>
        <v>48.400000000000091</v>
      </c>
      <c r="K253" s="3">
        <f t="shared" si="100"/>
        <v>11.858000000000022</v>
      </c>
      <c r="L253" s="3"/>
      <c r="M253" s="3" t="s">
        <v>147</v>
      </c>
      <c r="N253" s="3">
        <f t="shared" si="101"/>
        <v>2.6351111111111161</v>
      </c>
      <c r="O253" s="3">
        <f t="shared" si="102"/>
        <v>10.559266666666685</v>
      </c>
      <c r="P253" s="3">
        <v>14982.666666666666</v>
      </c>
      <c r="Q253" s="48">
        <f t="shared" si="94"/>
        <v>5685.7817507168047</v>
      </c>
      <c r="R253" s="36">
        <f t="shared" si="95"/>
        <v>5.6857817507168047</v>
      </c>
      <c r="S253" s="3"/>
      <c r="T253" s="3"/>
      <c r="U253" s="28"/>
      <c r="V253" s="28"/>
      <c r="W253" s="77"/>
      <c r="X253" s="77"/>
      <c r="Y253" s="77"/>
      <c r="Z253" s="3"/>
      <c r="AA253" s="3"/>
      <c r="AB253" s="3"/>
    </row>
    <row r="254" spans="1:28" ht="15" customHeight="1">
      <c r="A254" s="13" t="s">
        <v>188</v>
      </c>
      <c r="B254" s="3">
        <v>2017</v>
      </c>
      <c r="C254" s="3" t="s">
        <v>180</v>
      </c>
      <c r="D254" s="3">
        <v>5</v>
      </c>
      <c r="E254" s="36">
        <v>1000</v>
      </c>
      <c r="F254" s="3" t="s">
        <v>145</v>
      </c>
      <c r="G254" s="16">
        <v>10.972799999999999</v>
      </c>
      <c r="H254" s="3">
        <v>271</v>
      </c>
      <c r="I254" s="3">
        <v>309.10000000000002</v>
      </c>
      <c r="J254" s="3">
        <f t="shared" si="99"/>
        <v>38.100000000000023</v>
      </c>
      <c r="K254" s="3">
        <f t="shared" si="100"/>
        <v>9.3345000000000056</v>
      </c>
      <c r="L254" s="3"/>
      <c r="M254" s="3" t="s">
        <v>147</v>
      </c>
      <c r="N254" s="3">
        <f t="shared" si="101"/>
        <v>2.0743333333333345</v>
      </c>
      <c r="O254" s="3">
        <f t="shared" si="102"/>
        <v>8.3121500000000044</v>
      </c>
      <c r="P254" s="3"/>
      <c r="Q254" s="48">
        <f t="shared" si="94"/>
        <v>0</v>
      </c>
      <c r="R254" s="36">
        <f t="shared" si="95"/>
        <v>0</v>
      </c>
      <c r="S254" s="3"/>
      <c r="T254" s="3"/>
      <c r="U254" s="28"/>
      <c r="V254" s="28"/>
      <c r="W254" s="77"/>
      <c r="X254" s="77">
        <v>37</v>
      </c>
      <c r="Y254" s="77">
        <f t="shared" si="98"/>
        <v>4.4513152433485894</v>
      </c>
      <c r="Z254" s="3"/>
      <c r="AA254" s="3"/>
      <c r="AB254" s="3"/>
    </row>
    <row r="255" spans="1:28" ht="15" customHeight="1">
      <c r="A255" s="13" t="s">
        <v>188</v>
      </c>
      <c r="B255" s="3">
        <v>2017</v>
      </c>
      <c r="C255" s="3" t="s">
        <v>180</v>
      </c>
      <c r="D255" s="3">
        <v>5</v>
      </c>
      <c r="E255" s="36">
        <v>250</v>
      </c>
      <c r="F255" s="3" t="s">
        <v>145</v>
      </c>
      <c r="G255" s="16">
        <v>10.972799999999999</v>
      </c>
      <c r="H255" s="3">
        <v>3820.7</v>
      </c>
      <c r="I255" s="3">
        <v>3874.7</v>
      </c>
      <c r="J255" s="3">
        <f t="shared" si="99"/>
        <v>54</v>
      </c>
      <c r="K255" s="3">
        <f t="shared" si="100"/>
        <v>13.23</v>
      </c>
      <c r="L255" s="3"/>
      <c r="M255" s="3" t="s">
        <v>147</v>
      </c>
      <c r="N255" s="3">
        <f t="shared" si="101"/>
        <v>2.94</v>
      </c>
      <c r="O255" s="3">
        <f t="shared" si="102"/>
        <v>11.781000000000001</v>
      </c>
      <c r="P255" s="3">
        <v>9213.75</v>
      </c>
      <c r="Q255" s="48">
        <f t="shared" si="94"/>
        <v>3133.9285714285716</v>
      </c>
      <c r="R255" s="36">
        <f t="shared" si="95"/>
        <v>3.1339285714285716</v>
      </c>
      <c r="S255" s="3"/>
      <c r="T255" s="3"/>
      <c r="U255" s="28"/>
      <c r="V255" s="28"/>
      <c r="W255" s="77"/>
      <c r="X255" s="77"/>
      <c r="Y255" s="77"/>
      <c r="Z255" s="3"/>
      <c r="AA255" s="3"/>
      <c r="AB255" s="3"/>
    </row>
    <row r="256" spans="1:28" ht="15" customHeight="1">
      <c r="A256" s="13" t="s">
        <v>188</v>
      </c>
      <c r="B256" s="3">
        <v>2017</v>
      </c>
      <c r="C256" s="3" t="s">
        <v>180</v>
      </c>
      <c r="D256" s="3">
        <v>8</v>
      </c>
      <c r="E256" s="36">
        <v>1000</v>
      </c>
      <c r="F256" s="3" t="s">
        <v>145</v>
      </c>
      <c r="G256" s="16">
        <v>13.868399999999999</v>
      </c>
      <c r="H256" s="3">
        <v>217.8</v>
      </c>
      <c r="I256" s="3">
        <v>271</v>
      </c>
      <c r="J256" s="3">
        <f t="shared" si="99"/>
        <v>53.199999999999989</v>
      </c>
      <c r="K256" s="3">
        <f t="shared" si="100"/>
        <v>13.033999999999997</v>
      </c>
      <c r="L256" s="3"/>
      <c r="M256" s="3" t="s">
        <v>147</v>
      </c>
      <c r="N256" s="3">
        <f t="shared" si="101"/>
        <v>2.8964444444444442</v>
      </c>
      <c r="O256" s="3">
        <f t="shared" si="102"/>
        <v>11.606466666666664</v>
      </c>
      <c r="P256" s="3"/>
      <c r="Q256" s="48">
        <f t="shared" si="94"/>
        <v>0</v>
      </c>
      <c r="R256" s="36">
        <f t="shared" si="95"/>
        <v>0</v>
      </c>
      <c r="S256" s="3"/>
      <c r="T256" s="3"/>
      <c r="U256" s="28"/>
      <c r="V256" s="28"/>
      <c r="W256" s="77"/>
      <c r="X256" s="77">
        <v>33</v>
      </c>
      <c r="Y256" s="77">
        <f t="shared" si="98"/>
        <v>2.843242560181968</v>
      </c>
      <c r="Z256" s="3"/>
      <c r="AA256" s="3"/>
      <c r="AB256" s="3"/>
    </row>
    <row r="257" spans="1:28" ht="15" customHeight="1">
      <c r="A257" s="13" t="s">
        <v>188</v>
      </c>
      <c r="B257" s="3">
        <v>2017</v>
      </c>
      <c r="C257" s="3" t="s">
        <v>180</v>
      </c>
      <c r="D257" s="3">
        <v>8</v>
      </c>
      <c r="E257" s="36">
        <v>250</v>
      </c>
      <c r="F257" s="3" t="s">
        <v>145</v>
      </c>
      <c r="G257" s="16">
        <v>13.868399999999999</v>
      </c>
      <c r="H257" s="3">
        <v>3767.6</v>
      </c>
      <c r="I257" s="3">
        <v>3820.7</v>
      </c>
      <c r="J257" s="3">
        <f t="shared" si="99"/>
        <v>53.099999999999909</v>
      </c>
      <c r="K257" s="3">
        <f t="shared" si="100"/>
        <v>13.009499999999978</v>
      </c>
      <c r="L257" s="3"/>
      <c r="M257" s="3" t="s">
        <v>147</v>
      </c>
      <c r="N257" s="3">
        <f t="shared" si="101"/>
        <v>2.8909999999999951</v>
      </c>
      <c r="O257" s="3">
        <f t="shared" si="102"/>
        <v>11.58464999999998</v>
      </c>
      <c r="P257" s="3">
        <v>5296.666666666667</v>
      </c>
      <c r="Q257" s="48">
        <f t="shared" si="94"/>
        <v>1832.12267958031</v>
      </c>
      <c r="R257" s="36">
        <f t="shared" si="95"/>
        <v>1.8321226795803101</v>
      </c>
      <c r="S257" s="3"/>
      <c r="T257" s="3"/>
      <c r="U257" s="28"/>
      <c r="V257" s="28"/>
      <c r="W257" s="77"/>
      <c r="X257" s="77"/>
      <c r="Y257" s="77"/>
      <c r="Z257" s="3"/>
      <c r="AA257" s="3"/>
      <c r="AB257" s="3"/>
    </row>
    <row r="258" spans="1:28" ht="15" customHeight="1">
      <c r="A258" s="21" t="s">
        <v>189</v>
      </c>
      <c r="B258" s="3">
        <v>2017</v>
      </c>
      <c r="C258" s="3" t="s">
        <v>181</v>
      </c>
      <c r="D258" s="3">
        <v>2</v>
      </c>
      <c r="E258" s="3">
        <v>1000</v>
      </c>
      <c r="F258" s="3" t="s">
        <v>145</v>
      </c>
      <c r="G258" s="16">
        <v>10.515599999999999</v>
      </c>
      <c r="H258" s="3">
        <v>523.79999999999995</v>
      </c>
      <c r="I258" s="3">
        <v>589</v>
      </c>
      <c r="J258" s="3">
        <f t="shared" si="99"/>
        <v>65.200000000000045</v>
      </c>
      <c r="K258" s="3">
        <f t="shared" si="100"/>
        <v>15.974000000000011</v>
      </c>
      <c r="L258" s="3"/>
      <c r="M258" s="17" t="s">
        <v>147</v>
      </c>
      <c r="N258" s="3">
        <f t="shared" si="101"/>
        <v>3.5497777777777806</v>
      </c>
      <c r="O258" s="3">
        <f t="shared" si="102"/>
        <v>14.224466666666677</v>
      </c>
      <c r="P258" s="3"/>
      <c r="Q258" s="48">
        <f t="shared" ref="Q258:Q265" si="105">P258/N258</f>
        <v>0</v>
      </c>
      <c r="R258" s="36">
        <f t="shared" ref="R258:R265" si="106">Q258/1000</f>
        <v>0</v>
      </c>
      <c r="S258" s="3"/>
      <c r="T258" s="3"/>
      <c r="U258" s="28"/>
      <c r="V258" s="28"/>
      <c r="W258" s="77"/>
      <c r="X258" s="77">
        <v>317</v>
      </c>
      <c r="Y258" s="77">
        <f t="shared" si="98"/>
        <v>22.285545562340928</v>
      </c>
      <c r="Z258" s="3"/>
      <c r="AA258" s="3"/>
      <c r="AB258" s="3" t="s">
        <v>704</v>
      </c>
    </row>
    <row r="259" spans="1:28" ht="15" customHeight="1">
      <c r="A259" s="21" t="s">
        <v>189</v>
      </c>
      <c r="B259" s="3">
        <v>2017</v>
      </c>
      <c r="C259" s="3" t="s">
        <v>159</v>
      </c>
      <c r="D259" s="3">
        <v>2</v>
      </c>
      <c r="E259" s="3">
        <v>250</v>
      </c>
      <c r="F259" s="3" t="s">
        <v>145</v>
      </c>
      <c r="G259" s="16">
        <v>10.515599999999999</v>
      </c>
      <c r="H259" s="3">
        <v>4080.7</v>
      </c>
      <c r="I259" s="3">
        <v>4122</v>
      </c>
      <c r="J259" s="3">
        <f t="shared" si="99"/>
        <v>41.300000000000182</v>
      </c>
      <c r="K259" s="3">
        <f t="shared" si="100"/>
        <v>10.118500000000044</v>
      </c>
      <c r="L259" s="3"/>
      <c r="M259" s="17" t="s">
        <v>147</v>
      </c>
      <c r="N259" s="3">
        <f t="shared" si="101"/>
        <v>2.2485555555555656</v>
      </c>
      <c r="O259" s="3">
        <f t="shared" si="102"/>
        <v>9.0102833333333727</v>
      </c>
      <c r="P259" s="3">
        <v>4642.5249999999996</v>
      </c>
      <c r="Q259" s="48">
        <f t="shared" si="105"/>
        <v>2064.6699115481451</v>
      </c>
      <c r="R259" s="36">
        <f t="shared" si="106"/>
        <v>2.0646699115481453</v>
      </c>
      <c r="S259" s="3"/>
      <c r="T259" s="3"/>
      <c r="U259" s="28"/>
      <c r="V259" s="28"/>
      <c r="W259" s="77"/>
      <c r="X259" s="77"/>
      <c r="Y259" s="77"/>
      <c r="Z259" s="3"/>
      <c r="AA259" s="3"/>
      <c r="AB259" s="3"/>
    </row>
    <row r="260" spans="1:28" ht="15" customHeight="1">
      <c r="A260" s="21" t="s">
        <v>189</v>
      </c>
      <c r="B260" s="3">
        <v>2017</v>
      </c>
      <c r="C260" s="3" t="s">
        <v>159</v>
      </c>
      <c r="D260" s="3">
        <v>8</v>
      </c>
      <c r="E260" s="3">
        <v>1000</v>
      </c>
      <c r="F260" s="3" t="s">
        <v>145</v>
      </c>
      <c r="G260" s="16">
        <v>9.7536000000000005</v>
      </c>
      <c r="H260" s="3">
        <v>395.7</v>
      </c>
      <c r="I260" s="3">
        <v>433.1</v>
      </c>
      <c r="J260" s="3">
        <f t="shared" si="99"/>
        <v>37.400000000000034</v>
      </c>
      <c r="K260" s="3">
        <f t="shared" si="100"/>
        <v>9.1630000000000074</v>
      </c>
      <c r="L260" s="3"/>
      <c r="M260" s="17" t="s">
        <v>147</v>
      </c>
      <c r="N260" s="3">
        <f t="shared" si="101"/>
        <v>2.0362222222222242</v>
      </c>
      <c r="O260" s="3">
        <f t="shared" si="102"/>
        <v>8.1594333333333413</v>
      </c>
      <c r="P260" s="3"/>
      <c r="Q260" s="48">
        <f t="shared" si="105"/>
        <v>0</v>
      </c>
      <c r="R260" s="36">
        <f t="shared" si="106"/>
        <v>0</v>
      </c>
      <c r="S260" s="3"/>
      <c r="T260" s="3"/>
      <c r="U260" s="28"/>
      <c r="V260" s="28"/>
      <c r="W260" s="77"/>
      <c r="X260" s="77">
        <v>313</v>
      </c>
      <c r="Y260" s="77">
        <f t="shared" si="98"/>
        <v>38.360507061356344</v>
      </c>
      <c r="Z260" s="3"/>
      <c r="AA260" s="3"/>
      <c r="AB260" s="3"/>
    </row>
    <row r="261" spans="1:28" ht="15" customHeight="1">
      <c r="A261" s="21" t="s">
        <v>189</v>
      </c>
      <c r="B261" s="3">
        <v>2017</v>
      </c>
      <c r="C261" s="3" t="s">
        <v>159</v>
      </c>
      <c r="D261" s="3">
        <v>8</v>
      </c>
      <c r="E261" s="3">
        <v>250</v>
      </c>
      <c r="F261" s="3" t="s">
        <v>145</v>
      </c>
      <c r="G261" s="16">
        <v>9.7536000000000005</v>
      </c>
      <c r="H261" s="3">
        <v>3967.1</v>
      </c>
      <c r="I261" s="3">
        <v>4009.1</v>
      </c>
      <c r="J261" s="3">
        <f t="shared" si="99"/>
        <v>42</v>
      </c>
      <c r="K261" s="3">
        <f t="shared" si="100"/>
        <v>10.29</v>
      </c>
      <c r="L261" s="3"/>
      <c r="M261" s="17" t="s">
        <v>147</v>
      </c>
      <c r="N261" s="3">
        <f t="shared" si="101"/>
        <v>2.2866666666666666</v>
      </c>
      <c r="O261" s="3">
        <f t="shared" si="102"/>
        <v>9.1630000000000003</v>
      </c>
      <c r="P261" s="3">
        <v>2149.875</v>
      </c>
      <c r="Q261" s="48">
        <f t="shared" si="105"/>
        <v>940.17857142857144</v>
      </c>
      <c r="R261" s="36">
        <f t="shared" si="106"/>
        <v>0.94017857142857142</v>
      </c>
      <c r="S261" s="3"/>
      <c r="T261" s="3"/>
      <c r="U261" s="28"/>
      <c r="V261" s="28"/>
      <c r="W261" s="77"/>
      <c r="X261" s="77"/>
      <c r="Y261" s="77"/>
      <c r="Z261" s="3"/>
      <c r="AA261" s="3"/>
      <c r="AB261" s="3"/>
    </row>
    <row r="262" spans="1:28" ht="15" customHeight="1">
      <c r="A262" s="21" t="s">
        <v>189</v>
      </c>
      <c r="B262" s="3">
        <v>2017</v>
      </c>
      <c r="C262" s="3" t="s">
        <v>159</v>
      </c>
      <c r="D262" s="3">
        <v>5</v>
      </c>
      <c r="E262" s="3">
        <v>1000</v>
      </c>
      <c r="F262" s="3" t="s">
        <v>145</v>
      </c>
      <c r="G262" s="16">
        <v>14.9352</v>
      </c>
      <c r="H262" s="3">
        <v>433.3</v>
      </c>
      <c r="I262" s="3">
        <v>483.1</v>
      </c>
      <c r="J262" s="3">
        <f t="shared" si="99"/>
        <v>49.800000000000011</v>
      </c>
      <c r="K262" s="3">
        <f t="shared" si="100"/>
        <v>12.201000000000002</v>
      </c>
      <c r="L262" s="3"/>
      <c r="M262" s="17" t="s">
        <v>147</v>
      </c>
      <c r="N262" s="3">
        <f t="shared" si="101"/>
        <v>2.711333333333334</v>
      </c>
      <c r="O262" s="3">
        <f t="shared" si="102"/>
        <v>10.864700000000001</v>
      </c>
      <c r="P262" s="3"/>
      <c r="Q262" s="48">
        <f t="shared" si="105"/>
        <v>0</v>
      </c>
      <c r="R262" s="36">
        <f t="shared" si="106"/>
        <v>0</v>
      </c>
      <c r="S262" s="3"/>
      <c r="T262" s="3"/>
      <c r="U262" s="28"/>
      <c r="V262" s="28"/>
      <c r="W262" s="77"/>
      <c r="X262" s="77">
        <v>3</v>
      </c>
      <c r="Y262" s="77">
        <f t="shared" ref="Y262:Y264" si="107">(X262/O262)</f>
        <v>0.27612359292019106</v>
      </c>
      <c r="Z262" s="3"/>
      <c r="AA262" s="3"/>
      <c r="AB262" s="3"/>
    </row>
    <row r="263" spans="1:28" ht="15" customHeight="1">
      <c r="A263" s="21" t="s">
        <v>189</v>
      </c>
      <c r="B263" s="3">
        <v>2017</v>
      </c>
      <c r="C263" s="3" t="s">
        <v>159</v>
      </c>
      <c r="D263" s="3">
        <v>5</v>
      </c>
      <c r="E263" s="3">
        <v>250</v>
      </c>
      <c r="F263" s="3" t="s">
        <v>145</v>
      </c>
      <c r="G263" s="16">
        <v>14.9352</v>
      </c>
      <c r="H263" s="3">
        <v>4009.1</v>
      </c>
      <c r="I263" s="3">
        <v>4054</v>
      </c>
      <c r="J263" s="3">
        <f t="shared" si="99"/>
        <v>44.900000000000091</v>
      </c>
      <c r="K263" s="3">
        <f t="shared" si="100"/>
        <v>11.000500000000022</v>
      </c>
      <c r="L263" s="3"/>
      <c r="M263" s="17" t="s">
        <v>147</v>
      </c>
      <c r="N263" s="3">
        <f t="shared" si="101"/>
        <v>2.4445555555555605</v>
      </c>
      <c r="O263" s="3">
        <f t="shared" si="102"/>
        <v>9.7956833333333524</v>
      </c>
      <c r="P263" s="3">
        <v>3043.6499999999996</v>
      </c>
      <c r="Q263" s="48">
        <f t="shared" si="105"/>
        <v>1245.072951229487</v>
      </c>
      <c r="R263" s="36">
        <f t="shared" si="106"/>
        <v>1.2450729512294869</v>
      </c>
      <c r="S263" s="3"/>
      <c r="T263" s="3"/>
      <c r="U263" s="28"/>
      <c r="V263" s="28"/>
      <c r="W263" s="77"/>
      <c r="X263" s="77"/>
      <c r="Y263" s="77"/>
      <c r="Z263" s="3"/>
      <c r="AA263" s="3"/>
      <c r="AB263" s="3"/>
    </row>
    <row r="264" spans="1:28" ht="15" customHeight="1">
      <c r="A264" s="21" t="s">
        <v>189</v>
      </c>
      <c r="B264" s="3">
        <v>2017</v>
      </c>
      <c r="C264" s="3" t="s">
        <v>159</v>
      </c>
      <c r="D264" s="3">
        <v>4</v>
      </c>
      <c r="E264" s="3">
        <v>1000</v>
      </c>
      <c r="F264" s="3" t="s">
        <v>145</v>
      </c>
      <c r="G264" s="16">
        <v>6.7360800000000003</v>
      </c>
      <c r="H264" s="3">
        <v>483.4</v>
      </c>
      <c r="I264" s="3">
        <v>522.29999999999995</v>
      </c>
      <c r="J264" s="3">
        <f t="shared" si="99"/>
        <v>38.899999999999977</v>
      </c>
      <c r="K264" s="3">
        <f t="shared" si="100"/>
        <v>9.5304999999999946</v>
      </c>
      <c r="L264" s="3"/>
      <c r="M264" s="17" t="s">
        <v>147</v>
      </c>
      <c r="N264" s="3">
        <f t="shared" si="101"/>
        <v>2.1178888888888876</v>
      </c>
      <c r="O264" s="3">
        <f t="shared" si="102"/>
        <v>8.4866833333333282</v>
      </c>
      <c r="P264" s="3"/>
      <c r="Q264" s="48">
        <f t="shared" si="105"/>
        <v>0</v>
      </c>
      <c r="R264" s="36">
        <f t="shared" si="106"/>
        <v>0</v>
      </c>
      <c r="S264" s="3"/>
      <c r="T264" s="3"/>
      <c r="U264" s="28"/>
      <c r="V264" s="28"/>
      <c r="W264" s="77"/>
      <c r="X264" s="77">
        <v>214</v>
      </c>
      <c r="Y264" s="77">
        <f t="shared" si="107"/>
        <v>25.215975616701474</v>
      </c>
      <c r="Z264" s="3"/>
      <c r="AA264" s="3"/>
      <c r="AB264" s="3"/>
    </row>
    <row r="265" spans="1:28" ht="15" customHeight="1">
      <c r="A265" s="21" t="s">
        <v>189</v>
      </c>
      <c r="B265" s="3">
        <v>2017</v>
      </c>
      <c r="C265" s="3" t="s">
        <v>159</v>
      </c>
      <c r="D265" s="3">
        <v>4</v>
      </c>
      <c r="E265" s="3">
        <v>250</v>
      </c>
      <c r="F265" s="3" t="s">
        <v>145</v>
      </c>
      <c r="G265" s="16">
        <v>6.7360800000000003</v>
      </c>
      <c r="H265" s="3">
        <v>4054</v>
      </c>
      <c r="I265" s="3">
        <v>4080.6</v>
      </c>
      <c r="J265" s="3">
        <f t="shared" si="99"/>
        <v>26.599999999999909</v>
      </c>
      <c r="K265" s="3">
        <f t="shared" si="100"/>
        <v>6.5169999999999773</v>
      </c>
      <c r="L265" s="3"/>
      <c r="M265" s="17" t="s">
        <v>147</v>
      </c>
      <c r="N265" s="3">
        <f t="shared" si="101"/>
        <v>1.4482222222222174</v>
      </c>
      <c r="O265" s="3">
        <f t="shared" si="102"/>
        <v>5.8032333333333135</v>
      </c>
      <c r="P265" s="3">
        <v>2670.8250000000003</v>
      </c>
      <c r="Q265" s="48">
        <f t="shared" si="105"/>
        <v>1844.2093754795214</v>
      </c>
      <c r="R265" s="36">
        <f t="shared" si="106"/>
        <v>1.8442093754795215</v>
      </c>
      <c r="S265" s="3"/>
      <c r="T265" s="3"/>
      <c r="U265" s="28"/>
      <c r="V265" s="28"/>
      <c r="W265" s="77"/>
      <c r="X265" s="77"/>
      <c r="Y265" s="77"/>
      <c r="Z265" s="3"/>
      <c r="AA265" s="3"/>
      <c r="AB265" s="3"/>
    </row>
    <row r="266" spans="1:28" ht="14">
      <c r="A266" s="3"/>
      <c r="B266" s="3"/>
      <c r="C266" s="3"/>
      <c r="D266" s="3"/>
      <c r="E266" s="3"/>
      <c r="F266" s="3"/>
      <c r="G266" s="3"/>
      <c r="H266" s="3"/>
      <c r="I266" s="3"/>
      <c r="J266" s="3"/>
      <c r="K266" s="3"/>
      <c r="L266" s="3"/>
      <c r="M266" s="3"/>
      <c r="N266" s="3"/>
      <c r="O266" s="3"/>
      <c r="P266" s="3"/>
      <c r="Q266" s="48"/>
      <c r="R266" s="3"/>
      <c r="S266" s="3"/>
      <c r="T266" s="3"/>
      <c r="U266" s="28"/>
      <c r="V266" s="28"/>
      <c r="W266" s="77"/>
      <c r="X266" s="77"/>
      <c r="Y266" s="77"/>
      <c r="Z266" s="3"/>
      <c r="AA266" s="3"/>
      <c r="AB266" s="3"/>
    </row>
    <row r="267" spans="1:28" ht="14">
      <c r="A267" s="3"/>
      <c r="B267" s="3"/>
      <c r="C267" s="3"/>
      <c r="D267" s="3"/>
      <c r="E267" s="3"/>
      <c r="F267" s="3"/>
      <c r="G267" s="3"/>
      <c r="H267" s="3"/>
      <c r="I267" s="3"/>
      <c r="J267" s="3"/>
      <c r="K267" s="3"/>
      <c r="L267" s="3"/>
      <c r="M267" s="3"/>
      <c r="N267" s="3"/>
      <c r="O267" s="3"/>
      <c r="P267" s="3"/>
      <c r="Q267" s="48"/>
      <c r="R267" s="3"/>
      <c r="S267" s="3"/>
      <c r="T267" s="3"/>
      <c r="U267" s="28"/>
      <c r="V267" s="28"/>
      <c r="W267" s="77"/>
      <c r="X267" s="77"/>
      <c r="Y267" s="77"/>
      <c r="Z267" s="3"/>
      <c r="AA267" s="3"/>
      <c r="AB267" s="3"/>
    </row>
    <row r="268" spans="1:28" ht="14">
      <c r="A268" s="3"/>
      <c r="B268" s="3"/>
      <c r="C268" s="3"/>
      <c r="D268" s="3"/>
      <c r="E268" s="3"/>
      <c r="F268" s="3"/>
      <c r="G268" s="3"/>
      <c r="H268" s="3"/>
      <c r="I268" s="3"/>
      <c r="J268" s="3"/>
      <c r="K268" s="3"/>
      <c r="L268" s="3"/>
      <c r="M268" s="3"/>
      <c r="N268" s="3"/>
      <c r="O268" s="3"/>
      <c r="P268" s="3"/>
      <c r="Q268" s="48"/>
      <c r="R268" s="3"/>
      <c r="S268" s="3"/>
      <c r="T268" s="3"/>
      <c r="U268" s="28"/>
      <c r="V268" s="28"/>
      <c r="W268" s="77"/>
      <c r="X268" s="77"/>
      <c r="Y268" s="77"/>
      <c r="Z268" s="3"/>
      <c r="AA268" s="3"/>
      <c r="AB268" s="3"/>
    </row>
    <row r="269" spans="1:28" ht="14">
      <c r="A269" s="3"/>
      <c r="B269" s="3"/>
      <c r="C269" s="3"/>
      <c r="D269" s="3"/>
      <c r="E269" s="3"/>
      <c r="F269" s="3"/>
      <c r="G269" s="3"/>
      <c r="H269" s="3"/>
      <c r="I269" s="3"/>
      <c r="J269" s="3"/>
      <c r="K269" s="3"/>
      <c r="L269" s="3"/>
      <c r="M269" s="3"/>
      <c r="N269" s="3"/>
      <c r="O269" s="3"/>
      <c r="P269" s="3"/>
      <c r="Q269" s="48"/>
      <c r="R269" s="3"/>
      <c r="S269" s="3"/>
      <c r="T269" s="3"/>
      <c r="U269" s="28"/>
      <c r="V269" s="28"/>
      <c r="W269" s="77"/>
      <c r="X269" s="77"/>
      <c r="Y269" s="77"/>
      <c r="Z269" s="3"/>
      <c r="AA269" s="3"/>
      <c r="AB269" s="3"/>
    </row>
    <row r="270" spans="1:28" ht="14">
      <c r="A270" s="3"/>
      <c r="B270" s="3"/>
      <c r="C270" s="3"/>
      <c r="D270" s="3"/>
      <c r="E270" s="3"/>
      <c r="F270" s="3"/>
      <c r="G270" s="3"/>
      <c r="H270" s="3"/>
      <c r="I270" s="3"/>
      <c r="J270" s="3"/>
      <c r="K270" s="3"/>
      <c r="L270" s="3"/>
      <c r="M270" s="3"/>
      <c r="N270" s="3"/>
      <c r="O270" s="3"/>
      <c r="P270" s="3"/>
      <c r="Q270" s="48"/>
      <c r="R270" s="3"/>
      <c r="S270" s="3"/>
      <c r="T270" s="3"/>
      <c r="U270" s="28"/>
      <c r="V270" s="28"/>
      <c r="W270" s="77"/>
      <c r="X270" s="77"/>
      <c r="Y270" s="77"/>
      <c r="Z270" s="3"/>
      <c r="AA270" s="3"/>
      <c r="AB270" s="3"/>
    </row>
    <row r="271" spans="1:28" ht="14">
      <c r="A271" s="3"/>
      <c r="B271" s="3"/>
      <c r="C271" s="3"/>
      <c r="D271" s="3"/>
      <c r="E271" s="3"/>
      <c r="F271" s="3"/>
      <c r="G271" s="3"/>
      <c r="H271" s="3"/>
      <c r="I271" s="3"/>
      <c r="J271" s="3"/>
      <c r="K271" s="3"/>
      <c r="L271" s="3"/>
      <c r="M271" s="3"/>
      <c r="N271" s="3"/>
      <c r="O271" s="3"/>
      <c r="P271" s="3"/>
      <c r="Q271" s="48"/>
      <c r="R271" s="3"/>
      <c r="S271" s="3"/>
      <c r="T271" s="3"/>
      <c r="U271" s="28"/>
      <c r="V271" s="28"/>
      <c r="W271" s="77"/>
      <c r="X271" s="77"/>
      <c r="Y271" s="77"/>
      <c r="Z271" s="3"/>
      <c r="AA271" s="3"/>
      <c r="AB271" s="3"/>
    </row>
    <row r="272" spans="1:28" ht="14">
      <c r="A272" s="3"/>
      <c r="B272" s="3"/>
      <c r="C272" s="3"/>
      <c r="D272" s="3"/>
      <c r="E272" s="3"/>
      <c r="F272" s="3"/>
      <c r="G272" s="3"/>
      <c r="H272" s="3"/>
      <c r="I272" s="3"/>
      <c r="J272" s="3"/>
      <c r="K272" s="3"/>
      <c r="L272" s="3"/>
      <c r="M272" s="3"/>
      <c r="N272" s="3"/>
      <c r="O272" s="3"/>
      <c r="P272" s="3"/>
      <c r="Q272" s="48"/>
      <c r="R272" s="3"/>
      <c r="S272" s="3"/>
      <c r="T272" s="3"/>
      <c r="U272" s="28"/>
      <c r="V272" s="28"/>
      <c r="W272" s="77"/>
      <c r="X272" s="77"/>
      <c r="Y272" s="77"/>
      <c r="Z272" s="3"/>
      <c r="AA272" s="3"/>
      <c r="AB272" s="3"/>
    </row>
    <row r="273" spans="1:28" ht="14">
      <c r="A273" s="3"/>
      <c r="B273" s="3"/>
      <c r="C273" s="3"/>
      <c r="D273" s="3"/>
      <c r="E273" s="3"/>
      <c r="F273" s="3"/>
      <c r="G273" s="3"/>
      <c r="H273" s="3"/>
      <c r="I273" s="3"/>
      <c r="J273" s="3"/>
      <c r="K273" s="3"/>
      <c r="L273" s="3"/>
      <c r="M273" s="3"/>
      <c r="N273" s="3"/>
      <c r="O273" s="3"/>
      <c r="P273" s="3"/>
      <c r="Q273" s="48"/>
      <c r="R273" s="3"/>
      <c r="S273" s="3"/>
      <c r="T273" s="3"/>
      <c r="U273" s="28"/>
      <c r="V273" s="28"/>
      <c r="W273" s="77"/>
      <c r="X273" s="77"/>
      <c r="Y273" s="77"/>
      <c r="Z273" s="3"/>
      <c r="AA273" s="3"/>
      <c r="AB273" s="3"/>
    </row>
    <row r="274" spans="1:28" ht="14">
      <c r="A274" s="3"/>
      <c r="B274" s="3"/>
      <c r="C274" s="3"/>
      <c r="D274" s="3"/>
      <c r="E274" s="3"/>
      <c r="F274" s="3"/>
      <c r="G274" s="3"/>
      <c r="H274" s="3"/>
      <c r="I274" s="3"/>
      <c r="J274" s="3"/>
      <c r="K274" s="3"/>
      <c r="L274" s="3"/>
      <c r="M274" s="3"/>
      <c r="N274" s="3"/>
      <c r="O274" s="3"/>
      <c r="P274" s="3"/>
      <c r="Q274" s="48"/>
      <c r="R274" s="3"/>
      <c r="S274" s="3"/>
      <c r="T274" s="3"/>
      <c r="U274" s="28"/>
      <c r="V274" s="28"/>
      <c r="W274" s="77"/>
      <c r="X274" s="77"/>
      <c r="Y274" s="77"/>
      <c r="Z274" s="3"/>
      <c r="AA274" s="3"/>
      <c r="AB274" s="3"/>
    </row>
    <row r="275" spans="1:28" ht="14">
      <c r="A275" s="3"/>
      <c r="B275" s="3"/>
      <c r="C275" s="3"/>
      <c r="D275" s="3"/>
      <c r="E275" s="3"/>
      <c r="F275" s="3"/>
      <c r="G275" s="3"/>
      <c r="H275" s="3"/>
      <c r="I275" s="3"/>
      <c r="J275" s="3"/>
      <c r="K275" s="3"/>
      <c r="L275" s="3"/>
      <c r="M275" s="3"/>
      <c r="N275" s="3"/>
      <c r="O275" s="3"/>
      <c r="P275" s="3"/>
      <c r="Q275" s="48"/>
      <c r="R275" s="3"/>
      <c r="S275" s="3"/>
      <c r="T275" s="3"/>
      <c r="U275" s="28"/>
      <c r="V275" s="28"/>
      <c r="W275" s="77"/>
      <c r="X275" s="77"/>
      <c r="Y275" s="77"/>
      <c r="Z275" s="3"/>
      <c r="AA275" s="3"/>
      <c r="AB275" s="3"/>
    </row>
    <row r="276" spans="1:28" ht="14">
      <c r="A276" s="3"/>
      <c r="B276" s="3"/>
      <c r="C276" s="3"/>
      <c r="D276" s="3"/>
      <c r="E276" s="3"/>
      <c r="F276" s="3"/>
      <c r="G276" s="3"/>
      <c r="H276" s="3"/>
      <c r="I276" s="3"/>
      <c r="J276" s="3"/>
      <c r="K276" s="3"/>
      <c r="L276" s="3"/>
      <c r="M276" s="3"/>
      <c r="N276" s="3"/>
      <c r="O276" s="3"/>
      <c r="P276" s="3"/>
      <c r="Q276" s="48"/>
      <c r="R276" s="3"/>
      <c r="S276" s="3"/>
      <c r="T276" s="3"/>
      <c r="U276" s="28"/>
      <c r="V276" s="28"/>
      <c r="W276" s="77"/>
      <c r="X276" s="77"/>
      <c r="Y276" s="77"/>
      <c r="Z276" s="3"/>
      <c r="AA276" s="3"/>
      <c r="AB276" s="3"/>
    </row>
    <row r="277" spans="1:28" ht="14">
      <c r="A277" s="3"/>
      <c r="B277" s="3"/>
      <c r="C277" s="3"/>
      <c r="D277" s="3"/>
      <c r="E277" s="3"/>
      <c r="F277" s="3"/>
      <c r="G277" s="3"/>
      <c r="H277" s="3"/>
      <c r="I277" s="3"/>
      <c r="J277" s="3"/>
      <c r="K277" s="3"/>
      <c r="L277" s="3"/>
      <c r="M277" s="3"/>
      <c r="N277" s="3"/>
      <c r="O277" s="3"/>
      <c r="P277" s="3"/>
      <c r="Q277" s="48"/>
      <c r="R277" s="3"/>
      <c r="S277" s="3"/>
      <c r="T277" s="3"/>
      <c r="U277" s="28"/>
      <c r="V277" s="28"/>
      <c r="W277" s="77"/>
      <c r="X277" s="77"/>
      <c r="Y277" s="77"/>
      <c r="Z277" s="3"/>
      <c r="AA277" s="3"/>
      <c r="AB277" s="3"/>
    </row>
    <row r="278" spans="1:28" ht="14">
      <c r="A278" s="3"/>
      <c r="B278" s="3"/>
      <c r="C278" s="3"/>
      <c r="D278" s="3"/>
      <c r="E278" s="3"/>
      <c r="F278" s="3"/>
      <c r="G278" s="3"/>
      <c r="H278" s="3"/>
      <c r="I278" s="3"/>
      <c r="J278" s="3"/>
      <c r="K278" s="3"/>
      <c r="L278" s="3"/>
      <c r="M278" s="3"/>
      <c r="N278" s="3"/>
      <c r="O278" s="3"/>
      <c r="P278" s="3"/>
      <c r="Q278" s="48"/>
      <c r="R278" s="3"/>
      <c r="S278" s="3"/>
      <c r="T278" s="3"/>
      <c r="U278" s="28"/>
      <c r="V278" s="28"/>
      <c r="W278" s="77"/>
      <c r="X278" s="77"/>
      <c r="Y278" s="77"/>
      <c r="Z278" s="3"/>
      <c r="AA278" s="3"/>
      <c r="AB278" s="3"/>
    </row>
    <row r="279" spans="1:28" ht="14">
      <c r="A279" s="3"/>
      <c r="B279" s="3"/>
      <c r="C279" s="3"/>
      <c r="D279" s="3"/>
      <c r="E279" s="3"/>
      <c r="F279" s="3"/>
      <c r="G279" s="3"/>
      <c r="H279" s="3"/>
      <c r="I279" s="3"/>
      <c r="J279" s="3"/>
      <c r="K279" s="3"/>
      <c r="L279" s="3"/>
      <c r="M279" s="3"/>
      <c r="N279" s="3"/>
      <c r="O279" s="3"/>
      <c r="P279" s="3"/>
      <c r="Q279" s="48"/>
      <c r="R279" s="3"/>
      <c r="S279" s="3"/>
      <c r="T279" s="3"/>
      <c r="U279" s="28"/>
      <c r="V279" s="28"/>
      <c r="W279" s="77"/>
      <c r="X279" s="77"/>
      <c r="Y279" s="77"/>
      <c r="Z279" s="3"/>
      <c r="AA279" s="3"/>
      <c r="AB279" s="3"/>
    </row>
    <row r="280" spans="1:28" ht="14">
      <c r="A280" s="3"/>
      <c r="B280" s="3"/>
      <c r="C280" s="3"/>
      <c r="D280" s="3"/>
      <c r="E280" s="3"/>
      <c r="F280" s="3"/>
      <c r="G280" s="3"/>
      <c r="H280" s="3"/>
      <c r="I280" s="3"/>
      <c r="J280" s="3"/>
      <c r="K280" s="3"/>
      <c r="L280" s="3"/>
      <c r="M280" s="3"/>
      <c r="N280" s="3"/>
      <c r="O280" s="3"/>
      <c r="P280" s="3"/>
      <c r="Q280" s="48"/>
      <c r="R280" s="3"/>
      <c r="S280" s="3"/>
      <c r="T280" s="3"/>
      <c r="U280" s="28"/>
      <c r="V280" s="28"/>
      <c r="W280" s="77"/>
      <c r="X280" s="77"/>
      <c r="Y280" s="77"/>
      <c r="Z280" s="3"/>
      <c r="AA280" s="3"/>
      <c r="AB280" s="3"/>
    </row>
    <row r="281" spans="1:28" ht="14">
      <c r="A281" s="3"/>
      <c r="B281" s="3"/>
      <c r="C281" s="3"/>
      <c r="D281" s="3"/>
      <c r="E281" s="3"/>
      <c r="F281" s="3"/>
      <c r="G281" s="3"/>
      <c r="H281" s="3"/>
      <c r="I281" s="3"/>
      <c r="J281" s="3"/>
      <c r="K281" s="3"/>
      <c r="L281" s="3"/>
      <c r="M281" s="3"/>
      <c r="N281" s="3"/>
      <c r="O281" s="3"/>
      <c r="P281" s="3"/>
      <c r="Q281" s="48"/>
      <c r="R281" s="3"/>
      <c r="S281" s="3"/>
      <c r="T281" s="3"/>
      <c r="U281" s="28"/>
      <c r="V281" s="28"/>
      <c r="W281" s="77"/>
      <c r="X281" s="77"/>
      <c r="Y281" s="77"/>
      <c r="Z281" s="3"/>
      <c r="AA281" s="3"/>
      <c r="AB281" s="3"/>
    </row>
    <row r="282" spans="1:28" ht="14">
      <c r="A282" s="3"/>
      <c r="B282" s="3"/>
      <c r="C282" s="3"/>
      <c r="D282" s="3"/>
      <c r="E282" s="3"/>
      <c r="F282" s="3"/>
      <c r="G282" s="3"/>
      <c r="H282" s="3"/>
      <c r="I282" s="3"/>
      <c r="J282" s="3"/>
      <c r="K282" s="3"/>
      <c r="L282" s="3"/>
      <c r="M282" s="3"/>
      <c r="N282" s="3"/>
      <c r="O282" s="3"/>
      <c r="P282" s="3"/>
      <c r="Q282" s="48"/>
      <c r="R282" s="3"/>
      <c r="S282" s="3"/>
      <c r="T282" s="3"/>
      <c r="U282" s="28"/>
      <c r="V282" s="28"/>
      <c r="W282" s="77"/>
      <c r="X282" s="77"/>
      <c r="Y282" s="77"/>
      <c r="Z282" s="3"/>
      <c r="AA282" s="3"/>
      <c r="AB282" s="3"/>
    </row>
    <row r="283" spans="1:28" ht="14">
      <c r="A283" s="3"/>
      <c r="B283" s="3"/>
      <c r="C283" s="3"/>
      <c r="D283" s="3"/>
      <c r="E283" s="3"/>
      <c r="F283" s="3"/>
      <c r="G283" s="3"/>
      <c r="H283" s="3"/>
      <c r="I283" s="3"/>
      <c r="J283" s="3"/>
      <c r="K283" s="3"/>
      <c r="L283" s="3"/>
      <c r="M283" s="3"/>
      <c r="N283" s="3"/>
      <c r="O283" s="3"/>
      <c r="P283" s="3"/>
      <c r="Q283" s="48"/>
      <c r="R283" s="3"/>
      <c r="S283" s="3"/>
      <c r="T283" s="3"/>
      <c r="U283" s="28"/>
      <c r="V283" s="28"/>
      <c r="W283" s="77"/>
      <c r="X283" s="77"/>
      <c r="Y283" s="77"/>
      <c r="Z283" s="3"/>
      <c r="AA283" s="3"/>
      <c r="AB283" s="3"/>
    </row>
    <row r="284" spans="1:28" ht="14">
      <c r="A284" s="3"/>
      <c r="B284" s="3"/>
      <c r="C284" s="3"/>
      <c r="D284" s="3"/>
      <c r="E284" s="3"/>
      <c r="F284" s="3"/>
      <c r="G284" s="3"/>
      <c r="H284" s="3"/>
      <c r="I284" s="3"/>
      <c r="J284" s="3"/>
      <c r="K284" s="3"/>
      <c r="L284" s="3"/>
      <c r="M284" s="3"/>
      <c r="N284" s="3"/>
      <c r="O284" s="3"/>
      <c r="P284" s="3"/>
      <c r="Q284" s="48"/>
      <c r="R284" s="3"/>
      <c r="S284" s="3"/>
      <c r="T284" s="3"/>
      <c r="U284" s="28"/>
      <c r="V284" s="28"/>
      <c r="W284" s="77"/>
      <c r="X284" s="77"/>
      <c r="Y284" s="77"/>
      <c r="Z284" s="3"/>
      <c r="AA284" s="3"/>
      <c r="AB284" s="3"/>
    </row>
    <row r="285" spans="1:28" ht="14">
      <c r="A285" s="3"/>
      <c r="B285" s="3"/>
      <c r="C285" s="3"/>
      <c r="D285" s="3"/>
      <c r="E285" s="3"/>
      <c r="F285" s="3"/>
      <c r="G285" s="3"/>
      <c r="H285" s="3"/>
      <c r="I285" s="3"/>
      <c r="J285" s="3"/>
      <c r="K285" s="3"/>
      <c r="L285" s="3"/>
      <c r="M285" s="3"/>
      <c r="N285" s="3"/>
      <c r="O285" s="3"/>
      <c r="P285" s="3"/>
      <c r="Q285" s="48"/>
      <c r="R285" s="3"/>
      <c r="S285" s="3"/>
      <c r="T285" s="3"/>
      <c r="U285" s="28"/>
      <c r="V285" s="28"/>
      <c r="W285" s="77"/>
      <c r="X285" s="77"/>
      <c r="Y285" s="77"/>
      <c r="Z285" s="3"/>
      <c r="AA285" s="3"/>
      <c r="AB285" s="3"/>
    </row>
    <row r="286" spans="1:28" ht="14">
      <c r="A286" s="3"/>
      <c r="B286" s="3"/>
      <c r="C286" s="3"/>
      <c r="D286" s="3"/>
      <c r="E286" s="3"/>
      <c r="F286" s="3"/>
      <c r="G286" s="3"/>
      <c r="H286" s="3"/>
      <c r="I286" s="3"/>
      <c r="J286" s="3"/>
      <c r="K286" s="3"/>
      <c r="L286" s="3"/>
      <c r="M286" s="3"/>
      <c r="N286" s="3"/>
      <c r="O286" s="3"/>
      <c r="P286" s="3"/>
      <c r="Q286" s="48"/>
      <c r="R286" s="3"/>
      <c r="S286" s="3"/>
      <c r="T286" s="3"/>
      <c r="U286" s="28"/>
      <c r="V286" s="28"/>
      <c r="W286" s="77"/>
      <c r="X286" s="77"/>
      <c r="Y286" s="77"/>
      <c r="Z286" s="3"/>
      <c r="AA286" s="3"/>
      <c r="AB286" s="3"/>
    </row>
    <row r="287" spans="1:28" ht="14">
      <c r="A287" s="3"/>
      <c r="B287" s="3"/>
      <c r="C287" s="3"/>
      <c r="D287" s="3"/>
      <c r="E287" s="3"/>
      <c r="F287" s="3"/>
      <c r="G287" s="3"/>
      <c r="H287" s="3"/>
      <c r="I287" s="3"/>
      <c r="J287" s="3"/>
      <c r="K287" s="3"/>
      <c r="L287" s="3"/>
      <c r="M287" s="3"/>
      <c r="N287" s="3"/>
      <c r="O287" s="3"/>
      <c r="P287" s="3"/>
      <c r="Q287" s="48"/>
      <c r="R287" s="3"/>
      <c r="S287" s="3"/>
      <c r="T287" s="3"/>
      <c r="U287" s="28"/>
      <c r="V287" s="28"/>
      <c r="W287" s="77"/>
      <c r="X287" s="77"/>
      <c r="Y287" s="77"/>
      <c r="Z287" s="3"/>
      <c r="AA287" s="3"/>
      <c r="AB287" s="3"/>
    </row>
    <row r="288" spans="1:28" ht="14">
      <c r="A288" s="3"/>
      <c r="B288" s="3"/>
      <c r="C288" s="3"/>
      <c r="D288" s="3"/>
      <c r="E288" s="3"/>
      <c r="F288" s="3"/>
      <c r="G288" s="3"/>
      <c r="H288" s="3"/>
      <c r="I288" s="3"/>
      <c r="J288" s="3"/>
      <c r="K288" s="3"/>
      <c r="L288" s="3"/>
      <c r="M288" s="3"/>
      <c r="N288" s="3"/>
      <c r="O288" s="3"/>
      <c r="P288" s="3"/>
      <c r="Q288" s="48"/>
      <c r="R288" s="3"/>
      <c r="S288" s="3"/>
      <c r="T288" s="3"/>
      <c r="U288" s="28"/>
      <c r="V288" s="28"/>
      <c r="W288" s="77"/>
      <c r="X288" s="77"/>
      <c r="Y288" s="77"/>
      <c r="Z288" s="3"/>
      <c r="AA288" s="3"/>
      <c r="AB288" s="3"/>
    </row>
    <row r="289" spans="1:28" ht="14">
      <c r="A289" s="3"/>
      <c r="B289" s="3"/>
      <c r="C289" s="3"/>
      <c r="D289" s="3"/>
      <c r="E289" s="3"/>
      <c r="F289" s="3"/>
      <c r="G289" s="3"/>
      <c r="H289" s="3"/>
      <c r="I289" s="3"/>
      <c r="J289" s="3"/>
      <c r="K289" s="3"/>
      <c r="L289" s="3"/>
      <c r="M289" s="3"/>
      <c r="N289" s="3"/>
      <c r="O289" s="3"/>
      <c r="P289" s="3"/>
      <c r="Q289" s="48"/>
      <c r="R289" s="3"/>
      <c r="S289" s="3"/>
      <c r="T289" s="3"/>
      <c r="U289" s="28"/>
      <c r="V289" s="28"/>
      <c r="W289" s="77"/>
      <c r="X289" s="77"/>
      <c r="Y289" s="77"/>
      <c r="Z289" s="3"/>
      <c r="AA289" s="3"/>
      <c r="AB289" s="3"/>
    </row>
    <row r="290" spans="1:28" ht="14">
      <c r="A290" s="3"/>
      <c r="B290" s="3"/>
      <c r="C290" s="3"/>
      <c r="D290" s="3"/>
      <c r="E290" s="3"/>
      <c r="F290" s="3"/>
      <c r="G290" s="3"/>
      <c r="H290" s="3"/>
      <c r="I290" s="3"/>
      <c r="J290" s="3"/>
      <c r="K290" s="3"/>
      <c r="L290" s="3"/>
      <c r="M290" s="3"/>
      <c r="N290" s="3"/>
      <c r="O290" s="3"/>
      <c r="P290" s="3"/>
      <c r="Q290" s="48"/>
      <c r="R290" s="3"/>
      <c r="S290" s="3"/>
      <c r="T290" s="3"/>
      <c r="U290" s="28"/>
      <c r="V290" s="28"/>
      <c r="W290" s="77"/>
      <c r="X290" s="77"/>
      <c r="Y290" s="77"/>
      <c r="Z290" s="3"/>
      <c r="AA290" s="3"/>
      <c r="AB290" s="3"/>
    </row>
    <row r="291" spans="1:28" ht="14">
      <c r="A291" s="3"/>
      <c r="B291" s="3"/>
      <c r="C291" s="3"/>
      <c r="D291" s="3"/>
      <c r="E291" s="3"/>
      <c r="F291" s="3"/>
      <c r="G291" s="3"/>
      <c r="H291" s="3"/>
      <c r="I291" s="3"/>
      <c r="J291" s="3"/>
      <c r="K291" s="3"/>
      <c r="L291" s="3"/>
      <c r="M291" s="3"/>
      <c r="N291" s="3"/>
      <c r="O291" s="3"/>
      <c r="P291" s="3"/>
      <c r="Q291" s="48"/>
      <c r="R291" s="3"/>
      <c r="S291" s="3"/>
      <c r="T291" s="3"/>
      <c r="U291" s="28"/>
      <c r="V291" s="28"/>
      <c r="W291" s="77"/>
      <c r="X291" s="77"/>
      <c r="Y291" s="77"/>
      <c r="Z291" s="3"/>
      <c r="AA291" s="3"/>
      <c r="AB291" s="3"/>
    </row>
    <row r="292" spans="1:28" ht="14">
      <c r="A292" s="3"/>
      <c r="B292" s="3"/>
      <c r="C292" s="3"/>
      <c r="D292" s="3"/>
      <c r="E292" s="3"/>
      <c r="F292" s="3"/>
      <c r="G292" s="3"/>
      <c r="H292" s="3"/>
      <c r="I292" s="3"/>
      <c r="J292" s="3"/>
      <c r="K292" s="3"/>
      <c r="L292" s="3"/>
      <c r="M292" s="3"/>
      <c r="N292" s="3"/>
      <c r="O292" s="3"/>
      <c r="P292" s="3"/>
      <c r="Q292" s="48"/>
      <c r="R292" s="3"/>
      <c r="S292" s="3"/>
      <c r="T292" s="3"/>
      <c r="U292" s="28"/>
      <c r="V292" s="28"/>
      <c r="W292" s="77"/>
      <c r="X292" s="77"/>
      <c r="Y292" s="77"/>
      <c r="Z292" s="3"/>
      <c r="AA292" s="3"/>
      <c r="AB292" s="3"/>
    </row>
    <row r="293" spans="1:28" ht="14">
      <c r="A293" s="3"/>
      <c r="B293" s="3"/>
      <c r="C293" s="3"/>
      <c r="D293" s="3"/>
      <c r="E293" s="3"/>
      <c r="F293" s="3"/>
      <c r="G293" s="3"/>
      <c r="H293" s="3"/>
      <c r="I293" s="3"/>
      <c r="J293" s="3"/>
      <c r="K293" s="3"/>
      <c r="L293" s="3"/>
      <c r="M293" s="3"/>
      <c r="N293" s="3"/>
      <c r="O293" s="3"/>
      <c r="P293" s="3"/>
      <c r="Q293" s="48"/>
      <c r="R293" s="3"/>
      <c r="S293" s="3"/>
      <c r="T293" s="3"/>
      <c r="U293" s="28"/>
      <c r="V293" s="28"/>
      <c r="W293" s="77"/>
      <c r="X293" s="77"/>
      <c r="Y293" s="77"/>
      <c r="Z293" s="3"/>
      <c r="AA293" s="3"/>
      <c r="AB293" s="3"/>
    </row>
    <row r="294" spans="1:28" ht="14">
      <c r="A294" s="3"/>
      <c r="B294" s="3"/>
      <c r="C294" s="3"/>
      <c r="D294" s="3"/>
      <c r="E294" s="3"/>
      <c r="F294" s="3"/>
      <c r="G294" s="3"/>
      <c r="H294" s="3"/>
      <c r="I294" s="3"/>
      <c r="J294" s="3"/>
      <c r="K294" s="3"/>
      <c r="L294" s="3"/>
      <c r="M294" s="3"/>
      <c r="N294" s="3"/>
      <c r="O294" s="3"/>
      <c r="P294" s="3"/>
      <c r="Q294" s="48"/>
      <c r="R294" s="3"/>
      <c r="S294" s="3"/>
      <c r="T294" s="3"/>
      <c r="U294" s="28"/>
      <c r="V294" s="28"/>
      <c r="W294" s="77"/>
      <c r="X294" s="77"/>
      <c r="Y294" s="77"/>
      <c r="Z294" s="3"/>
      <c r="AA294" s="3"/>
      <c r="AB294" s="3"/>
    </row>
    <row r="295" spans="1:28" ht="14">
      <c r="A295" s="3"/>
      <c r="B295" s="3"/>
      <c r="C295" s="3"/>
      <c r="D295" s="3"/>
      <c r="E295" s="3"/>
      <c r="F295" s="3"/>
      <c r="G295" s="3"/>
      <c r="H295" s="3"/>
      <c r="I295" s="3"/>
      <c r="J295" s="3"/>
      <c r="K295" s="3"/>
      <c r="L295" s="3"/>
      <c r="M295" s="3"/>
      <c r="N295" s="3"/>
      <c r="O295" s="3"/>
      <c r="P295" s="3"/>
      <c r="Q295" s="48"/>
      <c r="R295" s="3"/>
      <c r="S295" s="3"/>
      <c r="T295" s="3"/>
      <c r="U295" s="28"/>
      <c r="V295" s="28"/>
      <c r="W295" s="77"/>
      <c r="X295" s="77"/>
      <c r="Y295" s="77"/>
      <c r="Z295" s="3"/>
      <c r="AA295" s="3"/>
      <c r="AB295" s="3"/>
    </row>
    <row r="296" spans="1:28" ht="14">
      <c r="A296" s="3"/>
      <c r="B296" s="3"/>
      <c r="C296" s="3"/>
      <c r="D296" s="3"/>
      <c r="E296" s="3"/>
      <c r="F296" s="3"/>
      <c r="G296" s="3"/>
      <c r="H296" s="3"/>
      <c r="I296" s="3"/>
      <c r="J296" s="3"/>
      <c r="K296" s="3"/>
      <c r="L296" s="3"/>
      <c r="M296" s="3"/>
      <c r="N296" s="3"/>
      <c r="O296" s="3"/>
      <c r="P296" s="3"/>
      <c r="Q296" s="48"/>
      <c r="R296" s="3"/>
      <c r="S296" s="3"/>
      <c r="T296" s="3"/>
      <c r="U296" s="28"/>
      <c r="V296" s="28"/>
      <c r="W296" s="77"/>
      <c r="X296" s="77"/>
      <c r="Y296" s="77"/>
      <c r="Z296" s="3"/>
      <c r="AA296" s="3"/>
      <c r="AB296" s="3"/>
    </row>
    <row r="297" spans="1:28" ht="14">
      <c r="A297" s="3"/>
      <c r="B297" s="3"/>
      <c r="C297" s="3"/>
      <c r="D297" s="3"/>
      <c r="E297" s="3"/>
      <c r="F297" s="3"/>
      <c r="G297" s="3"/>
      <c r="H297" s="3"/>
      <c r="I297" s="3"/>
      <c r="J297" s="3"/>
      <c r="K297" s="3"/>
      <c r="L297" s="3"/>
      <c r="M297" s="3"/>
      <c r="N297" s="3"/>
      <c r="O297" s="3"/>
      <c r="P297" s="3"/>
      <c r="Q297" s="48"/>
      <c r="R297" s="3"/>
      <c r="S297" s="3"/>
      <c r="T297" s="3"/>
      <c r="U297" s="28"/>
      <c r="V297" s="28"/>
      <c r="W297" s="77"/>
      <c r="X297" s="77"/>
      <c r="Y297" s="77"/>
      <c r="Z297" s="3"/>
      <c r="AA297" s="3"/>
      <c r="AB297" s="3"/>
    </row>
    <row r="298" spans="1:28" ht="14">
      <c r="A298" s="3"/>
      <c r="B298" s="3"/>
      <c r="C298" s="3"/>
      <c r="D298" s="3"/>
      <c r="E298" s="3"/>
      <c r="F298" s="3"/>
      <c r="G298" s="3"/>
      <c r="H298" s="3"/>
      <c r="I298" s="3"/>
      <c r="J298" s="3"/>
      <c r="K298" s="3"/>
      <c r="L298" s="3"/>
      <c r="M298" s="3"/>
      <c r="N298" s="3"/>
      <c r="O298" s="3"/>
      <c r="P298" s="3"/>
      <c r="Q298" s="48"/>
      <c r="R298" s="3"/>
      <c r="S298" s="3"/>
      <c r="T298" s="3"/>
      <c r="U298" s="28"/>
      <c r="V298" s="28"/>
      <c r="W298" s="77"/>
      <c r="X298" s="77"/>
      <c r="Y298" s="77"/>
      <c r="Z298" s="3"/>
      <c r="AA298" s="3"/>
      <c r="AB298" s="3"/>
    </row>
    <row r="299" spans="1:28" ht="14">
      <c r="A299" s="3"/>
      <c r="B299" s="3"/>
      <c r="C299" s="3"/>
      <c r="D299" s="3"/>
      <c r="E299" s="3"/>
      <c r="F299" s="3"/>
      <c r="G299" s="3"/>
      <c r="H299" s="3"/>
      <c r="I299" s="3"/>
      <c r="J299" s="3"/>
      <c r="K299" s="3"/>
      <c r="L299" s="3"/>
      <c r="M299" s="3"/>
      <c r="N299" s="3"/>
      <c r="O299" s="3"/>
      <c r="P299" s="3"/>
      <c r="Q299" s="48"/>
      <c r="R299" s="3"/>
      <c r="S299" s="3"/>
      <c r="T299" s="3"/>
      <c r="U299" s="28"/>
      <c r="V299" s="28"/>
      <c r="W299" s="77"/>
      <c r="X299" s="77"/>
      <c r="Y299" s="77"/>
      <c r="Z299" s="3"/>
      <c r="AA299" s="3"/>
      <c r="AB299" s="3"/>
    </row>
    <row r="300" spans="1:28" ht="14">
      <c r="A300" s="3"/>
      <c r="B300" s="3"/>
      <c r="C300" s="3"/>
      <c r="D300" s="3"/>
      <c r="E300" s="3"/>
      <c r="F300" s="3"/>
      <c r="G300" s="3"/>
      <c r="H300" s="3"/>
      <c r="I300" s="3"/>
      <c r="J300" s="3"/>
      <c r="K300" s="3"/>
      <c r="L300" s="3"/>
      <c r="M300" s="3"/>
      <c r="N300" s="3"/>
      <c r="O300" s="3"/>
      <c r="P300" s="3"/>
      <c r="Q300" s="48"/>
      <c r="R300" s="3"/>
      <c r="S300" s="3"/>
      <c r="T300" s="3"/>
      <c r="U300" s="28"/>
      <c r="V300" s="28"/>
      <c r="W300" s="77"/>
      <c r="X300" s="77"/>
      <c r="Y300" s="77"/>
      <c r="Z300" s="3"/>
      <c r="AA300" s="3"/>
      <c r="AB300" s="3"/>
    </row>
    <row r="301" spans="1:28" ht="14">
      <c r="A301" s="3"/>
      <c r="B301" s="3"/>
      <c r="C301" s="3"/>
      <c r="D301" s="3"/>
      <c r="E301" s="3"/>
      <c r="F301" s="3"/>
      <c r="G301" s="3"/>
      <c r="H301" s="3"/>
      <c r="I301" s="3"/>
      <c r="J301" s="3"/>
      <c r="K301" s="3"/>
      <c r="L301" s="3"/>
      <c r="M301" s="3"/>
      <c r="N301" s="3"/>
      <c r="O301" s="3"/>
      <c r="P301" s="3"/>
      <c r="Q301" s="48"/>
      <c r="R301" s="3"/>
      <c r="S301" s="3"/>
      <c r="T301" s="3"/>
      <c r="U301" s="28"/>
      <c r="V301" s="28"/>
      <c r="W301" s="77"/>
      <c r="X301" s="77"/>
      <c r="Y301" s="77"/>
      <c r="Z301" s="3"/>
      <c r="AA301" s="3"/>
      <c r="AB301" s="3"/>
    </row>
    <row r="302" spans="1:28" ht="14">
      <c r="A302" s="3"/>
      <c r="B302" s="3"/>
      <c r="C302" s="3"/>
      <c r="D302" s="3"/>
      <c r="E302" s="3"/>
      <c r="F302" s="3"/>
      <c r="G302" s="3"/>
      <c r="H302" s="3"/>
      <c r="I302" s="3"/>
      <c r="J302" s="3"/>
      <c r="K302" s="3"/>
      <c r="L302" s="3"/>
      <c r="M302" s="3"/>
      <c r="N302" s="3"/>
      <c r="O302" s="3"/>
      <c r="P302" s="3"/>
      <c r="Q302" s="48"/>
      <c r="R302" s="3"/>
      <c r="S302" s="3"/>
      <c r="T302" s="3"/>
      <c r="U302" s="28"/>
      <c r="V302" s="28"/>
      <c r="W302" s="77"/>
      <c r="X302" s="77"/>
      <c r="Y302" s="77"/>
      <c r="Z302" s="3"/>
      <c r="AA302" s="3"/>
      <c r="AB302" s="3"/>
    </row>
    <row r="303" spans="1:28" ht="14">
      <c r="A303" s="3"/>
      <c r="B303" s="3"/>
      <c r="C303" s="3"/>
      <c r="D303" s="3"/>
      <c r="E303" s="3"/>
      <c r="F303" s="3"/>
      <c r="G303" s="3"/>
      <c r="H303" s="3"/>
      <c r="I303" s="3"/>
      <c r="J303" s="3"/>
      <c r="K303" s="3"/>
      <c r="L303" s="3"/>
      <c r="M303" s="3"/>
      <c r="N303" s="3"/>
      <c r="O303" s="3"/>
      <c r="P303" s="3"/>
      <c r="Q303" s="48"/>
      <c r="R303" s="3"/>
      <c r="S303" s="3"/>
      <c r="T303" s="3"/>
      <c r="U303" s="28"/>
      <c r="V303" s="28"/>
      <c r="W303" s="77"/>
      <c r="X303" s="77"/>
      <c r="Y303" s="77"/>
      <c r="Z303" s="3"/>
      <c r="AA303" s="3"/>
      <c r="AB303" s="3"/>
    </row>
    <row r="304" spans="1:28" ht="14">
      <c r="A304" s="3"/>
      <c r="B304" s="3"/>
      <c r="C304" s="3"/>
      <c r="D304" s="3"/>
      <c r="E304" s="3"/>
      <c r="F304" s="3"/>
      <c r="G304" s="3"/>
      <c r="H304" s="3"/>
      <c r="I304" s="3"/>
      <c r="J304" s="3"/>
      <c r="K304" s="3"/>
      <c r="L304" s="3"/>
      <c r="M304" s="3"/>
      <c r="N304" s="3"/>
      <c r="O304" s="3"/>
      <c r="P304" s="3"/>
      <c r="Q304" s="48"/>
      <c r="R304" s="3"/>
      <c r="S304" s="3"/>
      <c r="T304" s="3"/>
      <c r="U304" s="28"/>
      <c r="V304" s="28"/>
      <c r="W304" s="77"/>
      <c r="X304" s="77"/>
      <c r="Y304" s="77"/>
      <c r="Z304" s="3"/>
      <c r="AA304" s="3"/>
      <c r="AB304" s="3"/>
    </row>
    <row r="305" spans="1:28" ht="14">
      <c r="A305" s="3"/>
      <c r="B305" s="3"/>
      <c r="C305" s="3"/>
      <c r="D305" s="3"/>
      <c r="E305" s="3"/>
      <c r="F305" s="3"/>
      <c r="G305" s="3"/>
      <c r="H305" s="3"/>
      <c r="I305" s="3"/>
      <c r="J305" s="3"/>
      <c r="K305" s="3"/>
      <c r="L305" s="3"/>
      <c r="M305" s="3"/>
      <c r="N305" s="3"/>
      <c r="O305" s="3"/>
      <c r="P305" s="3"/>
      <c r="Q305" s="48"/>
      <c r="R305" s="3"/>
      <c r="S305" s="3"/>
      <c r="T305" s="3"/>
      <c r="U305" s="28"/>
      <c r="V305" s="28"/>
      <c r="W305" s="77"/>
      <c r="X305" s="77"/>
      <c r="Y305" s="77"/>
      <c r="Z305" s="3"/>
      <c r="AA305" s="3"/>
      <c r="AB305" s="3"/>
    </row>
    <row r="306" spans="1:28" ht="14">
      <c r="A306" s="3"/>
      <c r="B306" s="3"/>
      <c r="C306" s="3"/>
      <c r="D306" s="3"/>
      <c r="E306" s="3"/>
      <c r="F306" s="3"/>
      <c r="G306" s="3"/>
      <c r="H306" s="3"/>
      <c r="I306" s="3"/>
      <c r="J306" s="3"/>
      <c r="K306" s="3"/>
      <c r="L306" s="3"/>
      <c r="M306" s="3"/>
      <c r="N306" s="3"/>
      <c r="O306" s="3"/>
      <c r="P306" s="3"/>
      <c r="Q306" s="48"/>
      <c r="R306" s="3"/>
      <c r="S306" s="3"/>
      <c r="T306" s="3"/>
      <c r="U306" s="28"/>
      <c r="V306" s="28"/>
      <c r="W306" s="77"/>
      <c r="X306" s="77"/>
      <c r="Y306" s="77"/>
      <c r="Z306" s="3"/>
      <c r="AA306" s="3"/>
      <c r="AB306" s="3"/>
    </row>
    <row r="307" spans="1:28" ht="14">
      <c r="A307" s="3"/>
      <c r="B307" s="3"/>
      <c r="C307" s="3"/>
      <c r="D307" s="3"/>
      <c r="E307" s="3"/>
      <c r="F307" s="3"/>
      <c r="G307" s="3"/>
      <c r="H307" s="3"/>
      <c r="I307" s="3"/>
      <c r="J307" s="3"/>
      <c r="K307" s="3"/>
      <c r="L307" s="3"/>
      <c r="M307" s="3"/>
      <c r="N307" s="3"/>
      <c r="O307" s="3"/>
      <c r="P307" s="3"/>
      <c r="Q307" s="48"/>
      <c r="R307" s="3"/>
      <c r="S307" s="3"/>
      <c r="T307" s="3"/>
      <c r="U307" s="28"/>
      <c r="V307" s="28"/>
      <c r="W307" s="77"/>
      <c r="X307" s="77"/>
      <c r="Y307" s="77"/>
      <c r="Z307" s="3"/>
      <c r="AA307" s="3"/>
      <c r="AB307" s="3"/>
    </row>
    <row r="308" spans="1:28" ht="14">
      <c r="A308" s="3"/>
      <c r="B308" s="3"/>
      <c r="C308" s="3"/>
      <c r="D308" s="3"/>
      <c r="E308" s="3"/>
      <c r="F308" s="3"/>
      <c r="G308" s="3"/>
      <c r="H308" s="3"/>
      <c r="I308" s="3"/>
      <c r="J308" s="3"/>
      <c r="K308" s="3"/>
      <c r="L308" s="3"/>
      <c r="M308" s="3"/>
      <c r="N308" s="3"/>
      <c r="O308" s="3"/>
      <c r="P308" s="3"/>
      <c r="Q308" s="48"/>
      <c r="R308" s="3"/>
      <c r="S308" s="3"/>
      <c r="T308" s="3"/>
      <c r="U308" s="28"/>
      <c r="V308" s="28"/>
      <c r="W308" s="77"/>
      <c r="X308" s="77"/>
      <c r="Y308" s="77"/>
      <c r="Z308" s="3"/>
      <c r="AA308" s="3"/>
      <c r="AB308" s="3"/>
    </row>
    <row r="309" spans="1:28" ht="14">
      <c r="A309" s="3"/>
      <c r="B309" s="3"/>
      <c r="C309" s="3"/>
      <c r="D309" s="3"/>
      <c r="E309" s="3"/>
      <c r="F309" s="3"/>
      <c r="G309" s="3"/>
      <c r="H309" s="3"/>
      <c r="I309" s="3"/>
      <c r="J309" s="3"/>
      <c r="K309" s="3"/>
      <c r="L309" s="3"/>
      <c r="M309" s="3"/>
      <c r="N309" s="3"/>
      <c r="O309" s="3"/>
      <c r="P309" s="3"/>
      <c r="Q309" s="48"/>
      <c r="R309" s="3"/>
      <c r="S309" s="3"/>
      <c r="T309" s="3"/>
      <c r="U309" s="28"/>
      <c r="V309" s="28"/>
      <c r="W309" s="77"/>
      <c r="X309" s="77"/>
      <c r="Y309" s="77"/>
      <c r="Z309" s="3"/>
      <c r="AA309" s="3"/>
      <c r="AB309" s="3"/>
    </row>
    <row r="310" spans="1:28" ht="14">
      <c r="A310" s="3"/>
      <c r="B310" s="3"/>
      <c r="C310" s="3"/>
      <c r="D310" s="3"/>
      <c r="E310" s="3"/>
      <c r="F310" s="3"/>
      <c r="G310" s="3"/>
      <c r="H310" s="3"/>
      <c r="I310" s="3"/>
      <c r="J310" s="3"/>
      <c r="K310" s="3"/>
      <c r="L310" s="3"/>
      <c r="M310" s="3"/>
      <c r="N310" s="3"/>
      <c r="O310" s="3"/>
      <c r="P310" s="3"/>
      <c r="Q310" s="48"/>
      <c r="R310" s="3"/>
      <c r="S310" s="3"/>
      <c r="T310" s="3"/>
      <c r="U310" s="28"/>
      <c r="V310" s="28"/>
      <c r="W310" s="77"/>
      <c r="X310" s="77"/>
      <c r="Y310" s="77"/>
      <c r="Z310" s="3"/>
      <c r="AA310" s="3"/>
      <c r="AB310" s="3"/>
    </row>
    <row r="311" spans="1:28" ht="14">
      <c r="A311" s="3"/>
      <c r="B311" s="3"/>
      <c r="C311" s="3"/>
      <c r="D311" s="3"/>
      <c r="E311" s="3"/>
      <c r="F311" s="3"/>
      <c r="G311" s="3"/>
      <c r="H311" s="3"/>
      <c r="I311" s="3"/>
      <c r="J311" s="3"/>
      <c r="K311" s="3"/>
      <c r="L311" s="3"/>
      <c r="M311" s="3"/>
      <c r="N311" s="3"/>
      <c r="O311" s="3"/>
      <c r="P311" s="3"/>
      <c r="Q311" s="48"/>
      <c r="R311" s="3"/>
      <c r="S311" s="3"/>
      <c r="T311" s="3"/>
      <c r="U311" s="28"/>
      <c r="V311" s="28"/>
      <c r="W311" s="77"/>
      <c r="X311" s="77"/>
      <c r="Y311" s="77"/>
      <c r="Z311" s="3"/>
      <c r="AA311" s="3"/>
      <c r="AB311" s="3"/>
    </row>
    <row r="312" spans="1:28" ht="14">
      <c r="A312" s="3"/>
      <c r="B312" s="3"/>
      <c r="C312" s="3"/>
      <c r="D312" s="3"/>
      <c r="E312" s="3"/>
      <c r="F312" s="3"/>
      <c r="G312" s="3"/>
      <c r="H312" s="3"/>
      <c r="I312" s="3"/>
      <c r="J312" s="3"/>
      <c r="K312" s="3"/>
      <c r="L312" s="3"/>
      <c r="M312" s="3"/>
      <c r="N312" s="3"/>
      <c r="O312" s="3"/>
      <c r="P312" s="3"/>
      <c r="Q312" s="48"/>
      <c r="R312" s="3"/>
      <c r="S312" s="3"/>
      <c r="T312" s="3"/>
      <c r="U312" s="28"/>
      <c r="V312" s="28"/>
      <c r="W312" s="77"/>
      <c r="X312" s="77"/>
      <c r="Y312" s="77"/>
      <c r="Z312" s="3"/>
      <c r="AA312" s="3"/>
      <c r="AB312" s="3"/>
    </row>
    <row r="313" spans="1:28" ht="14">
      <c r="A313" s="3"/>
      <c r="B313" s="3"/>
      <c r="C313" s="3"/>
      <c r="D313" s="3"/>
      <c r="E313" s="3"/>
      <c r="F313" s="3"/>
      <c r="G313" s="3"/>
      <c r="H313" s="3"/>
      <c r="I313" s="3"/>
      <c r="J313" s="3"/>
      <c r="K313" s="3"/>
      <c r="L313" s="3"/>
      <c r="M313" s="3"/>
      <c r="N313" s="3"/>
      <c r="O313" s="3"/>
      <c r="P313" s="3"/>
      <c r="Q313" s="48"/>
      <c r="R313" s="3"/>
      <c r="S313" s="3"/>
      <c r="T313" s="3"/>
      <c r="U313" s="28"/>
      <c r="V313" s="28"/>
      <c r="W313" s="77"/>
      <c r="X313" s="77"/>
      <c r="Y313" s="77"/>
      <c r="Z313" s="3"/>
      <c r="AA313" s="3"/>
      <c r="AB313" s="3"/>
    </row>
    <row r="314" spans="1:28" ht="14">
      <c r="A314" s="3"/>
      <c r="B314" s="3"/>
      <c r="C314" s="3"/>
      <c r="D314" s="3"/>
      <c r="E314" s="3"/>
      <c r="F314" s="3"/>
      <c r="G314" s="3"/>
      <c r="H314" s="3"/>
      <c r="I314" s="3"/>
      <c r="J314" s="3"/>
      <c r="K314" s="3"/>
      <c r="L314" s="3"/>
      <c r="M314" s="3"/>
      <c r="N314" s="3"/>
      <c r="O314" s="3"/>
      <c r="P314" s="3"/>
      <c r="Q314" s="48"/>
      <c r="R314" s="3"/>
      <c r="S314" s="3"/>
      <c r="T314" s="3"/>
      <c r="U314" s="28"/>
      <c r="V314" s="28"/>
      <c r="W314" s="77"/>
      <c r="X314" s="77"/>
      <c r="Y314" s="77"/>
      <c r="Z314" s="3"/>
      <c r="AA314" s="3"/>
      <c r="AB314" s="3"/>
    </row>
    <row r="315" spans="1:28" ht="14">
      <c r="A315" s="3"/>
      <c r="B315" s="3"/>
      <c r="C315" s="3"/>
      <c r="D315" s="3"/>
      <c r="E315" s="3"/>
      <c r="F315" s="3"/>
      <c r="G315" s="3"/>
      <c r="H315" s="3"/>
      <c r="I315" s="3"/>
      <c r="J315" s="3"/>
      <c r="K315" s="3"/>
      <c r="L315" s="3"/>
      <c r="M315" s="3"/>
      <c r="N315" s="3"/>
      <c r="O315" s="3"/>
      <c r="P315" s="3"/>
      <c r="Q315" s="48"/>
      <c r="R315" s="3"/>
      <c r="S315" s="3"/>
      <c r="T315" s="3"/>
      <c r="U315" s="28"/>
      <c r="V315" s="28"/>
      <c r="W315" s="77"/>
      <c r="X315" s="77"/>
      <c r="Y315" s="77"/>
      <c r="Z315" s="3"/>
      <c r="AA315" s="3"/>
      <c r="AB315" s="3"/>
    </row>
    <row r="316" spans="1:28" ht="14">
      <c r="A316" s="3"/>
      <c r="B316" s="3"/>
      <c r="C316" s="3"/>
      <c r="D316" s="3"/>
      <c r="E316" s="3"/>
      <c r="F316" s="3"/>
      <c r="G316" s="3"/>
      <c r="H316" s="3"/>
      <c r="I316" s="3"/>
      <c r="J316" s="3"/>
      <c r="K316" s="3"/>
      <c r="L316" s="3"/>
      <c r="M316" s="3"/>
      <c r="N316" s="3"/>
      <c r="O316" s="3"/>
      <c r="P316" s="3"/>
      <c r="Q316" s="48"/>
      <c r="R316" s="3"/>
      <c r="S316" s="3"/>
      <c r="T316" s="3"/>
      <c r="U316" s="28"/>
      <c r="V316" s="28"/>
      <c r="W316" s="77"/>
      <c r="X316" s="77"/>
      <c r="Y316" s="77"/>
      <c r="Z316" s="3"/>
      <c r="AA316" s="3"/>
      <c r="AB316" s="3"/>
    </row>
    <row r="317" spans="1:28" ht="14">
      <c r="A317" s="3"/>
      <c r="B317" s="3"/>
      <c r="C317" s="3"/>
      <c r="D317" s="3"/>
      <c r="E317" s="3"/>
      <c r="F317" s="3"/>
      <c r="G317" s="3"/>
      <c r="H317" s="3"/>
      <c r="I317" s="3"/>
      <c r="J317" s="3"/>
      <c r="K317" s="3"/>
      <c r="L317" s="3"/>
      <c r="M317" s="3"/>
      <c r="N317" s="3"/>
      <c r="O317" s="3"/>
      <c r="P317" s="3"/>
      <c r="Q317" s="48"/>
      <c r="R317" s="3"/>
      <c r="S317" s="3"/>
      <c r="T317" s="3"/>
      <c r="U317" s="28"/>
      <c r="V317" s="28"/>
      <c r="W317" s="77"/>
      <c r="X317" s="77"/>
      <c r="Y317" s="77"/>
      <c r="Z317" s="3"/>
      <c r="AA317" s="3"/>
      <c r="AB317" s="3"/>
    </row>
    <row r="318" spans="1:28" ht="14">
      <c r="A318" s="3"/>
      <c r="B318" s="3"/>
      <c r="C318" s="3"/>
      <c r="D318" s="3"/>
      <c r="E318" s="3"/>
      <c r="F318" s="3"/>
      <c r="G318" s="3"/>
      <c r="H318" s="3"/>
      <c r="I318" s="3"/>
      <c r="J318" s="3"/>
      <c r="K318" s="3"/>
      <c r="L318" s="3"/>
      <c r="M318" s="3"/>
      <c r="N318" s="3"/>
      <c r="O318" s="3"/>
      <c r="P318" s="3"/>
      <c r="Q318" s="48"/>
      <c r="R318" s="3"/>
      <c r="S318" s="3"/>
      <c r="T318" s="3"/>
      <c r="U318" s="28"/>
      <c r="V318" s="28"/>
      <c r="W318" s="77"/>
      <c r="X318" s="77"/>
      <c r="Y318" s="77"/>
      <c r="Z318" s="3"/>
      <c r="AA318" s="3"/>
      <c r="AB318" s="3"/>
    </row>
    <row r="319" spans="1:28" ht="14">
      <c r="A319" s="3"/>
      <c r="B319" s="3"/>
      <c r="C319" s="3"/>
      <c r="D319" s="3"/>
      <c r="E319" s="3"/>
      <c r="F319" s="3"/>
      <c r="G319" s="3"/>
      <c r="H319" s="3"/>
      <c r="I319" s="3"/>
      <c r="J319" s="3"/>
      <c r="K319" s="3"/>
      <c r="L319" s="3"/>
      <c r="M319" s="3"/>
      <c r="N319" s="3"/>
      <c r="O319" s="3"/>
      <c r="P319" s="3"/>
      <c r="Q319" s="48"/>
      <c r="R319" s="3"/>
      <c r="S319" s="3"/>
      <c r="T319" s="3"/>
      <c r="U319" s="28"/>
      <c r="V319" s="28"/>
      <c r="W319" s="77"/>
      <c r="X319" s="77"/>
      <c r="Y319" s="77"/>
      <c r="Z319" s="3"/>
      <c r="AA319" s="3"/>
      <c r="AB319" s="3"/>
    </row>
    <row r="320" spans="1:28" ht="14">
      <c r="A320" s="3"/>
      <c r="B320" s="3"/>
      <c r="C320" s="3"/>
      <c r="D320" s="3"/>
      <c r="E320" s="3"/>
      <c r="F320" s="3"/>
      <c r="G320" s="3"/>
      <c r="H320" s="3"/>
      <c r="I320" s="3"/>
      <c r="J320" s="3"/>
      <c r="K320" s="3"/>
      <c r="L320" s="3"/>
      <c r="M320" s="3"/>
      <c r="N320" s="3"/>
      <c r="O320" s="3"/>
      <c r="P320" s="3"/>
      <c r="Q320" s="48"/>
      <c r="R320" s="3"/>
      <c r="S320" s="3"/>
      <c r="T320" s="3"/>
      <c r="U320" s="28"/>
      <c r="V320" s="28"/>
      <c r="W320" s="77"/>
      <c r="X320" s="77"/>
      <c r="Y320" s="77"/>
      <c r="Z320" s="3"/>
      <c r="AA320" s="3"/>
      <c r="AB320" s="3"/>
    </row>
    <row r="321" spans="1:28" ht="14">
      <c r="A321" s="3"/>
      <c r="B321" s="3"/>
      <c r="C321" s="3"/>
      <c r="D321" s="3"/>
      <c r="E321" s="3"/>
      <c r="F321" s="3"/>
      <c r="G321" s="3"/>
      <c r="H321" s="3"/>
      <c r="I321" s="3"/>
      <c r="J321" s="3"/>
      <c r="K321" s="3"/>
      <c r="L321" s="3"/>
      <c r="M321" s="3"/>
      <c r="N321" s="3"/>
      <c r="O321" s="3"/>
      <c r="P321" s="3"/>
      <c r="Q321" s="48"/>
      <c r="R321" s="3"/>
      <c r="S321" s="3"/>
      <c r="T321" s="3"/>
      <c r="U321" s="28"/>
      <c r="V321" s="28"/>
      <c r="W321" s="77"/>
      <c r="X321" s="77"/>
      <c r="Y321" s="77"/>
      <c r="Z321" s="3"/>
      <c r="AA321" s="3"/>
      <c r="AB321" s="3"/>
    </row>
    <row r="322" spans="1:28" ht="14">
      <c r="A322" s="3"/>
      <c r="B322" s="3"/>
      <c r="C322" s="3"/>
      <c r="D322" s="3"/>
      <c r="E322" s="3"/>
      <c r="F322" s="3"/>
      <c r="G322" s="3"/>
      <c r="H322" s="3"/>
      <c r="I322" s="3"/>
      <c r="J322" s="3"/>
      <c r="K322" s="3"/>
      <c r="L322" s="3"/>
      <c r="M322" s="3"/>
      <c r="N322" s="3"/>
      <c r="O322" s="3"/>
      <c r="P322" s="3"/>
      <c r="Q322" s="48"/>
      <c r="R322" s="3"/>
      <c r="S322" s="3"/>
      <c r="T322" s="3"/>
      <c r="U322" s="28"/>
      <c r="V322" s="28"/>
      <c r="W322" s="77"/>
      <c r="X322" s="77"/>
      <c r="Y322" s="77"/>
      <c r="Z322" s="3"/>
      <c r="AA322" s="3"/>
      <c r="AB322" s="3"/>
    </row>
    <row r="323" spans="1:28" ht="14">
      <c r="A323" s="3"/>
      <c r="B323" s="3"/>
      <c r="C323" s="3"/>
      <c r="D323" s="3"/>
      <c r="E323" s="3"/>
      <c r="F323" s="3"/>
      <c r="G323" s="3"/>
      <c r="H323" s="3"/>
      <c r="I323" s="3"/>
      <c r="J323" s="3"/>
      <c r="K323" s="3"/>
      <c r="L323" s="3"/>
      <c r="M323" s="3"/>
      <c r="N323" s="3"/>
      <c r="O323" s="3"/>
      <c r="P323" s="3"/>
      <c r="Q323" s="48"/>
      <c r="R323" s="3"/>
      <c r="S323" s="3"/>
      <c r="T323" s="3"/>
      <c r="U323" s="28"/>
      <c r="V323" s="28"/>
      <c r="W323" s="77"/>
      <c r="X323" s="77"/>
      <c r="Y323" s="77"/>
      <c r="Z323" s="3"/>
      <c r="AA323" s="3"/>
      <c r="AB323" s="3"/>
    </row>
    <row r="324" spans="1:28" ht="14">
      <c r="A324" s="3"/>
      <c r="B324" s="3"/>
      <c r="C324" s="3"/>
      <c r="D324" s="3"/>
      <c r="E324" s="3"/>
      <c r="F324" s="3"/>
      <c r="G324" s="3"/>
      <c r="H324" s="3"/>
      <c r="I324" s="3"/>
      <c r="J324" s="3"/>
      <c r="K324" s="3"/>
      <c r="L324" s="3"/>
      <c r="M324" s="3"/>
      <c r="N324" s="3"/>
      <c r="O324" s="3"/>
      <c r="P324" s="3"/>
      <c r="Q324" s="48"/>
      <c r="R324" s="3"/>
      <c r="S324" s="3"/>
      <c r="T324" s="3"/>
      <c r="U324" s="28"/>
      <c r="V324" s="28"/>
      <c r="W324" s="77"/>
      <c r="X324" s="77"/>
      <c r="Y324" s="77"/>
      <c r="Z324" s="3"/>
      <c r="AA324" s="3"/>
      <c r="AB324" s="3"/>
    </row>
    <row r="325" spans="1:28" ht="14">
      <c r="A325" s="3"/>
      <c r="B325" s="3"/>
      <c r="C325" s="3"/>
      <c r="D325" s="3"/>
      <c r="E325" s="3"/>
      <c r="F325" s="3"/>
      <c r="G325" s="3"/>
      <c r="H325" s="3"/>
      <c r="I325" s="3"/>
      <c r="J325" s="3"/>
      <c r="K325" s="3"/>
      <c r="L325" s="3"/>
      <c r="M325" s="3"/>
      <c r="N325" s="3"/>
      <c r="O325" s="3"/>
      <c r="P325" s="3"/>
      <c r="Q325" s="48"/>
      <c r="R325" s="3"/>
      <c r="S325" s="3"/>
      <c r="T325" s="3"/>
      <c r="U325" s="28"/>
      <c r="V325" s="28"/>
      <c r="W325" s="77"/>
      <c r="X325" s="77"/>
      <c r="Y325" s="77"/>
      <c r="Z325" s="3"/>
      <c r="AA325" s="3"/>
      <c r="AB325" s="3"/>
    </row>
    <row r="326" spans="1:28" ht="14">
      <c r="A326" s="3"/>
      <c r="B326" s="3"/>
      <c r="C326" s="3"/>
      <c r="D326" s="3"/>
      <c r="E326" s="3"/>
      <c r="F326" s="3"/>
      <c r="G326" s="3"/>
      <c r="H326" s="3"/>
      <c r="I326" s="3"/>
      <c r="J326" s="3"/>
      <c r="K326" s="3"/>
      <c r="L326" s="3"/>
      <c r="M326" s="3"/>
      <c r="N326" s="3"/>
      <c r="O326" s="3"/>
      <c r="P326" s="3"/>
      <c r="Q326" s="48"/>
      <c r="R326" s="3"/>
      <c r="S326" s="3"/>
      <c r="T326" s="3"/>
      <c r="U326" s="28"/>
      <c r="V326" s="28"/>
      <c r="W326" s="77"/>
      <c r="X326" s="77"/>
      <c r="Y326" s="77"/>
      <c r="Z326" s="3"/>
      <c r="AA326" s="3"/>
      <c r="AB326" s="3"/>
    </row>
    <row r="327" spans="1:28" ht="14">
      <c r="A327" s="3"/>
      <c r="B327" s="3"/>
      <c r="C327" s="3"/>
      <c r="D327" s="3"/>
      <c r="E327" s="3"/>
      <c r="F327" s="3"/>
      <c r="G327" s="3"/>
      <c r="H327" s="3"/>
      <c r="I327" s="3"/>
      <c r="J327" s="3"/>
      <c r="K327" s="3"/>
      <c r="L327" s="3"/>
      <c r="M327" s="3"/>
      <c r="N327" s="3"/>
      <c r="O327" s="3"/>
      <c r="P327" s="3"/>
      <c r="Q327" s="48"/>
      <c r="R327" s="3"/>
      <c r="S327" s="3"/>
      <c r="T327" s="3"/>
      <c r="U327" s="28"/>
      <c r="V327" s="28"/>
      <c r="W327" s="77"/>
      <c r="X327" s="77"/>
      <c r="Y327" s="77"/>
      <c r="Z327" s="3"/>
      <c r="AA327" s="3"/>
      <c r="AB327" s="3"/>
    </row>
    <row r="328" spans="1:28" ht="14">
      <c r="A328" s="3"/>
      <c r="B328" s="3"/>
      <c r="C328" s="3"/>
      <c r="D328" s="3"/>
      <c r="E328" s="3"/>
      <c r="F328" s="3"/>
      <c r="G328" s="3"/>
      <c r="H328" s="3"/>
      <c r="I328" s="3"/>
      <c r="J328" s="3"/>
      <c r="K328" s="3"/>
      <c r="L328" s="3"/>
      <c r="M328" s="3"/>
      <c r="N328" s="3"/>
      <c r="O328" s="3"/>
      <c r="P328" s="3"/>
      <c r="Q328" s="48"/>
      <c r="R328" s="3"/>
      <c r="S328" s="3"/>
      <c r="T328" s="3"/>
      <c r="U328" s="28"/>
      <c r="V328" s="28"/>
      <c r="W328" s="77"/>
      <c r="X328" s="77"/>
      <c r="Y328" s="77"/>
      <c r="Z328" s="3"/>
      <c r="AA328" s="3"/>
      <c r="AB328" s="3"/>
    </row>
    <row r="329" spans="1:28" ht="14">
      <c r="A329" s="3"/>
      <c r="B329" s="3"/>
      <c r="C329" s="3"/>
      <c r="D329" s="3"/>
      <c r="E329" s="3"/>
      <c r="F329" s="3"/>
      <c r="G329" s="3"/>
      <c r="H329" s="3"/>
      <c r="I329" s="3"/>
      <c r="J329" s="3"/>
      <c r="K329" s="3"/>
      <c r="L329" s="3"/>
      <c r="M329" s="3"/>
      <c r="N329" s="3"/>
      <c r="O329" s="3"/>
      <c r="P329" s="3"/>
      <c r="Q329" s="48"/>
      <c r="R329" s="3"/>
      <c r="S329" s="3"/>
      <c r="T329" s="3"/>
      <c r="U329" s="28"/>
      <c r="V329" s="28"/>
      <c r="W329" s="77"/>
      <c r="X329" s="77"/>
      <c r="Y329" s="77"/>
      <c r="Z329" s="3"/>
      <c r="AA329" s="3"/>
      <c r="AB329" s="3"/>
    </row>
    <row r="330" spans="1:28" ht="14">
      <c r="A330" s="3"/>
      <c r="B330" s="3"/>
      <c r="C330" s="3"/>
      <c r="D330" s="3"/>
      <c r="E330" s="3"/>
      <c r="F330" s="3"/>
      <c r="G330" s="3"/>
      <c r="H330" s="3"/>
      <c r="I330" s="3"/>
      <c r="J330" s="3"/>
      <c r="K330" s="3"/>
      <c r="L330" s="3"/>
      <c r="M330" s="3"/>
      <c r="N330" s="3"/>
      <c r="O330" s="3"/>
      <c r="P330" s="3"/>
      <c r="Q330" s="48"/>
      <c r="R330" s="3"/>
      <c r="S330" s="3"/>
      <c r="T330" s="3"/>
      <c r="U330" s="28"/>
      <c r="V330" s="28"/>
      <c r="W330" s="77"/>
      <c r="X330" s="77"/>
      <c r="Y330" s="77"/>
      <c r="Z330" s="3"/>
      <c r="AA330" s="3"/>
      <c r="AB330" s="3"/>
    </row>
    <row r="331" spans="1:28" ht="14">
      <c r="A331" s="3"/>
      <c r="B331" s="3"/>
      <c r="C331" s="3"/>
      <c r="D331" s="3"/>
      <c r="E331" s="3"/>
      <c r="F331" s="3"/>
      <c r="G331" s="3"/>
      <c r="H331" s="3"/>
      <c r="I331" s="3"/>
      <c r="J331" s="3"/>
      <c r="K331" s="3"/>
      <c r="L331" s="3"/>
      <c r="M331" s="3"/>
      <c r="N331" s="3"/>
      <c r="O331" s="3"/>
      <c r="P331" s="3"/>
      <c r="Q331" s="48"/>
      <c r="R331" s="3"/>
      <c r="S331" s="3"/>
      <c r="T331" s="3"/>
      <c r="U331" s="28"/>
      <c r="V331" s="28"/>
      <c r="W331" s="77"/>
      <c r="X331" s="77"/>
      <c r="Y331" s="77"/>
      <c r="Z331" s="3"/>
      <c r="AA331" s="3"/>
      <c r="AB331" s="3"/>
    </row>
    <row r="332" spans="1:28" ht="14">
      <c r="A332" s="3"/>
      <c r="B332" s="3"/>
      <c r="C332" s="3"/>
      <c r="D332" s="3"/>
      <c r="E332" s="3"/>
      <c r="F332" s="3"/>
      <c r="G332" s="3"/>
      <c r="H332" s="3"/>
      <c r="I332" s="3"/>
      <c r="J332" s="3"/>
      <c r="K332" s="3"/>
      <c r="L332" s="3"/>
      <c r="M332" s="3"/>
      <c r="N332" s="3"/>
      <c r="O332" s="3"/>
      <c r="P332" s="3"/>
      <c r="Q332" s="48"/>
      <c r="R332" s="3"/>
      <c r="S332" s="3"/>
      <c r="T332" s="3"/>
      <c r="U332" s="28"/>
      <c r="V332" s="28"/>
      <c r="W332" s="77"/>
      <c r="X332" s="77"/>
      <c r="Y332" s="77"/>
      <c r="Z332" s="3"/>
      <c r="AA332" s="3"/>
      <c r="AB332" s="3"/>
    </row>
    <row r="333" spans="1:28" ht="14">
      <c r="A333" s="3"/>
      <c r="B333" s="3"/>
      <c r="C333" s="3"/>
      <c r="D333" s="3"/>
      <c r="E333" s="3"/>
      <c r="F333" s="3"/>
      <c r="G333" s="3"/>
      <c r="H333" s="3"/>
      <c r="I333" s="3"/>
      <c r="J333" s="3"/>
      <c r="K333" s="3"/>
      <c r="L333" s="3"/>
      <c r="M333" s="3"/>
      <c r="N333" s="3"/>
      <c r="O333" s="3"/>
      <c r="P333" s="3"/>
      <c r="Q333" s="48"/>
      <c r="R333" s="3"/>
      <c r="S333" s="3"/>
      <c r="T333" s="3"/>
      <c r="U333" s="28"/>
      <c r="V333" s="28"/>
      <c r="W333" s="77"/>
      <c r="X333" s="77"/>
      <c r="Y333" s="77"/>
      <c r="Z333" s="3"/>
      <c r="AA333" s="3"/>
      <c r="AB333" s="3"/>
    </row>
    <row r="334" spans="1:28" ht="14">
      <c r="A334" s="3"/>
      <c r="B334" s="3"/>
      <c r="C334" s="3"/>
      <c r="D334" s="3"/>
      <c r="E334" s="3"/>
      <c r="F334" s="3"/>
      <c r="G334" s="3"/>
      <c r="H334" s="3"/>
      <c r="I334" s="3"/>
      <c r="J334" s="3"/>
      <c r="K334" s="3"/>
      <c r="L334" s="3"/>
      <c r="M334" s="3"/>
      <c r="N334" s="3"/>
      <c r="O334" s="3"/>
      <c r="P334" s="3"/>
      <c r="Q334" s="48"/>
      <c r="R334" s="3"/>
      <c r="S334" s="3"/>
      <c r="T334" s="3"/>
      <c r="U334" s="28"/>
      <c r="V334" s="28"/>
      <c r="W334" s="77"/>
      <c r="X334" s="77"/>
      <c r="Y334" s="77"/>
      <c r="Z334" s="3"/>
      <c r="AA334" s="3"/>
      <c r="AB334" s="3"/>
    </row>
    <row r="335" spans="1:28" ht="14">
      <c r="A335" s="3"/>
      <c r="B335" s="3"/>
      <c r="C335" s="3"/>
      <c r="D335" s="3"/>
      <c r="E335" s="3"/>
      <c r="F335" s="3"/>
      <c r="G335" s="3"/>
      <c r="H335" s="3"/>
      <c r="I335" s="3"/>
      <c r="J335" s="3"/>
      <c r="K335" s="3"/>
      <c r="L335" s="3"/>
      <c r="M335" s="3"/>
      <c r="N335" s="3"/>
      <c r="O335" s="3"/>
      <c r="P335" s="3"/>
      <c r="Q335" s="48"/>
      <c r="R335" s="3"/>
      <c r="S335" s="3"/>
      <c r="T335" s="3"/>
      <c r="U335" s="28"/>
      <c r="V335" s="28"/>
      <c r="W335" s="77"/>
      <c r="X335" s="77"/>
      <c r="Y335" s="77"/>
      <c r="Z335" s="3"/>
      <c r="AA335" s="3"/>
      <c r="AB335" s="3"/>
    </row>
    <row r="336" spans="1:28" ht="14">
      <c r="A336" s="3"/>
      <c r="B336" s="3"/>
      <c r="C336" s="3"/>
      <c r="D336" s="3"/>
      <c r="E336" s="3"/>
      <c r="F336" s="3"/>
      <c r="G336" s="3"/>
      <c r="H336" s="3"/>
      <c r="I336" s="3"/>
      <c r="J336" s="3"/>
      <c r="K336" s="3"/>
      <c r="L336" s="3"/>
      <c r="M336" s="3"/>
      <c r="N336" s="3"/>
      <c r="O336" s="3"/>
      <c r="P336" s="3"/>
      <c r="Q336" s="48"/>
      <c r="R336" s="3"/>
      <c r="S336" s="3"/>
      <c r="T336" s="3"/>
      <c r="U336" s="28"/>
      <c r="V336" s="28"/>
      <c r="W336" s="77"/>
      <c r="X336" s="77"/>
      <c r="Y336" s="77"/>
      <c r="Z336" s="3"/>
      <c r="AA336" s="3"/>
      <c r="AB336" s="3"/>
    </row>
    <row r="337" spans="1:28" ht="14">
      <c r="A337" s="3"/>
      <c r="B337" s="3"/>
      <c r="C337" s="3"/>
      <c r="D337" s="3"/>
      <c r="E337" s="3"/>
      <c r="F337" s="3"/>
      <c r="G337" s="3"/>
      <c r="H337" s="3"/>
      <c r="I337" s="3"/>
      <c r="J337" s="3"/>
      <c r="K337" s="3"/>
      <c r="L337" s="3"/>
      <c r="M337" s="3"/>
      <c r="N337" s="3"/>
      <c r="O337" s="3"/>
      <c r="P337" s="3"/>
      <c r="Q337" s="48"/>
      <c r="R337" s="3"/>
      <c r="S337" s="3"/>
      <c r="T337" s="3"/>
      <c r="U337" s="28"/>
      <c r="V337" s="28"/>
      <c r="W337" s="77"/>
      <c r="X337" s="77"/>
      <c r="Y337" s="77"/>
      <c r="Z337" s="3"/>
      <c r="AA337" s="3"/>
      <c r="AB337" s="3"/>
    </row>
    <row r="338" spans="1:28" ht="14">
      <c r="A338" s="3"/>
      <c r="B338" s="3"/>
      <c r="C338" s="3"/>
      <c r="D338" s="3"/>
      <c r="E338" s="3"/>
      <c r="F338" s="3"/>
      <c r="G338" s="3"/>
      <c r="H338" s="3"/>
      <c r="I338" s="3"/>
      <c r="J338" s="3"/>
      <c r="K338" s="3"/>
      <c r="L338" s="3"/>
      <c r="M338" s="3"/>
      <c r="N338" s="3"/>
      <c r="O338" s="3"/>
      <c r="P338" s="3"/>
      <c r="Q338" s="48"/>
      <c r="R338" s="3"/>
      <c r="S338" s="3"/>
      <c r="T338" s="3"/>
      <c r="U338" s="28"/>
      <c r="V338" s="28"/>
      <c r="W338" s="77"/>
      <c r="X338" s="77"/>
      <c r="Y338" s="77"/>
      <c r="Z338" s="3"/>
      <c r="AA338" s="3"/>
      <c r="AB338" s="3"/>
    </row>
    <row r="339" spans="1:28" ht="14">
      <c r="A339" s="3"/>
      <c r="B339" s="3"/>
      <c r="C339" s="3"/>
      <c r="D339" s="3"/>
      <c r="E339" s="3"/>
      <c r="F339" s="3"/>
      <c r="G339" s="3"/>
      <c r="H339" s="3"/>
      <c r="I339" s="3"/>
      <c r="J339" s="3"/>
      <c r="K339" s="3"/>
      <c r="L339" s="3"/>
      <c r="M339" s="3"/>
      <c r="N339" s="3"/>
      <c r="O339" s="3"/>
      <c r="P339" s="3"/>
      <c r="Q339" s="48"/>
      <c r="R339" s="3"/>
      <c r="S339" s="3"/>
      <c r="T339" s="3"/>
      <c r="U339" s="28"/>
      <c r="V339" s="28"/>
      <c r="W339" s="77"/>
      <c r="X339" s="77"/>
      <c r="Y339" s="77"/>
      <c r="Z339" s="3"/>
      <c r="AA339" s="3"/>
      <c r="AB339" s="3"/>
    </row>
    <row r="340" spans="1:28" ht="14">
      <c r="A340" s="3"/>
      <c r="B340" s="3"/>
      <c r="C340" s="3"/>
      <c r="D340" s="3"/>
      <c r="E340" s="3"/>
      <c r="F340" s="3"/>
      <c r="G340" s="3"/>
      <c r="H340" s="3"/>
      <c r="I340" s="3"/>
      <c r="J340" s="3"/>
      <c r="K340" s="3"/>
      <c r="L340" s="3"/>
      <c r="M340" s="3"/>
      <c r="N340" s="3"/>
      <c r="O340" s="3"/>
      <c r="P340" s="3"/>
      <c r="Q340" s="48"/>
      <c r="R340" s="3"/>
      <c r="S340" s="3"/>
      <c r="T340" s="3"/>
      <c r="U340" s="28"/>
      <c r="V340" s="28"/>
      <c r="W340" s="77"/>
      <c r="X340" s="77"/>
      <c r="Y340" s="77"/>
      <c r="Z340" s="3"/>
      <c r="AA340" s="3"/>
      <c r="AB340" s="3"/>
    </row>
    <row r="341" spans="1:28" ht="14">
      <c r="A341" s="3"/>
      <c r="B341" s="3"/>
      <c r="C341" s="3"/>
      <c r="D341" s="3"/>
      <c r="E341" s="3"/>
      <c r="F341" s="3"/>
      <c r="G341" s="3"/>
      <c r="H341" s="3"/>
      <c r="I341" s="3"/>
      <c r="J341" s="3"/>
      <c r="K341" s="3"/>
      <c r="L341" s="3"/>
      <c r="M341" s="3"/>
      <c r="N341" s="3"/>
      <c r="O341" s="3"/>
      <c r="P341" s="3"/>
      <c r="Q341" s="48"/>
      <c r="R341" s="3"/>
      <c r="S341" s="3"/>
      <c r="T341" s="3"/>
      <c r="U341" s="28"/>
      <c r="V341" s="28"/>
      <c r="W341" s="77"/>
      <c r="X341" s="77"/>
      <c r="Y341" s="77"/>
      <c r="Z341" s="3"/>
      <c r="AA341" s="3"/>
      <c r="AB341" s="3"/>
    </row>
    <row r="342" spans="1:28" ht="14">
      <c r="A342" s="3"/>
      <c r="B342" s="3"/>
      <c r="C342" s="3"/>
      <c r="D342" s="3"/>
      <c r="E342" s="3"/>
      <c r="F342" s="3"/>
      <c r="G342" s="3"/>
      <c r="H342" s="3"/>
      <c r="I342" s="3"/>
      <c r="J342" s="3"/>
      <c r="K342" s="3"/>
      <c r="L342" s="3"/>
      <c r="M342" s="3"/>
      <c r="N342" s="3"/>
      <c r="O342" s="3"/>
      <c r="P342" s="3"/>
      <c r="Q342" s="48"/>
      <c r="R342" s="3"/>
      <c r="S342" s="3"/>
      <c r="T342" s="3"/>
      <c r="U342" s="28"/>
      <c r="V342" s="28"/>
      <c r="W342" s="77"/>
      <c r="X342" s="77"/>
      <c r="Y342" s="77"/>
      <c r="Z342" s="3"/>
      <c r="AA342" s="3"/>
      <c r="AB342" s="3"/>
    </row>
    <row r="343" spans="1:28" ht="14">
      <c r="A343" s="3"/>
      <c r="B343" s="3"/>
      <c r="C343" s="3"/>
      <c r="D343" s="3"/>
      <c r="E343" s="3"/>
      <c r="F343" s="3"/>
      <c r="G343" s="3"/>
      <c r="H343" s="3"/>
      <c r="I343" s="3"/>
      <c r="J343" s="3"/>
      <c r="K343" s="3"/>
      <c r="L343" s="3"/>
      <c r="M343" s="3"/>
      <c r="N343" s="3"/>
      <c r="O343" s="3"/>
      <c r="P343" s="3"/>
      <c r="Q343" s="48"/>
      <c r="R343" s="3"/>
      <c r="S343" s="3"/>
      <c r="T343" s="3"/>
      <c r="U343" s="28"/>
      <c r="V343" s="28"/>
      <c r="W343" s="77"/>
      <c r="X343" s="77"/>
      <c r="Y343" s="77"/>
      <c r="Z343" s="3"/>
      <c r="AA343" s="3"/>
      <c r="AB343" s="3"/>
    </row>
    <row r="344" spans="1:28" ht="14">
      <c r="A344" s="3"/>
      <c r="B344" s="3"/>
      <c r="C344" s="3"/>
      <c r="D344" s="3"/>
      <c r="E344" s="3"/>
      <c r="F344" s="3"/>
      <c r="G344" s="3"/>
      <c r="H344" s="3"/>
      <c r="I344" s="3"/>
      <c r="J344" s="3"/>
      <c r="K344" s="3"/>
      <c r="L344" s="3"/>
      <c r="M344" s="3"/>
      <c r="N344" s="3"/>
      <c r="O344" s="3"/>
      <c r="P344" s="3"/>
      <c r="Q344" s="48"/>
      <c r="R344" s="3"/>
      <c r="S344" s="3"/>
      <c r="T344" s="3"/>
      <c r="U344" s="28"/>
      <c r="V344" s="28"/>
      <c r="W344" s="77"/>
      <c r="X344" s="77"/>
      <c r="Y344" s="77"/>
      <c r="Z344" s="3"/>
      <c r="AA344" s="3"/>
      <c r="AB344" s="3"/>
    </row>
    <row r="345" spans="1:28" ht="14">
      <c r="A345" s="3"/>
      <c r="B345" s="3"/>
      <c r="C345" s="3"/>
      <c r="D345" s="3"/>
      <c r="E345" s="3"/>
      <c r="F345" s="3"/>
      <c r="G345" s="3"/>
      <c r="H345" s="3"/>
      <c r="I345" s="3"/>
      <c r="J345" s="3"/>
      <c r="K345" s="3"/>
      <c r="L345" s="3"/>
      <c r="M345" s="3"/>
      <c r="N345" s="3"/>
      <c r="O345" s="3"/>
      <c r="P345" s="3"/>
      <c r="Q345" s="48"/>
      <c r="R345" s="3"/>
      <c r="S345" s="3"/>
      <c r="T345" s="3"/>
      <c r="U345" s="28"/>
      <c r="V345" s="28"/>
      <c r="W345" s="77"/>
      <c r="X345" s="77"/>
      <c r="Y345" s="77"/>
      <c r="Z345" s="3"/>
      <c r="AA345" s="3"/>
      <c r="AB345" s="3"/>
    </row>
    <row r="346" spans="1:28" ht="14">
      <c r="A346" s="3"/>
      <c r="B346" s="3"/>
      <c r="C346" s="3"/>
      <c r="D346" s="3"/>
      <c r="E346" s="3"/>
      <c r="F346" s="3"/>
      <c r="G346" s="3"/>
      <c r="H346" s="3"/>
      <c r="I346" s="3"/>
      <c r="J346" s="3"/>
      <c r="K346" s="3"/>
      <c r="L346" s="3"/>
      <c r="M346" s="3"/>
      <c r="N346" s="3"/>
      <c r="O346" s="3"/>
      <c r="P346" s="3"/>
      <c r="Q346" s="48"/>
      <c r="R346" s="3"/>
      <c r="S346" s="3"/>
      <c r="T346" s="3"/>
      <c r="U346" s="28"/>
      <c r="V346" s="28"/>
      <c r="W346" s="77"/>
      <c r="X346" s="77"/>
      <c r="Y346" s="77"/>
      <c r="Z346" s="3"/>
      <c r="AA346" s="3"/>
      <c r="AB346" s="3"/>
    </row>
    <row r="347" spans="1:28" ht="14">
      <c r="A347" s="3"/>
      <c r="B347" s="3"/>
      <c r="C347" s="3"/>
      <c r="D347" s="3"/>
      <c r="E347" s="3"/>
      <c r="F347" s="3"/>
      <c r="G347" s="3"/>
      <c r="H347" s="3"/>
      <c r="I347" s="3"/>
      <c r="J347" s="3"/>
      <c r="K347" s="3"/>
      <c r="L347" s="3"/>
      <c r="M347" s="3"/>
      <c r="N347" s="3"/>
      <c r="O347" s="3"/>
      <c r="P347" s="3"/>
      <c r="Q347" s="48"/>
      <c r="R347" s="3"/>
      <c r="S347" s="3"/>
      <c r="T347" s="3"/>
      <c r="U347" s="28"/>
      <c r="V347" s="28"/>
      <c r="W347" s="77"/>
      <c r="X347" s="77"/>
      <c r="Y347" s="77"/>
      <c r="Z347" s="3"/>
      <c r="AA347" s="3"/>
      <c r="AB347" s="3"/>
    </row>
    <row r="348" spans="1:28" ht="14">
      <c r="A348" s="3"/>
      <c r="B348" s="3"/>
      <c r="C348" s="3"/>
      <c r="D348" s="3"/>
      <c r="E348" s="3"/>
      <c r="F348" s="3"/>
      <c r="G348" s="3"/>
      <c r="H348" s="3"/>
      <c r="I348" s="3"/>
      <c r="J348" s="3"/>
      <c r="K348" s="3"/>
      <c r="L348" s="3"/>
      <c r="M348" s="3"/>
      <c r="N348" s="3"/>
      <c r="O348" s="3"/>
      <c r="P348" s="3"/>
      <c r="Q348" s="48"/>
      <c r="R348" s="3"/>
      <c r="S348" s="3"/>
      <c r="T348" s="3"/>
      <c r="U348" s="28"/>
      <c r="V348" s="28"/>
      <c r="W348" s="77"/>
      <c r="X348" s="77"/>
      <c r="Y348" s="77"/>
      <c r="Z348" s="3"/>
      <c r="AA348" s="3"/>
      <c r="AB348" s="3"/>
    </row>
    <row r="349" spans="1:28" ht="14">
      <c r="A349" s="3"/>
      <c r="B349" s="3"/>
      <c r="C349" s="3"/>
      <c r="D349" s="3"/>
      <c r="E349" s="3"/>
      <c r="F349" s="3"/>
      <c r="G349" s="3"/>
      <c r="H349" s="3"/>
      <c r="I349" s="3"/>
      <c r="J349" s="3"/>
      <c r="K349" s="3"/>
      <c r="L349" s="3"/>
      <c r="M349" s="3"/>
      <c r="N349" s="3"/>
      <c r="O349" s="3"/>
      <c r="P349" s="3"/>
      <c r="Q349" s="48"/>
      <c r="R349" s="3"/>
      <c r="S349" s="3"/>
      <c r="T349" s="3"/>
      <c r="U349" s="28"/>
      <c r="V349" s="28"/>
      <c r="W349" s="77"/>
      <c r="X349" s="77"/>
      <c r="Y349" s="77"/>
      <c r="Z349" s="3"/>
      <c r="AA349" s="3"/>
      <c r="AB349" s="3"/>
    </row>
    <row r="350" spans="1:28" ht="14">
      <c r="A350" s="3"/>
      <c r="B350" s="3"/>
      <c r="C350" s="3"/>
      <c r="D350" s="3"/>
      <c r="E350" s="3"/>
      <c r="F350" s="3"/>
      <c r="G350" s="3"/>
      <c r="H350" s="3"/>
      <c r="I350" s="3"/>
      <c r="J350" s="3"/>
      <c r="K350" s="3"/>
      <c r="L350" s="3"/>
      <c r="M350" s="3"/>
      <c r="N350" s="3"/>
      <c r="O350" s="3"/>
      <c r="P350" s="3"/>
      <c r="Q350" s="48"/>
      <c r="R350" s="3"/>
      <c r="S350" s="3"/>
      <c r="T350" s="3"/>
      <c r="U350" s="28"/>
      <c r="V350" s="28"/>
      <c r="W350" s="77"/>
      <c r="X350" s="77"/>
      <c r="Y350" s="77"/>
      <c r="Z350" s="3"/>
      <c r="AA350" s="3"/>
      <c r="AB350" s="3"/>
    </row>
    <row r="351" spans="1:28" ht="14">
      <c r="A351" s="3"/>
      <c r="B351" s="3"/>
      <c r="C351" s="3"/>
      <c r="D351" s="3"/>
      <c r="E351" s="3"/>
      <c r="F351" s="3"/>
      <c r="G351" s="3"/>
      <c r="H351" s="3"/>
      <c r="I351" s="3"/>
      <c r="J351" s="3"/>
      <c r="K351" s="3"/>
      <c r="L351" s="3"/>
      <c r="M351" s="3"/>
      <c r="N351" s="3"/>
      <c r="O351" s="3"/>
      <c r="P351" s="3"/>
      <c r="Q351" s="48"/>
      <c r="R351" s="3"/>
      <c r="S351" s="3"/>
      <c r="T351" s="3"/>
      <c r="U351" s="28"/>
      <c r="V351" s="28"/>
      <c r="W351" s="77"/>
      <c r="X351" s="77"/>
      <c r="Y351" s="77"/>
      <c r="Z351" s="3"/>
      <c r="AA351" s="3"/>
      <c r="AB351" s="3"/>
    </row>
    <row r="352" spans="1:28" ht="14">
      <c r="A352" s="3"/>
      <c r="B352" s="3"/>
      <c r="C352" s="3"/>
      <c r="D352" s="3"/>
      <c r="E352" s="3"/>
      <c r="F352" s="3"/>
      <c r="G352" s="3"/>
      <c r="H352" s="3"/>
      <c r="I352" s="3"/>
      <c r="J352" s="3"/>
      <c r="K352" s="3"/>
      <c r="L352" s="3"/>
      <c r="M352" s="3"/>
      <c r="N352" s="3"/>
      <c r="O352" s="3"/>
      <c r="P352" s="3"/>
      <c r="Q352" s="48"/>
      <c r="R352" s="3"/>
      <c r="S352" s="3"/>
      <c r="T352" s="3"/>
      <c r="U352" s="28"/>
      <c r="V352" s="28"/>
      <c r="W352" s="77"/>
      <c r="X352" s="77"/>
      <c r="Y352" s="77"/>
      <c r="Z352" s="3"/>
      <c r="AA352" s="3"/>
      <c r="AB352" s="3"/>
    </row>
    <row r="353" spans="1:28" ht="14">
      <c r="A353" s="3"/>
      <c r="B353" s="3"/>
      <c r="C353" s="3"/>
      <c r="D353" s="3"/>
      <c r="E353" s="3"/>
      <c r="F353" s="3"/>
      <c r="G353" s="3"/>
      <c r="H353" s="3"/>
      <c r="I353" s="3"/>
      <c r="J353" s="3"/>
      <c r="K353" s="3"/>
      <c r="L353" s="3"/>
      <c r="M353" s="3"/>
      <c r="N353" s="3"/>
      <c r="O353" s="3"/>
      <c r="P353" s="3"/>
      <c r="Q353" s="48"/>
      <c r="R353" s="3"/>
      <c r="S353" s="3"/>
      <c r="T353" s="3"/>
      <c r="U353" s="28"/>
      <c r="V353" s="28"/>
      <c r="W353" s="77"/>
      <c r="X353" s="77"/>
      <c r="Y353" s="77"/>
      <c r="Z353" s="3"/>
      <c r="AA353" s="3"/>
      <c r="AB353" s="3"/>
    </row>
    <row r="354" spans="1:28" ht="14">
      <c r="A354" s="3"/>
      <c r="B354" s="3"/>
      <c r="C354" s="3"/>
      <c r="D354" s="3"/>
      <c r="E354" s="3"/>
      <c r="F354" s="3"/>
      <c r="G354" s="3"/>
      <c r="H354" s="3"/>
      <c r="I354" s="3"/>
      <c r="J354" s="3"/>
      <c r="K354" s="3"/>
      <c r="L354" s="3"/>
      <c r="M354" s="3"/>
      <c r="N354" s="3"/>
      <c r="O354" s="3"/>
      <c r="P354" s="3"/>
      <c r="Q354" s="48"/>
      <c r="R354" s="3"/>
      <c r="S354" s="3"/>
      <c r="T354" s="3"/>
      <c r="U354" s="28"/>
      <c r="V354" s="28"/>
      <c r="W354" s="77"/>
      <c r="X354" s="77"/>
      <c r="Y354" s="77"/>
      <c r="Z354" s="3"/>
      <c r="AA354" s="3"/>
      <c r="AB354" s="3"/>
    </row>
    <row r="355" spans="1:28" ht="14">
      <c r="A355" s="3"/>
      <c r="B355" s="3"/>
      <c r="C355" s="3"/>
      <c r="D355" s="3"/>
      <c r="E355" s="3"/>
      <c r="F355" s="3"/>
      <c r="G355" s="3"/>
      <c r="H355" s="3"/>
      <c r="I355" s="3"/>
      <c r="J355" s="3"/>
      <c r="K355" s="3"/>
      <c r="L355" s="3"/>
      <c r="M355" s="3"/>
      <c r="N355" s="3"/>
      <c r="O355" s="3"/>
      <c r="P355" s="3"/>
      <c r="Q355" s="48"/>
      <c r="R355" s="3"/>
      <c r="S355" s="3"/>
      <c r="T355" s="3"/>
      <c r="U355" s="28"/>
      <c r="V355" s="28"/>
      <c r="W355" s="77"/>
      <c r="X355" s="77"/>
      <c r="Y355" s="77"/>
      <c r="Z355" s="3"/>
      <c r="AA355" s="3"/>
      <c r="AB355" s="3"/>
    </row>
    <row r="356" spans="1:28" ht="14">
      <c r="A356" s="3"/>
      <c r="B356" s="3"/>
      <c r="C356" s="3"/>
      <c r="D356" s="3"/>
      <c r="E356" s="3"/>
      <c r="F356" s="3"/>
      <c r="G356" s="3"/>
      <c r="H356" s="3"/>
      <c r="I356" s="3"/>
      <c r="J356" s="3"/>
      <c r="K356" s="3"/>
      <c r="L356" s="3"/>
      <c r="M356" s="3"/>
      <c r="N356" s="3"/>
      <c r="O356" s="3"/>
      <c r="P356" s="3"/>
      <c r="Q356" s="48"/>
      <c r="R356" s="3"/>
      <c r="S356" s="3"/>
      <c r="T356" s="3"/>
      <c r="U356" s="28"/>
      <c r="V356" s="28"/>
      <c r="W356" s="77"/>
      <c r="X356" s="77"/>
      <c r="Y356" s="77"/>
      <c r="Z356" s="3"/>
      <c r="AA356" s="3"/>
      <c r="AB356" s="3"/>
    </row>
    <row r="357" spans="1:28" ht="14">
      <c r="A357" s="3"/>
      <c r="B357" s="3"/>
      <c r="C357" s="3"/>
      <c r="D357" s="3"/>
      <c r="E357" s="3"/>
      <c r="F357" s="3"/>
      <c r="G357" s="3"/>
      <c r="H357" s="3"/>
      <c r="I357" s="3"/>
      <c r="J357" s="3"/>
      <c r="K357" s="3"/>
      <c r="L357" s="3"/>
      <c r="M357" s="3"/>
      <c r="N357" s="3"/>
      <c r="O357" s="3"/>
      <c r="P357" s="3"/>
      <c r="Q357" s="48"/>
      <c r="R357" s="3"/>
      <c r="S357" s="3"/>
      <c r="T357" s="3"/>
      <c r="U357" s="28"/>
      <c r="V357" s="28"/>
      <c r="W357" s="77"/>
      <c r="X357" s="77"/>
      <c r="Y357" s="77"/>
      <c r="Z357" s="3"/>
      <c r="AA357" s="3"/>
      <c r="AB357" s="3"/>
    </row>
    <row r="358" spans="1:28" ht="14">
      <c r="A358" s="3"/>
      <c r="B358" s="3"/>
      <c r="C358" s="3"/>
      <c r="D358" s="3"/>
      <c r="E358" s="3"/>
      <c r="F358" s="3"/>
      <c r="G358" s="3"/>
      <c r="H358" s="3"/>
      <c r="I358" s="3"/>
      <c r="J358" s="3"/>
      <c r="K358" s="3"/>
      <c r="L358" s="3"/>
      <c r="M358" s="3"/>
      <c r="N358" s="3"/>
      <c r="O358" s="3"/>
      <c r="P358" s="3"/>
      <c r="Q358" s="48"/>
      <c r="R358" s="3"/>
      <c r="S358" s="3"/>
      <c r="T358" s="3"/>
      <c r="U358" s="28"/>
      <c r="V358" s="28"/>
      <c r="W358" s="77"/>
      <c r="X358" s="77"/>
      <c r="Y358" s="77"/>
      <c r="Z358" s="3"/>
      <c r="AA358" s="3"/>
      <c r="AB358" s="3"/>
    </row>
    <row r="359" spans="1:28" ht="14">
      <c r="A359" s="3"/>
      <c r="B359" s="3"/>
      <c r="C359" s="3"/>
      <c r="D359" s="3"/>
      <c r="E359" s="3"/>
      <c r="F359" s="3"/>
      <c r="G359" s="3"/>
      <c r="H359" s="3"/>
      <c r="I359" s="3"/>
      <c r="J359" s="3"/>
      <c r="K359" s="3"/>
      <c r="L359" s="3"/>
      <c r="M359" s="3"/>
      <c r="N359" s="3"/>
      <c r="O359" s="3"/>
      <c r="P359" s="3"/>
      <c r="Q359" s="48"/>
      <c r="R359" s="3"/>
      <c r="S359" s="3"/>
      <c r="T359" s="3"/>
      <c r="U359" s="28"/>
      <c r="V359" s="28"/>
      <c r="W359" s="77"/>
      <c r="X359" s="77"/>
      <c r="Y359" s="77"/>
      <c r="Z359" s="3"/>
      <c r="AA359" s="3"/>
      <c r="AB359" s="3"/>
    </row>
    <row r="360" spans="1:28" ht="14">
      <c r="A360" s="3"/>
      <c r="B360" s="3"/>
      <c r="C360" s="3"/>
      <c r="D360" s="3"/>
      <c r="E360" s="3"/>
      <c r="F360" s="3"/>
      <c r="G360" s="3"/>
      <c r="H360" s="3"/>
      <c r="I360" s="3"/>
      <c r="J360" s="3"/>
      <c r="K360" s="3"/>
      <c r="L360" s="3"/>
      <c r="M360" s="3"/>
      <c r="N360" s="3"/>
      <c r="O360" s="3"/>
      <c r="P360" s="3"/>
      <c r="Q360" s="48"/>
      <c r="R360" s="3"/>
      <c r="S360" s="3"/>
      <c r="T360" s="3"/>
      <c r="U360" s="28"/>
      <c r="V360" s="28"/>
      <c r="W360" s="77"/>
      <c r="X360" s="77"/>
      <c r="Y360" s="77"/>
      <c r="Z360" s="3"/>
      <c r="AA360" s="3"/>
      <c r="AB360" s="3"/>
    </row>
    <row r="361" spans="1:28" ht="14">
      <c r="A361" s="3"/>
      <c r="B361" s="3"/>
      <c r="C361" s="3"/>
      <c r="D361" s="3"/>
      <c r="E361" s="3"/>
      <c r="F361" s="3"/>
      <c r="G361" s="3"/>
      <c r="H361" s="3"/>
      <c r="I361" s="3"/>
      <c r="J361" s="3"/>
      <c r="K361" s="3"/>
      <c r="L361" s="3"/>
      <c r="M361" s="3"/>
      <c r="N361" s="3"/>
      <c r="O361" s="3"/>
      <c r="P361" s="3"/>
      <c r="Q361" s="48"/>
      <c r="R361" s="3"/>
      <c r="S361" s="3"/>
      <c r="T361" s="3"/>
      <c r="U361" s="28"/>
      <c r="V361" s="28"/>
      <c r="W361" s="77"/>
      <c r="X361" s="77"/>
      <c r="Y361" s="77"/>
      <c r="Z361" s="3"/>
      <c r="AA361" s="3"/>
      <c r="AB361" s="3"/>
    </row>
    <row r="362" spans="1:28" ht="14">
      <c r="A362" s="3"/>
      <c r="B362" s="3"/>
      <c r="C362" s="3"/>
      <c r="D362" s="3"/>
      <c r="E362" s="3"/>
      <c r="F362" s="3"/>
      <c r="G362" s="3"/>
      <c r="H362" s="3"/>
      <c r="I362" s="3"/>
      <c r="J362" s="3"/>
      <c r="K362" s="3"/>
      <c r="L362" s="3"/>
      <c r="M362" s="3"/>
      <c r="N362" s="3"/>
      <c r="O362" s="3"/>
      <c r="P362" s="3"/>
      <c r="Q362" s="48"/>
      <c r="R362" s="3"/>
      <c r="S362" s="3"/>
      <c r="T362" s="3"/>
      <c r="U362" s="28"/>
      <c r="V362" s="28"/>
      <c r="W362" s="77"/>
      <c r="X362" s="77"/>
      <c r="Y362" s="77"/>
      <c r="Z362" s="3"/>
      <c r="AA362" s="3"/>
      <c r="AB362" s="3"/>
    </row>
    <row r="363" spans="1:28" ht="14">
      <c r="A363" s="3"/>
      <c r="B363" s="3"/>
      <c r="C363" s="3"/>
      <c r="D363" s="3"/>
      <c r="E363" s="3"/>
      <c r="F363" s="3"/>
      <c r="G363" s="3"/>
      <c r="H363" s="3"/>
      <c r="I363" s="3"/>
      <c r="J363" s="3"/>
      <c r="K363" s="3"/>
      <c r="L363" s="3"/>
      <c r="M363" s="3"/>
      <c r="N363" s="3"/>
      <c r="O363" s="3"/>
      <c r="P363" s="3"/>
      <c r="Q363" s="48"/>
      <c r="R363" s="3"/>
      <c r="S363" s="3"/>
      <c r="T363" s="3"/>
      <c r="U363" s="28"/>
      <c r="V363" s="28"/>
      <c r="W363" s="77"/>
      <c r="X363" s="77"/>
      <c r="Y363" s="77"/>
      <c r="Z363" s="3"/>
      <c r="AA363" s="3"/>
      <c r="AB363" s="3"/>
    </row>
    <row r="364" spans="1:28" ht="14">
      <c r="A364" s="3"/>
      <c r="B364" s="3"/>
      <c r="C364" s="3"/>
      <c r="D364" s="3"/>
      <c r="E364" s="3"/>
      <c r="F364" s="3"/>
      <c r="G364" s="3"/>
      <c r="H364" s="3"/>
      <c r="I364" s="3"/>
      <c r="J364" s="3"/>
      <c r="K364" s="3"/>
      <c r="L364" s="3"/>
      <c r="M364" s="3"/>
      <c r="N364" s="3"/>
      <c r="O364" s="3"/>
      <c r="P364" s="3"/>
      <c r="Q364" s="48"/>
      <c r="R364" s="3"/>
      <c r="S364" s="3"/>
      <c r="T364" s="3"/>
      <c r="U364" s="28"/>
      <c r="V364" s="28"/>
      <c r="W364" s="77"/>
      <c r="X364" s="77"/>
      <c r="Y364" s="77"/>
      <c r="Z364" s="3"/>
      <c r="AA364" s="3"/>
      <c r="AB364" s="3"/>
    </row>
    <row r="365" spans="1:28" ht="14">
      <c r="A365" s="3"/>
      <c r="B365" s="3"/>
      <c r="C365" s="3"/>
      <c r="D365" s="3"/>
      <c r="E365" s="3"/>
      <c r="F365" s="3"/>
      <c r="G365" s="3"/>
      <c r="H365" s="3"/>
      <c r="I365" s="3"/>
      <c r="J365" s="3"/>
      <c r="K365" s="3"/>
      <c r="L365" s="3"/>
      <c r="M365" s="3"/>
      <c r="N365" s="3"/>
      <c r="O365" s="3"/>
      <c r="P365" s="3"/>
      <c r="Q365" s="48"/>
      <c r="R365" s="3"/>
      <c r="S365" s="3"/>
      <c r="T365" s="3"/>
      <c r="U365" s="28"/>
      <c r="V365" s="28"/>
      <c r="W365" s="77"/>
      <c r="X365" s="77"/>
      <c r="Y365" s="77"/>
      <c r="Z365" s="3"/>
      <c r="AA365" s="3"/>
      <c r="AB365" s="3"/>
    </row>
    <row r="366" spans="1:28" ht="14">
      <c r="A366" s="3"/>
      <c r="B366" s="3"/>
      <c r="C366" s="3"/>
      <c r="D366" s="3"/>
      <c r="E366" s="3"/>
      <c r="F366" s="3"/>
      <c r="G366" s="3"/>
      <c r="H366" s="3"/>
      <c r="I366" s="3"/>
      <c r="J366" s="3"/>
      <c r="K366" s="3"/>
      <c r="L366" s="3"/>
      <c r="M366" s="3"/>
      <c r="N366" s="3"/>
      <c r="O366" s="3"/>
      <c r="P366" s="3"/>
      <c r="Q366" s="48"/>
      <c r="R366" s="3"/>
      <c r="S366" s="3"/>
      <c r="T366" s="3"/>
      <c r="U366" s="28"/>
      <c r="V366" s="28"/>
      <c r="W366" s="77"/>
      <c r="X366" s="77"/>
      <c r="Y366" s="77"/>
      <c r="Z366" s="3"/>
      <c r="AA366" s="3"/>
      <c r="AB366" s="3"/>
    </row>
    <row r="367" spans="1:28" ht="14">
      <c r="A367" s="3"/>
      <c r="B367" s="3"/>
      <c r="C367" s="3"/>
      <c r="D367" s="3"/>
      <c r="E367" s="3"/>
      <c r="F367" s="3"/>
      <c r="G367" s="3"/>
      <c r="H367" s="3"/>
      <c r="I367" s="3"/>
      <c r="J367" s="3"/>
      <c r="K367" s="3"/>
      <c r="L367" s="3"/>
      <c r="M367" s="3"/>
      <c r="N367" s="3"/>
      <c r="O367" s="3"/>
      <c r="P367" s="3"/>
      <c r="Q367" s="48"/>
      <c r="R367" s="3"/>
      <c r="S367" s="3"/>
      <c r="T367" s="3"/>
      <c r="U367" s="28"/>
      <c r="V367" s="28"/>
      <c r="W367" s="77"/>
      <c r="X367" s="77"/>
      <c r="Y367" s="77"/>
      <c r="Z367" s="3"/>
      <c r="AA367" s="3"/>
      <c r="AB367" s="3"/>
    </row>
    <row r="368" spans="1:28" ht="14">
      <c r="A368" s="3"/>
      <c r="B368" s="3"/>
      <c r="C368" s="3"/>
      <c r="D368" s="3"/>
      <c r="E368" s="3"/>
      <c r="F368" s="3"/>
      <c r="G368" s="3"/>
      <c r="H368" s="3"/>
      <c r="I368" s="3"/>
      <c r="J368" s="3"/>
      <c r="K368" s="3"/>
      <c r="L368" s="3"/>
      <c r="M368" s="3"/>
      <c r="N368" s="3"/>
      <c r="O368" s="3"/>
      <c r="P368" s="3"/>
      <c r="Q368" s="48"/>
      <c r="R368" s="3"/>
      <c r="S368" s="3"/>
      <c r="T368" s="3"/>
      <c r="U368" s="28"/>
      <c r="V368" s="28"/>
      <c r="W368" s="77"/>
      <c r="X368" s="77"/>
      <c r="Y368" s="77"/>
      <c r="Z368" s="3"/>
      <c r="AA368" s="3"/>
      <c r="AB368" s="3"/>
    </row>
    <row r="369" spans="1:28" ht="14">
      <c r="A369" s="3"/>
      <c r="B369" s="3"/>
      <c r="C369" s="3"/>
      <c r="D369" s="3"/>
      <c r="E369" s="3"/>
      <c r="F369" s="3"/>
      <c r="G369" s="3"/>
      <c r="H369" s="3"/>
      <c r="I369" s="3"/>
      <c r="J369" s="3"/>
      <c r="K369" s="3"/>
      <c r="L369" s="3"/>
      <c r="M369" s="3"/>
      <c r="N369" s="3"/>
      <c r="O369" s="3"/>
      <c r="P369" s="3"/>
      <c r="Q369" s="48"/>
      <c r="R369" s="3"/>
      <c r="S369" s="3"/>
      <c r="T369" s="3"/>
      <c r="U369" s="28"/>
      <c r="V369" s="28"/>
      <c r="W369" s="77"/>
      <c r="X369" s="77"/>
      <c r="Y369" s="77"/>
      <c r="Z369" s="3"/>
      <c r="AA369" s="3"/>
      <c r="AB369" s="3"/>
    </row>
    <row r="370" spans="1:28" ht="14">
      <c r="A370" s="3"/>
      <c r="B370" s="3"/>
      <c r="C370" s="3"/>
      <c r="D370" s="3"/>
      <c r="E370" s="3"/>
      <c r="F370" s="3"/>
      <c r="G370" s="3"/>
      <c r="H370" s="3"/>
      <c r="I370" s="3"/>
      <c r="J370" s="3"/>
      <c r="K370" s="3"/>
      <c r="L370" s="3"/>
      <c r="M370" s="3"/>
      <c r="N370" s="3"/>
      <c r="O370" s="3"/>
      <c r="P370" s="3"/>
      <c r="Q370" s="48"/>
      <c r="R370" s="3"/>
      <c r="S370" s="3"/>
      <c r="T370" s="3"/>
      <c r="U370" s="28"/>
      <c r="V370" s="28"/>
      <c r="W370" s="77"/>
      <c r="X370" s="77"/>
      <c r="Y370" s="77"/>
      <c r="Z370" s="3"/>
      <c r="AA370" s="3"/>
      <c r="AB370" s="3"/>
    </row>
    <row r="371" spans="1:28" ht="14">
      <c r="A371" s="3"/>
      <c r="B371" s="3"/>
      <c r="C371" s="3"/>
      <c r="D371" s="3"/>
      <c r="E371" s="3"/>
      <c r="F371" s="3"/>
      <c r="G371" s="3"/>
      <c r="H371" s="3"/>
      <c r="I371" s="3"/>
      <c r="J371" s="3"/>
      <c r="K371" s="3"/>
      <c r="L371" s="3"/>
      <c r="M371" s="3"/>
      <c r="N371" s="3"/>
      <c r="O371" s="3"/>
      <c r="P371" s="3"/>
      <c r="Q371" s="48"/>
      <c r="R371" s="3"/>
      <c r="S371" s="3"/>
      <c r="T371" s="3"/>
      <c r="U371" s="28"/>
      <c r="V371" s="28"/>
      <c r="W371" s="77"/>
      <c r="X371" s="77"/>
      <c r="Y371" s="77"/>
      <c r="Z371" s="3"/>
      <c r="AA371" s="3"/>
      <c r="AB371" s="3"/>
    </row>
    <row r="372" spans="1:28" ht="14">
      <c r="A372" s="3"/>
      <c r="B372" s="3"/>
      <c r="C372" s="3"/>
      <c r="D372" s="3"/>
      <c r="E372" s="3"/>
      <c r="F372" s="3"/>
      <c r="G372" s="3"/>
      <c r="H372" s="3"/>
      <c r="I372" s="3"/>
      <c r="J372" s="3"/>
      <c r="K372" s="3"/>
      <c r="L372" s="3"/>
      <c r="M372" s="3"/>
      <c r="N372" s="3"/>
      <c r="O372" s="3"/>
      <c r="P372" s="3"/>
      <c r="Q372" s="48"/>
      <c r="R372" s="3"/>
      <c r="S372" s="3"/>
      <c r="T372" s="3"/>
      <c r="U372" s="28"/>
      <c r="V372" s="28"/>
      <c r="W372" s="77"/>
      <c r="X372" s="77"/>
      <c r="Y372" s="77"/>
      <c r="Z372" s="3"/>
      <c r="AA372" s="3"/>
      <c r="AB372" s="3"/>
    </row>
    <row r="373" spans="1:28" ht="14">
      <c r="A373" s="3"/>
      <c r="B373" s="3"/>
      <c r="C373" s="3"/>
      <c r="D373" s="3"/>
      <c r="E373" s="3"/>
      <c r="F373" s="3"/>
      <c r="G373" s="3"/>
      <c r="H373" s="3"/>
      <c r="I373" s="3"/>
      <c r="J373" s="3"/>
      <c r="K373" s="3"/>
      <c r="L373" s="3"/>
      <c r="M373" s="3"/>
      <c r="N373" s="3"/>
      <c r="O373" s="3"/>
      <c r="P373" s="3"/>
      <c r="Q373" s="48"/>
      <c r="R373" s="3"/>
      <c r="S373" s="3"/>
      <c r="T373" s="3"/>
      <c r="U373" s="28"/>
      <c r="V373" s="28"/>
      <c r="W373" s="77"/>
      <c r="X373" s="77"/>
      <c r="Y373" s="77"/>
      <c r="Z373" s="3"/>
      <c r="AA373" s="3"/>
      <c r="AB373" s="3"/>
    </row>
    <row r="374" spans="1:28" ht="14">
      <c r="A374" s="3"/>
      <c r="B374" s="3"/>
      <c r="C374" s="3"/>
      <c r="D374" s="3"/>
      <c r="E374" s="3"/>
      <c r="F374" s="3"/>
      <c r="G374" s="3"/>
      <c r="H374" s="3"/>
      <c r="I374" s="3"/>
      <c r="J374" s="3"/>
      <c r="K374" s="3"/>
      <c r="L374" s="3"/>
      <c r="M374" s="3"/>
      <c r="N374" s="3"/>
      <c r="O374" s="3"/>
      <c r="P374" s="3"/>
      <c r="Q374" s="48"/>
      <c r="R374" s="3"/>
      <c r="S374" s="3"/>
      <c r="T374" s="3"/>
      <c r="U374" s="28"/>
      <c r="V374" s="28"/>
      <c r="W374" s="77"/>
      <c r="X374" s="77"/>
      <c r="Y374" s="77"/>
      <c r="Z374" s="3"/>
      <c r="AA374" s="3"/>
      <c r="AB374" s="3"/>
    </row>
    <row r="375" spans="1:28" ht="14">
      <c r="A375" s="3"/>
      <c r="B375" s="3"/>
      <c r="C375" s="3"/>
      <c r="D375" s="3"/>
      <c r="E375" s="3"/>
      <c r="F375" s="3"/>
      <c r="G375" s="3"/>
      <c r="H375" s="3"/>
      <c r="I375" s="3"/>
      <c r="J375" s="3"/>
      <c r="K375" s="3"/>
      <c r="L375" s="3"/>
      <c r="M375" s="3"/>
      <c r="N375" s="3"/>
      <c r="O375" s="3"/>
      <c r="P375" s="3"/>
      <c r="Q375" s="48"/>
      <c r="R375" s="3"/>
      <c r="S375" s="3"/>
      <c r="T375" s="3"/>
      <c r="U375" s="28"/>
      <c r="V375" s="28"/>
      <c r="W375" s="77"/>
      <c r="X375" s="77"/>
      <c r="Y375" s="77"/>
      <c r="Z375" s="3"/>
      <c r="AA375" s="3"/>
      <c r="AB375" s="3"/>
    </row>
    <row r="376" spans="1:28" ht="14">
      <c r="A376" s="3"/>
      <c r="B376" s="3"/>
      <c r="C376" s="3"/>
      <c r="D376" s="3"/>
      <c r="E376" s="3"/>
      <c r="F376" s="3"/>
      <c r="G376" s="3"/>
      <c r="H376" s="3"/>
      <c r="I376" s="3"/>
      <c r="J376" s="3"/>
      <c r="K376" s="3"/>
      <c r="L376" s="3"/>
      <c r="M376" s="3"/>
      <c r="N376" s="3"/>
      <c r="O376" s="3"/>
      <c r="P376" s="3"/>
      <c r="Q376" s="48"/>
      <c r="R376" s="3"/>
      <c r="S376" s="3"/>
      <c r="T376" s="3"/>
      <c r="U376" s="28"/>
      <c r="V376" s="28"/>
      <c r="W376" s="77"/>
      <c r="X376" s="77"/>
      <c r="Y376" s="77"/>
      <c r="Z376" s="3"/>
      <c r="AA376" s="3"/>
      <c r="AB376" s="3"/>
    </row>
    <row r="377" spans="1:28" ht="14">
      <c r="A377" s="3"/>
      <c r="B377" s="3"/>
      <c r="C377" s="3"/>
      <c r="D377" s="3"/>
      <c r="E377" s="3"/>
      <c r="F377" s="3"/>
      <c r="G377" s="3"/>
      <c r="H377" s="3"/>
      <c r="I377" s="3"/>
      <c r="J377" s="3"/>
      <c r="K377" s="3"/>
      <c r="L377" s="3"/>
      <c r="M377" s="3"/>
      <c r="N377" s="3"/>
      <c r="O377" s="3"/>
      <c r="P377" s="3"/>
      <c r="Q377" s="48"/>
      <c r="R377" s="3"/>
      <c r="S377" s="3"/>
      <c r="T377" s="3"/>
      <c r="U377" s="28"/>
      <c r="V377" s="28"/>
      <c r="W377" s="77"/>
      <c r="X377" s="77"/>
      <c r="Y377" s="77"/>
      <c r="Z377" s="3"/>
      <c r="AA377" s="3"/>
      <c r="AB377" s="3"/>
    </row>
    <row r="378" spans="1:28" ht="14">
      <c r="A378" s="3"/>
      <c r="B378" s="3"/>
      <c r="C378" s="3"/>
      <c r="D378" s="3"/>
      <c r="E378" s="3"/>
      <c r="F378" s="3"/>
      <c r="G378" s="3"/>
      <c r="H378" s="3"/>
      <c r="I378" s="3"/>
      <c r="J378" s="3"/>
      <c r="K378" s="3"/>
      <c r="L378" s="3"/>
      <c r="M378" s="3"/>
      <c r="N378" s="3"/>
      <c r="O378" s="3"/>
      <c r="P378" s="3"/>
      <c r="Q378" s="48"/>
      <c r="R378" s="3"/>
      <c r="S378" s="3"/>
      <c r="T378" s="3"/>
      <c r="U378" s="28"/>
      <c r="V378" s="28"/>
      <c r="W378" s="77"/>
      <c r="X378" s="77"/>
      <c r="Y378" s="77"/>
      <c r="Z378" s="3"/>
      <c r="AA378" s="3"/>
      <c r="AB378" s="3"/>
    </row>
    <row r="379" spans="1:28" ht="14">
      <c r="A379" s="3"/>
      <c r="B379" s="3"/>
      <c r="C379" s="3"/>
      <c r="D379" s="3"/>
      <c r="E379" s="3"/>
      <c r="F379" s="3"/>
      <c r="G379" s="3"/>
      <c r="H379" s="3"/>
      <c r="I379" s="3"/>
      <c r="J379" s="3"/>
      <c r="K379" s="3"/>
      <c r="L379" s="3"/>
      <c r="M379" s="3"/>
      <c r="N379" s="3"/>
      <c r="O379" s="3"/>
      <c r="P379" s="3"/>
      <c r="Q379" s="48"/>
      <c r="R379" s="3"/>
      <c r="S379" s="3"/>
      <c r="T379" s="3"/>
      <c r="U379" s="28"/>
      <c r="V379" s="28"/>
      <c r="W379" s="77"/>
      <c r="X379" s="77"/>
      <c r="Y379" s="77"/>
      <c r="Z379" s="3"/>
      <c r="AA379" s="3"/>
      <c r="AB379" s="3"/>
    </row>
    <row r="380" spans="1:28" ht="14">
      <c r="A380" s="3"/>
      <c r="B380" s="3"/>
      <c r="C380" s="3"/>
      <c r="D380" s="3"/>
      <c r="E380" s="3"/>
      <c r="F380" s="3"/>
      <c r="G380" s="3"/>
      <c r="H380" s="3"/>
      <c r="I380" s="3"/>
      <c r="J380" s="3"/>
      <c r="K380" s="3"/>
      <c r="L380" s="3"/>
      <c r="M380" s="3"/>
      <c r="N380" s="3"/>
      <c r="O380" s="3"/>
      <c r="P380" s="3"/>
      <c r="Q380" s="48"/>
      <c r="R380" s="3"/>
      <c r="S380" s="3"/>
      <c r="T380" s="3"/>
      <c r="U380" s="28"/>
      <c r="V380" s="28"/>
      <c r="W380" s="77"/>
      <c r="X380" s="77"/>
      <c r="Y380" s="77"/>
      <c r="Z380" s="3"/>
      <c r="AA380" s="3"/>
      <c r="AB380" s="3"/>
    </row>
    <row r="381" spans="1:28" ht="14">
      <c r="A381" s="3"/>
      <c r="B381" s="3"/>
      <c r="C381" s="3"/>
      <c r="D381" s="3"/>
      <c r="E381" s="3"/>
      <c r="F381" s="3"/>
      <c r="G381" s="3"/>
      <c r="H381" s="3"/>
      <c r="I381" s="3"/>
      <c r="J381" s="3"/>
      <c r="K381" s="3"/>
      <c r="L381" s="3"/>
      <c r="M381" s="3"/>
      <c r="N381" s="3"/>
      <c r="O381" s="3"/>
      <c r="P381" s="3"/>
      <c r="Q381" s="48"/>
      <c r="R381" s="3"/>
      <c r="S381" s="3"/>
      <c r="T381" s="3"/>
      <c r="U381" s="28"/>
      <c r="V381" s="28"/>
      <c r="W381" s="77"/>
      <c r="X381" s="77"/>
      <c r="Y381" s="77"/>
      <c r="Z381" s="3"/>
      <c r="AA381" s="3"/>
      <c r="AB381" s="3"/>
    </row>
    <row r="382" spans="1:28" ht="14">
      <c r="A382" s="3"/>
      <c r="B382" s="3"/>
      <c r="C382" s="3"/>
      <c r="D382" s="3"/>
      <c r="E382" s="3"/>
      <c r="F382" s="3"/>
      <c r="G382" s="3"/>
      <c r="H382" s="3"/>
      <c r="I382" s="3"/>
      <c r="J382" s="3"/>
      <c r="K382" s="3"/>
      <c r="L382" s="3"/>
      <c r="M382" s="3"/>
      <c r="N382" s="3"/>
      <c r="O382" s="3"/>
      <c r="P382" s="3"/>
      <c r="Q382" s="48"/>
      <c r="R382" s="3"/>
      <c r="S382" s="3"/>
      <c r="T382" s="3"/>
      <c r="U382" s="28"/>
      <c r="V382" s="28"/>
      <c r="W382" s="77"/>
      <c r="X382" s="77"/>
      <c r="Y382" s="77"/>
      <c r="Z382" s="3"/>
      <c r="AA382" s="3"/>
      <c r="AB382" s="3"/>
    </row>
    <row r="383" spans="1:28" ht="14">
      <c r="A383" s="3"/>
      <c r="B383" s="3"/>
      <c r="C383" s="3"/>
      <c r="D383" s="3"/>
      <c r="E383" s="3"/>
      <c r="F383" s="3"/>
      <c r="G383" s="3"/>
      <c r="H383" s="3"/>
      <c r="I383" s="3"/>
      <c r="J383" s="3"/>
      <c r="K383" s="3"/>
      <c r="L383" s="3"/>
      <c r="M383" s="3"/>
      <c r="N383" s="3"/>
      <c r="O383" s="3"/>
      <c r="P383" s="3"/>
      <c r="Q383" s="48"/>
      <c r="R383" s="3"/>
      <c r="S383" s="3"/>
      <c r="T383" s="3"/>
      <c r="U383" s="28"/>
      <c r="V383" s="28"/>
      <c r="W383" s="77"/>
      <c r="X383" s="77"/>
      <c r="Y383" s="77"/>
      <c r="Z383" s="3"/>
      <c r="AA383" s="3"/>
      <c r="AB383" s="3"/>
    </row>
    <row r="384" spans="1:28" ht="14">
      <c r="A384" s="3"/>
      <c r="B384" s="3"/>
      <c r="C384" s="3"/>
      <c r="D384" s="3"/>
      <c r="E384" s="3"/>
      <c r="F384" s="3"/>
      <c r="G384" s="3"/>
      <c r="H384" s="3"/>
      <c r="I384" s="3"/>
      <c r="J384" s="3"/>
      <c r="K384" s="3"/>
      <c r="L384" s="3"/>
      <c r="M384" s="3"/>
      <c r="N384" s="3"/>
      <c r="O384" s="3"/>
      <c r="P384" s="3"/>
      <c r="Q384" s="48"/>
      <c r="R384" s="3"/>
      <c r="S384" s="3"/>
      <c r="T384" s="3"/>
      <c r="U384" s="28"/>
      <c r="V384" s="28"/>
      <c r="W384" s="77"/>
      <c r="X384" s="77"/>
      <c r="Y384" s="77"/>
      <c r="Z384" s="3"/>
      <c r="AA384" s="3"/>
      <c r="AB384" s="3"/>
    </row>
    <row r="385" spans="1:28" ht="14">
      <c r="A385" s="3"/>
      <c r="B385" s="3"/>
      <c r="C385" s="3"/>
      <c r="D385" s="3"/>
      <c r="E385" s="3"/>
      <c r="F385" s="3"/>
      <c r="G385" s="3"/>
      <c r="H385" s="3"/>
      <c r="I385" s="3"/>
      <c r="J385" s="3"/>
      <c r="K385" s="3"/>
      <c r="L385" s="3"/>
      <c r="M385" s="3"/>
      <c r="N385" s="3"/>
      <c r="O385" s="3"/>
      <c r="P385" s="3"/>
      <c r="Q385" s="48"/>
      <c r="R385" s="3"/>
      <c r="S385" s="3"/>
      <c r="T385" s="3"/>
      <c r="U385" s="28"/>
      <c r="V385" s="28"/>
      <c r="W385" s="77"/>
      <c r="X385" s="77"/>
      <c r="Y385" s="77"/>
      <c r="Z385" s="3"/>
      <c r="AA385" s="3"/>
      <c r="AB385" s="3"/>
    </row>
    <row r="386" spans="1:28" ht="14">
      <c r="A386" s="3"/>
      <c r="B386" s="3"/>
      <c r="C386" s="3"/>
      <c r="D386" s="3"/>
      <c r="E386" s="3"/>
      <c r="F386" s="3"/>
      <c r="G386" s="3"/>
      <c r="H386" s="3"/>
      <c r="I386" s="3"/>
      <c r="J386" s="3"/>
      <c r="K386" s="3"/>
      <c r="L386" s="3"/>
      <c r="M386" s="3"/>
      <c r="N386" s="3"/>
      <c r="O386" s="3"/>
      <c r="P386" s="3"/>
      <c r="Q386" s="48"/>
      <c r="R386" s="3"/>
      <c r="S386" s="3"/>
      <c r="T386" s="3"/>
      <c r="U386" s="28"/>
      <c r="V386" s="28"/>
      <c r="W386" s="77"/>
      <c r="X386" s="77"/>
      <c r="Y386" s="77"/>
      <c r="Z386" s="3"/>
      <c r="AA386" s="3"/>
      <c r="AB386" s="3"/>
    </row>
    <row r="387" spans="1:28" ht="14">
      <c r="A387" s="3"/>
      <c r="B387" s="3"/>
      <c r="C387" s="3"/>
      <c r="D387" s="3"/>
      <c r="E387" s="3"/>
      <c r="F387" s="3"/>
      <c r="G387" s="3"/>
      <c r="H387" s="3"/>
      <c r="I387" s="3"/>
      <c r="J387" s="3"/>
      <c r="K387" s="3"/>
      <c r="L387" s="3"/>
      <c r="M387" s="3"/>
      <c r="N387" s="3"/>
      <c r="O387" s="3"/>
      <c r="P387" s="3"/>
      <c r="Q387" s="48"/>
      <c r="R387" s="3"/>
      <c r="S387" s="3"/>
      <c r="T387" s="3"/>
      <c r="U387" s="28"/>
      <c r="V387" s="28"/>
      <c r="W387" s="77"/>
      <c r="X387" s="77"/>
      <c r="Y387" s="77"/>
      <c r="Z387" s="3"/>
      <c r="AA387" s="3"/>
      <c r="AB387" s="3"/>
    </row>
    <row r="388" spans="1:28" ht="14">
      <c r="A388" s="3"/>
      <c r="B388" s="3"/>
      <c r="C388" s="3"/>
      <c r="D388" s="3"/>
      <c r="E388" s="3"/>
      <c r="F388" s="3"/>
      <c r="G388" s="3"/>
      <c r="H388" s="3"/>
      <c r="I388" s="3"/>
      <c r="J388" s="3"/>
      <c r="K388" s="3"/>
      <c r="L388" s="3"/>
      <c r="M388" s="3"/>
      <c r="N388" s="3"/>
      <c r="O388" s="3"/>
      <c r="P388" s="3"/>
      <c r="Q388" s="48"/>
      <c r="R388" s="3"/>
      <c r="S388" s="3"/>
      <c r="T388" s="3"/>
      <c r="U388" s="28"/>
      <c r="V388" s="28"/>
      <c r="W388" s="77"/>
      <c r="X388" s="77"/>
      <c r="Y388" s="77"/>
      <c r="Z388" s="3"/>
      <c r="AA388" s="3"/>
      <c r="AB388" s="3"/>
    </row>
    <row r="389" spans="1:28" ht="14">
      <c r="A389" s="3"/>
      <c r="B389" s="3"/>
      <c r="C389" s="3"/>
      <c r="D389" s="3"/>
      <c r="E389" s="3"/>
      <c r="F389" s="3"/>
      <c r="G389" s="3"/>
      <c r="H389" s="3"/>
      <c r="I389" s="3"/>
      <c r="J389" s="3"/>
      <c r="K389" s="3"/>
      <c r="L389" s="3"/>
      <c r="M389" s="3"/>
      <c r="N389" s="3"/>
      <c r="O389" s="3"/>
      <c r="P389" s="3"/>
      <c r="Q389" s="48"/>
      <c r="R389" s="3"/>
      <c r="S389" s="3"/>
      <c r="T389" s="3"/>
      <c r="U389" s="28"/>
      <c r="V389" s="28"/>
      <c r="W389" s="77"/>
      <c r="X389" s="77"/>
      <c r="Y389" s="77"/>
      <c r="Z389" s="3"/>
      <c r="AA389" s="3"/>
      <c r="AB389" s="3"/>
    </row>
    <row r="390" spans="1:28" ht="14">
      <c r="A390" s="3"/>
      <c r="B390" s="3"/>
      <c r="C390" s="3"/>
      <c r="D390" s="3"/>
      <c r="E390" s="3"/>
      <c r="F390" s="3"/>
      <c r="G390" s="3"/>
      <c r="H390" s="3"/>
      <c r="I390" s="3"/>
      <c r="J390" s="3"/>
      <c r="K390" s="3"/>
      <c r="L390" s="3"/>
      <c r="M390" s="3"/>
      <c r="N390" s="3"/>
      <c r="O390" s="3"/>
      <c r="P390" s="3"/>
      <c r="Q390" s="48"/>
      <c r="R390" s="3"/>
      <c r="S390" s="3"/>
      <c r="T390" s="3"/>
      <c r="U390" s="28"/>
      <c r="V390" s="28"/>
      <c r="W390" s="77"/>
      <c r="X390" s="77"/>
      <c r="Y390" s="77"/>
      <c r="Z390" s="3"/>
      <c r="AA390" s="3"/>
      <c r="AB390" s="3"/>
    </row>
    <row r="391" spans="1:28" ht="14">
      <c r="A391" s="3"/>
      <c r="B391" s="3"/>
      <c r="C391" s="3"/>
      <c r="D391" s="3"/>
      <c r="E391" s="3"/>
      <c r="F391" s="3"/>
      <c r="G391" s="3"/>
      <c r="H391" s="3"/>
      <c r="I391" s="3"/>
      <c r="J391" s="3"/>
      <c r="K391" s="3"/>
      <c r="L391" s="3"/>
      <c r="M391" s="3"/>
      <c r="N391" s="3"/>
      <c r="O391" s="3"/>
      <c r="P391" s="3"/>
      <c r="Q391" s="48"/>
      <c r="R391" s="3"/>
      <c r="S391" s="3"/>
      <c r="T391" s="3"/>
      <c r="U391" s="28"/>
      <c r="V391" s="28"/>
      <c r="W391" s="77"/>
      <c r="X391" s="77"/>
      <c r="Y391" s="77"/>
      <c r="Z391" s="3"/>
      <c r="AA391" s="3"/>
      <c r="AB391" s="3"/>
    </row>
    <row r="392" spans="1:28" ht="14">
      <c r="A392" s="3"/>
      <c r="B392" s="3"/>
      <c r="C392" s="3"/>
      <c r="D392" s="3"/>
      <c r="E392" s="3"/>
      <c r="F392" s="3"/>
      <c r="G392" s="3"/>
      <c r="H392" s="3"/>
      <c r="I392" s="3"/>
      <c r="J392" s="3"/>
      <c r="K392" s="3"/>
      <c r="L392" s="3"/>
      <c r="M392" s="3"/>
      <c r="N392" s="3"/>
      <c r="O392" s="3"/>
      <c r="P392" s="3"/>
      <c r="Q392" s="48"/>
      <c r="R392" s="3"/>
      <c r="S392" s="3"/>
      <c r="T392" s="3"/>
      <c r="U392" s="28"/>
      <c r="V392" s="28"/>
      <c r="W392" s="77"/>
      <c r="X392" s="77"/>
      <c r="Y392" s="77"/>
      <c r="Z392" s="3"/>
      <c r="AA392" s="3"/>
      <c r="AB392" s="3"/>
    </row>
    <row r="393" spans="1:28" ht="14">
      <c r="A393" s="3"/>
      <c r="B393" s="3"/>
      <c r="C393" s="3"/>
      <c r="D393" s="3"/>
      <c r="E393" s="3"/>
      <c r="F393" s="3"/>
      <c r="G393" s="3"/>
      <c r="H393" s="3"/>
      <c r="I393" s="3"/>
      <c r="J393" s="3"/>
      <c r="K393" s="3"/>
      <c r="L393" s="3"/>
      <c r="M393" s="3"/>
      <c r="N393" s="3"/>
      <c r="O393" s="3"/>
      <c r="P393" s="3"/>
      <c r="Q393" s="48"/>
      <c r="R393" s="3"/>
      <c r="S393" s="3"/>
      <c r="T393" s="3"/>
      <c r="U393" s="28"/>
      <c r="V393" s="28"/>
      <c r="W393" s="77"/>
      <c r="X393" s="77"/>
      <c r="Y393" s="77"/>
      <c r="Z393" s="3"/>
      <c r="AA393" s="3"/>
      <c r="AB393" s="3"/>
    </row>
    <row r="394" spans="1:28" ht="14">
      <c r="A394" s="3"/>
      <c r="B394" s="3"/>
      <c r="C394" s="3"/>
      <c r="D394" s="3"/>
      <c r="E394" s="3"/>
      <c r="F394" s="3"/>
      <c r="G394" s="3"/>
      <c r="H394" s="3"/>
      <c r="I394" s="3"/>
      <c r="J394" s="3"/>
      <c r="K394" s="3"/>
      <c r="L394" s="3"/>
      <c r="M394" s="3"/>
      <c r="N394" s="3"/>
      <c r="O394" s="3"/>
      <c r="P394" s="3"/>
      <c r="Q394" s="48"/>
      <c r="R394" s="3"/>
      <c r="S394" s="3"/>
      <c r="T394" s="3"/>
      <c r="U394" s="28"/>
      <c r="V394" s="28"/>
      <c r="W394" s="77"/>
      <c r="X394" s="77"/>
      <c r="Y394" s="77"/>
      <c r="Z394" s="3"/>
      <c r="AA394" s="3"/>
      <c r="AB394" s="3"/>
    </row>
    <row r="395" spans="1:28" ht="14">
      <c r="A395" s="3"/>
      <c r="B395" s="3"/>
      <c r="C395" s="3"/>
      <c r="D395" s="3"/>
      <c r="E395" s="3"/>
      <c r="F395" s="3"/>
      <c r="G395" s="3"/>
      <c r="H395" s="3"/>
      <c r="I395" s="3"/>
      <c r="J395" s="3"/>
      <c r="K395" s="3"/>
      <c r="L395" s="3"/>
      <c r="M395" s="3"/>
      <c r="N395" s="3"/>
      <c r="O395" s="3"/>
      <c r="P395" s="3"/>
      <c r="Q395" s="48"/>
      <c r="R395" s="3"/>
      <c r="S395" s="3"/>
      <c r="T395" s="3"/>
      <c r="U395" s="28"/>
      <c r="V395" s="28"/>
      <c r="W395" s="77"/>
      <c r="X395" s="77"/>
      <c r="Y395" s="77"/>
      <c r="Z395" s="3"/>
      <c r="AA395" s="3"/>
      <c r="AB395" s="3"/>
    </row>
    <row r="396" spans="1:28" ht="14">
      <c r="A396" s="3"/>
      <c r="B396" s="3"/>
      <c r="C396" s="3"/>
      <c r="D396" s="3"/>
      <c r="E396" s="3"/>
      <c r="F396" s="3"/>
      <c r="G396" s="3"/>
      <c r="H396" s="3"/>
      <c r="I396" s="3"/>
      <c r="J396" s="3"/>
      <c r="K396" s="3"/>
      <c r="L396" s="3"/>
      <c r="M396" s="3"/>
      <c r="N396" s="3"/>
      <c r="O396" s="3"/>
      <c r="P396" s="3"/>
      <c r="Q396" s="48"/>
      <c r="R396" s="3"/>
      <c r="S396" s="3"/>
      <c r="T396" s="3"/>
      <c r="U396" s="28"/>
      <c r="V396" s="28"/>
      <c r="W396" s="77"/>
      <c r="X396" s="77"/>
      <c r="Y396" s="77"/>
      <c r="Z396" s="3"/>
      <c r="AA396" s="3"/>
      <c r="AB396" s="3"/>
    </row>
    <row r="397" spans="1:28" ht="14">
      <c r="A397" s="3"/>
      <c r="B397" s="3"/>
      <c r="C397" s="3"/>
      <c r="D397" s="3"/>
      <c r="E397" s="3"/>
      <c r="F397" s="3"/>
      <c r="G397" s="3"/>
      <c r="H397" s="3"/>
      <c r="I397" s="3"/>
      <c r="J397" s="3"/>
      <c r="K397" s="3"/>
      <c r="L397" s="3"/>
      <c r="M397" s="3"/>
      <c r="N397" s="3"/>
      <c r="O397" s="3"/>
      <c r="P397" s="3"/>
      <c r="Q397" s="48"/>
      <c r="R397" s="3"/>
      <c r="S397" s="3"/>
      <c r="T397" s="3"/>
      <c r="U397" s="28"/>
      <c r="V397" s="28"/>
      <c r="W397" s="77"/>
      <c r="X397" s="77"/>
      <c r="Y397" s="77"/>
      <c r="Z397" s="3"/>
      <c r="AA397" s="3"/>
      <c r="AB397" s="3"/>
    </row>
    <row r="398" spans="1:28" ht="14">
      <c r="A398" s="3"/>
      <c r="B398" s="3"/>
      <c r="C398" s="3"/>
      <c r="D398" s="3"/>
      <c r="E398" s="3"/>
      <c r="F398" s="3"/>
      <c r="G398" s="3"/>
      <c r="H398" s="3"/>
      <c r="I398" s="3"/>
      <c r="J398" s="3"/>
      <c r="K398" s="3"/>
      <c r="L398" s="3"/>
      <c r="M398" s="3"/>
      <c r="N398" s="3"/>
      <c r="O398" s="3"/>
      <c r="P398" s="3"/>
      <c r="Q398" s="48"/>
      <c r="R398" s="3"/>
      <c r="S398" s="3"/>
      <c r="T398" s="3"/>
      <c r="U398" s="28"/>
      <c r="V398" s="28"/>
      <c r="W398" s="77"/>
      <c r="X398" s="77"/>
      <c r="Y398" s="77"/>
      <c r="Z398" s="3"/>
      <c r="AA398" s="3"/>
      <c r="AB398" s="3"/>
    </row>
    <row r="399" spans="1:28" ht="14">
      <c r="A399" s="3"/>
      <c r="B399" s="3"/>
      <c r="C399" s="3"/>
      <c r="D399" s="3"/>
      <c r="E399" s="3"/>
      <c r="F399" s="3"/>
      <c r="G399" s="3"/>
      <c r="H399" s="3"/>
      <c r="I399" s="3"/>
      <c r="J399" s="3"/>
      <c r="K399" s="3"/>
      <c r="L399" s="3"/>
      <c r="M399" s="3"/>
      <c r="N399" s="3"/>
      <c r="O399" s="3"/>
      <c r="P399" s="3"/>
      <c r="Q399" s="48"/>
      <c r="R399" s="3"/>
      <c r="S399" s="3"/>
      <c r="T399" s="3"/>
      <c r="U399" s="28"/>
      <c r="V399" s="28"/>
      <c r="W399" s="77"/>
      <c r="X399" s="77"/>
      <c r="Y399" s="77"/>
      <c r="Z399" s="3"/>
      <c r="AA399" s="3"/>
      <c r="AB399" s="3"/>
    </row>
    <row r="400" spans="1:28" ht="14">
      <c r="A400" s="3"/>
      <c r="B400" s="3"/>
      <c r="C400" s="3"/>
      <c r="D400" s="3"/>
      <c r="E400" s="3"/>
      <c r="F400" s="3"/>
      <c r="G400" s="3"/>
      <c r="H400" s="3"/>
      <c r="I400" s="3"/>
      <c r="J400" s="3"/>
      <c r="K400" s="3"/>
      <c r="L400" s="3"/>
      <c r="M400" s="3"/>
      <c r="N400" s="3"/>
      <c r="O400" s="3"/>
      <c r="P400" s="3"/>
      <c r="Q400" s="48"/>
      <c r="R400" s="3"/>
      <c r="S400" s="3"/>
      <c r="T400" s="3"/>
      <c r="U400" s="28"/>
      <c r="V400" s="28"/>
      <c r="W400" s="77"/>
      <c r="X400" s="77"/>
      <c r="Y400" s="77"/>
      <c r="Z400" s="3"/>
      <c r="AA400" s="3"/>
      <c r="AB400" s="3"/>
    </row>
    <row r="401" spans="1:28" ht="14">
      <c r="A401" s="3"/>
      <c r="B401" s="3"/>
      <c r="C401" s="3"/>
      <c r="D401" s="3"/>
      <c r="E401" s="3"/>
      <c r="F401" s="3"/>
      <c r="G401" s="3"/>
      <c r="H401" s="3"/>
      <c r="I401" s="3"/>
      <c r="J401" s="3"/>
      <c r="K401" s="3"/>
      <c r="L401" s="3"/>
      <c r="M401" s="3"/>
      <c r="N401" s="3"/>
      <c r="O401" s="3"/>
      <c r="P401" s="3"/>
      <c r="Q401" s="48"/>
      <c r="R401" s="3"/>
      <c r="S401" s="3"/>
      <c r="T401" s="3"/>
      <c r="U401" s="28"/>
      <c r="V401" s="28"/>
      <c r="W401" s="77"/>
      <c r="X401" s="77"/>
      <c r="Y401" s="77"/>
      <c r="Z401" s="3"/>
      <c r="AA401" s="3"/>
      <c r="AB401" s="3"/>
    </row>
    <row r="402" spans="1:28" ht="14">
      <c r="A402" s="3"/>
      <c r="B402" s="3"/>
      <c r="C402" s="3"/>
      <c r="D402" s="3"/>
      <c r="E402" s="3"/>
      <c r="F402" s="3"/>
      <c r="G402" s="3"/>
      <c r="H402" s="3"/>
      <c r="I402" s="3"/>
      <c r="J402" s="3"/>
      <c r="K402" s="3"/>
      <c r="L402" s="3"/>
      <c r="M402" s="3"/>
      <c r="N402" s="3"/>
      <c r="O402" s="3"/>
      <c r="P402" s="3"/>
      <c r="Q402" s="48"/>
      <c r="R402" s="3"/>
      <c r="S402" s="3"/>
      <c r="T402" s="3"/>
      <c r="U402" s="28"/>
      <c r="V402" s="28"/>
      <c r="W402" s="77"/>
      <c r="X402" s="77"/>
      <c r="Y402" s="77"/>
      <c r="Z402" s="3"/>
      <c r="AA402" s="3"/>
      <c r="AB402" s="3"/>
    </row>
    <row r="403" spans="1:28" ht="14">
      <c r="A403" s="3"/>
      <c r="B403" s="3"/>
      <c r="C403" s="3"/>
      <c r="D403" s="3"/>
      <c r="E403" s="3"/>
      <c r="F403" s="3"/>
      <c r="G403" s="3"/>
      <c r="H403" s="3"/>
      <c r="I403" s="3"/>
      <c r="J403" s="3"/>
      <c r="K403" s="3"/>
      <c r="L403" s="3"/>
      <c r="M403" s="3"/>
      <c r="N403" s="3"/>
      <c r="O403" s="3"/>
      <c r="P403" s="3"/>
      <c r="Q403" s="48"/>
      <c r="R403" s="3"/>
      <c r="S403" s="3"/>
      <c r="T403" s="3"/>
      <c r="U403" s="28"/>
      <c r="V403" s="28"/>
      <c r="W403" s="77"/>
      <c r="X403" s="77"/>
      <c r="Y403" s="77"/>
      <c r="Z403" s="3"/>
      <c r="AA403" s="3"/>
      <c r="AB403" s="3"/>
    </row>
    <row r="404" spans="1:28" ht="14">
      <c r="A404" s="3"/>
      <c r="B404" s="3"/>
      <c r="C404" s="3"/>
      <c r="D404" s="3"/>
      <c r="E404" s="3"/>
      <c r="F404" s="3"/>
      <c r="G404" s="3"/>
      <c r="H404" s="3"/>
      <c r="I404" s="3"/>
      <c r="J404" s="3"/>
      <c r="K404" s="3"/>
      <c r="L404" s="3"/>
      <c r="M404" s="3"/>
      <c r="N404" s="3"/>
      <c r="O404" s="3"/>
      <c r="P404" s="3"/>
      <c r="Q404" s="48"/>
      <c r="R404" s="3"/>
      <c r="S404" s="3"/>
      <c r="T404" s="3"/>
      <c r="U404" s="28"/>
      <c r="V404" s="28"/>
      <c r="W404" s="77"/>
      <c r="X404" s="77"/>
      <c r="Y404" s="77"/>
      <c r="Z404" s="3"/>
      <c r="AA404" s="3"/>
      <c r="AB404" s="3"/>
    </row>
    <row r="405" spans="1:28" ht="14">
      <c r="A405" s="3"/>
      <c r="B405" s="3"/>
      <c r="C405" s="3"/>
      <c r="D405" s="3"/>
      <c r="E405" s="3"/>
      <c r="F405" s="3"/>
      <c r="G405" s="3"/>
      <c r="H405" s="3"/>
      <c r="I405" s="3"/>
      <c r="J405" s="3"/>
      <c r="K405" s="3"/>
      <c r="L405" s="3"/>
      <c r="M405" s="3"/>
      <c r="N405" s="3"/>
      <c r="O405" s="3"/>
      <c r="P405" s="3"/>
      <c r="Q405" s="48"/>
      <c r="R405" s="3"/>
      <c r="S405" s="3"/>
      <c r="T405" s="3"/>
      <c r="U405" s="28"/>
      <c r="V405" s="28"/>
      <c r="W405" s="77"/>
      <c r="X405" s="77"/>
      <c r="Y405" s="77"/>
      <c r="Z405" s="3"/>
      <c r="AA405" s="3"/>
      <c r="AB405" s="3"/>
    </row>
    <row r="406" spans="1:28" ht="14">
      <c r="A406" s="3"/>
      <c r="B406" s="3"/>
      <c r="C406" s="3"/>
      <c r="D406" s="3"/>
      <c r="E406" s="3"/>
      <c r="F406" s="3"/>
      <c r="G406" s="3"/>
      <c r="H406" s="3"/>
      <c r="I406" s="3"/>
      <c r="J406" s="3"/>
      <c r="K406" s="3"/>
      <c r="L406" s="3"/>
      <c r="M406" s="3"/>
      <c r="N406" s="3"/>
      <c r="O406" s="3"/>
      <c r="P406" s="3"/>
      <c r="Q406" s="48"/>
      <c r="R406" s="3"/>
      <c r="S406" s="3"/>
      <c r="T406" s="3"/>
      <c r="U406" s="28"/>
      <c r="V406" s="28"/>
      <c r="W406" s="77"/>
      <c r="X406" s="77"/>
      <c r="Y406" s="77"/>
      <c r="Z406" s="3"/>
      <c r="AA406" s="3"/>
      <c r="AB406" s="3"/>
    </row>
    <row r="407" spans="1:28" ht="14">
      <c r="A407" s="3"/>
      <c r="B407" s="3"/>
      <c r="C407" s="3"/>
      <c r="D407" s="3"/>
      <c r="E407" s="3"/>
      <c r="F407" s="3"/>
      <c r="G407" s="3"/>
      <c r="H407" s="3"/>
      <c r="I407" s="3"/>
      <c r="J407" s="3"/>
      <c r="K407" s="3"/>
      <c r="L407" s="3"/>
      <c r="M407" s="3"/>
      <c r="N407" s="3"/>
      <c r="O407" s="3"/>
      <c r="P407" s="3"/>
      <c r="Q407" s="48"/>
      <c r="R407" s="3"/>
      <c r="S407" s="3"/>
      <c r="T407" s="3"/>
      <c r="U407" s="28"/>
      <c r="V407" s="28"/>
      <c r="W407" s="77"/>
      <c r="X407" s="77"/>
      <c r="Y407" s="77"/>
      <c r="Z407" s="3"/>
      <c r="AA407" s="3"/>
      <c r="AB407" s="3"/>
    </row>
    <row r="408" spans="1:28" ht="14">
      <c r="A408" s="3"/>
      <c r="B408" s="3"/>
      <c r="C408" s="3"/>
      <c r="D408" s="3"/>
      <c r="E408" s="3"/>
      <c r="F408" s="3"/>
      <c r="G408" s="3"/>
      <c r="H408" s="3"/>
      <c r="I408" s="3"/>
      <c r="J408" s="3"/>
      <c r="K408" s="3"/>
      <c r="L408" s="3"/>
      <c r="M408" s="3"/>
      <c r="N408" s="3"/>
      <c r="O408" s="3"/>
      <c r="P408" s="3"/>
      <c r="Q408" s="48"/>
      <c r="R408" s="3"/>
      <c r="S408" s="3"/>
      <c r="T408" s="3"/>
      <c r="U408" s="28"/>
      <c r="V408" s="28"/>
      <c r="W408" s="77"/>
      <c r="X408" s="77"/>
      <c r="Y408" s="77"/>
      <c r="Z408" s="3"/>
      <c r="AA408" s="3"/>
      <c r="AB408" s="3"/>
    </row>
    <row r="409" spans="1:28" ht="14">
      <c r="A409" s="3"/>
      <c r="B409" s="3"/>
      <c r="C409" s="3"/>
      <c r="D409" s="3"/>
      <c r="E409" s="3"/>
      <c r="F409" s="3"/>
      <c r="G409" s="3"/>
      <c r="H409" s="3"/>
      <c r="I409" s="3"/>
      <c r="J409" s="3"/>
      <c r="K409" s="3"/>
      <c r="L409" s="3"/>
      <c r="M409" s="3"/>
      <c r="N409" s="3"/>
      <c r="O409" s="3"/>
      <c r="P409" s="3"/>
      <c r="Q409" s="48"/>
      <c r="R409" s="3"/>
      <c r="S409" s="3"/>
      <c r="T409" s="3"/>
      <c r="U409" s="28"/>
      <c r="V409" s="28"/>
      <c r="W409" s="77"/>
      <c r="X409" s="77"/>
      <c r="Y409" s="77"/>
      <c r="Z409" s="3"/>
      <c r="AA409" s="3"/>
      <c r="AB409" s="3"/>
    </row>
    <row r="410" spans="1:28" ht="14">
      <c r="A410" s="3"/>
      <c r="B410" s="3"/>
      <c r="C410" s="3"/>
      <c r="D410" s="3"/>
      <c r="E410" s="3"/>
      <c r="F410" s="3"/>
      <c r="G410" s="3"/>
      <c r="H410" s="3"/>
      <c r="I410" s="3"/>
      <c r="J410" s="3"/>
      <c r="K410" s="3"/>
      <c r="L410" s="3"/>
      <c r="M410" s="3"/>
      <c r="N410" s="3"/>
      <c r="O410" s="3"/>
      <c r="P410" s="3"/>
      <c r="Q410" s="48"/>
      <c r="R410" s="3"/>
      <c r="S410" s="3"/>
      <c r="T410" s="3"/>
      <c r="U410" s="28"/>
      <c r="V410" s="28"/>
      <c r="W410" s="77"/>
      <c r="X410" s="77"/>
      <c r="Y410" s="77"/>
      <c r="Z410" s="3"/>
      <c r="AA410" s="3"/>
      <c r="AB410" s="3"/>
    </row>
    <row r="411" spans="1:28" ht="14">
      <c r="A411" s="3"/>
      <c r="B411" s="3"/>
      <c r="C411" s="3"/>
      <c r="D411" s="3"/>
      <c r="E411" s="3"/>
      <c r="F411" s="3"/>
      <c r="G411" s="3"/>
      <c r="H411" s="3"/>
      <c r="I411" s="3"/>
      <c r="J411" s="3"/>
      <c r="K411" s="3"/>
      <c r="L411" s="3"/>
      <c r="M411" s="3"/>
      <c r="N411" s="3"/>
      <c r="O411" s="3"/>
      <c r="P411" s="3"/>
      <c r="Q411" s="48"/>
      <c r="R411" s="3"/>
      <c r="S411" s="3"/>
      <c r="T411" s="3"/>
      <c r="U411" s="28"/>
      <c r="V411" s="28"/>
      <c r="W411" s="77"/>
      <c r="X411" s="77"/>
      <c r="Y411" s="77"/>
      <c r="Z411" s="3"/>
      <c r="AA411" s="3"/>
      <c r="AB411" s="3"/>
    </row>
    <row r="412" spans="1:28" ht="14">
      <c r="A412" s="3"/>
      <c r="B412" s="3"/>
      <c r="C412" s="3"/>
      <c r="D412" s="3"/>
      <c r="E412" s="3"/>
      <c r="F412" s="3"/>
      <c r="G412" s="3"/>
      <c r="H412" s="3"/>
      <c r="I412" s="3"/>
      <c r="J412" s="3"/>
      <c r="K412" s="3"/>
      <c r="L412" s="3"/>
      <c r="M412" s="3"/>
      <c r="N412" s="3"/>
      <c r="O412" s="3"/>
      <c r="P412" s="3"/>
      <c r="Q412" s="48"/>
      <c r="R412" s="3"/>
      <c r="S412" s="3"/>
      <c r="T412" s="3"/>
      <c r="U412" s="28"/>
      <c r="V412" s="28"/>
      <c r="W412" s="77"/>
      <c r="X412" s="77"/>
      <c r="Y412" s="77"/>
      <c r="Z412" s="3"/>
      <c r="AA412" s="3"/>
      <c r="AB412" s="3"/>
    </row>
    <row r="413" spans="1:28" ht="14">
      <c r="A413" s="3"/>
      <c r="B413" s="3"/>
      <c r="C413" s="3"/>
      <c r="D413" s="3"/>
      <c r="E413" s="3"/>
      <c r="F413" s="3"/>
      <c r="G413" s="3"/>
      <c r="H413" s="3"/>
      <c r="I413" s="3"/>
      <c r="J413" s="3"/>
      <c r="K413" s="3"/>
      <c r="L413" s="3"/>
      <c r="M413" s="3"/>
      <c r="N413" s="3"/>
      <c r="O413" s="3"/>
      <c r="P413" s="3"/>
      <c r="Q413" s="48"/>
      <c r="R413" s="3"/>
      <c r="S413" s="3"/>
      <c r="T413" s="3"/>
      <c r="U413" s="28"/>
      <c r="V413" s="28"/>
      <c r="W413" s="77"/>
      <c r="X413" s="77"/>
      <c r="Y413" s="77"/>
      <c r="Z413" s="3"/>
      <c r="AA413" s="3"/>
      <c r="AB413" s="3"/>
    </row>
    <row r="414" spans="1:28" ht="14">
      <c r="A414" s="3"/>
      <c r="B414" s="3"/>
      <c r="C414" s="3"/>
      <c r="D414" s="3"/>
      <c r="E414" s="3"/>
      <c r="F414" s="3"/>
      <c r="G414" s="3"/>
      <c r="H414" s="3"/>
      <c r="I414" s="3"/>
      <c r="J414" s="3"/>
      <c r="K414" s="3"/>
      <c r="L414" s="3"/>
      <c r="M414" s="3"/>
      <c r="N414" s="3"/>
      <c r="O414" s="3"/>
      <c r="P414" s="3"/>
      <c r="Q414" s="48"/>
      <c r="R414" s="3"/>
      <c r="S414" s="3"/>
      <c r="T414" s="3"/>
      <c r="U414" s="28"/>
      <c r="V414" s="28"/>
      <c r="W414" s="77"/>
      <c r="X414" s="77"/>
      <c r="Y414" s="77"/>
      <c r="Z414" s="3"/>
      <c r="AA414" s="3"/>
      <c r="AB414" s="3"/>
    </row>
    <row r="415" spans="1:28" ht="14">
      <c r="A415" s="3"/>
      <c r="B415" s="3"/>
      <c r="C415" s="3"/>
      <c r="D415" s="3"/>
      <c r="E415" s="3"/>
      <c r="F415" s="3"/>
      <c r="G415" s="3"/>
      <c r="H415" s="3"/>
      <c r="I415" s="3"/>
      <c r="J415" s="3"/>
      <c r="K415" s="3"/>
      <c r="L415" s="3"/>
      <c r="M415" s="3"/>
      <c r="N415" s="3"/>
      <c r="O415" s="3"/>
      <c r="P415" s="3"/>
      <c r="Q415" s="48"/>
      <c r="R415" s="3"/>
      <c r="S415" s="3"/>
      <c r="T415" s="3"/>
      <c r="U415" s="28"/>
      <c r="V415" s="28"/>
      <c r="W415" s="77"/>
      <c r="X415" s="77"/>
      <c r="Y415" s="77"/>
      <c r="Z415" s="3"/>
      <c r="AA415" s="3"/>
      <c r="AB415" s="3"/>
    </row>
    <row r="416" spans="1:28" ht="14">
      <c r="A416" s="3"/>
      <c r="B416" s="3"/>
      <c r="C416" s="3"/>
      <c r="D416" s="3"/>
      <c r="E416" s="3"/>
      <c r="F416" s="3"/>
      <c r="G416" s="3"/>
      <c r="H416" s="3"/>
      <c r="I416" s="3"/>
      <c r="J416" s="3"/>
      <c r="K416" s="3"/>
      <c r="L416" s="3"/>
      <c r="M416" s="3"/>
      <c r="N416" s="3"/>
      <c r="O416" s="3"/>
      <c r="P416" s="3"/>
      <c r="Q416" s="48"/>
      <c r="R416" s="3"/>
      <c r="S416" s="3"/>
      <c r="T416" s="3"/>
      <c r="U416" s="28"/>
      <c r="V416" s="28"/>
      <c r="W416" s="77"/>
      <c r="X416" s="77"/>
      <c r="Y416" s="77"/>
      <c r="Z416" s="3"/>
      <c r="AA416" s="3"/>
      <c r="AB416" s="3"/>
    </row>
    <row r="417" spans="1:28" ht="14">
      <c r="A417" s="3"/>
      <c r="B417" s="3"/>
      <c r="C417" s="3"/>
      <c r="D417" s="3"/>
      <c r="E417" s="3"/>
      <c r="F417" s="3"/>
      <c r="G417" s="3"/>
      <c r="H417" s="3"/>
      <c r="I417" s="3"/>
      <c r="J417" s="3"/>
      <c r="K417" s="3"/>
      <c r="L417" s="3"/>
      <c r="M417" s="3"/>
      <c r="N417" s="3"/>
      <c r="O417" s="3"/>
      <c r="P417" s="3"/>
      <c r="Q417" s="48"/>
      <c r="R417" s="3"/>
      <c r="S417" s="3"/>
      <c r="T417" s="3"/>
      <c r="U417" s="28"/>
      <c r="V417" s="28"/>
      <c r="W417" s="77"/>
      <c r="X417" s="77"/>
      <c r="Y417" s="77"/>
      <c r="Z417" s="3"/>
      <c r="AA417" s="3"/>
      <c r="AB417" s="3"/>
    </row>
    <row r="418" spans="1:28" ht="14">
      <c r="A418" s="3"/>
      <c r="B418" s="3"/>
      <c r="C418" s="3"/>
      <c r="D418" s="3"/>
      <c r="E418" s="3"/>
      <c r="F418" s="3"/>
      <c r="G418" s="3"/>
      <c r="H418" s="3"/>
      <c r="I418" s="3"/>
      <c r="J418" s="3"/>
      <c r="K418" s="3"/>
      <c r="L418" s="3"/>
      <c r="M418" s="3"/>
      <c r="N418" s="3"/>
      <c r="O418" s="3"/>
      <c r="P418" s="3"/>
      <c r="Q418" s="48"/>
      <c r="R418" s="3"/>
      <c r="S418" s="3"/>
      <c r="T418" s="3"/>
      <c r="U418" s="28"/>
      <c r="V418" s="28"/>
      <c r="W418" s="77"/>
      <c r="X418" s="77"/>
      <c r="Y418" s="77"/>
      <c r="Z418" s="3"/>
      <c r="AA418" s="3"/>
      <c r="AB418" s="3"/>
    </row>
    <row r="419" spans="1:28" ht="14">
      <c r="A419" s="3"/>
      <c r="B419" s="3"/>
      <c r="C419" s="3"/>
      <c r="D419" s="3"/>
      <c r="E419" s="3"/>
      <c r="F419" s="3"/>
      <c r="G419" s="3"/>
      <c r="H419" s="3"/>
      <c r="I419" s="3"/>
      <c r="J419" s="3"/>
      <c r="K419" s="3"/>
      <c r="L419" s="3"/>
      <c r="M419" s="3"/>
      <c r="N419" s="3"/>
      <c r="O419" s="3"/>
      <c r="P419" s="3"/>
      <c r="Q419" s="48"/>
      <c r="R419" s="3"/>
      <c r="S419" s="3"/>
      <c r="T419" s="3"/>
      <c r="U419" s="28"/>
      <c r="V419" s="28"/>
      <c r="W419" s="77"/>
      <c r="X419" s="77"/>
      <c r="Y419" s="77"/>
      <c r="Z419" s="3"/>
      <c r="AA419" s="3"/>
      <c r="AB419" s="3"/>
    </row>
    <row r="420" spans="1:28" ht="14">
      <c r="A420" s="3"/>
      <c r="B420" s="3"/>
      <c r="C420" s="3"/>
      <c r="D420" s="3"/>
      <c r="E420" s="3"/>
      <c r="F420" s="3"/>
      <c r="G420" s="3"/>
      <c r="H420" s="3"/>
      <c r="I420" s="3"/>
      <c r="J420" s="3"/>
      <c r="K420" s="3"/>
      <c r="L420" s="3"/>
      <c r="M420" s="3"/>
      <c r="N420" s="3"/>
      <c r="O420" s="3"/>
      <c r="P420" s="3"/>
      <c r="Q420" s="48"/>
      <c r="R420" s="3"/>
      <c r="S420" s="3"/>
      <c r="T420" s="3"/>
      <c r="U420" s="28"/>
      <c r="V420" s="28"/>
      <c r="W420" s="77"/>
      <c r="X420" s="77"/>
      <c r="Y420" s="77"/>
      <c r="Z420" s="3"/>
      <c r="AA420" s="3"/>
      <c r="AB420" s="3"/>
    </row>
    <row r="421" spans="1:28" ht="14">
      <c r="A421" s="3"/>
      <c r="B421" s="3"/>
      <c r="C421" s="3"/>
      <c r="D421" s="3"/>
      <c r="E421" s="3"/>
      <c r="F421" s="3"/>
      <c r="G421" s="3"/>
      <c r="H421" s="3"/>
      <c r="I421" s="3"/>
      <c r="J421" s="3"/>
      <c r="K421" s="3"/>
      <c r="L421" s="3"/>
      <c r="M421" s="3"/>
      <c r="N421" s="3"/>
      <c r="O421" s="3"/>
      <c r="P421" s="3"/>
      <c r="Q421" s="48"/>
      <c r="R421" s="3"/>
      <c r="S421" s="3"/>
      <c r="T421" s="3"/>
      <c r="U421" s="28"/>
      <c r="V421" s="28"/>
      <c r="W421" s="77"/>
      <c r="X421" s="77"/>
      <c r="Y421" s="77"/>
      <c r="Z421" s="3"/>
      <c r="AA421" s="3"/>
      <c r="AB421" s="3"/>
    </row>
    <row r="422" spans="1:28" ht="14">
      <c r="A422" s="3"/>
      <c r="B422" s="3"/>
      <c r="C422" s="3"/>
      <c r="D422" s="3"/>
      <c r="E422" s="3"/>
      <c r="F422" s="3"/>
      <c r="G422" s="3"/>
      <c r="H422" s="3"/>
      <c r="I422" s="3"/>
      <c r="J422" s="3"/>
      <c r="K422" s="3"/>
      <c r="L422" s="3"/>
      <c r="M422" s="3"/>
      <c r="N422" s="3"/>
      <c r="O422" s="3"/>
      <c r="P422" s="3"/>
      <c r="Q422" s="48"/>
      <c r="R422" s="3"/>
      <c r="S422" s="3"/>
      <c r="T422" s="3"/>
      <c r="U422" s="28"/>
      <c r="V422" s="28"/>
      <c r="W422" s="77"/>
      <c r="X422" s="77"/>
      <c r="Y422" s="77"/>
      <c r="Z422" s="3"/>
      <c r="AA422" s="3"/>
      <c r="AB422" s="3"/>
    </row>
    <row r="423" spans="1:28" ht="14">
      <c r="A423" s="3"/>
      <c r="B423" s="3"/>
      <c r="C423" s="3"/>
      <c r="D423" s="3"/>
      <c r="E423" s="3"/>
      <c r="F423" s="3"/>
      <c r="G423" s="3"/>
      <c r="H423" s="3"/>
      <c r="I423" s="3"/>
      <c r="J423" s="3"/>
      <c r="K423" s="3"/>
      <c r="L423" s="3"/>
      <c r="M423" s="3"/>
      <c r="N423" s="3"/>
      <c r="O423" s="3"/>
      <c r="P423" s="3"/>
      <c r="Q423" s="48"/>
      <c r="R423" s="3"/>
      <c r="S423" s="3"/>
      <c r="T423" s="3"/>
      <c r="U423" s="28"/>
      <c r="V423" s="28"/>
      <c r="W423" s="77"/>
      <c r="X423" s="77"/>
      <c r="Y423" s="77"/>
      <c r="Z423" s="3"/>
      <c r="AA423" s="3"/>
      <c r="AB423" s="3"/>
    </row>
    <row r="424" spans="1:28" ht="14">
      <c r="A424" s="3"/>
      <c r="B424" s="3"/>
      <c r="C424" s="3"/>
      <c r="D424" s="3"/>
      <c r="E424" s="3"/>
      <c r="F424" s="3"/>
      <c r="G424" s="3"/>
      <c r="H424" s="3"/>
      <c r="I424" s="3"/>
      <c r="J424" s="3"/>
      <c r="K424" s="3"/>
      <c r="L424" s="3"/>
      <c r="M424" s="3"/>
      <c r="N424" s="3"/>
      <c r="O424" s="3"/>
      <c r="P424" s="3"/>
      <c r="Q424" s="48"/>
      <c r="R424" s="3"/>
      <c r="S424" s="3"/>
      <c r="T424" s="3"/>
      <c r="U424" s="28"/>
      <c r="V424" s="28"/>
      <c r="W424" s="77"/>
      <c r="X424" s="77"/>
      <c r="Y424" s="77"/>
      <c r="Z424" s="3"/>
      <c r="AA424" s="3"/>
      <c r="AB424" s="3"/>
    </row>
    <row r="425" spans="1:28" ht="14">
      <c r="A425" s="3"/>
      <c r="B425" s="3"/>
      <c r="C425" s="3"/>
      <c r="D425" s="3"/>
      <c r="E425" s="3"/>
      <c r="F425" s="3"/>
      <c r="G425" s="3"/>
      <c r="H425" s="3"/>
      <c r="I425" s="3"/>
      <c r="J425" s="3"/>
      <c r="K425" s="3"/>
      <c r="L425" s="3"/>
      <c r="M425" s="3"/>
      <c r="N425" s="3"/>
      <c r="O425" s="3"/>
      <c r="P425" s="3"/>
      <c r="Q425" s="48"/>
      <c r="R425" s="3"/>
      <c r="S425" s="3"/>
      <c r="T425" s="3"/>
      <c r="U425" s="28"/>
      <c r="V425" s="28"/>
      <c r="W425" s="77"/>
      <c r="X425" s="77"/>
      <c r="Y425" s="77"/>
      <c r="Z425" s="3"/>
      <c r="AA425" s="3"/>
      <c r="AB425" s="3"/>
    </row>
    <row r="426" spans="1:28" ht="14">
      <c r="A426" s="3"/>
      <c r="B426" s="3"/>
      <c r="C426" s="3"/>
      <c r="D426" s="3"/>
      <c r="E426" s="3"/>
      <c r="F426" s="3"/>
      <c r="G426" s="3"/>
      <c r="H426" s="3"/>
      <c r="I426" s="3"/>
      <c r="J426" s="3"/>
      <c r="K426" s="3"/>
      <c r="L426" s="3"/>
      <c r="M426" s="3"/>
      <c r="N426" s="3"/>
      <c r="O426" s="3"/>
      <c r="P426" s="3"/>
      <c r="Q426" s="48"/>
      <c r="R426" s="3"/>
      <c r="S426" s="3"/>
      <c r="T426" s="3"/>
      <c r="U426" s="28"/>
      <c r="V426" s="28"/>
      <c r="W426" s="77"/>
      <c r="X426" s="77"/>
      <c r="Y426" s="77"/>
      <c r="Z426" s="3"/>
      <c r="AA426" s="3"/>
      <c r="AB426" s="3"/>
    </row>
    <row r="427" spans="1:28" ht="14">
      <c r="A427" s="3"/>
      <c r="B427" s="3"/>
      <c r="C427" s="3"/>
      <c r="D427" s="3"/>
      <c r="E427" s="3"/>
      <c r="F427" s="3"/>
      <c r="G427" s="3"/>
      <c r="H427" s="3"/>
      <c r="I427" s="3"/>
      <c r="J427" s="3"/>
      <c r="K427" s="3"/>
      <c r="L427" s="3"/>
      <c r="M427" s="3"/>
      <c r="N427" s="3"/>
      <c r="O427" s="3"/>
      <c r="P427" s="3"/>
      <c r="Q427" s="48"/>
      <c r="R427" s="3"/>
      <c r="S427" s="3"/>
      <c r="T427" s="3"/>
      <c r="U427" s="28"/>
      <c r="V427" s="28"/>
      <c r="W427" s="77"/>
      <c r="X427" s="77"/>
      <c r="Y427" s="77"/>
      <c r="Z427" s="3"/>
      <c r="AA427" s="3"/>
      <c r="AB427" s="3"/>
    </row>
    <row r="428" spans="1:28" ht="14">
      <c r="A428" s="3"/>
      <c r="B428" s="3"/>
      <c r="C428" s="3"/>
      <c r="D428" s="3"/>
      <c r="E428" s="3"/>
      <c r="F428" s="3"/>
      <c r="G428" s="3"/>
      <c r="H428" s="3"/>
      <c r="I428" s="3"/>
      <c r="J428" s="3"/>
      <c r="K428" s="3"/>
      <c r="L428" s="3"/>
      <c r="M428" s="3"/>
      <c r="N428" s="3"/>
      <c r="O428" s="3"/>
      <c r="P428" s="3"/>
      <c r="Q428" s="48"/>
      <c r="R428" s="3"/>
      <c r="S428" s="3"/>
      <c r="T428" s="3"/>
      <c r="U428" s="28"/>
      <c r="V428" s="28"/>
      <c r="W428" s="77"/>
      <c r="X428" s="77"/>
      <c r="Y428" s="77"/>
      <c r="Z428" s="3"/>
      <c r="AA428" s="3"/>
      <c r="AB428" s="3"/>
    </row>
    <row r="429" spans="1:28" ht="14">
      <c r="A429" s="3"/>
      <c r="B429" s="3"/>
      <c r="C429" s="3"/>
      <c r="D429" s="3"/>
      <c r="E429" s="3"/>
      <c r="F429" s="3"/>
      <c r="G429" s="3"/>
      <c r="H429" s="3"/>
      <c r="I429" s="3"/>
      <c r="J429" s="3"/>
      <c r="K429" s="3"/>
      <c r="L429" s="3"/>
      <c r="M429" s="3"/>
      <c r="N429" s="3"/>
      <c r="O429" s="3"/>
      <c r="P429" s="3"/>
      <c r="Q429" s="48"/>
      <c r="R429" s="3"/>
      <c r="S429" s="3"/>
      <c r="T429" s="3"/>
      <c r="U429" s="28"/>
      <c r="V429" s="28"/>
      <c r="W429" s="77"/>
      <c r="X429" s="77"/>
      <c r="Y429" s="77"/>
      <c r="Z429" s="3"/>
      <c r="AA429" s="3"/>
      <c r="AB429" s="3"/>
    </row>
    <row r="430" spans="1:28" ht="14">
      <c r="A430" s="3"/>
      <c r="B430" s="3"/>
      <c r="C430" s="3"/>
      <c r="D430" s="3"/>
      <c r="E430" s="3"/>
      <c r="F430" s="3"/>
      <c r="G430" s="3"/>
      <c r="H430" s="3"/>
      <c r="I430" s="3"/>
      <c r="J430" s="3"/>
      <c r="K430" s="3"/>
      <c r="L430" s="3"/>
      <c r="M430" s="3"/>
      <c r="N430" s="3"/>
      <c r="O430" s="3"/>
      <c r="P430" s="3"/>
      <c r="Q430" s="48"/>
      <c r="R430" s="3"/>
      <c r="S430" s="3"/>
      <c r="T430" s="3"/>
      <c r="U430" s="28"/>
      <c r="V430" s="28"/>
      <c r="W430" s="77"/>
      <c r="X430" s="77"/>
      <c r="Y430" s="77"/>
      <c r="Z430" s="3"/>
      <c r="AA430" s="3"/>
      <c r="AB430" s="3"/>
    </row>
    <row r="431" spans="1:28" ht="14">
      <c r="A431" s="3"/>
      <c r="B431" s="3"/>
      <c r="C431" s="3"/>
      <c r="D431" s="3"/>
      <c r="E431" s="3"/>
      <c r="F431" s="3"/>
      <c r="G431" s="3"/>
      <c r="H431" s="3"/>
      <c r="I431" s="3"/>
      <c r="J431" s="3"/>
      <c r="K431" s="3"/>
      <c r="L431" s="3"/>
      <c r="M431" s="3"/>
      <c r="N431" s="3"/>
      <c r="O431" s="3"/>
      <c r="P431" s="3"/>
      <c r="Q431" s="48"/>
      <c r="R431" s="3"/>
      <c r="S431" s="3"/>
      <c r="T431" s="3"/>
      <c r="U431" s="28"/>
      <c r="V431" s="28"/>
      <c r="W431" s="77"/>
      <c r="X431" s="77"/>
      <c r="Y431" s="77"/>
      <c r="Z431" s="3"/>
      <c r="AA431" s="3"/>
      <c r="AB431" s="3"/>
    </row>
    <row r="432" spans="1:28" ht="14">
      <c r="A432" s="3"/>
      <c r="B432" s="3"/>
      <c r="C432" s="3"/>
      <c r="D432" s="3"/>
      <c r="E432" s="3"/>
      <c r="F432" s="3"/>
      <c r="G432" s="3"/>
      <c r="H432" s="3"/>
      <c r="I432" s="3"/>
      <c r="J432" s="3"/>
      <c r="K432" s="3"/>
      <c r="L432" s="3"/>
      <c r="M432" s="3"/>
      <c r="N432" s="3"/>
      <c r="O432" s="3"/>
      <c r="P432" s="3"/>
      <c r="Q432" s="48"/>
      <c r="R432" s="3"/>
      <c r="S432" s="3"/>
      <c r="T432" s="3"/>
      <c r="U432" s="28"/>
      <c r="V432" s="28"/>
      <c r="W432" s="77"/>
      <c r="X432" s="77"/>
      <c r="Y432" s="77"/>
      <c r="Z432" s="3"/>
      <c r="AA432" s="3"/>
      <c r="AB432" s="3"/>
    </row>
    <row r="433" spans="1:28" ht="14">
      <c r="A433" s="3"/>
      <c r="B433" s="3"/>
      <c r="C433" s="3"/>
      <c r="D433" s="3"/>
      <c r="E433" s="3"/>
      <c r="F433" s="3"/>
      <c r="G433" s="3"/>
      <c r="H433" s="3"/>
      <c r="I433" s="3"/>
      <c r="J433" s="3"/>
      <c r="K433" s="3"/>
      <c r="L433" s="3"/>
      <c r="M433" s="3"/>
      <c r="N433" s="3"/>
      <c r="O433" s="3"/>
      <c r="P433" s="3"/>
      <c r="Q433" s="48"/>
      <c r="R433" s="3"/>
      <c r="S433" s="3"/>
      <c r="T433" s="3"/>
      <c r="U433" s="28"/>
      <c r="V433" s="28"/>
      <c r="W433" s="77"/>
      <c r="X433" s="77"/>
      <c r="Y433" s="77"/>
      <c r="Z433" s="3"/>
      <c r="AA433" s="3"/>
      <c r="AB433" s="3"/>
    </row>
    <row r="434" spans="1:28" ht="14">
      <c r="A434" s="3"/>
      <c r="B434" s="3"/>
      <c r="C434" s="3"/>
      <c r="D434" s="3"/>
      <c r="E434" s="3"/>
      <c r="F434" s="3"/>
      <c r="G434" s="3"/>
      <c r="H434" s="3"/>
      <c r="I434" s="3"/>
      <c r="J434" s="3"/>
      <c r="K434" s="3"/>
      <c r="L434" s="3"/>
      <c r="M434" s="3"/>
      <c r="N434" s="3"/>
      <c r="O434" s="3"/>
      <c r="P434" s="3"/>
      <c r="Q434" s="48"/>
      <c r="R434" s="3"/>
      <c r="S434" s="3"/>
      <c r="T434" s="3"/>
      <c r="U434" s="28"/>
      <c r="V434" s="28"/>
      <c r="W434" s="77"/>
      <c r="X434" s="77"/>
      <c r="Y434" s="77"/>
      <c r="Z434" s="3"/>
      <c r="AA434" s="3"/>
      <c r="AB434" s="3"/>
    </row>
    <row r="435" spans="1:28" ht="14">
      <c r="A435" s="3"/>
      <c r="B435" s="3"/>
      <c r="C435" s="3"/>
      <c r="D435" s="3"/>
      <c r="E435" s="3"/>
      <c r="F435" s="3"/>
      <c r="G435" s="3"/>
      <c r="H435" s="3"/>
      <c r="I435" s="3"/>
      <c r="J435" s="3"/>
      <c r="K435" s="3"/>
      <c r="L435" s="3"/>
      <c r="M435" s="3"/>
      <c r="N435" s="3"/>
      <c r="O435" s="3"/>
      <c r="P435" s="3"/>
      <c r="Q435" s="48"/>
      <c r="R435" s="3"/>
      <c r="S435" s="3"/>
      <c r="T435" s="3"/>
      <c r="U435" s="28"/>
      <c r="V435" s="28"/>
      <c r="W435" s="77"/>
      <c r="X435" s="77"/>
      <c r="Y435" s="77"/>
      <c r="Z435" s="3"/>
      <c r="AA435" s="3"/>
      <c r="AB435" s="3"/>
    </row>
    <row r="436" spans="1:28" ht="14">
      <c r="A436" s="3"/>
      <c r="B436" s="3"/>
      <c r="C436" s="3"/>
      <c r="D436" s="3"/>
      <c r="E436" s="3"/>
      <c r="F436" s="3"/>
      <c r="G436" s="3"/>
      <c r="H436" s="3"/>
      <c r="I436" s="3"/>
      <c r="J436" s="3"/>
      <c r="K436" s="3"/>
      <c r="L436" s="3"/>
      <c r="M436" s="3"/>
      <c r="N436" s="3"/>
      <c r="O436" s="3"/>
      <c r="P436" s="3"/>
      <c r="Q436" s="48"/>
      <c r="R436" s="3"/>
      <c r="S436" s="3"/>
      <c r="T436" s="3"/>
      <c r="U436" s="28"/>
      <c r="V436" s="28"/>
      <c r="W436" s="77"/>
      <c r="X436" s="77"/>
      <c r="Y436" s="77"/>
      <c r="Z436" s="3"/>
      <c r="AA436" s="3"/>
      <c r="AB436" s="3"/>
    </row>
    <row r="437" spans="1:28" ht="14">
      <c r="A437" s="3"/>
      <c r="B437" s="3"/>
      <c r="C437" s="3"/>
      <c r="D437" s="3"/>
      <c r="E437" s="3"/>
      <c r="F437" s="3"/>
      <c r="G437" s="3"/>
      <c r="H437" s="3"/>
      <c r="I437" s="3"/>
      <c r="J437" s="3"/>
      <c r="K437" s="3"/>
      <c r="L437" s="3"/>
      <c r="M437" s="3"/>
      <c r="N437" s="3"/>
      <c r="O437" s="3"/>
      <c r="P437" s="3"/>
      <c r="Q437" s="48"/>
      <c r="R437" s="3"/>
      <c r="S437" s="3"/>
      <c r="T437" s="3"/>
      <c r="U437" s="28"/>
      <c r="V437" s="28"/>
      <c r="W437" s="77"/>
      <c r="X437" s="77"/>
      <c r="Y437" s="77"/>
      <c r="Z437" s="3"/>
      <c r="AA437" s="3"/>
      <c r="AB437" s="3"/>
    </row>
    <row r="438" spans="1:28" ht="14">
      <c r="A438" s="3"/>
      <c r="B438" s="3"/>
      <c r="C438" s="3"/>
      <c r="D438" s="3"/>
      <c r="E438" s="3"/>
      <c r="F438" s="3"/>
      <c r="G438" s="3"/>
      <c r="H438" s="3"/>
      <c r="I438" s="3"/>
      <c r="J438" s="3"/>
      <c r="K438" s="3"/>
      <c r="L438" s="3"/>
      <c r="M438" s="3"/>
      <c r="N438" s="3"/>
      <c r="O438" s="3"/>
      <c r="P438" s="3"/>
      <c r="Q438" s="48"/>
      <c r="R438" s="3"/>
      <c r="S438" s="3"/>
      <c r="T438" s="3"/>
      <c r="U438" s="28"/>
      <c r="V438" s="28"/>
      <c r="W438" s="77"/>
      <c r="X438" s="77"/>
      <c r="Y438" s="77"/>
      <c r="Z438" s="3"/>
      <c r="AA438" s="3"/>
      <c r="AB438" s="3"/>
    </row>
    <row r="439" spans="1:28" ht="14">
      <c r="A439" s="3"/>
      <c r="B439" s="3"/>
      <c r="C439" s="3"/>
      <c r="D439" s="3"/>
      <c r="E439" s="3"/>
      <c r="F439" s="3"/>
      <c r="G439" s="3"/>
      <c r="H439" s="3"/>
      <c r="I439" s="3"/>
      <c r="J439" s="3"/>
      <c r="K439" s="3"/>
      <c r="L439" s="3"/>
      <c r="M439" s="3"/>
      <c r="N439" s="3"/>
      <c r="O439" s="3"/>
      <c r="P439" s="3"/>
      <c r="Q439" s="48"/>
      <c r="R439" s="3"/>
      <c r="S439" s="3"/>
      <c r="T439" s="3"/>
      <c r="U439" s="28"/>
      <c r="V439" s="28"/>
      <c r="W439" s="77"/>
      <c r="X439" s="77"/>
      <c r="Y439" s="77"/>
      <c r="Z439" s="3"/>
      <c r="AA439" s="3"/>
      <c r="AB439" s="3"/>
    </row>
    <row r="440" spans="1:28" ht="14">
      <c r="A440" s="3"/>
      <c r="B440" s="3"/>
      <c r="C440" s="3"/>
      <c r="D440" s="3"/>
      <c r="E440" s="3"/>
      <c r="F440" s="3"/>
      <c r="G440" s="3"/>
      <c r="H440" s="3"/>
      <c r="I440" s="3"/>
      <c r="J440" s="3"/>
      <c r="K440" s="3"/>
      <c r="L440" s="3"/>
      <c r="M440" s="3"/>
      <c r="N440" s="3"/>
      <c r="O440" s="3"/>
      <c r="P440" s="3"/>
      <c r="Q440" s="48"/>
      <c r="R440" s="3"/>
      <c r="S440" s="3"/>
      <c r="T440" s="3"/>
      <c r="U440" s="28"/>
      <c r="V440" s="28"/>
      <c r="W440" s="77"/>
      <c r="X440" s="77"/>
      <c r="Y440" s="77"/>
      <c r="Z440" s="3"/>
      <c r="AA440" s="3"/>
      <c r="AB440" s="3"/>
    </row>
    <row r="441" spans="1:28" ht="14">
      <c r="A441" s="3"/>
      <c r="B441" s="3"/>
      <c r="C441" s="3"/>
      <c r="D441" s="3"/>
      <c r="E441" s="3"/>
      <c r="F441" s="3"/>
      <c r="G441" s="3"/>
      <c r="H441" s="3"/>
      <c r="I441" s="3"/>
      <c r="J441" s="3"/>
      <c r="K441" s="3"/>
      <c r="L441" s="3"/>
      <c r="M441" s="3"/>
      <c r="N441" s="3"/>
      <c r="O441" s="3"/>
      <c r="P441" s="3"/>
      <c r="Q441" s="48"/>
      <c r="R441" s="3"/>
      <c r="S441" s="3"/>
      <c r="T441" s="3"/>
      <c r="U441" s="28"/>
      <c r="V441" s="28"/>
      <c r="W441" s="77"/>
      <c r="X441" s="77"/>
      <c r="Y441" s="77"/>
      <c r="Z441" s="3"/>
      <c r="AA441" s="3"/>
      <c r="AB441" s="3"/>
    </row>
    <row r="442" spans="1:28" ht="14">
      <c r="A442" s="3"/>
      <c r="B442" s="3"/>
      <c r="C442" s="3"/>
      <c r="D442" s="3"/>
      <c r="E442" s="3"/>
      <c r="F442" s="3"/>
      <c r="G442" s="3"/>
      <c r="H442" s="3"/>
      <c r="I442" s="3"/>
      <c r="J442" s="3"/>
      <c r="K442" s="3"/>
      <c r="L442" s="3"/>
      <c r="M442" s="3"/>
      <c r="N442" s="3"/>
      <c r="O442" s="3"/>
      <c r="P442" s="3"/>
      <c r="Q442" s="48"/>
      <c r="R442" s="3"/>
      <c r="S442" s="3"/>
      <c r="T442" s="3"/>
      <c r="U442" s="28"/>
      <c r="V442" s="28"/>
      <c r="W442" s="77"/>
      <c r="X442" s="77"/>
      <c r="Y442" s="77"/>
      <c r="Z442" s="3"/>
      <c r="AA442" s="3"/>
      <c r="AB442" s="3"/>
    </row>
    <row r="443" spans="1:28" ht="14">
      <c r="A443" s="3"/>
      <c r="B443" s="3"/>
      <c r="C443" s="3"/>
      <c r="D443" s="3"/>
      <c r="E443" s="3"/>
      <c r="F443" s="3"/>
      <c r="G443" s="3"/>
      <c r="H443" s="3"/>
      <c r="I443" s="3"/>
      <c r="J443" s="3"/>
      <c r="K443" s="3"/>
      <c r="L443" s="3"/>
      <c r="M443" s="3"/>
      <c r="N443" s="3"/>
      <c r="O443" s="3"/>
      <c r="P443" s="3"/>
      <c r="Q443" s="48"/>
      <c r="R443" s="3"/>
      <c r="S443" s="3"/>
      <c r="T443" s="3"/>
      <c r="U443" s="28"/>
      <c r="V443" s="28"/>
      <c r="W443" s="77"/>
      <c r="X443" s="77"/>
      <c r="Y443" s="77"/>
      <c r="Z443" s="3"/>
      <c r="AA443" s="3"/>
      <c r="AB443" s="3"/>
    </row>
    <row r="444" spans="1:28" ht="14">
      <c r="A444" s="3"/>
      <c r="B444" s="3"/>
      <c r="C444" s="3"/>
      <c r="D444" s="3"/>
      <c r="E444" s="3"/>
      <c r="F444" s="3"/>
      <c r="G444" s="3"/>
      <c r="H444" s="3"/>
      <c r="I444" s="3"/>
      <c r="J444" s="3"/>
      <c r="K444" s="3"/>
      <c r="L444" s="3"/>
      <c r="M444" s="3"/>
      <c r="N444" s="3"/>
      <c r="O444" s="3"/>
      <c r="P444" s="3"/>
      <c r="Q444" s="48"/>
      <c r="R444" s="3"/>
      <c r="S444" s="3"/>
      <c r="T444" s="3"/>
      <c r="U444" s="28"/>
      <c r="V444" s="28"/>
      <c r="W444" s="77"/>
      <c r="X444" s="77"/>
      <c r="Y444" s="77"/>
      <c r="Z444" s="3"/>
      <c r="AA444" s="3"/>
      <c r="AB444" s="3"/>
    </row>
    <row r="445" spans="1:28" ht="14">
      <c r="A445" s="3"/>
      <c r="B445" s="3"/>
      <c r="C445" s="3"/>
      <c r="D445" s="3"/>
      <c r="E445" s="3"/>
      <c r="F445" s="3"/>
      <c r="G445" s="3"/>
      <c r="H445" s="3"/>
      <c r="I445" s="3"/>
      <c r="J445" s="3"/>
      <c r="K445" s="3"/>
      <c r="L445" s="3"/>
      <c r="M445" s="3"/>
      <c r="N445" s="3"/>
      <c r="O445" s="3"/>
      <c r="P445" s="3"/>
      <c r="Q445" s="48"/>
      <c r="R445" s="3"/>
      <c r="S445" s="3"/>
      <c r="T445" s="3"/>
      <c r="U445" s="28"/>
      <c r="V445" s="28"/>
      <c r="W445" s="77"/>
      <c r="X445" s="77"/>
      <c r="Y445" s="77"/>
      <c r="Z445" s="3"/>
      <c r="AA445" s="3"/>
      <c r="AB445" s="3"/>
    </row>
    <row r="446" spans="1:28" ht="14">
      <c r="A446" s="3"/>
      <c r="B446" s="3"/>
      <c r="C446" s="3"/>
      <c r="D446" s="3"/>
      <c r="E446" s="3"/>
      <c r="F446" s="3"/>
      <c r="G446" s="3"/>
      <c r="H446" s="3"/>
      <c r="I446" s="3"/>
      <c r="J446" s="3"/>
      <c r="K446" s="3"/>
      <c r="L446" s="3"/>
      <c r="M446" s="3"/>
      <c r="N446" s="3"/>
      <c r="O446" s="3"/>
      <c r="P446" s="3"/>
      <c r="Q446" s="48"/>
      <c r="R446" s="3"/>
      <c r="S446" s="3"/>
      <c r="T446" s="3"/>
      <c r="U446" s="28"/>
      <c r="V446" s="28"/>
      <c r="W446" s="77"/>
      <c r="X446" s="77"/>
      <c r="Y446" s="77"/>
      <c r="Z446" s="3"/>
      <c r="AA446" s="3"/>
      <c r="AB446" s="3"/>
    </row>
    <row r="447" spans="1:28" ht="14">
      <c r="A447" s="3"/>
      <c r="B447" s="3"/>
      <c r="C447" s="3"/>
      <c r="D447" s="3"/>
      <c r="E447" s="3"/>
      <c r="F447" s="3"/>
      <c r="G447" s="3"/>
      <c r="H447" s="3"/>
      <c r="I447" s="3"/>
      <c r="J447" s="3"/>
      <c r="K447" s="3"/>
      <c r="L447" s="3"/>
      <c r="M447" s="3"/>
      <c r="N447" s="3"/>
      <c r="O447" s="3"/>
      <c r="P447" s="3"/>
      <c r="Q447" s="48"/>
      <c r="R447" s="3"/>
      <c r="S447" s="3"/>
      <c r="T447" s="3"/>
      <c r="U447" s="28"/>
      <c r="V447" s="28"/>
      <c r="W447" s="77"/>
      <c r="X447" s="77"/>
      <c r="Y447" s="77"/>
      <c r="Z447" s="3"/>
      <c r="AA447" s="3"/>
      <c r="AB447" s="3"/>
    </row>
    <row r="448" spans="1:28" ht="14">
      <c r="A448" s="3"/>
      <c r="B448" s="3"/>
      <c r="C448" s="3"/>
      <c r="D448" s="3"/>
      <c r="E448" s="3"/>
      <c r="F448" s="3"/>
      <c r="G448" s="3"/>
      <c r="H448" s="3"/>
      <c r="I448" s="3"/>
      <c r="J448" s="3"/>
      <c r="K448" s="3"/>
      <c r="L448" s="3"/>
      <c r="M448" s="3"/>
      <c r="N448" s="3"/>
      <c r="O448" s="3"/>
      <c r="P448" s="3"/>
      <c r="Q448" s="48"/>
      <c r="R448" s="3"/>
      <c r="S448" s="3"/>
      <c r="T448" s="3"/>
      <c r="U448" s="28"/>
      <c r="V448" s="28"/>
      <c r="W448" s="77"/>
      <c r="X448" s="77"/>
      <c r="Y448" s="77"/>
      <c r="Z448" s="3"/>
      <c r="AA448" s="3"/>
      <c r="AB448" s="3"/>
    </row>
    <row r="449" spans="1:28" ht="14">
      <c r="A449" s="3"/>
      <c r="B449" s="3"/>
      <c r="C449" s="3"/>
      <c r="D449" s="3"/>
      <c r="E449" s="3"/>
      <c r="F449" s="3"/>
      <c r="G449" s="3"/>
      <c r="H449" s="3"/>
      <c r="I449" s="3"/>
      <c r="J449" s="3"/>
      <c r="K449" s="3"/>
      <c r="L449" s="3"/>
      <c r="M449" s="3"/>
      <c r="N449" s="3"/>
      <c r="O449" s="3"/>
      <c r="P449" s="3"/>
      <c r="Q449" s="48"/>
      <c r="R449" s="3"/>
      <c r="S449" s="3"/>
      <c r="T449" s="3"/>
      <c r="U449" s="28"/>
      <c r="V449" s="28"/>
      <c r="W449" s="77"/>
      <c r="X449" s="77"/>
      <c r="Y449" s="77"/>
      <c r="Z449" s="3"/>
      <c r="AA449" s="3"/>
      <c r="AB449" s="3"/>
    </row>
    <row r="450" spans="1:28" ht="14">
      <c r="A450" s="3"/>
      <c r="B450" s="3"/>
      <c r="C450" s="3"/>
      <c r="D450" s="3"/>
      <c r="E450" s="3"/>
      <c r="F450" s="3"/>
      <c r="G450" s="3"/>
      <c r="H450" s="3"/>
      <c r="I450" s="3"/>
      <c r="J450" s="3"/>
      <c r="K450" s="3"/>
      <c r="L450" s="3"/>
      <c r="M450" s="3"/>
      <c r="N450" s="3"/>
      <c r="O450" s="3"/>
      <c r="P450" s="3"/>
      <c r="Q450" s="48"/>
      <c r="R450" s="3"/>
      <c r="S450" s="3"/>
      <c r="T450" s="3"/>
      <c r="U450" s="28"/>
      <c r="V450" s="28"/>
      <c r="W450" s="77"/>
      <c r="X450" s="77"/>
      <c r="Y450" s="77"/>
      <c r="Z450" s="3"/>
      <c r="AA450" s="3"/>
      <c r="AB450" s="3"/>
    </row>
    <row r="451" spans="1:28" ht="14">
      <c r="A451" s="3"/>
      <c r="B451" s="3"/>
      <c r="C451" s="3"/>
      <c r="D451" s="3"/>
      <c r="E451" s="3"/>
      <c r="F451" s="3"/>
      <c r="G451" s="3"/>
      <c r="H451" s="3"/>
      <c r="I451" s="3"/>
      <c r="J451" s="3"/>
      <c r="K451" s="3"/>
      <c r="L451" s="3"/>
      <c r="M451" s="3"/>
      <c r="N451" s="3"/>
      <c r="O451" s="3"/>
      <c r="P451" s="3"/>
      <c r="Q451" s="48"/>
      <c r="R451" s="3"/>
      <c r="S451" s="3"/>
      <c r="T451" s="3"/>
      <c r="U451" s="28"/>
      <c r="V451" s="28"/>
      <c r="W451" s="77"/>
      <c r="X451" s="77"/>
      <c r="Y451" s="77"/>
      <c r="Z451" s="3"/>
      <c r="AA451" s="3"/>
      <c r="AB451" s="3"/>
    </row>
    <row r="452" spans="1:28" ht="14">
      <c r="A452" s="3"/>
      <c r="B452" s="3"/>
      <c r="C452" s="3"/>
      <c r="D452" s="3"/>
      <c r="E452" s="3"/>
      <c r="F452" s="3"/>
      <c r="G452" s="3"/>
      <c r="H452" s="3"/>
      <c r="I452" s="3"/>
      <c r="J452" s="3"/>
      <c r="K452" s="3"/>
      <c r="L452" s="3"/>
      <c r="M452" s="3"/>
      <c r="N452" s="3"/>
      <c r="O452" s="3"/>
      <c r="P452" s="3"/>
      <c r="Q452" s="48"/>
      <c r="R452" s="3"/>
      <c r="S452" s="3"/>
      <c r="T452" s="3"/>
      <c r="U452" s="28"/>
      <c r="V452" s="28"/>
      <c r="W452" s="77"/>
      <c r="X452" s="77"/>
      <c r="Y452" s="77"/>
      <c r="Z452" s="3"/>
      <c r="AA452" s="3"/>
      <c r="AB452" s="3"/>
    </row>
    <row r="453" spans="1:28" ht="14">
      <c r="A453" s="3"/>
      <c r="B453" s="3"/>
      <c r="C453" s="3"/>
      <c r="D453" s="3"/>
      <c r="E453" s="3"/>
      <c r="F453" s="3"/>
      <c r="G453" s="3"/>
      <c r="H453" s="3"/>
      <c r="I453" s="3"/>
      <c r="J453" s="3"/>
      <c r="K453" s="3"/>
      <c r="L453" s="3"/>
      <c r="M453" s="3"/>
      <c r="N453" s="3"/>
      <c r="O453" s="3"/>
      <c r="P453" s="3"/>
      <c r="Q453" s="48"/>
      <c r="R453" s="3"/>
      <c r="S453" s="3"/>
      <c r="T453" s="3"/>
      <c r="U453" s="28"/>
      <c r="V453" s="28"/>
      <c r="W453" s="77"/>
      <c r="X453" s="77"/>
      <c r="Y453" s="77"/>
      <c r="Z453" s="3"/>
      <c r="AA453" s="3"/>
      <c r="AB453" s="3"/>
    </row>
    <row r="454" spans="1:28" ht="14">
      <c r="A454" s="3"/>
      <c r="B454" s="3"/>
      <c r="C454" s="3"/>
      <c r="D454" s="3"/>
      <c r="E454" s="3"/>
      <c r="F454" s="3"/>
      <c r="G454" s="3"/>
      <c r="H454" s="3"/>
      <c r="I454" s="3"/>
      <c r="J454" s="3"/>
      <c r="K454" s="3"/>
      <c r="L454" s="3"/>
      <c r="M454" s="3"/>
      <c r="N454" s="3"/>
      <c r="O454" s="3"/>
      <c r="P454" s="3"/>
      <c r="Q454" s="48"/>
      <c r="R454" s="3"/>
      <c r="S454" s="3"/>
      <c r="T454" s="3"/>
      <c r="U454" s="28"/>
      <c r="V454" s="28"/>
      <c r="W454" s="77"/>
      <c r="X454" s="77"/>
      <c r="Y454" s="77"/>
      <c r="Z454" s="3"/>
      <c r="AA454" s="3"/>
      <c r="AB454" s="3"/>
    </row>
    <row r="455" spans="1:28" ht="14">
      <c r="A455" s="3"/>
      <c r="B455" s="3"/>
      <c r="C455" s="3"/>
      <c r="D455" s="3"/>
      <c r="E455" s="3"/>
      <c r="F455" s="3"/>
      <c r="G455" s="3"/>
      <c r="H455" s="3"/>
      <c r="I455" s="3"/>
      <c r="J455" s="3"/>
      <c r="K455" s="3"/>
      <c r="L455" s="3"/>
      <c r="M455" s="3"/>
      <c r="N455" s="3"/>
      <c r="O455" s="3"/>
      <c r="P455" s="3"/>
      <c r="Q455" s="48"/>
      <c r="R455" s="3"/>
      <c r="S455" s="3"/>
      <c r="T455" s="3"/>
      <c r="U455" s="28"/>
      <c r="V455" s="28"/>
      <c r="W455" s="77"/>
      <c r="X455" s="77"/>
      <c r="Y455" s="77"/>
      <c r="Z455" s="3"/>
      <c r="AA455" s="3"/>
      <c r="AB455" s="3"/>
    </row>
    <row r="456" spans="1:28" ht="14">
      <c r="A456" s="3"/>
      <c r="B456" s="3"/>
      <c r="C456" s="3"/>
      <c r="D456" s="3"/>
      <c r="E456" s="3"/>
      <c r="F456" s="3"/>
      <c r="G456" s="3"/>
      <c r="H456" s="3"/>
      <c r="I456" s="3"/>
      <c r="J456" s="3"/>
      <c r="K456" s="3"/>
      <c r="L456" s="3"/>
      <c r="M456" s="3"/>
      <c r="N456" s="3"/>
      <c r="O456" s="3"/>
      <c r="P456" s="3"/>
      <c r="Q456" s="48"/>
      <c r="R456" s="3"/>
      <c r="S456" s="3"/>
      <c r="T456" s="3"/>
      <c r="U456" s="28"/>
      <c r="V456" s="28"/>
      <c r="W456" s="77"/>
      <c r="X456" s="77"/>
      <c r="Y456" s="77"/>
      <c r="Z456" s="3"/>
      <c r="AA456" s="3"/>
      <c r="AB456" s="3"/>
    </row>
    <row r="457" spans="1:28" ht="14">
      <c r="A457" s="3"/>
      <c r="B457" s="3"/>
      <c r="C457" s="3"/>
      <c r="D457" s="3"/>
      <c r="E457" s="3"/>
      <c r="F457" s="3"/>
      <c r="G457" s="3"/>
      <c r="H457" s="3"/>
      <c r="I457" s="3"/>
      <c r="J457" s="3"/>
      <c r="K457" s="3"/>
      <c r="L457" s="3"/>
      <c r="M457" s="3"/>
      <c r="N457" s="3"/>
      <c r="O457" s="3"/>
      <c r="P457" s="3"/>
      <c r="Q457" s="48"/>
      <c r="R457" s="3"/>
      <c r="S457" s="3"/>
      <c r="T457" s="3"/>
      <c r="U457" s="28"/>
      <c r="V457" s="28"/>
      <c r="W457" s="77"/>
      <c r="X457" s="77"/>
      <c r="Y457" s="77"/>
      <c r="Z457" s="3"/>
      <c r="AA457" s="3"/>
      <c r="AB457" s="3"/>
    </row>
    <row r="458" spans="1:28" ht="14">
      <c r="A458" s="3"/>
      <c r="B458" s="3"/>
      <c r="C458" s="3"/>
      <c r="D458" s="3"/>
      <c r="E458" s="3"/>
      <c r="F458" s="3"/>
      <c r="G458" s="3"/>
      <c r="H458" s="3"/>
      <c r="I458" s="3"/>
      <c r="J458" s="3"/>
      <c r="K458" s="3"/>
      <c r="L458" s="3"/>
      <c r="M458" s="3"/>
      <c r="N458" s="3"/>
      <c r="O458" s="3"/>
      <c r="P458" s="3"/>
      <c r="Q458" s="48"/>
      <c r="R458" s="3"/>
      <c r="S458" s="3"/>
      <c r="T458" s="3"/>
      <c r="U458" s="28"/>
      <c r="V458" s="28"/>
      <c r="W458" s="77"/>
      <c r="X458" s="77"/>
      <c r="Y458" s="77"/>
      <c r="Z458" s="3"/>
      <c r="AA458" s="3"/>
      <c r="AB458" s="3"/>
    </row>
    <row r="459" spans="1:28" ht="14">
      <c r="A459" s="3"/>
      <c r="B459" s="3"/>
      <c r="C459" s="3"/>
      <c r="D459" s="3"/>
      <c r="E459" s="3"/>
      <c r="F459" s="3"/>
      <c r="G459" s="3"/>
      <c r="H459" s="3"/>
      <c r="I459" s="3"/>
      <c r="J459" s="3"/>
      <c r="K459" s="3"/>
      <c r="L459" s="3"/>
      <c r="M459" s="3"/>
      <c r="N459" s="3"/>
      <c r="O459" s="3"/>
      <c r="P459" s="3"/>
      <c r="Q459" s="48"/>
      <c r="R459" s="3"/>
      <c r="S459" s="3"/>
      <c r="T459" s="3"/>
      <c r="U459" s="28"/>
      <c r="V459" s="28"/>
      <c r="W459" s="77"/>
      <c r="X459" s="77"/>
      <c r="Y459" s="77"/>
      <c r="Z459" s="3"/>
      <c r="AA459" s="3"/>
      <c r="AB459" s="3"/>
    </row>
    <row r="460" spans="1:28" ht="14">
      <c r="A460" s="3"/>
      <c r="B460" s="3"/>
      <c r="C460" s="3"/>
      <c r="D460" s="3"/>
      <c r="E460" s="3"/>
      <c r="F460" s="3"/>
      <c r="G460" s="3"/>
      <c r="H460" s="3"/>
      <c r="I460" s="3"/>
      <c r="J460" s="3"/>
      <c r="K460" s="3"/>
      <c r="L460" s="3"/>
      <c r="M460" s="3"/>
      <c r="N460" s="3"/>
      <c r="O460" s="3"/>
      <c r="P460" s="3"/>
      <c r="Q460" s="48"/>
      <c r="R460" s="3"/>
      <c r="S460" s="3"/>
      <c r="T460" s="3"/>
      <c r="U460" s="28"/>
      <c r="V460" s="28"/>
      <c r="W460" s="77"/>
      <c r="X460" s="77"/>
      <c r="Y460" s="77"/>
      <c r="Z460" s="3"/>
      <c r="AA460" s="3"/>
      <c r="AB460" s="3"/>
    </row>
    <row r="461" spans="1:28" ht="14">
      <c r="A461" s="3"/>
      <c r="B461" s="3"/>
      <c r="C461" s="3"/>
      <c r="D461" s="3"/>
      <c r="E461" s="3"/>
      <c r="F461" s="3"/>
      <c r="G461" s="3"/>
      <c r="H461" s="3"/>
      <c r="I461" s="3"/>
      <c r="J461" s="3"/>
      <c r="K461" s="3"/>
      <c r="L461" s="3"/>
      <c r="M461" s="3"/>
      <c r="N461" s="3"/>
      <c r="O461" s="3"/>
      <c r="P461" s="3"/>
      <c r="Q461" s="48"/>
      <c r="R461" s="3"/>
      <c r="S461" s="3"/>
      <c r="T461" s="3"/>
      <c r="U461" s="28"/>
      <c r="V461" s="28"/>
      <c r="W461" s="77"/>
      <c r="X461" s="77"/>
      <c r="Y461" s="77"/>
      <c r="Z461" s="3"/>
      <c r="AA461" s="3"/>
      <c r="AB461" s="3"/>
    </row>
    <row r="462" spans="1:28" ht="14">
      <c r="A462" s="3"/>
      <c r="B462" s="3"/>
      <c r="C462" s="3"/>
      <c r="D462" s="3"/>
      <c r="E462" s="3"/>
      <c r="F462" s="3"/>
      <c r="G462" s="3"/>
      <c r="H462" s="3"/>
      <c r="I462" s="3"/>
      <c r="J462" s="3"/>
      <c r="K462" s="3"/>
      <c r="L462" s="3"/>
      <c r="M462" s="3"/>
      <c r="N462" s="3"/>
      <c r="O462" s="3"/>
      <c r="P462" s="3"/>
      <c r="Q462" s="48"/>
      <c r="R462" s="3"/>
      <c r="S462" s="3"/>
      <c r="T462" s="3"/>
      <c r="U462" s="28"/>
      <c r="V462" s="28"/>
      <c r="W462" s="77"/>
      <c r="X462" s="77"/>
      <c r="Y462" s="77"/>
      <c r="Z462" s="3"/>
      <c r="AA462" s="3"/>
      <c r="AB462" s="3"/>
    </row>
    <row r="463" spans="1:28" ht="14">
      <c r="A463" s="3"/>
      <c r="B463" s="3"/>
      <c r="C463" s="3"/>
      <c r="D463" s="3"/>
      <c r="E463" s="3"/>
      <c r="F463" s="3"/>
      <c r="G463" s="3"/>
      <c r="H463" s="3"/>
      <c r="I463" s="3"/>
      <c r="J463" s="3"/>
      <c r="K463" s="3"/>
      <c r="L463" s="3"/>
      <c r="M463" s="3"/>
      <c r="N463" s="3"/>
      <c r="O463" s="3"/>
      <c r="P463" s="3"/>
      <c r="Q463" s="48"/>
      <c r="R463" s="3"/>
      <c r="S463" s="3"/>
      <c r="T463" s="3"/>
      <c r="U463" s="28"/>
      <c r="V463" s="28"/>
      <c r="W463" s="77"/>
      <c r="X463" s="77"/>
      <c r="Y463" s="77"/>
      <c r="Z463" s="3"/>
      <c r="AA463" s="3"/>
      <c r="AB463" s="3"/>
    </row>
    <row r="464" spans="1:28" ht="14">
      <c r="A464" s="3"/>
      <c r="B464" s="3"/>
      <c r="C464" s="3"/>
      <c r="D464" s="3"/>
      <c r="E464" s="3"/>
      <c r="F464" s="3"/>
      <c r="G464" s="3"/>
      <c r="H464" s="3"/>
      <c r="I464" s="3"/>
      <c r="J464" s="3"/>
      <c r="K464" s="3"/>
      <c r="L464" s="3"/>
      <c r="M464" s="3"/>
      <c r="N464" s="3"/>
      <c r="O464" s="3"/>
      <c r="P464" s="3"/>
      <c r="Q464" s="48"/>
      <c r="R464" s="3"/>
      <c r="S464" s="3"/>
      <c r="T464" s="3"/>
      <c r="U464" s="28"/>
      <c r="V464" s="28"/>
      <c r="W464" s="77"/>
      <c r="X464" s="77"/>
      <c r="Y464" s="77"/>
      <c r="Z464" s="3"/>
      <c r="AA464" s="3"/>
      <c r="AB464" s="3"/>
    </row>
    <row r="465" spans="1:28" ht="14">
      <c r="A465" s="3"/>
      <c r="B465" s="3"/>
      <c r="C465" s="3"/>
      <c r="D465" s="3"/>
      <c r="E465" s="3"/>
      <c r="F465" s="3"/>
      <c r="G465" s="3"/>
      <c r="H465" s="3"/>
      <c r="I465" s="3"/>
      <c r="J465" s="3"/>
      <c r="K465" s="3"/>
      <c r="L465" s="3"/>
      <c r="M465" s="3"/>
      <c r="N465" s="3"/>
      <c r="O465" s="3"/>
      <c r="P465" s="3"/>
      <c r="Q465" s="48"/>
      <c r="R465" s="3"/>
      <c r="S465" s="3"/>
      <c r="T465" s="3"/>
      <c r="U465" s="28"/>
      <c r="V465" s="28"/>
      <c r="W465" s="77"/>
      <c r="X465" s="77"/>
      <c r="Y465" s="77"/>
      <c r="Z465" s="3"/>
      <c r="AA465" s="3"/>
      <c r="AB465" s="3"/>
    </row>
    <row r="466" spans="1:28" ht="14">
      <c r="A466" s="3"/>
      <c r="B466" s="3"/>
      <c r="C466" s="3"/>
      <c r="D466" s="3"/>
      <c r="E466" s="3"/>
      <c r="F466" s="3"/>
      <c r="G466" s="3"/>
      <c r="H466" s="3"/>
      <c r="I466" s="3"/>
      <c r="J466" s="3"/>
      <c r="K466" s="3"/>
      <c r="L466" s="3"/>
      <c r="M466" s="3"/>
      <c r="N466" s="3"/>
      <c r="O466" s="3"/>
      <c r="P466" s="3"/>
      <c r="Q466" s="48"/>
      <c r="R466" s="3"/>
      <c r="S466" s="3"/>
      <c r="T466" s="3"/>
      <c r="U466" s="28"/>
      <c r="V466" s="28"/>
      <c r="W466" s="77"/>
      <c r="X466" s="77"/>
      <c r="Y466" s="77"/>
      <c r="Z466" s="3"/>
      <c r="AA466" s="3"/>
      <c r="AB466" s="3"/>
    </row>
    <row r="467" spans="1:28" ht="14">
      <c r="A467" s="3"/>
      <c r="B467" s="3"/>
      <c r="C467" s="3"/>
      <c r="D467" s="3"/>
      <c r="E467" s="3"/>
      <c r="F467" s="3"/>
      <c r="G467" s="3"/>
      <c r="H467" s="3"/>
      <c r="I467" s="3"/>
      <c r="J467" s="3"/>
      <c r="K467" s="3"/>
      <c r="L467" s="3"/>
      <c r="M467" s="3"/>
      <c r="N467" s="3"/>
      <c r="O467" s="3"/>
      <c r="P467" s="3"/>
      <c r="Q467" s="48"/>
      <c r="R467" s="3"/>
      <c r="S467" s="3"/>
      <c r="T467" s="3"/>
      <c r="U467" s="28"/>
      <c r="V467" s="28"/>
      <c r="W467" s="77"/>
      <c r="X467" s="77"/>
      <c r="Y467" s="77"/>
      <c r="Z467" s="3"/>
      <c r="AA467" s="3"/>
      <c r="AB467" s="3"/>
    </row>
    <row r="468" spans="1:28" ht="14">
      <c r="A468" s="3"/>
      <c r="B468" s="3"/>
      <c r="C468" s="3"/>
      <c r="D468" s="3"/>
      <c r="E468" s="3"/>
      <c r="F468" s="3"/>
      <c r="G468" s="3"/>
      <c r="H468" s="3"/>
      <c r="I468" s="3"/>
      <c r="J468" s="3"/>
      <c r="K468" s="3"/>
      <c r="L468" s="3"/>
      <c r="M468" s="3"/>
      <c r="N468" s="3"/>
      <c r="O468" s="3"/>
      <c r="P468" s="3"/>
      <c r="Q468" s="48"/>
      <c r="R468" s="3"/>
      <c r="S468" s="3"/>
      <c r="T468" s="3"/>
      <c r="U468" s="28"/>
      <c r="V468" s="28"/>
      <c r="W468" s="77"/>
      <c r="X468" s="77"/>
      <c r="Y468" s="77"/>
      <c r="Z468" s="3"/>
      <c r="AA468" s="3"/>
      <c r="AB468" s="3"/>
    </row>
    <row r="469" spans="1:28" ht="14">
      <c r="A469" s="3"/>
      <c r="B469" s="3"/>
      <c r="C469" s="3"/>
      <c r="D469" s="3"/>
      <c r="E469" s="3"/>
      <c r="F469" s="3"/>
      <c r="G469" s="3"/>
      <c r="H469" s="3"/>
      <c r="I469" s="3"/>
      <c r="J469" s="3"/>
      <c r="K469" s="3"/>
      <c r="L469" s="3"/>
      <c r="M469" s="3"/>
      <c r="N469" s="3"/>
      <c r="O469" s="3"/>
      <c r="P469" s="3"/>
      <c r="Q469" s="48"/>
      <c r="R469" s="3"/>
      <c r="S469" s="3"/>
      <c r="T469" s="3"/>
      <c r="U469" s="28"/>
      <c r="V469" s="28"/>
      <c r="W469" s="77"/>
      <c r="X469" s="77"/>
      <c r="Y469" s="77"/>
      <c r="Z469" s="3"/>
      <c r="AA469" s="3"/>
      <c r="AB469" s="3"/>
    </row>
    <row r="470" spans="1:28" ht="14">
      <c r="A470" s="3"/>
      <c r="B470" s="3"/>
      <c r="C470" s="3"/>
      <c r="D470" s="3"/>
      <c r="E470" s="3"/>
      <c r="F470" s="3"/>
      <c r="G470" s="3"/>
      <c r="H470" s="3"/>
      <c r="I470" s="3"/>
      <c r="J470" s="3"/>
      <c r="K470" s="3"/>
      <c r="L470" s="3"/>
      <c r="M470" s="3"/>
      <c r="N470" s="3"/>
      <c r="O470" s="3"/>
      <c r="P470" s="3"/>
      <c r="Q470" s="48"/>
      <c r="R470" s="3"/>
      <c r="S470" s="3"/>
      <c r="T470" s="3"/>
      <c r="U470" s="28"/>
      <c r="V470" s="28"/>
      <c r="W470" s="77"/>
      <c r="X470" s="77"/>
      <c r="Y470" s="77"/>
      <c r="Z470" s="3"/>
      <c r="AA470" s="3"/>
      <c r="AB470" s="3"/>
    </row>
    <row r="471" spans="1:28" ht="14">
      <c r="A471" s="3"/>
      <c r="B471" s="3"/>
      <c r="C471" s="3"/>
      <c r="D471" s="3"/>
      <c r="E471" s="3"/>
      <c r="F471" s="3"/>
      <c r="G471" s="3"/>
      <c r="H471" s="3"/>
      <c r="I471" s="3"/>
      <c r="J471" s="3"/>
      <c r="K471" s="3"/>
      <c r="L471" s="3"/>
      <c r="M471" s="3"/>
      <c r="N471" s="3"/>
      <c r="O471" s="3"/>
      <c r="P471" s="3"/>
      <c r="Q471" s="48"/>
      <c r="R471" s="3"/>
      <c r="S471" s="3"/>
      <c r="T471" s="3"/>
      <c r="U471" s="28"/>
      <c r="V471" s="28"/>
      <c r="W471" s="77"/>
      <c r="X471" s="77"/>
      <c r="Y471" s="77"/>
      <c r="Z471" s="3"/>
      <c r="AA471" s="3"/>
      <c r="AB471" s="3"/>
    </row>
    <row r="472" spans="1:28" ht="14">
      <c r="A472" s="3"/>
      <c r="B472" s="3"/>
      <c r="C472" s="3"/>
      <c r="D472" s="3"/>
      <c r="E472" s="3"/>
      <c r="F472" s="3"/>
      <c r="G472" s="3"/>
      <c r="H472" s="3"/>
      <c r="I472" s="3"/>
      <c r="J472" s="3"/>
      <c r="K472" s="3"/>
      <c r="L472" s="3"/>
      <c r="M472" s="3"/>
      <c r="N472" s="3"/>
      <c r="O472" s="3"/>
      <c r="P472" s="3"/>
      <c r="Q472" s="48"/>
      <c r="R472" s="3"/>
      <c r="S472" s="3"/>
      <c r="T472" s="3"/>
      <c r="U472" s="28"/>
      <c r="V472" s="28"/>
      <c r="W472" s="77"/>
      <c r="X472" s="77"/>
      <c r="Y472" s="77"/>
      <c r="Z472" s="3"/>
      <c r="AA472" s="3"/>
      <c r="AB472" s="3"/>
    </row>
    <row r="473" spans="1:28" ht="14">
      <c r="A473" s="3"/>
      <c r="B473" s="3"/>
      <c r="C473" s="3"/>
      <c r="D473" s="3"/>
      <c r="E473" s="3"/>
      <c r="F473" s="3"/>
      <c r="G473" s="3"/>
      <c r="H473" s="3"/>
      <c r="I473" s="3"/>
      <c r="J473" s="3"/>
      <c r="K473" s="3"/>
      <c r="L473" s="3"/>
      <c r="M473" s="3"/>
      <c r="N473" s="3"/>
      <c r="O473" s="3"/>
      <c r="P473" s="3"/>
      <c r="Q473" s="48"/>
      <c r="R473" s="3"/>
      <c r="S473" s="3"/>
      <c r="T473" s="3"/>
      <c r="U473" s="28"/>
      <c r="V473" s="28"/>
      <c r="W473" s="77"/>
      <c r="X473" s="77"/>
      <c r="Y473" s="77"/>
      <c r="Z473" s="3"/>
      <c r="AA473" s="3"/>
      <c r="AB473" s="3"/>
    </row>
    <row r="474" spans="1:28" ht="14">
      <c r="A474" s="3"/>
      <c r="B474" s="3"/>
      <c r="C474" s="3"/>
      <c r="D474" s="3"/>
      <c r="E474" s="3"/>
      <c r="F474" s="3"/>
      <c r="G474" s="3"/>
      <c r="H474" s="3"/>
      <c r="I474" s="3"/>
      <c r="J474" s="3"/>
      <c r="K474" s="3"/>
      <c r="L474" s="3"/>
      <c r="M474" s="3"/>
      <c r="N474" s="3"/>
      <c r="O474" s="3"/>
      <c r="P474" s="3"/>
      <c r="Q474" s="48"/>
      <c r="R474" s="3"/>
      <c r="S474" s="3"/>
      <c r="T474" s="3"/>
      <c r="U474" s="28"/>
      <c r="V474" s="28"/>
      <c r="W474" s="77"/>
      <c r="X474" s="77"/>
      <c r="Y474" s="77"/>
      <c r="Z474" s="3"/>
      <c r="AA474" s="3"/>
      <c r="AB474" s="3"/>
    </row>
    <row r="475" spans="1:28" ht="14">
      <c r="A475" s="3"/>
      <c r="B475" s="3"/>
      <c r="C475" s="3"/>
      <c r="D475" s="3"/>
      <c r="E475" s="3"/>
      <c r="F475" s="3"/>
      <c r="G475" s="3"/>
      <c r="H475" s="3"/>
      <c r="I475" s="3"/>
      <c r="J475" s="3"/>
      <c r="K475" s="3"/>
      <c r="L475" s="3"/>
      <c r="M475" s="3"/>
      <c r="N475" s="3"/>
      <c r="O475" s="3"/>
      <c r="P475" s="3"/>
      <c r="Q475" s="48"/>
      <c r="R475" s="3"/>
      <c r="S475" s="3"/>
      <c r="T475" s="3"/>
      <c r="U475" s="28"/>
      <c r="V475" s="28"/>
      <c r="W475" s="77"/>
      <c r="X475" s="77"/>
      <c r="Y475" s="77"/>
      <c r="Z475" s="3"/>
      <c r="AA475" s="3"/>
      <c r="AB475" s="3"/>
    </row>
    <row r="476" spans="1:28" ht="14">
      <c r="A476" s="3"/>
      <c r="B476" s="3"/>
      <c r="C476" s="3"/>
      <c r="D476" s="3"/>
      <c r="E476" s="3"/>
      <c r="F476" s="3"/>
      <c r="G476" s="3"/>
      <c r="H476" s="3"/>
      <c r="I476" s="3"/>
      <c r="J476" s="3"/>
      <c r="K476" s="3"/>
      <c r="L476" s="3"/>
      <c r="M476" s="3"/>
      <c r="N476" s="3"/>
      <c r="O476" s="3"/>
      <c r="P476" s="3"/>
      <c r="Q476" s="48"/>
      <c r="R476" s="3"/>
      <c r="S476" s="3"/>
      <c r="T476" s="3"/>
      <c r="U476" s="28"/>
      <c r="V476" s="28"/>
      <c r="W476" s="77"/>
      <c r="X476" s="77"/>
      <c r="Y476" s="77"/>
      <c r="Z476" s="3"/>
      <c r="AA476" s="3"/>
      <c r="AB476" s="3"/>
    </row>
    <row r="477" spans="1:28" ht="14">
      <c r="A477" s="3"/>
      <c r="B477" s="3"/>
      <c r="C477" s="3"/>
      <c r="D477" s="3"/>
      <c r="E477" s="3"/>
      <c r="F477" s="3"/>
      <c r="G477" s="3"/>
      <c r="H477" s="3"/>
      <c r="I477" s="3"/>
      <c r="J477" s="3"/>
      <c r="K477" s="3"/>
      <c r="L477" s="3"/>
      <c r="M477" s="3"/>
      <c r="N477" s="3"/>
      <c r="O477" s="3"/>
      <c r="P477" s="3"/>
      <c r="Q477" s="48"/>
      <c r="R477" s="3"/>
      <c r="S477" s="3"/>
      <c r="T477" s="3"/>
      <c r="U477" s="28"/>
      <c r="V477" s="28"/>
      <c r="W477" s="77"/>
      <c r="X477" s="77"/>
      <c r="Y477" s="77"/>
      <c r="Z477" s="3"/>
      <c r="AA477" s="3"/>
      <c r="AB477" s="3"/>
    </row>
    <row r="478" spans="1:28" ht="14">
      <c r="A478" s="3"/>
      <c r="B478" s="3"/>
      <c r="C478" s="3"/>
      <c r="D478" s="3"/>
      <c r="E478" s="3"/>
      <c r="F478" s="3"/>
      <c r="G478" s="3"/>
      <c r="H478" s="3"/>
      <c r="I478" s="3"/>
      <c r="J478" s="3"/>
      <c r="K478" s="3"/>
      <c r="L478" s="3"/>
      <c r="M478" s="3"/>
      <c r="N478" s="3"/>
      <c r="O478" s="3"/>
      <c r="P478" s="3"/>
      <c r="Q478" s="48"/>
      <c r="R478" s="3"/>
      <c r="S478" s="3"/>
      <c r="T478" s="3"/>
      <c r="U478" s="28"/>
      <c r="V478" s="28"/>
      <c r="W478" s="77"/>
      <c r="X478" s="77"/>
      <c r="Y478" s="77"/>
      <c r="Z478" s="3"/>
      <c r="AA478" s="3"/>
      <c r="AB478" s="3"/>
    </row>
    <row r="479" spans="1:28" ht="14">
      <c r="A479" s="3"/>
      <c r="B479" s="3"/>
      <c r="C479" s="3"/>
      <c r="D479" s="3"/>
      <c r="E479" s="3"/>
      <c r="F479" s="3"/>
      <c r="G479" s="3"/>
      <c r="H479" s="3"/>
      <c r="I479" s="3"/>
      <c r="J479" s="3"/>
      <c r="K479" s="3"/>
      <c r="L479" s="3"/>
      <c r="M479" s="3"/>
      <c r="N479" s="3"/>
      <c r="O479" s="3"/>
      <c r="P479" s="3"/>
      <c r="Q479" s="48"/>
      <c r="R479" s="3"/>
      <c r="S479" s="3"/>
      <c r="T479" s="3"/>
      <c r="U479" s="28"/>
      <c r="V479" s="28"/>
      <c r="W479" s="77"/>
      <c r="X479" s="77"/>
      <c r="Y479" s="77"/>
      <c r="Z479" s="3"/>
      <c r="AA479" s="3"/>
      <c r="AB479" s="3"/>
    </row>
    <row r="480" spans="1:28" ht="14">
      <c r="A480" s="3"/>
      <c r="B480" s="3"/>
      <c r="C480" s="3"/>
      <c r="D480" s="3"/>
      <c r="E480" s="3"/>
      <c r="F480" s="3"/>
      <c r="G480" s="3"/>
      <c r="H480" s="3"/>
      <c r="I480" s="3"/>
      <c r="J480" s="3"/>
      <c r="K480" s="3"/>
      <c r="L480" s="3"/>
      <c r="M480" s="3"/>
      <c r="N480" s="3"/>
      <c r="O480" s="3"/>
      <c r="P480" s="3"/>
      <c r="Q480" s="48"/>
      <c r="R480" s="3"/>
      <c r="S480" s="3"/>
      <c r="T480" s="3"/>
      <c r="U480" s="28"/>
      <c r="V480" s="28"/>
      <c r="W480" s="77"/>
      <c r="X480" s="77"/>
      <c r="Y480" s="77"/>
      <c r="Z480" s="3"/>
      <c r="AA480" s="3"/>
      <c r="AB480" s="3"/>
    </row>
    <row r="481" spans="1:28" ht="14">
      <c r="A481" s="3"/>
      <c r="B481" s="3"/>
      <c r="C481" s="3"/>
      <c r="D481" s="3"/>
      <c r="E481" s="3"/>
      <c r="F481" s="3"/>
      <c r="G481" s="3"/>
      <c r="H481" s="3"/>
      <c r="I481" s="3"/>
      <c r="J481" s="3"/>
      <c r="K481" s="3"/>
      <c r="L481" s="3"/>
      <c r="M481" s="3"/>
      <c r="N481" s="3"/>
      <c r="O481" s="3"/>
      <c r="P481" s="3"/>
      <c r="Q481" s="48"/>
      <c r="R481" s="3"/>
      <c r="S481" s="3"/>
      <c r="T481" s="3"/>
      <c r="U481" s="28"/>
      <c r="V481" s="28"/>
      <c r="W481" s="77"/>
      <c r="X481" s="77"/>
      <c r="Y481" s="77"/>
      <c r="Z481" s="3"/>
      <c r="AA481" s="3"/>
      <c r="AB481" s="3"/>
    </row>
    <row r="482" spans="1:28" ht="14">
      <c r="A482" s="3"/>
      <c r="B482" s="3"/>
      <c r="C482" s="3"/>
      <c r="D482" s="3"/>
      <c r="E482" s="3"/>
      <c r="F482" s="3"/>
      <c r="G482" s="3"/>
      <c r="H482" s="3"/>
      <c r="I482" s="3"/>
      <c r="J482" s="3"/>
      <c r="K482" s="3"/>
      <c r="L482" s="3"/>
      <c r="M482" s="3"/>
      <c r="N482" s="3"/>
      <c r="O482" s="3"/>
      <c r="P482" s="3"/>
      <c r="Q482" s="48"/>
      <c r="R482" s="3"/>
      <c r="S482" s="3"/>
      <c r="T482" s="3"/>
      <c r="U482" s="28"/>
      <c r="V482" s="28"/>
      <c r="W482" s="77"/>
      <c r="X482" s="77"/>
      <c r="Y482" s="77"/>
      <c r="Z482" s="3"/>
      <c r="AA482" s="3"/>
      <c r="AB482" s="3"/>
    </row>
    <row r="483" spans="1:28" ht="14">
      <c r="A483" s="3"/>
      <c r="B483" s="3"/>
      <c r="C483" s="3"/>
      <c r="D483" s="3"/>
      <c r="E483" s="3"/>
      <c r="F483" s="3"/>
      <c r="G483" s="3"/>
      <c r="H483" s="3"/>
      <c r="I483" s="3"/>
      <c r="J483" s="3"/>
      <c r="K483" s="3"/>
      <c r="L483" s="3"/>
      <c r="M483" s="3"/>
      <c r="N483" s="3"/>
      <c r="O483" s="3"/>
      <c r="P483" s="3"/>
      <c r="Q483" s="48"/>
      <c r="R483" s="3"/>
      <c r="S483" s="3"/>
      <c r="T483" s="3"/>
      <c r="U483" s="28"/>
      <c r="V483" s="28"/>
      <c r="W483" s="77"/>
      <c r="X483" s="77"/>
      <c r="Y483" s="77"/>
      <c r="Z483" s="3"/>
      <c r="AA483" s="3"/>
      <c r="AB483" s="3"/>
    </row>
    <row r="484" spans="1:28" ht="14">
      <c r="A484" s="3"/>
      <c r="B484" s="3"/>
      <c r="C484" s="3"/>
      <c r="D484" s="3"/>
      <c r="E484" s="3"/>
      <c r="F484" s="3"/>
      <c r="G484" s="3"/>
      <c r="H484" s="3"/>
      <c r="I484" s="3"/>
      <c r="J484" s="3"/>
      <c r="K484" s="3"/>
      <c r="L484" s="3"/>
      <c r="M484" s="3"/>
      <c r="N484" s="3"/>
      <c r="O484" s="3"/>
      <c r="P484" s="3"/>
      <c r="Q484" s="48"/>
      <c r="R484" s="3"/>
      <c r="S484" s="3"/>
      <c r="T484" s="3"/>
      <c r="U484" s="28"/>
      <c r="V484" s="28"/>
      <c r="W484" s="77"/>
      <c r="X484" s="77"/>
      <c r="Y484" s="77"/>
      <c r="Z484" s="3"/>
      <c r="AA484" s="3"/>
      <c r="AB484" s="3"/>
    </row>
    <row r="485" spans="1:28" ht="14">
      <c r="A485" s="3"/>
      <c r="B485" s="3"/>
      <c r="C485" s="3"/>
      <c r="D485" s="3"/>
      <c r="E485" s="3"/>
      <c r="F485" s="3"/>
      <c r="G485" s="3"/>
      <c r="H485" s="3"/>
      <c r="I485" s="3"/>
      <c r="J485" s="3"/>
      <c r="K485" s="3"/>
      <c r="L485" s="3"/>
      <c r="M485" s="3"/>
      <c r="N485" s="3"/>
      <c r="O485" s="3"/>
      <c r="P485" s="3"/>
      <c r="Q485" s="48"/>
      <c r="R485" s="3"/>
      <c r="S485" s="3"/>
      <c r="T485" s="3"/>
      <c r="U485" s="28"/>
      <c r="V485" s="28"/>
      <c r="W485" s="77"/>
      <c r="X485" s="77"/>
      <c r="Y485" s="77"/>
      <c r="Z485" s="3"/>
      <c r="AA485" s="3"/>
      <c r="AB485" s="3"/>
    </row>
    <row r="486" spans="1:28" ht="14">
      <c r="A486" s="3"/>
      <c r="B486" s="3"/>
      <c r="C486" s="3"/>
      <c r="D486" s="3"/>
      <c r="E486" s="3"/>
      <c r="F486" s="3"/>
      <c r="G486" s="3"/>
      <c r="H486" s="3"/>
      <c r="I486" s="3"/>
      <c r="J486" s="3"/>
      <c r="K486" s="3"/>
      <c r="L486" s="3"/>
      <c r="M486" s="3"/>
      <c r="N486" s="3"/>
      <c r="O486" s="3"/>
      <c r="P486" s="3"/>
      <c r="Q486" s="48"/>
      <c r="R486" s="3"/>
      <c r="S486" s="3"/>
      <c r="T486" s="3"/>
      <c r="U486" s="28"/>
      <c r="V486" s="28"/>
      <c r="W486" s="77"/>
      <c r="X486" s="77"/>
      <c r="Y486" s="77"/>
      <c r="Z486" s="3"/>
      <c r="AA486" s="3"/>
      <c r="AB486" s="3"/>
    </row>
    <row r="487" spans="1:28" ht="14">
      <c r="A487" s="3"/>
      <c r="B487" s="3"/>
      <c r="C487" s="3"/>
      <c r="D487" s="3"/>
      <c r="E487" s="3"/>
      <c r="F487" s="3"/>
      <c r="G487" s="3"/>
      <c r="H487" s="3"/>
      <c r="I487" s="3"/>
      <c r="J487" s="3"/>
      <c r="K487" s="3"/>
      <c r="L487" s="3"/>
      <c r="M487" s="3"/>
      <c r="N487" s="3"/>
      <c r="O487" s="3"/>
      <c r="P487" s="3"/>
      <c r="Q487" s="48"/>
      <c r="R487" s="3"/>
      <c r="S487" s="3"/>
      <c r="T487" s="3"/>
      <c r="U487" s="28"/>
      <c r="V487" s="28"/>
      <c r="W487" s="77"/>
      <c r="X487" s="77"/>
      <c r="Y487" s="77"/>
      <c r="Z487" s="3"/>
      <c r="AA487" s="3"/>
      <c r="AB487" s="3"/>
    </row>
    <row r="488" spans="1:28" ht="14">
      <c r="A488" s="3"/>
      <c r="B488" s="3"/>
      <c r="C488" s="3"/>
      <c r="D488" s="3"/>
      <c r="E488" s="3"/>
      <c r="F488" s="3"/>
      <c r="G488" s="3"/>
      <c r="H488" s="3"/>
      <c r="I488" s="3"/>
      <c r="J488" s="3"/>
      <c r="K488" s="3"/>
      <c r="L488" s="3"/>
      <c r="M488" s="3"/>
      <c r="N488" s="3"/>
      <c r="O488" s="3"/>
      <c r="P488" s="3"/>
      <c r="Q488" s="48"/>
      <c r="R488" s="3"/>
      <c r="S488" s="3"/>
      <c r="T488" s="3"/>
      <c r="U488" s="28"/>
      <c r="V488" s="28"/>
      <c r="W488" s="77"/>
      <c r="X488" s="77"/>
      <c r="Y488" s="77"/>
      <c r="Z488" s="3"/>
      <c r="AA488" s="3"/>
      <c r="AB488" s="3"/>
    </row>
    <row r="489" spans="1:28" ht="14">
      <c r="A489" s="3"/>
      <c r="B489" s="3"/>
      <c r="C489" s="3"/>
      <c r="D489" s="3"/>
      <c r="E489" s="3"/>
      <c r="F489" s="3"/>
      <c r="G489" s="3"/>
      <c r="H489" s="3"/>
      <c r="I489" s="3"/>
      <c r="J489" s="3"/>
      <c r="K489" s="3"/>
      <c r="L489" s="3"/>
      <c r="M489" s="3"/>
      <c r="N489" s="3"/>
      <c r="O489" s="3"/>
      <c r="P489" s="3"/>
      <c r="Q489" s="48"/>
      <c r="R489" s="3"/>
      <c r="S489" s="3"/>
      <c r="T489" s="3"/>
      <c r="U489" s="28"/>
      <c r="V489" s="28"/>
      <c r="W489" s="77"/>
      <c r="X489" s="77"/>
      <c r="Y489" s="77"/>
      <c r="Z489" s="3"/>
      <c r="AA489" s="3"/>
      <c r="AB489" s="3"/>
    </row>
    <row r="490" spans="1:28" ht="14">
      <c r="A490" s="3"/>
      <c r="B490" s="3"/>
      <c r="C490" s="3"/>
      <c r="D490" s="3"/>
      <c r="E490" s="3"/>
      <c r="F490" s="3"/>
      <c r="G490" s="3"/>
      <c r="H490" s="3"/>
      <c r="I490" s="3"/>
      <c r="J490" s="3"/>
      <c r="K490" s="3"/>
      <c r="L490" s="3"/>
      <c r="M490" s="3"/>
      <c r="N490" s="3"/>
      <c r="O490" s="3"/>
      <c r="P490" s="3"/>
      <c r="Q490" s="48"/>
      <c r="R490" s="3"/>
      <c r="S490" s="3"/>
      <c r="T490" s="3"/>
      <c r="U490" s="28"/>
      <c r="V490" s="28"/>
      <c r="W490" s="77"/>
      <c r="X490" s="77"/>
      <c r="Y490" s="77"/>
      <c r="Z490" s="3"/>
      <c r="AA490" s="3"/>
      <c r="AB490" s="3"/>
    </row>
    <row r="491" spans="1:28" ht="14">
      <c r="A491" s="3"/>
      <c r="B491" s="3"/>
      <c r="C491" s="3"/>
      <c r="D491" s="3"/>
      <c r="E491" s="3"/>
      <c r="F491" s="3"/>
      <c r="G491" s="3"/>
      <c r="H491" s="3"/>
      <c r="I491" s="3"/>
      <c r="J491" s="3"/>
      <c r="K491" s="3"/>
      <c r="L491" s="3"/>
      <c r="M491" s="3"/>
      <c r="N491" s="3"/>
      <c r="O491" s="3"/>
      <c r="P491" s="3"/>
      <c r="Q491" s="48"/>
      <c r="R491" s="3"/>
      <c r="S491" s="3"/>
      <c r="T491" s="3"/>
      <c r="U491" s="28"/>
      <c r="V491" s="28"/>
      <c r="W491" s="77"/>
      <c r="X491" s="77"/>
      <c r="Y491" s="77"/>
      <c r="Z491" s="3"/>
      <c r="AA491" s="3"/>
      <c r="AB491" s="3"/>
    </row>
    <row r="492" spans="1:28" ht="14">
      <c r="A492" s="3"/>
      <c r="B492" s="3"/>
      <c r="C492" s="3"/>
      <c r="D492" s="3"/>
      <c r="E492" s="3"/>
      <c r="F492" s="3"/>
      <c r="G492" s="3"/>
      <c r="H492" s="3"/>
      <c r="I492" s="3"/>
      <c r="J492" s="3"/>
      <c r="K492" s="3"/>
      <c r="L492" s="3"/>
      <c r="M492" s="3"/>
      <c r="N492" s="3"/>
      <c r="O492" s="3"/>
      <c r="P492" s="3"/>
      <c r="Q492" s="48"/>
      <c r="R492" s="3"/>
      <c r="S492" s="3"/>
      <c r="T492" s="3"/>
      <c r="U492" s="28"/>
      <c r="V492" s="28"/>
      <c r="W492" s="77"/>
      <c r="X492" s="77"/>
      <c r="Y492" s="77"/>
      <c r="Z492" s="3"/>
      <c r="AA492" s="3"/>
      <c r="AB492" s="3"/>
    </row>
    <row r="493" spans="1:28" ht="14">
      <c r="A493" s="3"/>
      <c r="B493" s="3"/>
      <c r="C493" s="3"/>
      <c r="D493" s="3"/>
      <c r="E493" s="3"/>
      <c r="F493" s="3"/>
      <c r="G493" s="3"/>
      <c r="H493" s="3"/>
      <c r="I493" s="3"/>
      <c r="J493" s="3"/>
      <c r="K493" s="3"/>
      <c r="L493" s="3"/>
      <c r="M493" s="3"/>
      <c r="N493" s="3"/>
      <c r="O493" s="3"/>
      <c r="P493" s="3"/>
      <c r="Q493" s="48"/>
      <c r="R493" s="3"/>
      <c r="S493" s="3"/>
      <c r="T493" s="3"/>
      <c r="U493" s="28"/>
      <c r="V493" s="28"/>
      <c r="W493" s="77"/>
      <c r="X493" s="77"/>
      <c r="Y493" s="77"/>
      <c r="Z493" s="3"/>
      <c r="AA493" s="3"/>
      <c r="AB493" s="3"/>
    </row>
    <row r="494" spans="1:28" ht="14">
      <c r="A494" s="3"/>
      <c r="B494" s="3"/>
      <c r="C494" s="3"/>
      <c r="D494" s="3"/>
      <c r="E494" s="3"/>
      <c r="F494" s="3"/>
      <c r="G494" s="3"/>
      <c r="H494" s="3"/>
      <c r="I494" s="3"/>
      <c r="J494" s="3"/>
      <c r="K494" s="3"/>
      <c r="L494" s="3"/>
      <c r="M494" s="3"/>
      <c r="N494" s="3"/>
      <c r="O494" s="3"/>
      <c r="P494" s="3"/>
      <c r="Q494" s="48"/>
      <c r="R494" s="3"/>
      <c r="S494" s="3"/>
      <c r="T494" s="3"/>
      <c r="U494" s="28"/>
      <c r="V494" s="28"/>
      <c r="W494" s="77"/>
      <c r="X494" s="77"/>
      <c r="Y494" s="77"/>
      <c r="Z494" s="3"/>
      <c r="AA494" s="3"/>
      <c r="AB494" s="3"/>
    </row>
    <row r="495" spans="1:28" ht="14">
      <c r="A495" s="3"/>
      <c r="B495" s="3"/>
      <c r="C495" s="3"/>
      <c r="D495" s="3"/>
      <c r="E495" s="3"/>
      <c r="F495" s="3"/>
      <c r="G495" s="3"/>
      <c r="H495" s="3"/>
      <c r="I495" s="3"/>
      <c r="J495" s="3"/>
      <c r="K495" s="3"/>
      <c r="L495" s="3"/>
      <c r="M495" s="3"/>
      <c r="N495" s="3"/>
      <c r="O495" s="3"/>
      <c r="P495" s="3"/>
      <c r="Q495" s="48"/>
      <c r="R495" s="3"/>
      <c r="S495" s="3"/>
      <c r="T495" s="3"/>
      <c r="U495" s="28"/>
      <c r="V495" s="28"/>
      <c r="W495" s="77"/>
      <c r="X495" s="77"/>
      <c r="Y495" s="77"/>
      <c r="Z495" s="3"/>
      <c r="AA495" s="3"/>
      <c r="AB495" s="3"/>
    </row>
    <row r="496" spans="1:28" ht="14">
      <c r="A496" s="3"/>
      <c r="B496" s="3"/>
      <c r="C496" s="3"/>
      <c r="D496" s="3"/>
      <c r="E496" s="3"/>
      <c r="F496" s="3"/>
      <c r="G496" s="3"/>
      <c r="H496" s="3"/>
      <c r="I496" s="3"/>
      <c r="J496" s="3"/>
      <c r="K496" s="3"/>
      <c r="L496" s="3"/>
      <c r="M496" s="3"/>
      <c r="N496" s="3"/>
      <c r="O496" s="3"/>
      <c r="P496" s="3"/>
      <c r="Q496" s="48"/>
      <c r="R496" s="3"/>
      <c r="S496" s="3"/>
      <c r="T496" s="3"/>
      <c r="U496" s="28"/>
      <c r="V496" s="28"/>
      <c r="W496" s="77"/>
      <c r="X496" s="77"/>
      <c r="Y496" s="77"/>
      <c r="Z496" s="3"/>
      <c r="AA496" s="3"/>
      <c r="AB496" s="3"/>
    </row>
    <row r="497" spans="1:28" ht="14">
      <c r="A497" s="3"/>
      <c r="B497" s="3"/>
      <c r="C497" s="3"/>
      <c r="D497" s="3"/>
      <c r="E497" s="3"/>
      <c r="F497" s="3"/>
      <c r="G497" s="3"/>
      <c r="H497" s="3"/>
      <c r="I497" s="3"/>
      <c r="J497" s="3"/>
      <c r="K497" s="3"/>
      <c r="L497" s="3"/>
      <c r="M497" s="3"/>
      <c r="N497" s="3"/>
      <c r="O497" s="3"/>
      <c r="P497" s="3"/>
      <c r="Q497" s="48"/>
      <c r="R497" s="3"/>
      <c r="S497" s="3"/>
      <c r="T497" s="3"/>
      <c r="U497" s="28"/>
      <c r="V497" s="28"/>
      <c r="W497" s="77"/>
      <c r="X497" s="77"/>
      <c r="Y497" s="77"/>
      <c r="Z497" s="3"/>
      <c r="AA497" s="3"/>
      <c r="AB497" s="3"/>
    </row>
    <row r="498" spans="1:28" ht="14">
      <c r="A498" s="3"/>
      <c r="B498" s="3"/>
      <c r="C498" s="3"/>
      <c r="D498" s="3"/>
      <c r="E498" s="3"/>
      <c r="F498" s="3"/>
      <c r="G498" s="3"/>
      <c r="H498" s="3"/>
      <c r="I498" s="3"/>
      <c r="J498" s="3"/>
      <c r="K498" s="3"/>
      <c r="L498" s="3"/>
      <c r="M498" s="3"/>
      <c r="N498" s="3"/>
      <c r="O498" s="3"/>
      <c r="P498" s="3"/>
      <c r="Q498" s="48"/>
      <c r="R498" s="3"/>
      <c r="S498" s="3"/>
      <c r="T498" s="3"/>
      <c r="U498" s="28"/>
      <c r="V498" s="28"/>
      <c r="W498" s="77"/>
      <c r="X498" s="77"/>
      <c r="Y498" s="77"/>
      <c r="Z498" s="3"/>
      <c r="AA498" s="3"/>
      <c r="AB498" s="3"/>
    </row>
    <row r="499" spans="1:28" ht="14">
      <c r="A499" s="3"/>
      <c r="B499" s="3"/>
      <c r="C499" s="3"/>
      <c r="D499" s="3"/>
      <c r="E499" s="3"/>
      <c r="F499" s="3"/>
      <c r="G499" s="3"/>
      <c r="H499" s="3"/>
      <c r="I499" s="3"/>
      <c r="J499" s="3"/>
      <c r="K499" s="3"/>
      <c r="L499" s="3"/>
      <c r="M499" s="3"/>
      <c r="N499" s="3"/>
      <c r="O499" s="3"/>
      <c r="P499" s="3"/>
      <c r="Q499" s="48"/>
      <c r="R499" s="3"/>
      <c r="S499" s="3"/>
      <c r="T499" s="3"/>
      <c r="U499" s="28"/>
      <c r="V499" s="28"/>
      <c r="W499" s="77"/>
      <c r="X499" s="77"/>
      <c r="Y499" s="77"/>
      <c r="Z499" s="3"/>
      <c r="AA499" s="3"/>
      <c r="AB499" s="3"/>
    </row>
    <row r="500" spans="1:28" ht="14">
      <c r="A500" s="3"/>
      <c r="B500" s="3"/>
      <c r="C500" s="3"/>
      <c r="D500" s="3"/>
      <c r="E500" s="3"/>
      <c r="F500" s="3"/>
      <c r="G500" s="3"/>
      <c r="H500" s="3"/>
      <c r="I500" s="3"/>
      <c r="J500" s="3"/>
      <c r="K500" s="3"/>
      <c r="L500" s="3"/>
      <c r="M500" s="3"/>
      <c r="N500" s="3"/>
      <c r="O500" s="3"/>
      <c r="P500" s="3"/>
      <c r="Q500" s="48"/>
      <c r="R500" s="3"/>
      <c r="S500" s="3"/>
      <c r="T500" s="3"/>
      <c r="U500" s="28"/>
      <c r="V500" s="28"/>
      <c r="W500" s="77"/>
      <c r="X500" s="77"/>
      <c r="Y500" s="77"/>
      <c r="Z500" s="3"/>
      <c r="AA500" s="3"/>
      <c r="AB500" s="3"/>
    </row>
    <row r="501" spans="1:28" ht="14">
      <c r="A501" s="3"/>
      <c r="B501" s="3"/>
      <c r="C501" s="3"/>
      <c r="D501" s="3"/>
      <c r="E501" s="3"/>
      <c r="F501" s="3"/>
      <c r="G501" s="3"/>
      <c r="H501" s="3"/>
      <c r="I501" s="3"/>
      <c r="J501" s="3"/>
      <c r="K501" s="3"/>
      <c r="L501" s="3"/>
      <c r="M501" s="3"/>
      <c r="N501" s="3"/>
      <c r="O501" s="3"/>
      <c r="P501" s="3"/>
      <c r="Q501" s="48"/>
      <c r="R501" s="3"/>
      <c r="S501" s="3"/>
      <c r="T501" s="3"/>
      <c r="U501" s="28"/>
      <c r="V501" s="28"/>
      <c r="W501" s="77"/>
      <c r="X501" s="77"/>
      <c r="Y501" s="77"/>
      <c r="Z501" s="3"/>
      <c r="AA501" s="3"/>
      <c r="AB501" s="3"/>
    </row>
    <row r="502" spans="1:28" ht="14">
      <c r="A502" s="3"/>
      <c r="B502" s="3"/>
      <c r="C502" s="3"/>
      <c r="D502" s="3"/>
      <c r="E502" s="3"/>
      <c r="F502" s="3"/>
      <c r="G502" s="3"/>
      <c r="H502" s="3"/>
      <c r="I502" s="3"/>
      <c r="J502" s="3"/>
      <c r="K502" s="3"/>
      <c r="L502" s="3"/>
      <c r="M502" s="3"/>
      <c r="N502" s="3"/>
      <c r="O502" s="3"/>
      <c r="P502" s="3"/>
      <c r="Q502" s="48"/>
      <c r="R502" s="3"/>
      <c r="S502" s="3"/>
      <c r="T502" s="3"/>
      <c r="U502" s="28"/>
      <c r="V502" s="28"/>
      <c r="W502" s="77"/>
      <c r="X502" s="77"/>
      <c r="Y502" s="77"/>
      <c r="Z502" s="3"/>
      <c r="AA502" s="3"/>
      <c r="AB502" s="3"/>
    </row>
    <row r="503" spans="1:28" ht="14">
      <c r="A503" s="3"/>
      <c r="B503" s="3"/>
      <c r="C503" s="3"/>
      <c r="D503" s="3"/>
      <c r="E503" s="3"/>
      <c r="F503" s="3"/>
      <c r="G503" s="3"/>
      <c r="H503" s="3"/>
      <c r="I503" s="3"/>
      <c r="J503" s="3"/>
      <c r="K503" s="3"/>
      <c r="L503" s="3"/>
      <c r="M503" s="3"/>
      <c r="N503" s="3"/>
      <c r="O503" s="3"/>
      <c r="P503" s="3"/>
      <c r="Q503" s="48"/>
      <c r="R503" s="3"/>
      <c r="S503" s="3"/>
      <c r="T503" s="3"/>
      <c r="U503" s="28"/>
      <c r="V503" s="28"/>
      <c r="W503" s="77"/>
      <c r="X503" s="77"/>
      <c r="Y503" s="77"/>
      <c r="Z503" s="3"/>
      <c r="AA503" s="3"/>
      <c r="AB503" s="3"/>
    </row>
    <row r="504" spans="1:28" ht="14">
      <c r="A504" s="3"/>
      <c r="B504" s="3"/>
      <c r="C504" s="3"/>
      <c r="D504" s="3"/>
      <c r="E504" s="3"/>
      <c r="F504" s="3"/>
      <c r="G504" s="3"/>
      <c r="H504" s="3"/>
      <c r="I504" s="3"/>
      <c r="J504" s="3"/>
      <c r="K504" s="3"/>
      <c r="L504" s="3"/>
      <c r="M504" s="3"/>
      <c r="N504" s="3"/>
      <c r="O504" s="3"/>
      <c r="P504" s="3"/>
      <c r="Q504" s="48"/>
      <c r="R504" s="3"/>
      <c r="S504" s="3"/>
      <c r="T504" s="3"/>
      <c r="U504" s="28"/>
      <c r="V504" s="28"/>
      <c r="W504" s="77"/>
      <c r="X504" s="77"/>
      <c r="Y504" s="77"/>
      <c r="Z504" s="3"/>
      <c r="AA504" s="3"/>
      <c r="AB504" s="3"/>
    </row>
    <row r="505" spans="1:28" ht="14">
      <c r="A505" s="3"/>
      <c r="B505" s="3"/>
      <c r="C505" s="3"/>
      <c r="D505" s="3"/>
      <c r="E505" s="3"/>
      <c r="F505" s="3"/>
      <c r="G505" s="3"/>
      <c r="H505" s="3"/>
      <c r="I505" s="3"/>
      <c r="J505" s="3"/>
      <c r="K505" s="3"/>
      <c r="L505" s="3"/>
      <c r="M505" s="3"/>
      <c r="N505" s="3"/>
      <c r="O505" s="3"/>
      <c r="P505" s="3"/>
      <c r="Q505" s="48"/>
      <c r="R505" s="3"/>
      <c r="S505" s="3"/>
      <c r="T505" s="3"/>
      <c r="U505" s="28"/>
      <c r="V505" s="28"/>
      <c r="W505" s="77"/>
      <c r="X505" s="77"/>
      <c r="Y505" s="77"/>
      <c r="Z505" s="3"/>
      <c r="AA505" s="3"/>
      <c r="AB505" s="3"/>
    </row>
    <row r="506" spans="1:28" ht="14">
      <c r="A506" s="3"/>
      <c r="B506" s="3"/>
      <c r="C506" s="3"/>
      <c r="D506" s="3"/>
      <c r="E506" s="3"/>
      <c r="F506" s="3"/>
      <c r="G506" s="3"/>
      <c r="H506" s="3"/>
      <c r="I506" s="3"/>
      <c r="J506" s="3"/>
      <c r="K506" s="3"/>
      <c r="L506" s="3"/>
      <c r="M506" s="3"/>
      <c r="N506" s="3"/>
      <c r="O506" s="3"/>
      <c r="P506" s="3"/>
      <c r="Q506" s="48"/>
      <c r="R506" s="3"/>
      <c r="S506" s="3"/>
      <c r="T506" s="3"/>
      <c r="U506" s="28"/>
      <c r="V506" s="28"/>
      <c r="W506" s="77"/>
      <c r="X506" s="77"/>
      <c r="Y506" s="77"/>
      <c r="Z506" s="3"/>
      <c r="AA506" s="3"/>
      <c r="AB506" s="3"/>
    </row>
    <row r="507" spans="1:28" ht="14">
      <c r="A507" s="3"/>
      <c r="B507" s="3"/>
      <c r="C507" s="3"/>
      <c r="D507" s="3"/>
      <c r="E507" s="3"/>
      <c r="F507" s="3"/>
      <c r="G507" s="3"/>
      <c r="H507" s="3"/>
      <c r="I507" s="3"/>
      <c r="J507" s="3"/>
      <c r="K507" s="3"/>
      <c r="L507" s="3"/>
      <c r="M507" s="3"/>
      <c r="N507" s="3"/>
      <c r="O507" s="3"/>
      <c r="P507" s="3"/>
      <c r="Q507" s="48"/>
      <c r="R507" s="3"/>
      <c r="S507" s="3"/>
      <c r="T507" s="3"/>
      <c r="U507" s="28"/>
      <c r="V507" s="28"/>
      <c r="W507" s="77"/>
      <c r="X507" s="77"/>
      <c r="Y507" s="77"/>
      <c r="Z507" s="3"/>
      <c r="AA507" s="3"/>
      <c r="AB507" s="3"/>
    </row>
    <row r="508" spans="1:28" ht="14">
      <c r="A508" s="3"/>
      <c r="B508" s="3"/>
      <c r="C508" s="3"/>
      <c r="D508" s="3"/>
      <c r="E508" s="3"/>
      <c r="F508" s="3"/>
      <c r="G508" s="3"/>
      <c r="H508" s="3"/>
      <c r="I508" s="3"/>
      <c r="J508" s="3"/>
      <c r="K508" s="3"/>
      <c r="L508" s="3"/>
      <c r="M508" s="3"/>
      <c r="N508" s="3"/>
      <c r="O508" s="3"/>
      <c r="P508" s="3"/>
      <c r="Q508" s="48"/>
      <c r="R508" s="3"/>
      <c r="S508" s="3"/>
      <c r="T508" s="3"/>
      <c r="U508" s="28"/>
      <c r="V508" s="28"/>
      <c r="W508" s="77"/>
      <c r="X508" s="77"/>
      <c r="Y508" s="77"/>
      <c r="Z508" s="3"/>
      <c r="AA508" s="3"/>
      <c r="AB508" s="3"/>
    </row>
    <row r="509" spans="1:28" ht="14">
      <c r="A509" s="3"/>
      <c r="B509" s="3"/>
      <c r="C509" s="3"/>
      <c r="D509" s="3"/>
      <c r="E509" s="3"/>
      <c r="F509" s="3"/>
      <c r="G509" s="3"/>
      <c r="H509" s="3"/>
      <c r="I509" s="3"/>
      <c r="J509" s="3"/>
      <c r="K509" s="3"/>
      <c r="L509" s="3"/>
      <c r="M509" s="3"/>
      <c r="N509" s="3"/>
      <c r="O509" s="3"/>
      <c r="P509" s="3"/>
      <c r="Q509" s="48"/>
      <c r="R509" s="3"/>
      <c r="S509" s="3"/>
      <c r="T509" s="3"/>
      <c r="U509" s="28"/>
      <c r="V509" s="28"/>
      <c r="W509" s="77"/>
      <c r="X509" s="77"/>
      <c r="Y509" s="77"/>
      <c r="Z509" s="3"/>
      <c r="AA509" s="3"/>
      <c r="AB509" s="3"/>
    </row>
    <row r="510" spans="1:28" ht="14">
      <c r="A510" s="3"/>
      <c r="B510" s="3"/>
      <c r="C510" s="3"/>
      <c r="D510" s="3"/>
      <c r="E510" s="3"/>
      <c r="F510" s="3"/>
      <c r="G510" s="3"/>
      <c r="H510" s="3"/>
      <c r="I510" s="3"/>
      <c r="J510" s="3"/>
      <c r="K510" s="3"/>
      <c r="L510" s="3"/>
      <c r="M510" s="3"/>
      <c r="N510" s="3"/>
      <c r="O510" s="3"/>
      <c r="P510" s="3"/>
      <c r="Q510" s="48"/>
      <c r="R510" s="3"/>
      <c r="S510" s="3"/>
      <c r="T510" s="3"/>
      <c r="U510" s="28"/>
      <c r="V510" s="28"/>
      <c r="W510" s="77"/>
      <c r="X510" s="77"/>
      <c r="Y510" s="77"/>
      <c r="Z510" s="3"/>
      <c r="AA510" s="3"/>
      <c r="AB510" s="3"/>
    </row>
    <row r="511" spans="1:28" ht="14">
      <c r="A511" s="3"/>
      <c r="B511" s="3"/>
      <c r="C511" s="3"/>
      <c r="D511" s="3"/>
      <c r="E511" s="3"/>
      <c r="F511" s="3"/>
      <c r="G511" s="3"/>
      <c r="H511" s="3"/>
      <c r="I511" s="3"/>
      <c r="J511" s="3"/>
      <c r="K511" s="3"/>
      <c r="L511" s="3"/>
      <c r="M511" s="3"/>
      <c r="N511" s="3"/>
      <c r="O511" s="3"/>
      <c r="P511" s="3"/>
      <c r="Q511" s="48"/>
      <c r="R511" s="3"/>
      <c r="S511" s="3"/>
      <c r="T511" s="3"/>
      <c r="U511" s="28"/>
      <c r="V511" s="28"/>
      <c r="W511" s="77"/>
      <c r="X511" s="77"/>
      <c r="Y511" s="77"/>
      <c r="Z511" s="3"/>
      <c r="AA511" s="3"/>
      <c r="AB511" s="3"/>
    </row>
    <row r="512" spans="1:28" ht="14">
      <c r="A512" s="3"/>
      <c r="B512" s="3"/>
      <c r="C512" s="3"/>
      <c r="D512" s="3"/>
      <c r="E512" s="3"/>
      <c r="F512" s="3"/>
      <c r="G512" s="3"/>
      <c r="H512" s="3"/>
      <c r="I512" s="3"/>
      <c r="J512" s="3"/>
      <c r="K512" s="3"/>
      <c r="L512" s="3"/>
      <c r="M512" s="3"/>
      <c r="N512" s="3"/>
      <c r="O512" s="3"/>
      <c r="P512" s="3"/>
      <c r="Q512" s="48"/>
      <c r="R512" s="3"/>
      <c r="S512" s="3"/>
      <c r="T512" s="3"/>
      <c r="U512" s="28"/>
      <c r="V512" s="28"/>
      <c r="W512" s="77"/>
      <c r="X512" s="77"/>
      <c r="Y512" s="77"/>
      <c r="Z512" s="3"/>
      <c r="AA512" s="3"/>
      <c r="AB512" s="3"/>
    </row>
    <row r="513" spans="1:28" ht="14">
      <c r="A513" s="3"/>
      <c r="B513" s="3"/>
      <c r="C513" s="3"/>
      <c r="D513" s="3"/>
      <c r="E513" s="3"/>
      <c r="F513" s="3"/>
      <c r="G513" s="3"/>
      <c r="H513" s="3"/>
      <c r="I513" s="3"/>
      <c r="J513" s="3"/>
      <c r="K513" s="3"/>
      <c r="L513" s="3"/>
      <c r="M513" s="3"/>
      <c r="N513" s="3"/>
      <c r="O513" s="3"/>
      <c r="P513" s="3"/>
      <c r="Q513" s="48"/>
      <c r="R513" s="3"/>
      <c r="S513" s="3"/>
      <c r="T513" s="3"/>
      <c r="U513" s="28"/>
      <c r="V513" s="28"/>
      <c r="W513" s="77"/>
      <c r="X513" s="77"/>
      <c r="Y513" s="77"/>
      <c r="Z513" s="3"/>
      <c r="AA513" s="3"/>
      <c r="AB513" s="3"/>
    </row>
    <row r="514" spans="1:28" ht="14">
      <c r="A514" s="3"/>
      <c r="B514" s="3"/>
      <c r="C514" s="3"/>
      <c r="D514" s="3"/>
      <c r="E514" s="3"/>
      <c r="F514" s="3"/>
      <c r="G514" s="3"/>
      <c r="H514" s="3"/>
      <c r="I514" s="3"/>
      <c r="J514" s="3"/>
      <c r="K514" s="3"/>
      <c r="L514" s="3"/>
      <c r="M514" s="3"/>
      <c r="N514" s="3"/>
      <c r="O514" s="3"/>
      <c r="P514" s="3"/>
      <c r="Q514" s="48"/>
      <c r="R514" s="3"/>
      <c r="S514" s="3"/>
      <c r="T514" s="3"/>
      <c r="U514" s="28"/>
      <c r="V514" s="28"/>
      <c r="W514" s="77"/>
      <c r="X514" s="77"/>
      <c r="Y514" s="77"/>
      <c r="Z514" s="3"/>
      <c r="AA514" s="3"/>
      <c r="AB514" s="3"/>
    </row>
    <row r="515" spans="1:28" ht="14">
      <c r="A515" s="3"/>
      <c r="B515" s="3"/>
      <c r="C515" s="3"/>
      <c r="D515" s="3"/>
      <c r="E515" s="3"/>
      <c r="F515" s="3"/>
      <c r="G515" s="3"/>
      <c r="H515" s="3"/>
      <c r="I515" s="3"/>
      <c r="J515" s="3"/>
      <c r="K515" s="3"/>
      <c r="L515" s="3"/>
      <c r="M515" s="3"/>
      <c r="N515" s="3"/>
      <c r="O515" s="3"/>
      <c r="P515" s="3"/>
      <c r="Q515" s="48"/>
      <c r="R515" s="3"/>
      <c r="S515" s="3"/>
      <c r="T515" s="3"/>
      <c r="U515" s="28"/>
      <c r="V515" s="28"/>
      <c r="W515" s="77"/>
      <c r="X515" s="77"/>
      <c r="Y515" s="77"/>
      <c r="Z515" s="3"/>
      <c r="AA515" s="3"/>
      <c r="AB515" s="3"/>
    </row>
    <row r="516" spans="1:28" ht="14">
      <c r="A516" s="3"/>
      <c r="B516" s="3"/>
      <c r="C516" s="3"/>
      <c r="D516" s="3"/>
      <c r="E516" s="3"/>
      <c r="F516" s="3"/>
      <c r="G516" s="3"/>
      <c r="H516" s="3"/>
      <c r="I516" s="3"/>
      <c r="J516" s="3"/>
      <c r="K516" s="3"/>
      <c r="L516" s="3"/>
      <c r="M516" s="3"/>
      <c r="N516" s="3"/>
      <c r="O516" s="3"/>
      <c r="P516" s="3"/>
      <c r="Q516" s="48"/>
      <c r="R516" s="3"/>
      <c r="S516" s="3"/>
      <c r="T516" s="3"/>
      <c r="U516" s="28"/>
      <c r="V516" s="28"/>
      <c r="W516" s="77"/>
      <c r="X516" s="77"/>
      <c r="Y516" s="77"/>
      <c r="Z516" s="3"/>
      <c r="AA516" s="3"/>
      <c r="AB516" s="3"/>
    </row>
    <row r="517" spans="1:28" ht="14">
      <c r="A517" s="3"/>
      <c r="B517" s="3"/>
      <c r="C517" s="3"/>
      <c r="D517" s="3"/>
      <c r="E517" s="3"/>
      <c r="F517" s="3"/>
      <c r="G517" s="3"/>
      <c r="H517" s="3"/>
      <c r="I517" s="3"/>
      <c r="J517" s="3"/>
      <c r="K517" s="3"/>
      <c r="L517" s="3"/>
      <c r="M517" s="3"/>
      <c r="N517" s="3"/>
      <c r="O517" s="3"/>
      <c r="P517" s="3"/>
      <c r="Q517" s="48"/>
      <c r="R517" s="3"/>
      <c r="S517" s="3"/>
      <c r="T517" s="3"/>
      <c r="U517" s="28"/>
      <c r="V517" s="28"/>
      <c r="W517" s="77"/>
      <c r="X517" s="77"/>
      <c r="Y517" s="77"/>
      <c r="Z517" s="3"/>
      <c r="AA517" s="3"/>
      <c r="AB517" s="3"/>
    </row>
    <row r="518" spans="1:28" ht="14">
      <c r="A518" s="3"/>
      <c r="B518" s="3"/>
      <c r="C518" s="3"/>
      <c r="D518" s="3"/>
      <c r="E518" s="3"/>
      <c r="F518" s="3"/>
      <c r="G518" s="3"/>
      <c r="H518" s="3"/>
      <c r="I518" s="3"/>
      <c r="J518" s="3"/>
      <c r="K518" s="3"/>
      <c r="L518" s="3"/>
      <c r="M518" s="3"/>
      <c r="N518" s="3"/>
      <c r="O518" s="3"/>
      <c r="P518" s="3"/>
      <c r="Q518" s="48"/>
      <c r="R518" s="3"/>
      <c r="S518" s="3"/>
      <c r="T518" s="3"/>
      <c r="U518" s="28"/>
      <c r="V518" s="28"/>
      <c r="W518" s="77"/>
      <c r="X518" s="77"/>
      <c r="Y518" s="77"/>
      <c r="Z518" s="3"/>
      <c r="AA518" s="3"/>
      <c r="AB518" s="3"/>
    </row>
    <row r="519" spans="1:28" ht="14">
      <c r="A519" s="3"/>
      <c r="B519" s="3"/>
      <c r="C519" s="3"/>
      <c r="D519" s="3"/>
      <c r="E519" s="3"/>
      <c r="F519" s="3"/>
      <c r="G519" s="3"/>
      <c r="H519" s="3"/>
      <c r="I519" s="3"/>
      <c r="J519" s="3"/>
      <c r="K519" s="3"/>
      <c r="L519" s="3"/>
      <c r="M519" s="3"/>
      <c r="N519" s="3"/>
      <c r="O519" s="3"/>
      <c r="P519" s="3"/>
      <c r="Q519" s="48"/>
      <c r="R519" s="3"/>
      <c r="S519" s="3"/>
      <c r="T519" s="3"/>
      <c r="U519" s="28"/>
      <c r="V519" s="28"/>
      <c r="W519" s="77"/>
      <c r="X519" s="77"/>
      <c r="Y519" s="77"/>
      <c r="Z519" s="3"/>
      <c r="AA519" s="3"/>
      <c r="AB519" s="3"/>
    </row>
    <row r="520" spans="1:28" ht="14">
      <c r="A520" s="3"/>
      <c r="B520" s="3"/>
      <c r="C520" s="3"/>
      <c r="D520" s="3"/>
      <c r="E520" s="3"/>
      <c r="F520" s="3"/>
      <c r="G520" s="3"/>
      <c r="H520" s="3"/>
      <c r="I520" s="3"/>
      <c r="J520" s="3"/>
      <c r="K520" s="3"/>
      <c r="L520" s="3"/>
      <c r="M520" s="3"/>
      <c r="N520" s="3"/>
      <c r="O520" s="3"/>
      <c r="P520" s="3"/>
      <c r="Q520" s="48"/>
      <c r="R520" s="3"/>
      <c r="S520" s="3"/>
      <c r="T520" s="3"/>
      <c r="U520" s="28"/>
      <c r="V520" s="28"/>
      <c r="W520" s="77"/>
      <c r="X520" s="77"/>
      <c r="Y520" s="77"/>
      <c r="Z520" s="3"/>
      <c r="AA520" s="3"/>
      <c r="AB520" s="3"/>
    </row>
    <row r="521" spans="1:28" ht="14">
      <c r="A521" s="3"/>
      <c r="B521" s="3"/>
      <c r="C521" s="3"/>
      <c r="D521" s="3"/>
      <c r="E521" s="3"/>
      <c r="F521" s="3"/>
      <c r="G521" s="3"/>
      <c r="H521" s="3"/>
      <c r="I521" s="3"/>
      <c r="J521" s="3"/>
      <c r="K521" s="3"/>
      <c r="L521" s="3"/>
      <c r="M521" s="3"/>
      <c r="N521" s="3"/>
      <c r="O521" s="3"/>
      <c r="P521" s="3"/>
      <c r="Q521" s="48"/>
      <c r="R521" s="3"/>
      <c r="S521" s="3"/>
      <c r="T521" s="3"/>
      <c r="U521" s="28"/>
      <c r="V521" s="28"/>
      <c r="W521" s="77"/>
      <c r="X521" s="77"/>
      <c r="Y521" s="77"/>
      <c r="Z521" s="3"/>
      <c r="AA521" s="3"/>
      <c r="AB521" s="3"/>
    </row>
    <row r="522" spans="1:28" ht="14">
      <c r="A522" s="3"/>
      <c r="B522" s="3"/>
      <c r="C522" s="3"/>
      <c r="D522" s="3"/>
      <c r="E522" s="3"/>
      <c r="F522" s="3"/>
      <c r="G522" s="3"/>
      <c r="H522" s="3"/>
      <c r="I522" s="3"/>
      <c r="J522" s="3"/>
      <c r="K522" s="3"/>
      <c r="L522" s="3"/>
      <c r="M522" s="3"/>
      <c r="N522" s="3"/>
      <c r="O522" s="3"/>
      <c r="P522" s="3"/>
      <c r="Q522" s="48"/>
      <c r="R522" s="3"/>
      <c r="S522" s="3"/>
      <c r="T522" s="3"/>
      <c r="U522" s="28"/>
      <c r="V522" s="28"/>
      <c r="W522" s="77"/>
      <c r="X522" s="77"/>
      <c r="Y522" s="77"/>
      <c r="Z522" s="3"/>
      <c r="AA522" s="3"/>
      <c r="AB522" s="3"/>
    </row>
    <row r="523" spans="1:28" ht="14">
      <c r="A523" s="3"/>
      <c r="B523" s="3"/>
      <c r="C523" s="3"/>
      <c r="D523" s="3"/>
      <c r="E523" s="3"/>
      <c r="F523" s="3"/>
      <c r="G523" s="3"/>
      <c r="H523" s="3"/>
      <c r="I523" s="3"/>
      <c r="J523" s="3"/>
      <c r="K523" s="3"/>
      <c r="L523" s="3"/>
      <c r="M523" s="3"/>
      <c r="N523" s="3"/>
      <c r="O523" s="3"/>
      <c r="P523" s="3"/>
      <c r="Q523" s="48"/>
      <c r="R523" s="3"/>
      <c r="S523" s="3"/>
      <c r="T523" s="3"/>
      <c r="U523" s="28"/>
      <c r="V523" s="28"/>
      <c r="W523" s="77"/>
      <c r="X523" s="77"/>
      <c r="Y523" s="77"/>
      <c r="Z523" s="3"/>
      <c r="AA523" s="3"/>
      <c r="AB523" s="3"/>
    </row>
    <row r="524" spans="1:28" ht="14">
      <c r="A524" s="3"/>
      <c r="B524" s="3"/>
      <c r="C524" s="3"/>
      <c r="D524" s="3"/>
      <c r="E524" s="3"/>
      <c r="F524" s="3"/>
      <c r="G524" s="3"/>
      <c r="H524" s="3"/>
      <c r="I524" s="3"/>
      <c r="J524" s="3"/>
      <c r="K524" s="3"/>
      <c r="L524" s="3"/>
      <c r="M524" s="3"/>
      <c r="N524" s="3"/>
      <c r="O524" s="3"/>
      <c r="P524" s="3"/>
      <c r="Q524" s="48"/>
      <c r="R524" s="3"/>
      <c r="S524" s="3"/>
      <c r="T524" s="3"/>
      <c r="U524" s="28"/>
      <c r="V524" s="28"/>
      <c r="W524" s="77"/>
      <c r="X524" s="77"/>
      <c r="Y524" s="77"/>
      <c r="Z524" s="3"/>
      <c r="AA524" s="3"/>
      <c r="AB524" s="3"/>
    </row>
    <row r="525" spans="1:28" ht="14">
      <c r="A525" s="3"/>
      <c r="B525" s="3"/>
      <c r="C525" s="3"/>
      <c r="D525" s="3"/>
      <c r="E525" s="3"/>
      <c r="F525" s="3"/>
      <c r="G525" s="3"/>
      <c r="H525" s="3"/>
      <c r="I525" s="3"/>
      <c r="J525" s="3"/>
      <c r="K525" s="3"/>
      <c r="L525" s="3"/>
      <c r="M525" s="3"/>
      <c r="N525" s="3"/>
      <c r="O525" s="3"/>
      <c r="P525" s="3"/>
      <c r="Q525" s="48"/>
      <c r="R525" s="3"/>
      <c r="S525" s="3"/>
      <c r="T525" s="3"/>
      <c r="U525" s="28"/>
      <c r="V525" s="28"/>
      <c r="W525" s="77"/>
      <c r="X525" s="77"/>
      <c r="Y525" s="77"/>
      <c r="Z525" s="3"/>
      <c r="AA525" s="3"/>
      <c r="AB525" s="3"/>
    </row>
    <row r="526" spans="1:28" ht="14">
      <c r="A526" s="3"/>
      <c r="B526" s="3"/>
      <c r="C526" s="3"/>
      <c r="D526" s="3"/>
      <c r="E526" s="3"/>
      <c r="F526" s="3"/>
      <c r="G526" s="3"/>
      <c r="H526" s="3"/>
      <c r="I526" s="3"/>
      <c r="J526" s="3"/>
      <c r="K526" s="3"/>
      <c r="L526" s="3"/>
      <c r="M526" s="3"/>
      <c r="N526" s="3"/>
      <c r="O526" s="3"/>
      <c r="P526" s="3"/>
      <c r="Q526" s="48"/>
      <c r="R526" s="3"/>
      <c r="S526" s="3"/>
      <c r="T526" s="3"/>
      <c r="U526" s="28"/>
      <c r="V526" s="28"/>
      <c r="W526" s="77"/>
      <c r="X526" s="77"/>
      <c r="Y526" s="77"/>
      <c r="Z526" s="3"/>
      <c r="AA526" s="3"/>
      <c r="AB526" s="3"/>
    </row>
    <row r="527" spans="1:28" ht="14">
      <c r="A527" s="3"/>
      <c r="B527" s="3"/>
      <c r="C527" s="3"/>
      <c r="D527" s="3"/>
      <c r="E527" s="3"/>
      <c r="F527" s="3"/>
      <c r="G527" s="3"/>
      <c r="H527" s="3"/>
      <c r="I527" s="3"/>
      <c r="J527" s="3"/>
      <c r="K527" s="3"/>
      <c r="L527" s="3"/>
      <c r="M527" s="3"/>
      <c r="N527" s="3"/>
      <c r="O527" s="3"/>
      <c r="P527" s="3"/>
      <c r="Q527" s="48"/>
      <c r="R527" s="3"/>
      <c r="S527" s="3"/>
      <c r="T527" s="3"/>
      <c r="U527" s="28"/>
      <c r="V527" s="28"/>
      <c r="W527" s="77"/>
      <c r="X527" s="77"/>
      <c r="Y527" s="77"/>
      <c r="Z527" s="3"/>
      <c r="AA527" s="3"/>
      <c r="AB527" s="3"/>
    </row>
    <row r="528" spans="1:28" ht="14">
      <c r="A528" s="3"/>
      <c r="B528" s="3"/>
      <c r="C528" s="3"/>
      <c r="D528" s="3"/>
      <c r="E528" s="3"/>
      <c r="F528" s="3"/>
      <c r="G528" s="3"/>
      <c r="H528" s="3"/>
      <c r="I528" s="3"/>
      <c r="J528" s="3"/>
      <c r="K528" s="3"/>
      <c r="L528" s="3"/>
      <c r="M528" s="3"/>
      <c r="N528" s="3"/>
      <c r="O528" s="3"/>
      <c r="P528" s="3"/>
      <c r="Q528" s="48"/>
      <c r="R528" s="3"/>
      <c r="S528" s="3"/>
      <c r="T528" s="3"/>
      <c r="U528" s="28"/>
      <c r="V528" s="28"/>
      <c r="W528" s="77"/>
      <c r="X528" s="77"/>
      <c r="Y528" s="77"/>
      <c r="Z528" s="3"/>
      <c r="AA528" s="3"/>
      <c r="AB528" s="3"/>
    </row>
    <row r="529" spans="1:28" ht="14">
      <c r="A529" s="3"/>
      <c r="B529" s="3"/>
      <c r="C529" s="3"/>
      <c r="D529" s="3"/>
      <c r="E529" s="3"/>
      <c r="F529" s="3"/>
      <c r="G529" s="3"/>
      <c r="H529" s="3"/>
      <c r="I529" s="3"/>
      <c r="J529" s="3"/>
      <c r="K529" s="3"/>
      <c r="L529" s="3"/>
      <c r="M529" s="3"/>
      <c r="N529" s="3"/>
      <c r="O529" s="3"/>
      <c r="P529" s="3"/>
      <c r="Q529" s="48"/>
      <c r="R529" s="3"/>
      <c r="S529" s="3"/>
      <c r="T529" s="3"/>
      <c r="U529" s="28"/>
      <c r="V529" s="28"/>
      <c r="W529" s="77"/>
      <c r="X529" s="77"/>
      <c r="Y529" s="77"/>
      <c r="Z529" s="3"/>
      <c r="AA529" s="3"/>
      <c r="AB529" s="3"/>
    </row>
    <row r="530" spans="1:28" ht="14">
      <c r="A530" s="3"/>
      <c r="B530" s="3"/>
      <c r="C530" s="3"/>
      <c r="D530" s="3"/>
      <c r="E530" s="3"/>
      <c r="F530" s="3"/>
      <c r="G530" s="3"/>
      <c r="H530" s="3"/>
      <c r="I530" s="3"/>
      <c r="J530" s="3"/>
      <c r="K530" s="3"/>
      <c r="L530" s="3"/>
      <c r="M530" s="3"/>
      <c r="N530" s="3"/>
      <c r="O530" s="3"/>
      <c r="P530" s="3"/>
      <c r="Q530" s="48"/>
      <c r="R530" s="3"/>
      <c r="S530" s="3"/>
      <c r="T530" s="3"/>
      <c r="U530" s="28"/>
      <c r="V530" s="28"/>
      <c r="W530" s="77"/>
      <c r="X530" s="77"/>
      <c r="Y530" s="77"/>
      <c r="Z530" s="3"/>
      <c r="AA530" s="3"/>
      <c r="AB530" s="3"/>
    </row>
    <row r="531" spans="1:28" ht="14">
      <c r="A531" s="3"/>
      <c r="B531" s="3"/>
      <c r="C531" s="3"/>
      <c r="D531" s="3"/>
      <c r="E531" s="3"/>
      <c r="F531" s="3"/>
      <c r="G531" s="3"/>
      <c r="H531" s="3"/>
      <c r="I531" s="3"/>
      <c r="J531" s="3"/>
      <c r="K531" s="3"/>
      <c r="L531" s="3"/>
      <c r="M531" s="3"/>
      <c r="N531" s="3"/>
      <c r="O531" s="3"/>
      <c r="P531" s="3"/>
      <c r="Q531" s="48"/>
      <c r="R531" s="3"/>
      <c r="S531" s="3"/>
      <c r="T531" s="3"/>
      <c r="U531" s="28"/>
      <c r="V531" s="28"/>
      <c r="W531" s="77"/>
      <c r="X531" s="77"/>
      <c r="Y531" s="77"/>
      <c r="Z531" s="3"/>
      <c r="AA531" s="3"/>
      <c r="AB531" s="3"/>
    </row>
    <row r="532" spans="1:28" ht="14">
      <c r="A532" s="3"/>
      <c r="B532" s="3"/>
      <c r="C532" s="3"/>
      <c r="D532" s="3"/>
      <c r="E532" s="3"/>
      <c r="F532" s="3"/>
      <c r="G532" s="3"/>
      <c r="H532" s="3"/>
      <c r="I532" s="3"/>
      <c r="J532" s="3"/>
      <c r="K532" s="3"/>
      <c r="L532" s="3"/>
      <c r="M532" s="3"/>
      <c r="N532" s="3"/>
      <c r="O532" s="3"/>
      <c r="P532" s="3"/>
      <c r="Q532" s="48"/>
      <c r="R532" s="3"/>
      <c r="S532" s="3"/>
      <c r="T532" s="3"/>
      <c r="U532" s="28"/>
      <c r="V532" s="28"/>
      <c r="W532" s="77"/>
      <c r="X532" s="77"/>
      <c r="Y532" s="77"/>
      <c r="Z532" s="3"/>
      <c r="AA532" s="3"/>
      <c r="AB532" s="3"/>
    </row>
    <row r="533" spans="1:28" ht="14">
      <c r="A533" s="3"/>
      <c r="B533" s="3"/>
      <c r="C533" s="3"/>
      <c r="D533" s="3"/>
      <c r="E533" s="3"/>
      <c r="F533" s="3"/>
      <c r="G533" s="3"/>
      <c r="H533" s="3"/>
      <c r="I533" s="3"/>
      <c r="J533" s="3"/>
      <c r="K533" s="3"/>
      <c r="L533" s="3"/>
      <c r="M533" s="3"/>
      <c r="N533" s="3"/>
      <c r="O533" s="3"/>
      <c r="P533" s="3"/>
      <c r="Q533" s="48"/>
      <c r="R533" s="3"/>
      <c r="S533" s="3"/>
      <c r="T533" s="3"/>
      <c r="U533" s="28"/>
      <c r="V533" s="28"/>
      <c r="W533" s="77"/>
      <c r="X533" s="77"/>
      <c r="Y533" s="77"/>
      <c r="Z533" s="3"/>
      <c r="AA533" s="3"/>
      <c r="AB533" s="3"/>
    </row>
    <row r="534" spans="1:28" ht="14">
      <c r="A534" s="3"/>
      <c r="B534" s="3"/>
      <c r="C534" s="3"/>
      <c r="D534" s="3"/>
      <c r="E534" s="3"/>
      <c r="F534" s="3"/>
      <c r="G534" s="3"/>
      <c r="H534" s="3"/>
      <c r="I534" s="3"/>
      <c r="J534" s="3"/>
      <c r="K534" s="3"/>
      <c r="L534" s="3"/>
      <c r="M534" s="3"/>
      <c r="N534" s="3"/>
      <c r="O534" s="3"/>
      <c r="P534" s="3"/>
      <c r="Q534" s="48"/>
      <c r="R534" s="3"/>
      <c r="S534" s="3"/>
      <c r="T534" s="3"/>
      <c r="U534" s="28"/>
      <c r="V534" s="28"/>
      <c r="W534" s="77"/>
      <c r="X534" s="77"/>
      <c r="Y534" s="77"/>
      <c r="Z534" s="3"/>
      <c r="AA534" s="3"/>
      <c r="AB534" s="3"/>
    </row>
    <row r="535" spans="1:28" ht="14">
      <c r="A535" s="3"/>
      <c r="B535" s="3"/>
      <c r="C535" s="3"/>
      <c r="D535" s="3"/>
      <c r="E535" s="3"/>
      <c r="F535" s="3"/>
      <c r="G535" s="3"/>
      <c r="H535" s="3"/>
      <c r="I535" s="3"/>
      <c r="J535" s="3"/>
      <c r="K535" s="3"/>
      <c r="L535" s="3"/>
      <c r="M535" s="3"/>
      <c r="N535" s="3"/>
      <c r="O535" s="3"/>
      <c r="P535" s="3"/>
      <c r="Q535" s="48"/>
      <c r="R535" s="3"/>
      <c r="S535" s="3"/>
      <c r="T535" s="3"/>
      <c r="U535" s="28"/>
      <c r="V535" s="28"/>
      <c r="W535" s="77"/>
      <c r="X535" s="77"/>
      <c r="Y535" s="77"/>
      <c r="Z535" s="3"/>
      <c r="AA535" s="3"/>
      <c r="AB535" s="3"/>
    </row>
    <row r="536" spans="1:28" ht="14">
      <c r="A536" s="3"/>
      <c r="B536" s="3"/>
      <c r="C536" s="3"/>
      <c r="D536" s="3"/>
      <c r="E536" s="3"/>
      <c r="F536" s="3"/>
      <c r="G536" s="3"/>
      <c r="H536" s="3"/>
      <c r="I536" s="3"/>
      <c r="J536" s="3"/>
      <c r="K536" s="3"/>
      <c r="L536" s="3"/>
      <c r="M536" s="3"/>
      <c r="N536" s="3"/>
      <c r="O536" s="3"/>
      <c r="P536" s="3"/>
      <c r="Q536" s="48"/>
      <c r="R536" s="3"/>
      <c r="S536" s="3"/>
      <c r="T536" s="3"/>
      <c r="U536" s="28"/>
      <c r="V536" s="28"/>
      <c r="W536" s="77"/>
      <c r="X536" s="77"/>
      <c r="Y536" s="77"/>
      <c r="Z536" s="3"/>
      <c r="AA536" s="3"/>
      <c r="AB536" s="3"/>
    </row>
    <row r="537" spans="1:28" ht="14">
      <c r="A537" s="3"/>
      <c r="B537" s="3"/>
      <c r="C537" s="3"/>
      <c r="D537" s="3"/>
      <c r="E537" s="3"/>
      <c r="F537" s="3"/>
      <c r="G537" s="3"/>
      <c r="H537" s="3"/>
      <c r="I537" s="3"/>
      <c r="J537" s="3"/>
      <c r="K537" s="3"/>
      <c r="L537" s="3"/>
      <c r="M537" s="3"/>
      <c r="N537" s="3"/>
      <c r="O537" s="3"/>
      <c r="P537" s="3"/>
      <c r="Q537" s="48"/>
      <c r="R537" s="3"/>
      <c r="S537" s="3"/>
      <c r="T537" s="3"/>
      <c r="U537" s="28"/>
      <c r="V537" s="28"/>
      <c r="W537" s="77"/>
      <c r="X537" s="77"/>
      <c r="Y537" s="77"/>
      <c r="Z537" s="3"/>
      <c r="AA537" s="3"/>
      <c r="AB537" s="3"/>
    </row>
    <row r="538" spans="1:28" ht="14">
      <c r="A538" s="3"/>
      <c r="B538" s="3"/>
      <c r="C538" s="3"/>
      <c r="D538" s="3"/>
      <c r="E538" s="3"/>
      <c r="F538" s="3"/>
      <c r="G538" s="3"/>
      <c r="H538" s="3"/>
      <c r="I538" s="3"/>
      <c r="J538" s="3"/>
      <c r="K538" s="3"/>
      <c r="L538" s="3"/>
      <c r="M538" s="3"/>
      <c r="N538" s="3"/>
      <c r="O538" s="3"/>
      <c r="P538" s="3"/>
      <c r="Q538" s="48"/>
      <c r="R538" s="3"/>
      <c r="S538" s="3"/>
      <c r="T538" s="3"/>
      <c r="U538" s="28"/>
      <c r="V538" s="28"/>
      <c r="W538" s="77"/>
      <c r="X538" s="77"/>
      <c r="Y538" s="77"/>
      <c r="Z538" s="3"/>
      <c r="AA538" s="3"/>
      <c r="AB538" s="3"/>
    </row>
    <row r="539" spans="1:28" ht="14">
      <c r="A539" s="3"/>
      <c r="B539" s="3"/>
      <c r="C539" s="3"/>
      <c r="D539" s="3"/>
      <c r="E539" s="3"/>
      <c r="F539" s="3"/>
      <c r="G539" s="3"/>
      <c r="H539" s="3"/>
      <c r="I539" s="3"/>
      <c r="J539" s="3"/>
      <c r="K539" s="3"/>
      <c r="L539" s="3"/>
      <c r="M539" s="3"/>
      <c r="N539" s="3"/>
      <c r="O539" s="3"/>
      <c r="P539" s="3"/>
      <c r="Q539" s="48"/>
      <c r="R539" s="3"/>
      <c r="S539" s="3"/>
      <c r="T539" s="3"/>
      <c r="U539" s="28"/>
      <c r="V539" s="28"/>
      <c r="W539" s="77"/>
      <c r="X539" s="77"/>
      <c r="Y539" s="77"/>
      <c r="Z539" s="3"/>
      <c r="AA539" s="3"/>
      <c r="AB539" s="3"/>
    </row>
    <row r="540" spans="1:28" ht="14">
      <c r="A540" s="3"/>
      <c r="B540" s="3"/>
      <c r="C540" s="3"/>
      <c r="D540" s="3"/>
      <c r="E540" s="3"/>
      <c r="F540" s="3"/>
      <c r="G540" s="3"/>
      <c r="H540" s="3"/>
      <c r="I540" s="3"/>
      <c r="J540" s="3"/>
      <c r="K540" s="3"/>
      <c r="L540" s="3"/>
      <c r="M540" s="3"/>
      <c r="N540" s="3"/>
      <c r="O540" s="3"/>
      <c r="P540" s="3"/>
      <c r="Q540" s="48"/>
      <c r="R540" s="3"/>
      <c r="S540" s="3"/>
      <c r="T540" s="3"/>
      <c r="U540" s="28"/>
      <c r="V540" s="28"/>
      <c r="W540" s="77"/>
      <c r="X540" s="77"/>
      <c r="Y540" s="77"/>
      <c r="Z540" s="3"/>
      <c r="AA540" s="3"/>
      <c r="AB540" s="3"/>
    </row>
    <row r="541" spans="1:28" ht="14">
      <c r="A541" s="3"/>
      <c r="B541" s="3"/>
      <c r="C541" s="3"/>
      <c r="D541" s="3"/>
      <c r="E541" s="3"/>
      <c r="F541" s="3"/>
      <c r="G541" s="3"/>
      <c r="H541" s="3"/>
      <c r="I541" s="3"/>
      <c r="J541" s="3"/>
      <c r="K541" s="3"/>
      <c r="L541" s="3"/>
      <c r="M541" s="3"/>
      <c r="N541" s="3"/>
      <c r="O541" s="3"/>
      <c r="P541" s="3"/>
      <c r="Q541" s="48"/>
      <c r="R541" s="3"/>
      <c r="S541" s="3"/>
      <c r="T541" s="3"/>
      <c r="U541" s="28"/>
      <c r="V541" s="28"/>
      <c r="W541" s="77"/>
      <c r="X541" s="77"/>
      <c r="Y541" s="77"/>
      <c r="Z541" s="3"/>
      <c r="AA541" s="3"/>
      <c r="AB541" s="3"/>
    </row>
    <row r="542" spans="1:28" ht="14">
      <c r="A542" s="3"/>
      <c r="B542" s="3"/>
      <c r="C542" s="3"/>
      <c r="D542" s="3"/>
      <c r="E542" s="3"/>
      <c r="F542" s="3"/>
      <c r="G542" s="3"/>
      <c r="H542" s="3"/>
      <c r="I542" s="3"/>
      <c r="J542" s="3"/>
      <c r="K542" s="3"/>
      <c r="L542" s="3"/>
      <c r="M542" s="3"/>
      <c r="N542" s="3"/>
      <c r="O542" s="3"/>
      <c r="P542" s="3"/>
      <c r="Q542" s="48"/>
      <c r="R542" s="3"/>
      <c r="S542" s="3"/>
      <c r="T542" s="3"/>
      <c r="U542" s="28"/>
      <c r="V542" s="28"/>
      <c r="W542" s="77"/>
      <c r="X542" s="77"/>
      <c r="Y542" s="77"/>
      <c r="Z542" s="3"/>
      <c r="AA542" s="3"/>
      <c r="AB542" s="3"/>
    </row>
    <row r="543" spans="1:28" ht="14">
      <c r="A543" s="3"/>
      <c r="B543" s="3"/>
      <c r="C543" s="3"/>
      <c r="D543" s="3"/>
      <c r="E543" s="3"/>
      <c r="F543" s="3"/>
      <c r="G543" s="3"/>
      <c r="H543" s="3"/>
      <c r="I543" s="3"/>
      <c r="J543" s="3"/>
      <c r="K543" s="3"/>
      <c r="L543" s="3"/>
      <c r="M543" s="3"/>
      <c r="N543" s="3"/>
      <c r="O543" s="3"/>
      <c r="P543" s="3"/>
      <c r="Q543" s="48"/>
      <c r="R543" s="3"/>
      <c r="S543" s="3"/>
      <c r="T543" s="3"/>
      <c r="U543" s="28"/>
      <c r="V543" s="28"/>
      <c r="W543" s="77"/>
      <c r="X543" s="77"/>
      <c r="Y543" s="77"/>
      <c r="Z543" s="3"/>
      <c r="AA543" s="3"/>
      <c r="AB543" s="3"/>
    </row>
    <row r="544" spans="1:28" ht="14">
      <c r="A544" s="3"/>
      <c r="B544" s="3"/>
      <c r="C544" s="3"/>
      <c r="D544" s="3"/>
      <c r="E544" s="3"/>
      <c r="F544" s="3"/>
      <c r="G544" s="3"/>
      <c r="H544" s="3"/>
      <c r="I544" s="3"/>
      <c r="J544" s="3"/>
      <c r="K544" s="3"/>
      <c r="L544" s="3"/>
      <c r="M544" s="3"/>
      <c r="N544" s="3"/>
      <c r="O544" s="3"/>
      <c r="P544" s="3"/>
      <c r="Q544" s="48"/>
      <c r="R544" s="3"/>
      <c r="S544" s="3"/>
      <c r="T544" s="3"/>
      <c r="U544" s="28"/>
      <c r="V544" s="28"/>
      <c r="W544" s="77"/>
      <c r="X544" s="77"/>
      <c r="Y544" s="77"/>
      <c r="Z544" s="3"/>
      <c r="AA544" s="3"/>
      <c r="AB544" s="3"/>
    </row>
    <row r="545" spans="1:28" ht="14">
      <c r="A545" s="3"/>
      <c r="B545" s="3"/>
      <c r="C545" s="3"/>
      <c r="D545" s="3"/>
      <c r="E545" s="3"/>
      <c r="F545" s="3"/>
      <c r="G545" s="3"/>
      <c r="H545" s="3"/>
      <c r="I545" s="3"/>
      <c r="J545" s="3"/>
      <c r="K545" s="3"/>
      <c r="L545" s="3"/>
      <c r="M545" s="3"/>
      <c r="N545" s="3"/>
      <c r="O545" s="3"/>
      <c r="P545" s="3"/>
      <c r="Q545" s="48"/>
      <c r="R545" s="3"/>
      <c r="S545" s="3"/>
      <c r="T545" s="3"/>
      <c r="U545" s="28"/>
      <c r="V545" s="28"/>
      <c r="W545" s="77"/>
      <c r="X545" s="77"/>
      <c r="Y545" s="77"/>
      <c r="Z545" s="3"/>
      <c r="AA545" s="3"/>
      <c r="AB545" s="3"/>
    </row>
    <row r="546" spans="1:28" ht="14">
      <c r="A546" s="3"/>
      <c r="B546" s="3"/>
      <c r="C546" s="3"/>
      <c r="D546" s="3"/>
      <c r="E546" s="3"/>
      <c r="F546" s="3"/>
      <c r="G546" s="3"/>
      <c r="H546" s="3"/>
      <c r="I546" s="3"/>
      <c r="J546" s="3"/>
      <c r="K546" s="3"/>
      <c r="L546" s="3"/>
      <c r="M546" s="3"/>
      <c r="N546" s="3"/>
      <c r="O546" s="3"/>
      <c r="P546" s="3"/>
      <c r="Q546" s="48"/>
      <c r="R546" s="3"/>
      <c r="S546" s="3"/>
      <c r="T546" s="3"/>
      <c r="U546" s="28"/>
      <c r="V546" s="28"/>
      <c r="W546" s="77"/>
      <c r="X546" s="77"/>
      <c r="Y546" s="77"/>
      <c r="Z546" s="3"/>
      <c r="AA546" s="3"/>
      <c r="AB546" s="3"/>
    </row>
    <row r="547" spans="1:28" ht="14">
      <c r="A547" s="3"/>
      <c r="B547" s="3"/>
      <c r="C547" s="3"/>
      <c r="D547" s="3"/>
      <c r="E547" s="3"/>
      <c r="F547" s="3"/>
      <c r="G547" s="3"/>
      <c r="H547" s="3"/>
      <c r="I547" s="3"/>
      <c r="J547" s="3"/>
      <c r="K547" s="3"/>
      <c r="L547" s="3"/>
      <c r="M547" s="3"/>
      <c r="N547" s="3"/>
      <c r="O547" s="3"/>
      <c r="P547" s="3"/>
      <c r="Q547" s="48"/>
      <c r="R547" s="3"/>
      <c r="S547" s="3"/>
      <c r="T547" s="3"/>
      <c r="U547" s="28"/>
      <c r="V547" s="28"/>
      <c r="W547" s="77"/>
      <c r="X547" s="77"/>
      <c r="Y547" s="77"/>
      <c r="Z547" s="3"/>
      <c r="AA547" s="3"/>
      <c r="AB547" s="3"/>
    </row>
    <row r="548" spans="1:28" ht="14">
      <c r="A548" s="3"/>
      <c r="B548" s="3"/>
      <c r="C548" s="3"/>
      <c r="D548" s="3"/>
      <c r="E548" s="3"/>
      <c r="F548" s="3"/>
      <c r="G548" s="3"/>
      <c r="H548" s="3"/>
      <c r="I548" s="3"/>
      <c r="J548" s="3"/>
      <c r="K548" s="3"/>
      <c r="L548" s="3"/>
      <c r="M548" s="3"/>
      <c r="N548" s="3"/>
      <c r="O548" s="3"/>
      <c r="P548" s="3"/>
      <c r="Q548" s="48"/>
      <c r="R548" s="3"/>
      <c r="S548" s="3"/>
      <c r="T548" s="3"/>
      <c r="U548" s="28"/>
      <c r="V548" s="28"/>
      <c r="W548" s="77"/>
      <c r="X548" s="77"/>
      <c r="Y548" s="77"/>
      <c r="Z548" s="3"/>
      <c r="AA548" s="3"/>
      <c r="AB548" s="3"/>
    </row>
    <row r="549" spans="1:28" ht="14">
      <c r="A549" s="3"/>
      <c r="B549" s="3"/>
      <c r="C549" s="3"/>
      <c r="D549" s="3"/>
      <c r="E549" s="3"/>
      <c r="F549" s="3"/>
      <c r="G549" s="3"/>
      <c r="H549" s="3"/>
      <c r="I549" s="3"/>
      <c r="J549" s="3"/>
      <c r="K549" s="3"/>
      <c r="L549" s="3"/>
      <c r="M549" s="3"/>
      <c r="N549" s="3"/>
      <c r="O549" s="3"/>
      <c r="P549" s="3"/>
      <c r="Q549" s="48"/>
      <c r="R549" s="3"/>
      <c r="S549" s="3"/>
      <c r="T549" s="3"/>
      <c r="U549" s="28"/>
      <c r="V549" s="28"/>
      <c r="W549" s="77"/>
      <c r="X549" s="77"/>
      <c r="Y549" s="77"/>
      <c r="Z549" s="3"/>
      <c r="AA549" s="3"/>
      <c r="AB549" s="3"/>
    </row>
    <row r="550" spans="1:28" ht="14">
      <c r="A550" s="3"/>
      <c r="B550" s="3"/>
      <c r="C550" s="3"/>
      <c r="D550" s="3"/>
      <c r="E550" s="3"/>
      <c r="F550" s="3"/>
      <c r="G550" s="3"/>
      <c r="H550" s="3"/>
      <c r="I550" s="3"/>
      <c r="J550" s="3"/>
      <c r="K550" s="3"/>
      <c r="L550" s="3"/>
      <c r="M550" s="3"/>
      <c r="N550" s="3"/>
      <c r="O550" s="3"/>
      <c r="P550" s="3"/>
      <c r="Q550" s="48"/>
      <c r="R550" s="3"/>
      <c r="S550" s="3"/>
      <c r="T550" s="3"/>
      <c r="U550" s="28"/>
      <c r="V550" s="28"/>
      <c r="W550" s="77"/>
      <c r="X550" s="77"/>
      <c r="Y550" s="77"/>
      <c r="Z550" s="3"/>
      <c r="AA550" s="3"/>
      <c r="AB550" s="3"/>
    </row>
    <row r="551" spans="1:28" ht="14">
      <c r="A551" s="3"/>
      <c r="B551" s="3"/>
      <c r="C551" s="3"/>
      <c r="D551" s="3"/>
      <c r="E551" s="3"/>
      <c r="F551" s="3"/>
      <c r="G551" s="3"/>
      <c r="H551" s="3"/>
      <c r="I551" s="3"/>
      <c r="J551" s="3"/>
      <c r="K551" s="3"/>
      <c r="L551" s="3"/>
      <c r="M551" s="3"/>
      <c r="N551" s="3"/>
      <c r="O551" s="3"/>
      <c r="P551" s="3"/>
      <c r="Q551" s="48"/>
      <c r="R551" s="3"/>
      <c r="S551" s="3"/>
      <c r="T551" s="3"/>
      <c r="U551" s="28"/>
      <c r="V551" s="28"/>
      <c r="W551" s="77"/>
      <c r="X551" s="77"/>
      <c r="Y551" s="77"/>
      <c r="Z551" s="3"/>
      <c r="AA551" s="3"/>
      <c r="AB551" s="3"/>
    </row>
    <row r="552" spans="1:28" ht="14">
      <c r="A552" s="3"/>
      <c r="B552" s="3"/>
      <c r="C552" s="3"/>
      <c r="D552" s="3"/>
      <c r="E552" s="3"/>
      <c r="F552" s="3"/>
      <c r="G552" s="3"/>
      <c r="H552" s="3"/>
      <c r="I552" s="3"/>
      <c r="J552" s="3"/>
      <c r="K552" s="3"/>
      <c r="L552" s="3"/>
      <c r="M552" s="3"/>
      <c r="N552" s="3"/>
      <c r="O552" s="3"/>
      <c r="P552" s="3"/>
      <c r="Q552" s="48"/>
      <c r="R552" s="3"/>
      <c r="S552" s="3"/>
      <c r="T552" s="3"/>
      <c r="U552" s="28"/>
      <c r="V552" s="28"/>
      <c r="W552" s="77"/>
      <c r="X552" s="77"/>
      <c r="Y552" s="77"/>
      <c r="Z552" s="3"/>
      <c r="AA552" s="3"/>
      <c r="AB552" s="3"/>
    </row>
    <row r="553" spans="1:28" ht="14">
      <c r="A553" s="3"/>
      <c r="B553" s="3"/>
      <c r="C553" s="3"/>
      <c r="D553" s="3"/>
      <c r="E553" s="3"/>
      <c r="F553" s="3"/>
      <c r="G553" s="3"/>
      <c r="H553" s="3"/>
      <c r="I553" s="3"/>
      <c r="J553" s="3"/>
      <c r="K553" s="3"/>
      <c r="L553" s="3"/>
      <c r="M553" s="3"/>
      <c r="N553" s="3"/>
      <c r="O553" s="3"/>
      <c r="P553" s="3"/>
      <c r="Q553" s="48"/>
      <c r="R553" s="3"/>
      <c r="S553" s="3"/>
      <c r="T553" s="3"/>
      <c r="U553" s="28"/>
      <c r="V553" s="28"/>
      <c r="W553" s="77"/>
      <c r="X553" s="77"/>
      <c r="Y553" s="77"/>
      <c r="Z553" s="3"/>
      <c r="AA553" s="3"/>
      <c r="AB553" s="3"/>
    </row>
    <row r="554" spans="1:28" ht="14">
      <c r="A554" s="3"/>
      <c r="B554" s="3"/>
      <c r="C554" s="3"/>
      <c r="D554" s="3"/>
      <c r="E554" s="3"/>
      <c r="F554" s="3"/>
      <c r="G554" s="3"/>
      <c r="H554" s="3"/>
      <c r="I554" s="3"/>
      <c r="J554" s="3"/>
      <c r="K554" s="3"/>
      <c r="L554" s="3"/>
      <c r="M554" s="3"/>
      <c r="N554" s="3"/>
      <c r="O554" s="3"/>
      <c r="P554" s="3"/>
      <c r="Q554" s="48"/>
      <c r="R554" s="3"/>
      <c r="S554" s="3"/>
      <c r="T554" s="3"/>
      <c r="U554" s="28"/>
      <c r="V554" s="28"/>
      <c r="W554" s="77"/>
      <c r="X554" s="77"/>
      <c r="Y554" s="77"/>
      <c r="Z554" s="3"/>
      <c r="AA554" s="3"/>
      <c r="AB554" s="3"/>
    </row>
    <row r="555" spans="1:28" ht="14">
      <c r="A555" s="3"/>
      <c r="B555" s="3"/>
      <c r="C555" s="3"/>
      <c r="D555" s="3"/>
      <c r="E555" s="3"/>
      <c r="F555" s="3"/>
      <c r="G555" s="3"/>
      <c r="H555" s="3"/>
      <c r="I555" s="3"/>
      <c r="J555" s="3"/>
      <c r="K555" s="3"/>
      <c r="L555" s="3"/>
      <c r="M555" s="3"/>
      <c r="N555" s="3"/>
      <c r="O555" s="3"/>
      <c r="P555" s="3"/>
      <c r="Q555" s="48"/>
      <c r="R555" s="3"/>
      <c r="S555" s="3"/>
      <c r="T555" s="3"/>
      <c r="U555" s="28"/>
      <c r="V555" s="28"/>
      <c r="W555" s="77"/>
      <c r="X555" s="77"/>
      <c r="Y555" s="77"/>
      <c r="Z555" s="3"/>
      <c r="AA555" s="3"/>
      <c r="AB555" s="3"/>
    </row>
    <row r="556" spans="1:28" ht="14">
      <c r="A556" s="3"/>
      <c r="B556" s="3"/>
      <c r="C556" s="3"/>
      <c r="D556" s="3"/>
      <c r="E556" s="3"/>
      <c r="F556" s="3"/>
      <c r="G556" s="3"/>
      <c r="H556" s="3"/>
      <c r="I556" s="3"/>
      <c r="J556" s="3"/>
      <c r="K556" s="3"/>
      <c r="L556" s="3"/>
      <c r="M556" s="3"/>
      <c r="N556" s="3"/>
      <c r="O556" s="3"/>
      <c r="P556" s="3"/>
      <c r="Q556" s="48"/>
      <c r="R556" s="3"/>
      <c r="S556" s="3"/>
      <c r="T556" s="3"/>
      <c r="U556" s="28"/>
      <c r="V556" s="28"/>
      <c r="W556" s="77"/>
      <c r="X556" s="77"/>
      <c r="Y556" s="77"/>
      <c r="Z556" s="3"/>
      <c r="AA556" s="3"/>
      <c r="AB556" s="3"/>
    </row>
    <row r="557" spans="1:28" ht="14">
      <c r="A557" s="3"/>
      <c r="B557" s="3"/>
      <c r="C557" s="3"/>
      <c r="D557" s="3"/>
      <c r="E557" s="3"/>
      <c r="F557" s="3"/>
      <c r="G557" s="3"/>
      <c r="H557" s="3"/>
      <c r="I557" s="3"/>
      <c r="J557" s="3"/>
      <c r="K557" s="3"/>
      <c r="L557" s="3"/>
      <c r="M557" s="3"/>
      <c r="N557" s="3"/>
      <c r="O557" s="3"/>
      <c r="P557" s="3"/>
      <c r="Q557" s="48"/>
      <c r="R557" s="3"/>
      <c r="S557" s="3"/>
      <c r="T557" s="3"/>
      <c r="U557" s="28"/>
      <c r="V557" s="28"/>
      <c r="W557" s="77"/>
      <c r="X557" s="77"/>
      <c r="Y557" s="77"/>
      <c r="Z557" s="3"/>
      <c r="AA557" s="3"/>
      <c r="AB557" s="3"/>
    </row>
    <row r="558" spans="1:28" ht="14">
      <c r="A558" s="3"/>
      <c r="B558" s="3"/>
      <c r="C558" s="3"/>
      <c r="D558" s="3"/>
      <c r="E558" s="3"/>
      <c r="F558" s="3"/>
      <c r="G558" s="3"/>
      <c r="H558" s="3"/>
      <c r="I558" s="3"/>
      <c r="J558" s="3"/>
      <c r="K558" s="3"/>
      <c r="L558" s="3"/>
      <c r="M558" s="3"/>
      <c r="N558" s="3"/>
      <c r="O558" s="3"/>
      <c r="P558" s="3"/>
      <c r="Q558" s="48"/>
      <c r="R558" s="3"/>
      <c r="S558" s="3"/>
      <c r="T558" s="3"/>
      <c r="U558" s="28"/>
      <c r="V558" s="28"/>
      <c r="W558" s="77"/>
      <c r="X558" s="77"/>
      <c r="Y558" s="77"/>
      <c r="Z558" s="3"/>
      <c r="AA558" s="3"/>
      <c r="AB558" s="3"/>
    </row>
    <row r="559" spans="1:28" ht="14">
      <c r="A559" s="3"/>
      <c r="B559" s="3"/>
      <c r="C559" s="3"/>
      <c r="D559" s="3"/>
      <c r="E559" s="3"/>
      <c r="F559" s="3"/>
      <c r="G559" s="3"/>
      <c r="H559" s="3"/>
      <c r="I559" s="3"/>
      <c r="J559" s="3"/>
      <c r="K559" s="3"/>
      <c r="L559" s="3"/>
      <c r="M559" s="3"/>
      <c r="N559" s="3"/>
      <c r="O559" s="3"/>
      <c r="P559" s="3"/>
      <c r="Q559" s="48"/>
      <c r="R559" s="3"/>
      <c r="S559" s="3"/>
      <c r="T559" s="3"/>
      <c r="U559" s="28"/>
      <c r="V559" s="28"/>
      <c r="W559" s="77"/>
      <c r="X559" s="77"/>
      <c r="Y559" s="77"/>
      <c r="Z559" s="3"/>
      <c r="AA559" s="3"/>
      <c r="AB559" s="3"/>
    </row>
    <row r="560" spans="1:28" ht="14">
      <c r="A560" s="3"/>
      <c r="B560" s="3"/>
      <c r="C560" s="3"/>
      <c r="D560" s="3"/>
      <c r="E560" s="3"/>
      <c r="F560" s="3"/>
      <c r="G560" s="3"/>
      <c r="H560" s="3"/>
      <c r="I560" s="3"/>
      <c r="J560" s="3"/>
      <c r="K560" s="3"/>
      <c r="L560" s="3"/>
      <c r="M560" s="3"/>
      <c r="N560" s="3"/>
      <c r="O560" s="3"/>
      <c r="P560" s="3"/>
      <c r="Q560" s="48"/>
      <c r="R560" s="3"/>
      <c r="S560" s="3"/>
      <c r="T560" s="3"/>
      <c r="U560" s="28"/>
      <c r="V560" s="28"/>
      <c r="W560" s="77"/>
      <c r="X560" s="77"/>
      <c r="Y560" s="77"/>
      <c r="Z560" s="3"/>
      <c r="AA560" s="3"/>
      <c r="AB560" s="3"/>
    </row>
    <row r="561" spans="1:28" ht="14">
      <c r="A561" s="3"/>
      <c r="B561" s="3"/>
      <c r="C561" s="3"/>
      <c r="D561" s="3"/>
      <c r="E561" s="3"/>
      <c r="F561" s="3"/>
      <c r="G561" s="3"/>
      <c r="H561" s="3"/>
      <c r="I561" s="3"/>
      <c r="J561" s="3"/>
      <c r="K561" s="3"/>
      <c r="L561" s="3"/>
      <c r="M561" s="3"/>
      <c r="N561" s="3"/>
      <c r="O561" s="3"/>
      <c r="P561" s="3"/>
      <c r="Q561" s="48"/>
      <c r="R561" s="3"/>
      <c r="S561" s="3"/>
      <c r="T561" s="3"/>
      <c r="U561" s="28"/>
      <c r="V561" s="28"/>
      <c r="W561" s="77"/>
      <c r="X561" s="77"/>
      <c r="Y561" s="77"/>
      <c r="Z561" s="3"/>
      <c r="AA561" s="3"/>
      <c r="AB561" s="3"/>
    </row>
    <row r="562" spans="1:28" ht="14">
      <c r="A562" s="3"/>
      <c r="B562" s="3"/>
      <c r="C562" s="3"/>
      <c r="D562" s="3"/>
      <c r="E562" s="3"/>
      <c r="F562" s="3"/>
      <c r="G562" s="3"/>
      <c r="H562" s="3"/>
      <c r="I562" s="3"/>
      <c r="J562" s="3"/>
      <c r="K562" s="3"/>
      <c r="L562" s="3"/>
      <c r="M562" s="3"/>
      <c r="N562" s="3"/>
      <c r="O562" s="3"/>
      <c r="P562" s="3"/>
      <c r="Q562" s="48"/>
      <c r="R562" s="3"/>
      <c r="S562" s="3"/>
      <c r="T562" s="3"/>
      <c r="U562" s="28"/>
      <c r="V562" s="28"/>
      <c r="W562" s="77"/>
      <c r="X562" s="77"/>
      <c r="Y562" s="77"/>
      <c r="Z562" s="3"/>
      <c r="AA562" s="3"/>
      <c r="AB562" s="3"/>
    </row>
    <row r="563" spans="1:28" ht="14">
      <c r="A563" s="3"/>
      <c r="B563" s="3"/>
      <c r="C563" s="3"/>
      <c r="D563" s="3"/>
      <c r="E563" s="3"/>
      <c r="F563" s="3"/>
      <c r="G563" s="3"/>
      <c r="H563" s="3"/>
      <c r="I563" s="3"/>
      <c r="J563" s="3"/>
      <c r="K563" s="3"/>
      <c r="L563" s="3"/>
      <c r="M563" s="3"/>
      <c r="N563" s="3"/>
      <c r="O563" s="3"/>
      <c r="P563" s="3"/>
      <c r="Q563" s="48"/>
      <c r="R563" s="3"/>
      <c r="S563" s="3"/>
      <c r="T563" s="3"/>
      <c r="U563" s="28"/>
      <c r="V563" s="28"/>
      <c r="W563" s="77"/>
      <c r="X563" s="77"/>
      <c r="Y563" s="77"/>
      <c r="Z563" s="3"/>
      <c r="AA563" s="3"/>
      <c r="AB563" s="3"/>
    </row>
    <row r="564" spans="1:28" ht="14">
      <c r="A564" s="3"/>
      <c r="B564" s="3"/>
      <c r="C564" s="3"/>
      <c r="D564" s="3"/>
      <c r="E564" s="3"/>
      <c r="F564" s="3"/>
      <c r="G564" s="3"/>
      <c r="H564" s="3"/>
      <c r="I564" s="3"/>
      <c r="J564" s="3"/>
      <c r="K564" s="3"/>
      <c r="L564" s="3"/>
      <c r="M564" s="3"/>
      <c r="N564" s="3"/>
      <c r="O564" s="3"/>
      <c r="P564" s="3"/>
      <c r="Q564" s="48"/>
      <c r="R564" s="3"/>
      <c r="S564" s="3"/>
      <c r="T564" s="3"/>
      <c r="U564" s="28"/>
      <c r="V564" s="28"/>
      <c r="W564" s="77"/>
      <c r="X564" s="77"/>
      <c r="Y564" s="77"/>
      <c r="Z564" s="3"/>
      <c r="AA564" s="3"/>
      <c r="AB564" s="3"/>
    </row>
    <row r="565" spans="1:28" ht="14">
      <c r="A565" s="3"/>
      <c r="B565" s="3"/>
      <c r="C565" s="3"/>
      <c r="D565" s="3"/>
      <c r="E565" s="3"/>
      <c r="F565" s="3"/>
      <c r="G565" s="3"/>
      <c r="H565" s="3"/>
      <c r="I565" s="3"/>
      <c r="J565" s="3"/>
      <c r="K565" s="3"/>
      <c r="L565" s="3"/>
      <c r="M565" s="3"/>
      <c r="N565" s="3"/>
      <c r="O565" s="3"/>
      <c r="P565" s="3"/>
      <c r="Q565" s="48"/>
      <c r="R565" s="3"/>
      <c r="S565" s="3"/>
      <c r="T565" s="3"/>
      <c r="U565" s="28"/>
      <c r="V565" s="28"/>
      <c r="W565" s="77"/>
      <c r="X565" s="77"/>
      <c r="Y565" s="77"/>
      <c r="Z565" s="3"/>
      <c r="AA565" s="3"/>
      <c r="AB565" s="3"/>
    </row>
    <row r="566" spans="1:28" ht="14">
      <c r="A566" s="3"/>
      <c r="B566" s="3"/>
      <c r="C566" s="3"/>
      <c r="D566" s="3"/>
      <c r="E566" s="3"/>
      <c r="F566" s="3"/>
      <c r="G566" s="3"/>
      <c r="H566" s="3"/>
      <c r="I566" s="3"/>
      <c r="J566" s="3"/>
      <c r="K566" s="3"/>
      <c r="L566" s="3"/>
      <c r="M566" s="3"/>
      <c r="N566" s="3"/>
      <c r="O566" s="3"/>
      <c r="P566" s="3"/>
      <c r="Q566" s="48"/>
      <c r="R566" s="3"/>
      <c r="S566" s="3"/>
      <c r="T566" s="3"/>
      <c r="U566" s="28"/>
      <c r="V566" s="28"/>
      <c r="W566" s="77"/>
      <c r="X566" s="77"/>
      <c r="Y566" s="77"/>
      <c r="Z566" s="3"/>
      <c r="AA566" s="3"/>
      <c r="AB566" s="3"/>
    </row>
    <row r="567" spans="1:28" ht="14">
      <c r="A567" s="3"/>
      <c r="B567" s="3"/>
      <c r="C567" s="3"/>
      <c r="D567" s="3"/>
      <c r="E567" s="3"/>
      <c r="F567" s="3"/>
      <c r="G567" s="3"/>
      <c r="H567" s="3"/>
      <c r="I567" s="3"/>
      <c r="J567" s="3"/>
      <c r="K567" s="3"/>
      <c r="L567" s="3"/>
      <c r="M567" s="3"/>
      <c r="N567" s="3"/>
      <c r="O567" s="3"/>
      <c r="P567" s="3"/>
      <c r="Q567" s="48"/>
      <c r="R567" s="3"/>
      <c r="S567" s="3"/>
      <c r="T567" s="3"/>
      <c r="U567" s="28"/>
      <c r="V567" s="28"/>
      <c r="W567" s="77"/>
      <c r="X567" s="77"/>
      <c r="Y567" s="77"/>
      <c r="Z567" s="3"/>
      <c r="AA567" s="3"/>
      <c r="AB567" s="3"/>
    </row>
    <row r="568" spans="1:28" ht="14">
      <c r="A568" s="3"/>
      <c r="B568" s="3"/>
      <c r="C568" s="3"/>
      <c r="D568" s="3"/>
      <c r="E568" s="3"/>
      <c r="F568" s="3"/>
      <c r="G568" s="3"/>
      <c r="H568" s="3"/>
      <c r="I568" s="3"/>
      <c r="J568" s="3"/>
      <c r="K568" s="3"/>
      <c r="L568" s="3"/>
      <c r="M568" s="3"/>
      <c r="N568" s="3"/>
      <c r="O568" s="3"/>
      <c r="P568" s="3"/>
      <c r="Q568" s="48"/>
      <c r="R568" s="3"/>
      <c r="S568" s="3"/>
      <c r="T568" s="3"/>
      <c r="U568" s="28"/>
      <c r="V568" s="28"/>
      <c r="W568" s="77"/>
      <c r="X568" s="77"/>
      <c r="Y568" s="77"/>
      <c r="Z568" s="3"/>
      <c r="AA568" s="3"/>
      <c r="AB568" s="3"/>
    </row>
    <row r="569" spans="1:28" ht="14">
      <c r="A569" s="3"/>
      <c r="B569" s="3"/>
      <c r="C569" s="3"/>
      <c r="D569" s="3"/>
      <c r="E569" s="3"/>
      <c r="F569" s="3"/>
      <c r="G569" s="3"/>
      <c r="H569" s="3"/>
      <c r="I569" s="3"/>
      <c r="J569" s="3"/>
      <c r="K569" s="3"/>
      <c r="L569" s="3"/>
      <c r="M569" s="3"/>
      <c r="N569" s="3"/>
      <c r="O569" s="3"/>
      <c r="P569" s="3"/>
      <c r="Q569" s="48"/>
      <c r="R569" s="3"/>
      <c r="S569" s="3"/>
      <c r="T569" s="3"/>
      <c r="U569" s="28"/>
      <c r="V569" s="28"/>
      <c r="W569" s="77"/>
      <c r="X569" s="77"/>
      <c r="Y569" s="77"/>
      <c r="Z569" s="3"/>
      <c r="AA569" s="3"/>
      <c r="AB569" s="3"/>
    </row>
    <row r="570" spans="1:28" ht="14">
      <c r="A570" s="3"/>
      <c r="B570" s="3"/>
      <c r="C570" s="3"/>
      <c r="D570" s="3"/>
      <c r="E570" s="3"/>
      <c r="F570" s="3"/>
      <c r="G570" s="3"/>
      <c r="H570" s="3"/>
      <c r="I570" s="3"/>
      <c r="J570" s="3"/>
      <c r="K570" s="3"/>
      <c r="L570" s="3"/>
      <c r="M570" s="3"/>
      <c r="N570" s="3"/>
      <c r="O570" s="3"/>
      <c r="P570" s="3"/>
      <c r="Q570" s="48"/>
      <c r="R570" s="3"/>
      <c r="S570" s="3"/>
      <c r="T570" s="3"/>
      <c r="U570" s="28"/>
      <c r="V570" s="28"/>
      <c r="W570" s="77"/>
      <c r="X570" s="77"/>
      <c r="Y570" s="77"/>
      <c r="Z570" s="3"/>
      <c r="AA570" s="3"/>
      <c r="AB570" s="3"/>
    </row>
    <row r="571" spans="1:28" ht="14">
      <c r="A571" s="3"/>
      <c r="B571" s="3"/>
      <c r="C571" s="3"/>
      <c r="D571" s="3"/>
      <c r="E571" s="3"/>
      <c r="F571" s="3"/>
      <c r="G571" s="3"/>
      <c r="H571" s="3"/>
      <c r="I571" s="3"/>
      <c r="J571" s="3"/>
      <c r="K571" s="3"/>
      <c r="L571" s="3"/>
      <c r="M571" s="3"/>
      <c r="N571" s="3"/>
      <c r="O571" s="3"/>
      <c r="P571" s="3"/>
      <c r="Q571" s="48"/>
      <c r="R571" s="3"/>
      <c r="S571" s="3"/>
      <c r="T571" s="3"/>
      <c r="U571" s="28"/>
      <c r="V571" s="28"/>
      <c r="W571" s="77"/>
      <c r="X571" s="77"/>
      <c r="Y571" s="77"/>
      <c r="Z571" s="3"/>
      <c r="AA571" s="3"/>
      <c r="AB571" s="3"/>
    </row>
    <row r="572" spans="1:28" ht="14">
      <c r="A572" s="3"/>
      <c r="B572" s="3"/>
      <c r="C572" s="3"/>
      <c r="D572" s="3"/>
      <c r="E572" s="3"/>
      <c r="F572" s="3"/>
      <c r="G572" s="3"/>
      <c r="H572" s="3"/>
      <c r="I572" s="3"/>
      <c r="J572" s="3"/>
      <c r="K572" s="3"/>
      <c r="L572" s="3"/>
      <c r="M572" s="3"/>
      <c r="N572" s="3"/>
      <c r="O572" s="3"/>
      <c r="P572" s="3"/>
      <c r="Q572" s="48"/>
      <c r="R572" s="3"/>
      <c r="S572" s="3"/>
      <c r="T572" s="3"/>
      <c r="U572" s="28"/>
      <c r="V572" s="28"/>
      <c r="W572" s="77"/>
      <c r="X572" s="77"/>
      <c r="Y572" s="77"/>
      <c r="Z572" s="3"/>
      <c r="AA572" s="3"/>
      <c r="AB572" s="3"/>
    </row>
    <row r="573" spans="1:28" ht="14">
      <c r="A573" s="3"/>
      <c r="B573" s="3"/>
      <c r="C573" s="3"/>
      <c r="D573" s="3"/>
      <c r="E573" s="3"/>
      <c r="F573" s="3"/>
      <c r="G573" s="3"/>
      <c r="H573" s="3"/>
      <c r="I573" s="3"/>
      <c r="J573" s="3"/>
      <c r="K573" s="3"/>
      <c r="L573" s="3"/>
      <c r="M573" s="3"/>
      <c r="N573" s="3"/>
      <c r="O573" s="3"/>
      <c r="P573" s="3"/>
      <c r="Q573" s="48"/>
      <c r="R573" s="3"/>
      <c r="S573" s="3"/>
      <c r="T573" s="3"/>
      <c r="U573" s="28"/>
      <c r="V573" s="28"/>
      <c r="W573" s="77"/>
      <c r="X573" s="77"/>
      <c r="Y573" s="77"/>
      <c r="Z573" s="3"/>
      <c r="AA573" s="3"/>
      <c r="AB573" s="3"/>
    </row>
    <row r="574" spans="1:28" ht="14">
      <c r="A574" s="3"/>
      <c r="B574" s="3"/>
      <c r="C574" s="3"/>
      <c r="D574" s="3"/>
      <c r="E574" s="3"/>
      <c r="F574" s="3"/>
      <c r="G574" s="3"/>
      <c r="H574" s="3"/>
      <c r="I574" s="3"/>
      <c r="J574" s="3"/>
      <c r="K574" s="3"/>
      <c r="L574" s="3"/>
      <c r="M574" s="3"/>
      <c r="N574" s="3"/>
      <c r="O574" s="3"/>
      <c r="P574" s="3"/>
      <c r="Q574" s="48"/>
      <c r="R574" s="3"/>
      <c r="S574" s="3"/>
      <c r="T574" s="3"/>
      <c r="U574" s="28"/>
      <c r="V574" s="28"/>
      <c r="W574" s="77"/>
      <c r="X574" s="77"/>
      <c r="Y574" s="77"/>
      <c r="Z574" s="3"/>
      <c r="AA574" s="3"/>
      <c r="AB574" s="3"/>
    </row>
    <row r="575" spans="1:28" ht="14">
      <c r="A575" s="3"/>
      <c r="B575" s="3"/>
      <c r="C575" s="3"/>
      <c r="D575" s="3"/>
      <c r="E575" s="3"/>
      <c r="F575" s="3"/>
      <c r="G575" s="3"/>
      <c r="H575" s="3"/>
      <c r="I575" s="3"/>
      <c r="J575" s="3"/>
      <c r="K575" s="3"/>
      <c r="L575" s="3"/>
      <c r="M575" s="3"/>
      <c r="N575" s="3"/>
      <c r="O575" s="3"/>
      <c r="P575" s="3"/>
      <c r="Q575" s="48"/>
      <c r="R575" s="3"/>
      <c r="S575" s="3"/>
      <c r="T575" s="3"/>
      <c r="U575" s="28"/>
      <c r="V575" s="28"/>
      <c r="W575" s="77"/>
      <c r="X575" s="77"/>
      <c r="Y575" s="77"/>
      <c r="Z575" s="3"/>
      <c r="AA575" s="3"/>
      <c r="AB575" s="3"/>
    </row>
    <row r="576" spans="1:28" ht="14">
      <c r="A576" s="3"/>
      <c r="B576" s="3"/>
      <c r="C576" s="3"/>
      <c r="D576" s="3"/>
      <c r="E576" s="3"/>
      <c r="F576" s="3"/>
      <c r="G576" s="3"/>
      <c r="H576" s="3"/>
      <c r="I576" s="3"/>
      <c r="J576" s="3"/>
      <c r="K576" s="3"/>
      <c r="L576" s="3"/>
      <c r="M576" s="3"/>
      <c r="N576" s="3"/>
      <c r="O576" s="3"/>
      <c r="P576" s="3"/>
      <c r="Q576" s="48"/>
      <c r="R576" s="3"/>
      <c r="S576" s="3"/>
      <c r="T576" s="3"/>
      <c r="U576" s="28"/>
      <c r="V576" s="28"/>
      <c r="W576" s="77"/>
      <c r="X576" s="77"/>
      <c r="Y576" s="77"/>
      <c r="Z576" s="3"/>
      <c r="AA576" s="3"/>
      <c r="AB576" s="3"/>
    </row>
    <row r="577" spans="1:28" ht="14">
      <c r="A577" s="3"/>
      <c r="B577" s="3"/>
      <c r="C577" s="3"/>
      <c r="D577" s="3"/>
      <c r="E577" s="3"/>
      <c r="F577" s="3"/>
      <c r="G577" s="3"/>
      <c r="H577" s="3"/>
      <c r="I577" s="3"/>
      <c r="J577" s="3"/>
      <c r="K577" s="3"/>
      <c r="L577" s="3"/>
      <c r="M577" s="3"/>
      <c r="N577" s="3"/>
      <c r="O577" s="3"/>
      <c r="P577" s="3"/>
      <c r="Q577" s="48"/>
      <c r="R577" s="3"/>
      <c r="S577" s="3"/>
      <c r="T577" s="3"/>
      <c r="U577" s="28"/>
      <c r="V577" s="28"/>
      <c r="W577" s="77"/>
      <c r="X577" s="77"/>
      <c r="Y577" s="77"/>
      <c r="Z577" s="3"/>
      <c r="AA577" s="3"/>
      <c r="AB577" s="3"/>
    </row>
    <row r="578" spans="1:28" ht="14">
      <c r="A578" s="3"/>
      <c r="B578" s="3"/>
      <c r="C578" s="3"/>
      <c r="D578" s="3"/>
      <c r="E578" s="3"/>
      <c r="F578" s="3"/>
      <c r="G578" s="3"/>
      <c r="H578" s="3"/>
      <c r="I578" s="3"/>
      <c r="J578" s="3"/>
      <c r="K578" s="3"/>
      <c r="L578" s="3"/>
      <c r="M578" s="3"/>
      <c r="N578" s="3"/>
      <c r="O578" s="3"/>
      <c r="P578" s="3"/>
      <c r="Q578" s="48"/>
      <c r="R578" s="3"/>
      <c r="S578" s="3"/>
      <c r="T578" s="3"/>
      <c r="U578" s="28"/>
      <c r="V578" s="28"/>
      <c r="W578" s="77"/>
      <c r="X578" s="77"/>
      <c r="Y578" s="77"/>
      <c r="Z578" s="3"/>
      <c r="AA578" s="3"/>
      <c r="AB578" s="3"/>
    </row>
    <row r="579" spans="1:28" ht="14">
      <c r="A579" s="3"/>
      <c r="B579" s="3"/>
      <c r="C579" s="3"/>
      <c r="D579" s="3"/>
      <c r="E579" s="3"/>
      <c r="F579" s="3"/>
      <c r="G579" s="3"/>
      <c r="H579" s="3"/>
      <c r="I579" s="3"/>
      <c r="J579" s="3"/>
      <c r="K579" s="3"/>
      <c r="L579" s="3"/>
      <c r="M579" s="3"/>
      <c r="N579" s="3"/>
      <c r="O579" s="3"/>
      <c r="P579" s="3"/>
      <c r="Q579" s="48"/>
      <c r="R579" s="3"/>
      <c r="S579" s="3"/>
      <c r="T579" s="3"/>
      <c r="U579" s="28"/>
      <c r="V579" s="28"/>
      <c r="W579" s="77"/>
      <c r="X579" s="77"/>
      <c r="Y579" s="77"/>
      <c r="Z579" s="3"/>
      <c r="AA579" s="3"/>
      <c r="AB579" s="3"/>
    </row>
    <row r="580" spans="1:28" ht="14">
      <c r="A580" s="3"/>
      <c r="B580" s="3"/>
      <c r="C580" s="3"/>
      <c r="D580" s="3"/>
      <c r="E580" s="3"/>
      <c r="F580" s="3"/>
      <c r="G580" s="3"/>
      <c r="H580" s="3"/>
      <c r="I580" s="3"/>
      <c r="J580" s="3"/>
      <c r="K580" s="3"/>
      <c r="L580" s="3"/>
      <c r="M580" s="3"/>
      <c r="N580" s="3"/>
      <c r="O580" s="3"/>
      <c r="P580" s="3"/>
      <c r="Q580" s="48"/>
      <c r="R580" s="3"/>
      <c r="S580" s="3"/>
      <c r="T580" s="3"/>
      <c r="U580" s="28"/>
      <c r="V580" s="28"/>
      <c r="W580" s="77"/>
      <c r="X580" s="77"/>
      <c r="Y580" s="77"/>
      <c r="Z580" s="3"/>
      <c r="AA580" s="3"/>
      <c r="AB580" s="3"/>
    </row>
    <row r="581" spans="1:28" ht="14">
      <c r="A581" s="3"/>
      <c r="B581" s="3"/>
      <c r="C581" s="3"/>
      <c r="D581" s="3"/>
      <c r="E581" s="3"/>
      <c r="F581" s="3"/>
      <c r="G581" s="3"/>
      <c r="H581" s="3"/>
      <c r="I581" s="3"/>
      <c r="J581" s="3"/>
      <c r="K581" s="3"/>
      <c r="L581" s="3"/>
      <c r="M581" s="3"/>
      <c r="N581" s="3"/>
      <c r="O581" s="3"/>
      <c r="P581" s="3"/>
      <c r="Q581" s="48"/>
      <c r="R581" s="3"/>
      <c r="S581" s="3"/>
      <c r="T581" s="3"/>
      <c r="U581" s="28"/>
      <c r="V581" s="28"/>
      <c r="W581" s="77"/>
      <c r="X581" s="77"/>
      <c r="Y581" s="77"/>
      <c r="Z581" s="3"/>
      <c r="AA581" s="3"/>
      <c r="AB581" s="3"/>
    </row>
    <row r="582" spans="1:28" ht="14">
      <c r="A582" s="3"/>
      <c r="B582" s="3"/>
      <c r="C582" s="3"/>
      <c r="D582" s="3"/>
      <c r="E582" s="3"/>
      <c r="F582" s="3"/>
      <c r="G582" s="3"/>
      <c r="H582" s="3"/>
      <c r="I582" s="3"/>
      <c r="J582" s="3"/>
      <c r="K582" s="3"/>
      <c r="L582" s="3"/>
      <c r="M582" s="3"/>
      <c r="N582" s="3"/>
      <c r="O582" s="3"/>
      <c r="P582" s="3"/>
      <c r="Q582" s="48"/>
      <c r="R582" s="3"/>
      <c r="S582" s="3"/>
      <c r="T582" s="3"/>
      <c r="U582" s="28"/>
      <c r="V582" s="28"/>
      <c r="W582" s="77"/>
      <c r="X582" s="77"/>
      <c r="Y582" s="77"/>
      <c r="Z582" s="3"/>
      <c r="AA582" s="3"/>
      <c r="AB582" s="3"/>
    </row>
    <row r="583" spans="1:28" ht="14">
      <c r="A583" s="3"/>
      <c r="B583" s="3"/>
      <c r="C583" s="3"/>
      <c r="D583" s="3"/>
      <c r="E583" s="3"/>
      <c r="F583" s="3"/>
      <c r="G583" s="3"/>
      <c r="H583" s="3"/>
      <c r="I583" s="3"/>
      <c r="J583" s="3"/>
      <c r="K583" s="3"/>
      <c r="L583" s="3"/>
      <c r="M583" s="3"/>
      <c r="N583" s="3"/>
      <c r="O583" s="3"/>
      <c r="P583" s="3"/>
      <c r="Q583" s="48"/>
      <c r="R583" s="3"/>
      <c r="S583" s="3"/>
      <c r="T583" s="3"/>
      <c r="U583" s="28"/>
      <c r="V583" s="28"/>
      <c r="W583" s="77"/>
      <c r="X583" s="77"/>
      <c r="Y583" s="77"/>
      <c r="Z583" s="3"/>
      <c r="AA583" s="3"/>
      <c r="AB583" s="3"/>
    </row>
    <row r="584" spans="1:28" ht="14">
      <c r="A584" s="3"/>
      <c r="B584" s="3"/>
      <c r="C584" s="3"/>
      <c r="D584" s="3"/>
      <c r="E584" s="3"/>
      <c r="F584" s="3"/>
      <c r="G584" s="3"/>
      <c r="H584" s="3"/>
      <c r="I584" s="3"/>
      <c r="J584" s="3"/>
      <c r="K584" s="3"/>
      <c r="L584" s="3"/>
      <c r="M584" s="3"/>
      <c r="N584" s="3"/>
      <c r="O584" s="3"/>
      <c r="P584" s="3"/>
      <c r="Q584" s="48"/>
      <c r="R584" s="3"/>
      <c r="S584" s="3"/>
      <c r="T584" s="3"/>
      <c r="U584" s="28"/>
      <c r="V584" s="28"/>
      <c r="W584" s="77"/>
      <c r="X584" s="77"/>
      <c r="Y584" s="77"/>
      <c r="Z584" s="3"/>
      <c r="AA584" s="3"/>
      <c r="AB584" s="3"/>
    </row>
    <row r="585" spans="1:28" ht="14">
      <c r="A585" s="3"/>
      <c r="B585" s="3"/>
      <c r="C585" s="3"/>
      <c r="D585" s="3"/>
      <c r="E585" s="3"/>
      <c r="F585" s="3"/>
      <c r="G585" s="3"/>
      <c r="H585" s="3"/>
      <c r="I585" s="3"/>
      <c r="J585" s="3"/>
      <c r="K585" s="3"/>
      <c r="L585" s="3"/>
      <c r="M585" s="3"/>
      <c r="N585" s="3"/>
      <c r="O585" s="3"/>
      <c r="P585" s="3"/>
      <c r="Q585" s="48"/>
      <c r="R585" s="3"/>
      <c r="S585" s="3"/>
      <c r="T585" s="3"/>
      <c r="U585" s="28"/>
      <c r="V585" s="28"/>
      <c r="W585" s="77"/>
      <c r="X585" s="77"/>
      <c r="Y585" s="77"/>
      <c r="Z585" s="3"/>
      <c r="AA585" s="3"/>
      <c r="AB585" s="3"/>
    </row>
    <row r="586" spans="1:28" ht="14">
      <c r="A586" s="3"/>
      <c r="B586" s="3"/>
      <c r="C586" s="3"/>
      <c r="D586" s="3"/>
      <c r="E586" s="3"/>
      <c r="F586" s="3"/>
      <c r="G586" s="3"/>
      <c r="H586" s="3"/>
      <c r="I586" s="3"/>
      <c r="J586" s="3"/>
      <c r="K586" s="3"/>
      <c r="L586" s="3"/>
      <c r="M586" s="3"/>
      <c r="N586" s="3"/>
      <c r="O586" s="3"/>
      <c r="P586" s="3"/>
      <c r="Q586" s="48"/>
      <c r="R586" s="3"/>
      <c r="S586" s="3"/>
      <c r="T586" s="3"/>
      <c r="U586" s="28"/>
      <c r="V586" s="28"/>
      <c r="W586" s="77"/>
      <c r="X586" s="77"/>
      <c r="Y586" s="77"/>
      <c r="Z586" s="3"/>
      <c r="AA586" s="3"/>
      <c r="AB586" s="3"/>
    </row>
    <row r="587" spans="1:28" ht="14">
      <c r="A587" s="3"/>
      <c r="B587" s="3"/>
      <c r="C587" s="3"/>
      <c r="D587" s="3"/>
      <c r="E587" s="3"/>
      <c r="F587" s="3"/>
      <c r="G587" s="3"/>
      <c r="H587" s="3"/>
      <c r="I587" s="3"/>
      <c r="J587" s="3"/>
      <c r="K587" s="3"/>
      <c r="L587" s="3"/>
      <c r="M587" s="3"/>
      <c r="N587" s="3"/>
      <c r="O587" s="3"/>
      <c r="P587" s="3"/>
      <c r="Q587" s="48"/>
      <c r="R587" s="3"/>
      <c r="S587" s="3"/>
      <c r="T587" s="3"/>
      <c r="U587" s="28"/>
      <c r="V587" s="28"/>
      <c r="W587" s="77"/>
      <c r="X587" s="77"/>
      <c r="Y587" s="77"/>
      <c r="Z587" s="3"/>
      <c r="AA587" s="3"/>
      <c r="AB587" s="3"/>
    </row>
    <row r="588" spans="1:28" ht="14">
      <c r="A588" s="3"/>
      <c r="B588" s="3"/>
      <c r="C588" s="3"/>
      <c r="D588" s="3"/>
      <c r="E588" s="3"/>
      <c r="F588" s="3"/>
      <c r="G588" s="3"/>
      <c r="H588" s="3"/>
      <c r="I588" s="3"/>
      <c r="J588" s="3"/>
      <c r="K588" s="3"/>
      <c r="L588" s="3"/>
      <c r="M588" s="3"/>
      <c r="N588" s="3"/>
      <c r="O588" s="3"/>
      <c r="P588" s="3"/>
      <c r="Q588" s="48"/>
      <c r="R588" s="3"/>
      <c r="S588" s="3"/>
      <c r="T588" s="3"/>
      <c r="U588" s="28"/>
      <c r="V588" s="28"/>
      <c r="W588" s="77"/>
      <c r="X588" s="77"/>
      <c r="Y588" s="77"/>
      <c r="Z588" s="3"/>
      <c r="AA588" s="3"/>
      <c r="AB588" s="3"/>
    </row>
    <row r="589" spans="1:28" ht="14">
      <c r="A589" s="3"/>
      <c r="B589" s="3"/>
      <c r="C589" s="3"/>
      <c r="D589" s="3"/>
      <c r="E589" s="3"/>
      <c r="F589" s="3"/>
      <c r="G589" s="3"/>
      <c r="H589" s="3"/>
      <c r="I589" s="3"/>
      <c r="J589" s="3"/>
      <c r="K589" s="3"/>
      <c r="L589" s="3"/>
      <c r="M589" s="3"/>
      <c r="N589" s="3"/>
      <c r="O589" s="3"/>
      <c r="P589" s="3"/>
      <c r="Q589" s="48"/>
      <c r="R589" s="3"/>
      <c r="S589" s="3"/>
      <c r="T589" s="3"/>
      <c r="U589" s="28"/>
      <c r="V589" s="28"/>
      <c r="W589" s="77"/>
      <c r="X589" s="77"/>
      <c r="Y589" s="77"/>
      <c r="Z589" s="3"/>
      <c r="AA589" s="3"/>
      <c r="AB589" s="3"/>
    </row>
    <row r="590" spans="1:28" ht="14">
      <c r="A590" s="3"/>
      <c r="B590" s="3"/>
      <c r="C590" s="3"/>
      <c r="D590" s="3"/>
      <c r="E590" s="3"/>
      <c r="F590" s="3"/>
      <c r="G590" s="3"/>
      <c r="H590" s="3"/>
      <c r="I590" s="3"/>
      <c r="J590" s="3"/>
      <c r="K590" s="3"/>
      <c r="L590" s="3"/>
      <c r="M590" s="3"/>
      <c r="N590" s="3"/>
      <c r="O590" s="3"/>
      <c r="P590" s="3"/>
      <c r="Q590" s="48"/>
      <c r="R590" s="3"/>
      <c r="S590" s="3"/>
      <c r="T590" s="3"/>
      <c r="U590" s="28"/>
      <c r="V590" s="28"/>
      <c r="W590" s="77"/>
      <c r="X590" s="77"/>
      <c r="Y590" s="77"/>
      <c r="Z590" s="3"/>
      <c r="AA590" s="3"/>
      <c r="AB590" s="3"/>
    </row>
    <row r="591" spans="1:28" ht="14">
      <c r="A591" s="3"/>
      <c r="B591" s="3"/>
      <c r="C591" s="3"/>
      <c r="D591" s="3"/>
      <c r="E591" s="3"/>
      <c r="F591" s="3"/>
      <c r="G591" s="3"/>
      <c r="H591" s="3"/>
      <c r="I591" s="3"/>
      <c r="J591" s="3"/>
      <c r="K591" s="3"/>
      <c r="L591" s="3"/>
      <c r="M591" s="3"/>
      <c r="N591" s="3"/>
      <c r="O591" s="3"/>
      <c r="P591" s="3"/>
      <c r="Q591" s="48"/>
      <c r="R591" s="3"/>
      <c r="S591" s="3"/>
      <c r="T591" s="3"/>
      <c r="U591" s="28"/>
      <c r="V591" s="28"/>
      <c r="W591" s="77"/>
      <c r="X591" s="77"/>
      <c r="Y591" s="77"/>
      <c r="Z591" s="3"/>
      <c r="AA591" s="3"/>
      <c r="AB591" s="3"/>
    </row>
    <row r="592" spans="1:28" ht="14">
      <c r="A592" s="3"/>
      <c r="B592" s="3"/>
      <c r="C592" s="3"/>
      <c r="D592" s="3"/>
      <c r="E592" s="3"/>
      <c r="F592" s="3"/>
      <c r="G592" s="3"/>
      <c r="H592" s="3"/>
      <c r="I592" s="3"/>
      <c r="J592" s="3"/>
      <c r="K592" s="3"/>
      <c r="L592" s="3"/>
      <c r="M592" s="3"/>
      <c r="N592" s="3"/>
      <c r="O592" s="3"/>
      <c r="P592" s="3"/>
      <c r="Q592" s="48"/>
      <c r="R592" s="3"/>
      <c r="S592" s="3"/>
      <c r="T592" s="3"/>
      <c r="U592" s="28"/>
      <c r="V592" s="28"/>
      <c r="W592" s="77"/>
      <c r="X592" s="77"/>
      <c r="Y592" s="77"/>
      <c r="Z592" s="3"/>
      <c r="AA592" s="3"/>
      <c r="AB592" s="3"/>
    </row>
    <row r="593" spans="1:28" ht="14">
      <c r="A593" s="3"/>
      <c r="B593" s="3"/>
      <c r="C593" s="3"/>
      <c r="D593" s="3"/>
      <c r="E593" s="3"/>
      <c r="F593" s="3"/>
      <c r="G593" s="3"/>
      <c r="H593" s="3"/>
      <c r="I593" s="3"/>
      <c r="J593" s="3"/>
      <c r="K593" s="3"/>
      <c r="L593" s="3"/>
      <c r="M593" s="3"/>
      <c r="N593" s="3"/>
      <c r="O593" s="3"/>
      <c r="P593" s="3"/>
      <c r="Q593" s="48"/>
      <c r="R593" s="3"/>
      <c r="S593" s="3"/>
      <c r="T593" s="3"/>
      <c r="U593" s="28"/>
      <c r="V593" s="28"/>
      <c r="W593" s="77"/>
      <c r="X593" s="77"/>
      <c r="Y593" s="77"/>
      <c r="Z593" s="3"/>
      <c r="AA593" s="3"/>
      <c r="AB593" s="3"/>
    </row>
    <row r="594" spans="1:28" ht="14">
      <c r="A594" s="3"/>
      <c r="B594" s="3"/>
      <c r="C594" s="3"/>
      <c r="D594" s="3"/>
      <c r="E594" s="3"/>
      <c r="F594" s="3"/>
      <c r="G594" s="3"/>
      <c r="H594" s="3"/>
      <c r="I594" s="3"/>
      <c r="J594" s="3"/>
      <c r="K594" s="3"/>
      <c r="L594" s="3"/>
      <c r="M594" s="3"/>
      <c r="N594" s="3"/>
      <c r="O594" s="3"/>
      <c r="P594" s="3"/>
      <c r="Q594" s="48"/>
      <c r="R594" s="3"/>
      <c r="S594" s="3"/>
      <c r="T594" s="3"/>
      <c r="U594" s="28"/>
      <c r="V594" s="28"/>
      <c r="W594" s="77"/>
      <c r="X594" s="77"/>
      <c r="Y594" s="77"/>
      <c r="Z594" s="3"/>
      <c r="AA594" s="3"/>
      <c r="AB594" s="3"/>
    </row>
    <row r="595" spans="1:28" ht="14">
      <c r="A595" s="3"/>
      <c r="B595" s="3"/>
      <c r="C595" s="3"/>
      <c r="D595" s="3"/>
      <c r="E595" s="3"/>
      <c r="F595" s="3"/>
      <c r="G595" s="3"/>
      <c r="H595" s="3"/>
      <c r="I595" s="3"/>
      <c r="J595" s="3"/>
      <c r="K595" s="3"/>
      <c r="L595" s="3"/>
      <c r="M595" s="3"/>
      <c r="N595" s="3"/>
      <c r="O595" s="3"/>
      <c r="P595" s="3"/>
      <c r="Q595" s="48"/>
      <c r="R595" s="3"/>
      <c r="S595" s="3"/>
      <c r="T595" s="3"/>
      <c r="U595" s="28"/>
      <c r="V595" s="28"/>
      <c r="W595" s="77"/>
      <c r="X595" s="77"/>
      <c r="Y595" s="77"/>
      <c r="Z595" s="3"/>
      <c r="AA595" s="3"/>
      <c r="AB595" s="3"/>
    </row>
    <row r="596" spans="1:28" ht="14">
      <c r="A596" s="3"/>
      <c r="B596" s="3"/>
      <c r="C596" s="3"/>
      <c r="D596" s="3"/>
      <c r="E596" s="3"/>
      <c r="F596" s="3"/>
      <c r="G596" s="3"/>
      <c r="H596" s="3"/>
      <c r="I596" s="3"/>
      <c r="J596" s="3"/>
      <c r="K596" s="3"/>
      <c r="L596" s="3"/>
      <c r="M596" s="3"/>
      <c r="N596" s="3"/>
      <c r="O596" s="3"/>
      <c r="P596" s="3"/>
      <c r="Q596" s="48"/>
      <c r="R596" s="3"/>
      <c r="S596" s="3"/>
      <c r="T596" s="3"/>
      <c r="U596" s="28"/>
      <c r="V596" s="28"/>
      <c r="W596" s="77"/>
      <c r="X596" s="77"/>
      <c r="Y596" s="77"/>
      <c r="Z596" s="3"/>
      <c r="AA596" s="3"/>
      <c r="AB596" s="3"/>
    </row>
    <row r="597" spans="1:28" ht="14">
      <c r="A597" s="3"/>
      <c r="B597" s="3"/>
      <c r="C597" s="3"/>
      <c r="D597" s="3"/>
      <c r="E597" s="3"/>
      <c r="F597" s="3"/>
      <c r="G597" s="3"/>
      <c r="H597" s="3"/>
      <c r="I597" s="3"/>
      <c r="J597" s="3"/>
      <c r="K597" s="3"/>
      <c r="L597" s="3"/>
      <c r="M597" s="3"/>
      <c r="N597" s="3"/>
      <c r="O597" s="3"/>
      <c r="P597" s="3"/>
      <c r="Q597" s="48"/>
      <c r="R597" s="3"/>
      <c r="S597" s="3"/>
      <c r="T597" s="3"/>
      <c r="U597" s="28"/>
      <c r="V597" s="28"/>
      <c r="W597" s="77"/>
      <c r="X597" s="77"/>
      <c r="Y597" s="77"/>
      <c r="Z597" s="3"/>
      <c r="AA597" s="3"/>
      <c r="AB597" s="3"/>
    </row>
    <row r="598" spans="1:28" ht="14">
      <c r="A598" s="3"/>
      <c r="B598" s="3"/>
      <c r="C598" s="3"/>
      <c r="D598" s="3"/>
      <c r="E598" s="3"/>
      <c r="F598" s="3"/>
      <c r="G598" s="3"/>
      <c r="H598" s="3"/>
      <c r="I598" s="3"/>
      <c r="J598" s="3"/>
      <c r="K598" s="3"/>
      <c r="L598" s="3"/>
      <c r="M598" s="3"/>
      <c r="N598" s="3"/>
      <c r="O598" s="3"/>
      <c r="P598" s="3"/>
      <c r="Q598" s="48"/>
      <c r="R598" s="3"/>
      <c r="S598" s="3"/>
      <c r="T598" s="3"/>
      <c r="U598" s="28"/>
      <c r="V598" s="28"/>
      <c r="W598" s="77"/>
      <c r="X598" s="77"/>
      <c r="Y598" s="77"/>
      <c r="Z598" s="3"/>
      <c r="AA598" s="3"/>
      <c r="AB598" s="3"/>
    </row>
    <row r="599" spans="1:28" ht="14">
      <c r="A599" s="3"/>
      <c r="B599" s="3"/>
      <c r="C599" s="3"/>
      <c r="D599" s="3"/>
      <c r="E599" s="3"/>
      <c r="F599" s="3"/>
      <c r="G599" s="3"/>
      <c r="H599" s="3"/>
      <c r="I599" s="3"/>
      <c r="J599" s="3"/>
      <c r="K599" s="3"/>
      <c r="L599" s="3"/>
      <c r="M599" s="3"/>
      <c r="N599" s="3"/>
      <c r="O599" s="3"/>
      <c r="P599" s="3"/>
      <c r="Q599" s="48"/>
      <c r="R599" s="3"/>
      <c r="S599" s="3"/>
      <c r="T599" s="3"/>
      <c r="U599" s="28"/>
      <c r="V599" s="28"/>
      <c r="W599" s="77"/>
      <c r="X599" s="77"/>
      <c r="Y599" s="77"/>
      <c r="Z599" s="3"/>
      <c r="AA599" s="3"/>
      <c r="AB599" s="3"/>
    </row>
    <row r="600" spans="1:28" ht="14">
      <c r="A600" s="3"/>
      <c r="B600" s="3"/>
      <c r="C600" s="3"/>
      <c r="D600" s="3"/>
      <c r="E600" s="3"/>
      <c r="F600" s="3"/>
      <c r="G600" s="3"/>
      <c r="H600" s="3"/>
      <c r="I600" s="3"/>
      <c r="J600" s="3"/>
      <c r="K600" s="3"/>
      <c r="L600" s="3"/>
      <c r="M600" s="3"/>
      <c r="N600" s="3"/>
      <c r="O600" s="3"/>
      <c r="P600" s="3"/>
      <c r="Q600" s="48"/>
      <c r="R600" s="3"/>
      <c r="S600" s="3"/>
      <c r="T600" s="3"/>
      <c r="U600" s="28"/>
      <c r="V600" s="28"/>
      <c r="W600" s="77"/>
      <c r="X600" s="77"/>
      <c r="Y600" s="77"/>
      <c r="Z600" s="3"/>
      <c r="AA600" s="3"/>
      <c r="AB600" s="3"/>
    </row>
    <row r="601" spans="1:28" ht="14">
      <c r="A601" s="3"/>
      <c r="B601" s="3"/>
      <c r="C601" s="3"/>
      <c r="D601" s="3"/>
      <c r="E601" s="3"/>
      <c r="F601" s="3"/>
      <c r="G601" s="3"/>
      <c r="H601" s="3"/>
      <c r="I601" s="3"/>
      <c r="J601" s="3"/>
      <c r="K601" s="3"/>
      <c r="L601" s="3"/>
      <c r="M601" s="3"/>
      <c r="N601" s="3"/>
      <c r="O601" s="3"/>
      <c r="P601" s="3"/>
      <c r="Q601" s="48"/>
      <c r="R601" s="3"/>
      <c r="S601" s="3"/>
      <c r="T601" s="3"/>
      <c r="U601" s="28"/>
      <c r="V601" s="28"/>
      <c r="W601" s="77"/>
      <c r="X601" s="77"/>
      <c r="Y601" s="77"/>
      <c r="Z601" s="3"/>
      <c r="AA601" s="3"/>
      <c r="AB601" s="3"/>
    </row>
    <row r="602" spans="1:28" ht="14">
      <c r="A602" s="3"/>
      <c r="B602" s="3"/>
      <c r="C602" s="3"/>
      <c r="D602" s="3"/>
      <c r="E602" s="3"/>
      <c r="F602" s="3"/>
      <c r="G602" s="3"/>
      <c r="H602" s="3"/>
      <c r="I602" s="3"/>
      <c r="J602" s="3"/>
      <c r="K602" s="3"/>
      <c r="L602" s="3"/>
      <c r="M602" s="3"/>
      <c r="N602" s="3"/>
      <c r="O602" s="3"/>
      <c r="P602" s="3"/>
      <c r="Q602" s="48"/>
      <c r="R602" s="3"/>
      <c r="S602" s="3"/>
      <c r="T602" s="3"/>
      <c r="U602" s="28"/>
      <c r="V602" s="28"/>
      <c r="W602" s="77"/>
      <c r="X602" s="77"/>
      <c r="Y602" s="77"/>
      <c r="Z602" s="3"/>
      <c r="AA602" s="3"/>
      <c r="AB602" s="3"/>
    </row>
    <row r="603" spans="1:28" ht="14">
      <c r="A603" s="3"/>
      <c r="B603" s="3"/>
      <c r="C603" s="3"/>
      <c r="D603" s="3"/>
      <c r="E603" s="3"/>
      <c r="F603" s="3"/>
      <c r="G603" s="3"/>
      <c r="H603" s="3"/>
      <c r="I603" s="3"/>
      <c r="J603" s="3"/>
      <c r="K603" s="3"/>
      <c r="L603" s="3"/>
      <c r="M603" s="3"/>
      <c r="N603" s="3"/>
      <c r="O603" s="3"/>
      <c r="P603" s="3"/>
      <c r="Q603" s="48"/>
      <c r="R603" s="3"/>
      <c r="S603" s="3"/>
      <c r="T603" s="3"/>
      <c r="U603" s="28"/>
      <c r="V603" s="28"/>
      <c r="W603" s="77"/>
      <c r="X603" s="77"/>
      <c r="Y603" s="77"/>
      <c r="Z603" s="3"/>
      <c r="AA603" s="3"/>
      <c r="AB603" s="3"/>
    </row>
    <row r="604" spans="1:28" ht="14">
      <c r="A604" s="3"/>
      <c r="B604" s="3"/>
      <c r="C604" s="3"/>
      <c r="D604" s="3"/>
      <c r="E604" s="3"/>
      <c r="F604" s="3"/>
      <c r="G604" s="3"/>
      <c r="H604" s="3"/>
      <c r="I604" s="3"/>
      <c r="J604" s="3"/>
      <c r="K604" s="3"/>
      <c r="L604" s="3"/>
      <c r="M604" s="3"/>
      <c r="N604" s="3"/>
      <c r="O604" s="3"/>
      <c r="P604" s="3"/>
      <c r="Q604" s="48"/>
      <c r="R604" s="3"/>
      <c r="S604" s="3"/>
      <c r="T604" s="3"/>
      <c r="U604" s="28"/>
      <c r="V604" s="28"/>
      <c r="W604" s="77"/>
      <c r="X604" s="77"/>
      <c r="Y604" s="77"/>
      <c r="Z604" s="3"/>
      <c r="AA604" s="3"/>
      <c r="AB604" s="3"/>
    </row>
    <row r="605" spans="1:28" ht="14">
      <c r="A605" s="3"/>
      <c r="B605" s="3"/>
      <c r="C605" s="3"/>
      <c r="D605" s="3"/>
      <c r="E605" s="3"/>
      <c r="F605" s="3"/>
      <c r="G605" s="3"/>
      <c r="H605" s="3"/>
      <c r="I605" s="3"/>
      <c r="J605" s="3"/>
      <c r="K605" s="3"/>
      <c r="L605" s="3"/>
      <c r="M605" s="3"/>
      <c r="N605" s="3"/>
      <c r="O605" s="3"/>
      <c r="P605" s="3"/>
      <c r="Q605" s="48"/>
      <c r="R605" s="3"/>
      <c r="S605" s="3"/>
      <c r="T605" s="3"/>
      <c r="U605" s="28"/>
      <c r="V605" s="28"/>
      <c r="W605" s="77"/>
      <c r="X605" s="77"/>
      <c r="Y605" s="77"/>
      <c r="Z605" s="3"/>
      <c r="AA605" s="3"/>
      <c r="AB605" s="3"/>
    </row>
    <row r="606" spans="1:28" ht="14">
      <c r="A606" s="3"/>
      <c r="B606" s="3"/>
      <c r="C606" s="3"/>
      <c r="D606" s="3"/>
      <c r="E606" s="3"/>
      <c r="F606" s="3"/>
      <c r="G606" s="3"/>
      <c r="H606" s="3"/>
      <c r="I606" s="3"/>
      <c r="J606" s="3"/>
      <c r="K606" s="3"/>
      <c r="L606" s="3"/>
      <c r="M606" s="3"/>
      <c r="N606" s="3"/>
      <c r="O606" s="3"/>
      <c r="P606" s="3"/>
      <c r="Q606" s="48"/>
      <c r="R606" s="3"/>
      <c r="S606" s="3"/>
      <c r="T606" s="3"/>
      <c r="U606" s="28"/>
      <c r="V606" s="28"/>
      <c r="W606" s="77"/>
      <c r="X606" s="77"/>
      <c r="Y606" s="77"/>
      <c r="Z606" s="3"/>
      <c r="AA606" s="3"/>
      <c r="AB606" s="3"/>
    </row>
    <row r="607" spans="1:28" ht="14">
      <c r="A607" s="3"/>
      <c r="B607" s="3"/>
      <c r="C607" s="3"/>
      <c r="D607" s="3"/>
      <c r="E607" s="3"/>
      <c r="F607" s="3"/>
      <c r="G607" s="3"/>
      <c r="H607" s="3"/>
      <c r="I607" s="3"/>
      <c r="J607" s="3"/>
      <c r="K607" s="3"/>
      <c r="L607" s="3"/>
      <c r="M607" s="3"/>
      <c r="N607" s="3"/>
      <c r="O607" s="3"/>
      <c r="P607" s="3"/>
      <c r="Q607" s="48"/>
      <c r="R607" s="3"/>
      <c r="S607" s="3"/>
      <c r="T607" s="3"/>
      <c r="U607" s="28"/>
      <c r="V607" s="28"/>
      <c r="W607" s="77"/>
      <c r="X607" s="77"/>
      <c r="Y607" s="77"/>
      <c r="Z607" s="3"/>
      <c r="AA607" s="3"/>
      <c r="AB607" s="3"/>
    </row>
    <row r="608" spans="1:28" ht="14">
      <c r="A608" s="3"/>
      <c r="B608" s="3"/>
      <c r="C608" s="3"/>
      <c r="D608" s="3"/>
      <c r="E608" s="3"/>
      <c r="F608" s="3"/>
      <c r="G608" s="3"/>
      <c r="H608" s="3"/>
      <c r="I608" s="3"/>
      <c r="J608" s="3"/>
      <c r="K608" s="3"/>
      <c r="L608" s="3"/>
      <c r="M608" s="3"/>
      <c r="N608" s="3"/>
      <c r="O608" s="3"/>
      <c r="P608" s="3"/>
      <c r="Q608" s="48"/>
      <c r="R608" s="3"/>
      <c r="S608" s="3"/>
      <c r="T608" s="3"/>
      <c r="U608" s="28"/>
      <c r="V608" s="28"/>
      <c r="W608" s="77"/>
      <c r="X608" s="77"/>
      <c r="Y608" s="77"/>
      <c r="Z608" s="3"/>
      <c r="AA608" s="3"/>
      <c r="AB608" s="3"/>
    </row>
    <row r="609" spans="1:28" ht="14">
      <c r="A609" s="3"/>
      <c r="B609" s="3"/>
      <c r="C609" s="3"/>
      <c r="D609" s="3"/>
      <c r="E609" s="3"/>
      <c r="F609" s="3"/>
      <c r="G609" s="3"/>
      <c r="H609" s="3"/>
      <c r="I609" s="3"/>
      <c r="J609" s="3"/>
      <c r="K609" s="3"/>
      <c r="L609" s="3"/>
      <c r="M609" s="3"/>
      <c r="N609" s="3"/>
      <c r="O609" s="3"/>
      <c r="P609" s="3"/>
      <c r="Q609" s="48"/>
      <c r="R609" s="3"/>
      <c r="S609" s="3"/>
      <c r="T609" s="3"/>
      <c r="U609" s="28"/>
      <c r="V609" s="28"/>
      <c r="W609" s="77"/>
      <c r="X609" s="77"/>
      <c r="Y609" s="77"/>
      <c r="Z609" s="3"/>
      <c r="AA609" s="3"/>
      <c r="AB609" s="3"/>
    </row>
    <row r="610" spans="1:28" ht="14">
      <c r="A610" s="3"/>
      <c r="B610" s="3"/>
      <c r="C610" s="3"/>
      <c r="D610" s="3"/>
      <c r="E610" s="3"/>
      <c r="F610" s="3"/>
      <c r="G610" s="3"/>
      <c r="H610" s="3"/>
      <c r="I610" s="3"/>
      <c r="J610" s="3"/>
      <c r="K610" s="3"/>
      <c r="L610" s="3"/>
      <c r="M610" s="3"/>
      <c r="N610" s="3"/>
      <c r="O610" s="3"/>
      <c r="P610" s="3"/>
      <c r="Q610" s="48"/>
      <c r="R610" s="3"/>
      <c r="S610" s="3"/>
      <c r="T610" s="3"/>
      <c r="U610" s="28"/>
      <c r="V610" s="28"/>
      <c r="W610" s="77"/>
      <c r="X610" s="77"/>
      <c r="Y610" s="77"/>
      <c r="Z610" s="3"/>
      <c r="AA610" s="3"/>
      <c r="AB610" s="3"/>
    </row>
    <row r="611" spans="1:28" ht="14">
      <c r="A611" s="3"/>
      <c r="B611" s="3"/>
      <c r="C611" s="3"/>
      <c r="D611" s="3"/>
      <c r="E611" s="3"/>
      <c r="F611" s="3"/>
      <c r="G611" s="3"/>
      <c r="H611" s="3"/>
      <c r="I611" s="3"/>
      <c r="J611" s="3"/>
      <c r="K611" s="3"/>
      <c r="L611" s="3"/>
      <c r="M611" s="3"/>
      <c r="N611" s="3"/>
      <c r="O611" s="3"/>
      <c r="P611" s="3"/>
      <c r="Q611" s="48"/>
      <c r="R611" s="3"/>
      <c r="S611" s="3"/>
      <c r="T611" s="3"/>
      <c r="U611" s="28"/>
      <c r="V611" s="28"/>
      <c r="W611" s="77"/>
      <c r="X611" s="77"/>
      <c r="Y611" s="77"/>
      <c r="Z611" s="3"/>
      <c r="AA611" s="3"/>
      <c r="AB611" s="3"/>
    </row>
    <row r="612" spans="1:28" ht="14">
      <c r="A612" s="3"/>
      <c r="B612" s="3"/>
      <c r="C612" s="3"/>
      <c r="D612" s="3"/>
      <c r="E612" s="3"/>
      <c r="F612" s="3"/>
      <c r="G612" s="3"/>
      <c r="H612" s="3"/>
      <c r="I612" s="3"/>
      <c r="J612" s="3"/>
      <c r="K612" s="3"/>
      <c r="L612" s="3"/>
      <c r="M612" s="3"/>
      <c r="N612" s="3"/>
      <c r="O612" s="3"/>
      <c r="P612" s="3"/>
      <c r="Q612" s="48"/>
      <c r="R612" s="3"/>
      <c r="S612" s="3"/>
      <c r="T612" s="3"/>
      <c r="U612" s="28"/>
      <c r="V612" s="28"/>
      <c r="W612" s="77"/>
      <c r="X612" s="77"/>
      <c r="Y612" s="77"/>
      <c r="Z612" s="3"/>
      <c r="AA612" s="3"/>
      <c r="AB612" s="3"/>
    </row>
    <row r="613" spans="1:28" ht="14">
      <c r="A613" s="3"/>
      <c r="B613" s="3"/>
      <c r="C613" s="3"/>
      <c r="D613" s="3"/>
      <c r="E613" s="3"/>
      <c r="F613" s="3"/>
      <c r="G613" s="3"/>
      <c r="H613" s="3"/>
      <c r="I613" s="3"/>
      <c r="J613" s="3"/>
      <c r="K613" s="3"/>
      <c r="L613" s="3"/>
      <c r="M613" s="3"/>
      <c r="N613" s="3"/>
      <c r="O613" s="3"/>
      <c r="P613" s="3"/>
      <c r="Q613" s="48"/>
      <c r="R613" s="3"/>
      <c r="S613" s="3"/>
      <c r="T613" s="3"/>
      <c r="U613" s="28"/>
      <c r="V613" s="28"/>
      <c r="W613" s="77"/>
      <c r="X613" s="77"/>
      <c r="Y613" s="77"/>
      <c r="Z613" s="3"/>
      <c r="AA613" s="3"/>
      <c r="AB613" s="3"/>
    </row>
    <row r="614" spans="1:28" ht="14">
      <c r="A614" s="3"/>
      <c r="B614" s="3"/>
      <c r="C614" s="3"/>
      <c r="D614" s="3"/>
      <c r="E614" s="3"/>
      <c r="F614" s="3"/>
      <c r="G614" s="3"/>
      <c r="H614" s="3"/>
      <c r="I614" s="3"/>
      <c r="J614" s="3"/>
      <c r="K614" s="3"/>
      <c r="L614" s="3"/>
      <c r="M614" s="3"/>
      <c r="N614" s="3"/>
      <c r="O614" s="3"/>
      <c r="P614" s="3"/>
      <c r="Q614" s="48"/>
      <c r="R614" s="3"/>
      <c r="S614" s="3"/>
      <c r="T614" s="3"/>
      <c r="U614" s="28"/>
      <c r="V614" s="28"/>
      <c r="W614" s="77"/>
      <c r="X614" s="77"/>
      <c r="Y614" s="77"/>
      <c r="Z614" s="3"/>
      <c r="AA614" s="3"/>
      <c r="AB614" s="3"/>
    </row>
    <row r="615" spans="1:28" ht="14">
      <c r="A615" s="3"/>
      <c r="B615" s="3"/>
      <c r="C615" s="3"/>
      <c r="D615" s="3"/>
      <c r="E615" s="3"/>
      <c r="F615" s="3"/>
      <c r="G615" s="3"/>
      <c r="H615" s="3"/>
      <c r="I615" s="3"/>
      <c r="J615" s="3"/>
      <c r="K615" s="3"/>
      <c r="L615" s="3"/>
      <c r="M615" s="3"/>
      <c r="N615" s="3"/>
      <c r="O615" s="3"/>
      <c r="P615" s="3"/>
      <c r="Q615" s="48"/>
      <c r="R615" s="3"/>
      <c r="S615" s="3"/>
      <c r="T615" s="3"/>
      <c r="U615" s="28"/>
      <c r="V615" s="28"/>
      <c r="W615" s="77"/>
      <c r="X615" s="77"/>
      <c r="Y615" s="77"/>
      <c r="Z615" s="3"/>
      <c r="AA615" s="3"/>
      <c r="AB615" s="3"/>
    </row>
    <row r="616" spans="1:28" ht="14">
      <c r="A616" s="3"/>
      <c r="B616" s="3"/>
      <c r="C616" s="3"/>
      <c r="D616" s="3"/>
      <c r="E616" s="3"/>
      <c r="F616" s="3"/>
      <c r="G616" s="3"/>
      <c r="H616" s="3"/>
      <c r="I616" s="3"/>
      <c r="J616" s="3"/>
      <c r="K616" s="3"/>
      <c r="L616" s="3"/>
      <c r="M616" s="3"/>
      <c r="N616" s="3"/>
      <c r="O616" s="3"/>
      <c r="P616" s="3"/>
      <c r="Q616" s="48"/>
      <c r="R616" s="3"/>
      <c r="S616" s="3"/>
      <c r="T616" s="3"/>
      <c r="U616" s="28"/>
      <c r="V616" s="28"/>
      <c r="W616" s="77"/>
      <c r="X616" s="77"/>
      <c r="Y616" s="77"/>
      <c r="Z616" s="3"/>
      <c r="AA616" s="3"/>
      <c r="AB616" s="3"/>
    </row>
    <row r="617" spans="1:28" ht="14">
      <c r="A617" s="3"/>
      <c r="B617" s="3"/>
      <c r="C617" s="3"/>
      <c r="D617" s="3"/>
      <c r="E617" s="3"/>
      <c r="F617" s="3"/>
      <c r="G617" s="3"/>
      <c r="H617" s="3"/>
      <c r="I617" s="3"/>
      <c r="J617" s="3"/>
      <c r="K617" s="3"/>
      <c r="L617" s="3"/>
      <c r="M617" s="3"/>
      <c r="N617" s="3"/>
      <c r="O617" s="3"/>
      <c r="P617" s="3"/>
      <c r="Q617" s="48"/>
      <c r="R617" s="3"/>
      <c r="S617" s="3"/>
      <c r="T617" s="3"/>
      <c r="U617" s="28"/>
      <c r="V617" s="28"/>
      <c r="W617" s="77"/>
      <c r="X617" s="77"/>
      <c r="Y617" s="77"/>
      <c r="Z617" s="3"/>
      <c r="AA617" s="3"/>
      <c r="AB617" s="3"/>
    </row>
    <row r="618" spans="1:28" ht="14">
      <c r="A618" s="3"/>
      <c r="B618" s="3"/>
      <c r="C618" s="3"/>
      <c r="D618" s="3"/>
      <c r="E618" s="3"/>
      <c r="F618" s="3"/>
      <c r="G618" s="3"/>
      <c r="H618" s="3"/>
      <c r="I618" s="3"/>
      <c r="J618" s="3"/>
      <c r="K618" s="3"/>
      <c r="L618" s="3"/>
      <c r="M618" s="3"/>
      <c r="N618" s="3"/>
      <c r="O618" s="3"/>
      <c r="P618" s="3"/>
      <c r="Q618" s="48"/>
      <c r="R618" s="3"/>
      <c r="S618" s="3"/>
      <c r="T618" s="3"/>
      <c r="U618" s="28"/>
      <c r="V618" s="28"/>
      <c r="W618" s="77"/>
      <c r="X618" s="77"/>
      <c r="Y618" s="77"/>
      <c r="Z618" s="3"/>
      <c r="AA618" s="3"/>
      <c r="AB618" s="3"/>
    </row>
    <row r="619" spans="1:28" ht="14">
      <c r="A619" s="3"/>
      <c r="B619" s="3"/>
      <c r="C619" s="3"/>
      <c r="D619" s="3"/>
      <c r="E619" s="3"/>
      <c r="F619" s="3"/>
      <c r="G619" s="3"/>
      <c r="H619" s="3"/>
      <c r="I619" s="3"/>
      <c r="J619" s="3"/>
      <c r="K619" s="3"/>
      <c r="L619" s="3"/>
      <c r="M619" s="3"/>
      <c r="N619" s="3"/>
      <c r="O619" s="3"/>
      <c r="P619" s="3"/>
      <c r="Q619" s="48"/>
      <c r="R619" s="3"/>
      <c r="S619" s="3"/>
      <c r="T619" s="3"/>
      <c r="U619" s="28"/>
      <c r="V619" s="28"/>
      <c r="W619" s="77"/>
      <c r="X619" s="77"/>
      <c r="Y619" s="77"/>
      <c r="Z619" s="3"/>
      <c r="AA619" s="3"/>
      <c r="AB619" s="3"/>
    </row>
    <row r="620" spans="1:28" ht="14">
      <c r="A620" s="3"/>
      <c r="B620" s="3"/>
      <c r="C620" s="3"/>
      <c r="D620" s="3"/>
      <c r="E620" s="3"/>
      <c r="F620" s="3"/>
      <c r="G620" s="3"/>
      <c r="H620" s="3"/>
      <c r="I620" s="3"/>
      <c r="J620" s="3"/>
      <c r="K620" s="3"/>
      <c r="L620" s="3"/>
      <c r="M620" s="3"/>
      <c r="N620" s="3"/>
      <c r="O620" s="3"/>
      <c r="P620" s="3"/>
      <c r="Q620" s="48"/>
      <c r="R620" s="3"/>
      <c r="S620" s="3"/>
      <c r="T620" s="3"/>
      <c r="U620" s="28"/>
      <c r="V620" s="28"/>
      <c r="W620" s="77"/>
      <c r="X620" s="77"/>
      <c r="Y620" s="77"/>
      <c r="Z620" s="3"/>
      <c r="AA620" s="3"/>
      <c r="AB620" s="3"/>
    </row>
    <row r="621" spans="1:28" ht="14">
      <c r="A621" s="3"/>
      <c r="B621" s="3"/>
      <c r="C621" s="3"/>
      <c r="D621" s="3"/>
      <c r="E621" s="3"/>
      <c r="F621" s="3"/>
      <c r="G621" s="3"/>
      <c r="H621" s="3"/>
      <c r="I621" s="3"/>
      <c r="J621" s="3"/>
      <c r="K621" s="3"/>
      <c r="L621" s="3"/>
      <c r="M621" s="3"/>
      <c r="N621" s="3"/>
      <c r="O621" s="3"/>
      <c r="P621" s="3"/>
      <c r="Q621" s="48"/>
      <c r="R621" s="3"/>
      <c r="S621" s="3"/>
      <c r="T621" s="3"/>
      <c r="U621" s="28"/>
      <c r="V621" s="28"/>
      <c r="W621" s="77"/>
      <c r="X621" s="77"/>
      <c r="Y621" s="77"/>
      <c r="Z621" s="3"/>
      <c r="AA621" s="3"/>
      <c r="AB621" s="3"/>
    </row>
    <row r="622" spans="1:28" ht="14">
      <c r="A622" s="3"/>
      <c r="B622" s="3"/>
      <c r="C622" s="3"/>
      <c r="D622" s="3"/>
      <c r="E622" s="3"/>
      <c r="F622" s="3"/>
      <c r="G622" s="3"/>
      <c r="H622" s="3"/>
      <c r="I622" s="3"/>
      <c r="J622" s="3"/>
      <c r="K622" s="3"/>
      <c r="L622" s="3"/>
      <c r="M622" s="3"/>
      <c r="N622" s="3"/>
      <c r="O622" s="3"/>
      <c r="P622" s="3"/>
      <c r="Q622" s="48"/>
      <c r="R622" s="3"/>
      <c r="S622" s="3"/>
      <c r="T622" s="3"/>
      <c r="U622" s="28"/>
      <c r="V622" s="28"/>
      <c r="W622" s="77"/>
      <c r="X622" s="77"/>
      <c r="Y622" s="77"/>
      <c r="Z622" s="3"/>
      <c r="AA622" s="3"/>
      <c r="AB622" s="3"/>
    </row>
    <row r="623" spans="1:28" ht="14">
      <c r="A623" s="3"/>
      <c r="B623" s="3"/>
      <c r="C623" s="3"/>
      <c r="D623" s="3"/>
      <c r="E623" s="3"/>
      <c r="F623" s="3"/>
      <c r="G623" s="3"/>
      <c r="H623" s="3"/>
      <c r="I623" s="3"/>
      <c r="J623" s="3"/>
      <c r="K623" s="3"/>
      <c r="L623" s="3"/>
      <c r="M623" s="3"/>
      <c r="N623" s="3"/>
      <c r="O623" s="3"/>
      <c r="P623" s="3"/>
      <c r="Q623" s="48"/>
      <c r="R623" s="3"/>
      <c r="S623" s="3"/>
      <c r="T623" s="3"/>
      <c r="U623" s="28"/>
      <c r="V623" s="28"/>
      <c r="W623" s="77"/>
      <c r="X623" s="77"/>
      <c r="Y623" s="77"/>
      <c r="Z623" s="3"/>
      <c r="AA623" s="3"/>
      <c r="AB623" s="3"/>
    </row>
    <row r="624" spans="1:28" ht="14">
      <c r="A624" s="3"/>
      <c r="B624" s="3"/>
      <c r="C624" s="3"/>
      <c r="D624" s="3"/>
      <c r="E624" s="3"/>
      <c r="F624" s="3"/>
      <c r="G624" s="3"/>
      <c r="H624" s="3"/>
      <c r="I624" s="3"/>
      <c r="J624" s="3"/>
      <c r="K624" s="3"/>
      <c r="L624" s="3"/>
      <c r="M624" s="3"/>
      <c r="N624" s="3"/>
      <c r="O624" s="3"/>
      <c r="P624" s="3"/>
      <c r="Q624" s="48"/>
      <c r="R624" s="3"/>
      <c r="S624" s="3"/>
      <c r="T624" s="3"/>
      <c r="U624" s="28"/>
      <c r="V624" s="28"/>
      <c r="W624" s="77"/>
      <c r="X624" s="77"/>
      <c r="Y624" s="77"/>
      <c r="Z624" s="3"/>
      <c r="AA624" s="3"/>
      <c r="AB624" s="3"/>
    </row>
    <row r="625" spans="1:28" ht="14">
      <c r="A625" s="3"/>
      <c r="B625" s="3"/>
      <c r="C625" s="3"/>
      <c r="D625" s="3"/>
      <c r="E625" s="3"/>
      <c r="F625" s="3"/>
      <c r="G625" s="3"/>
      <c r="H625" s="3"/>
      <c r="I625" s="3"/>
      <c r="J625" s="3"/>
      <c r="K625" s="3"/>
      <c r="L625" s="3"/>
      <c r="M625" s="3"/>
      <c r="N625" s="3"/>
      <c r="O625" s="3"/>
      <c r="P625" s="3"/>
      <c r="Q625" s="48"/>
      <c r="R625" s="3"/>
      <c r="S625" s="3"/>
      <c r="T625" s="3"/>
      <c r="U625" s="28"/>
      <c r="V625" s="28"/>
      <c r="W625" s="77"/>
      <c r="X625" s="77"/>
      <c r="Y625" s="77"/>
      <c r="Z625" s="3"/>
      <c r="AA625" s="3"/>
      <c r="AB625" s="3"/>
    </row>
    <row r="626" spans="1:28" ht="14">
      <c r="A626" s="3"/>
      <c r="B626" s="3"/>
      <c r="C626" s="3"/>
      <c r="D626" s="3"/>
      <c r="E626" s="3"/>
      <c r="F626" s="3"/>
      <c r="G626" s="3"/>
      <c r="H626" s="3"/>
      <c r="I626" s="3"/>
      <c r="J626" s="3"/>
      <c r="K626" s="3"/>
      <c r="L626" s="3"/>
      <c r="M626" s="3"/>
      <c r="N626" s="3"/>
      <c r="O626" s="3"/>
      <c r="P626" s="3"/>
      <c r="Q626" s="48"/>
      <c r="R626" s="3"/>
      <c r="S626" s="3"/>
      <c r="T626" s="3"/>
      <c r="U626" s="28"/>
      <c r="V626" s="28"/>
      <c r="W626" s="77"/>
      <c r="X626" s="77"/>
      <c r="Y626" s="77"/>
      <c r="Z626" s="3"/>
      <c r="AA626" s="3"/>
      <c r="AB626" s="3"/>
    </row>
    <row r="627" spans="1:28" ht="14">
      <c r="A627" s="3"/>
      <c r="B627" s="3"/>
      <c r="C627" s="3"/>
      <c r="D627" s="3"/>
      <c r="E627" s="3"/>
      <c r="F627" s="3"/>
      <c r="G627" s="3"/>
      <c r="H627" s="3"/>
      <c r="I627" s="3"/>
      <c r="J627" s="3"/>
      <c r="K627" s="3"/>
      <c r="L627" s="3"/>
      <c r="M627" s="3"/>
      <c r="N627" s="3"/>
      <c r="O627" s="3"/>
      <c r="P627" s="3"/>
      <c r="Q627" s="48"/>
      <c r="R627" s="3"/>
      <c r="S627" s="3"/>
      <c r="T627" s="3"/>
      <c r="U627" s="28"/>
      <c r="V627" s="28"/>
      <c r="W627" s="77"/>
      <c r="X627" s="77"/>
      <c r="Y627" s="77"/>
      <c r="Z627" s="3"/>
      <c r="AA627" s="3"/>
      <c r="AB627" s="3"/>
    </row>
    <row r="628" spans="1:28" ht="14">
      <c r="A628" s="3"/>
      <c r="B628" s="3"/>
      <c r="C628" s="3"/>
      <c r="D628" s="3"/>
      <c r="E628" s="3"/>
      <c r="F628" s="3"/>
      <c r="G628" s="3"/>
      <c r="H628" s="3"/>
      <c r="I628" s="3"/>
      <c r="J628" s="3"/>
      <c r="K628" s="3"/>
      <c r="L628" s="3"/>
      <c r="M628" s="3"/>
      <c r="N628" s="3"/>
      <c r="O628" s="3"/>
      <c r="P628" s="3"/>
      <c r="Q628" s="48"/>
      <c r="R628" s="3"/>
      <c r="S628" s="3"/>
      <c r="T628" s="3"/>
      <c r="U628" s="28"/>
      <c r="V628" s="28"/>
      <c r="W628" s="77"/>
      <c r="X628" s="77"/>
      <c r="Y628" s="77"/>
      <c r="Z628" s="3"/>
      <c r="AA628" s="3"/>
      <c r="AB628" s="3"/>
    </row>
    <row r="629" spans="1:28" ht="14">
      <c r="A629" s="3"/>
      <c r="B629" s="3"/>
      <c r="C629" s="3"/>
      <c r="D629" s="3"/>
      <c r="E629" s="3"/>
      <c r="F629" s="3"/>
      <c r="G629" s="3"/>
      <c r="H629" s="3"/>
      <c r="I629" s="3"/>
      <c r="J629" s="3"/>
      <c r="K629" s="3"/>
      <c r="L629" s="3"/>
      <c r="M629" s="3"/>
      <c r="N629" s="3"/>
      <c r="O629" s="3"/>
      <c r="P629" s="3"/>
      <c r="Q629" s="48"/>
      <c r="R629" s="3"/>
      <c r="S629" s="3"/>
      <c r="T629" s="3"/>
      <c r="U629" s="28"/>
      <c r="V629" s="28"/>
      <c r="W629" s="77"/>
      <c r="X629" s="77"/>
      <c r="Y629" s="77"/>
      <c r="Z629" s="3"/>
      <c r="AA629" s="3"/>
      <c r="AB629" s="3"/>
    </row>
    <row r="630" spans="1:28" ht="14">
      <c r="A630" s="3"/>
      <c r="B630" s="3"/>
      <c r="C630" s="3"/>
      <c r="D630" s="3"/>
      <c r="E630" s="3"/>
      <c r="F630" s="3"/>
      <c r="G630" s="3"/>
      <c r="H630" s="3"/>
      <c r="I630" s="3"/>
      <c r="J630" s="3"/>
      <c r="K630" s="3"/>
      <c r="L630" s="3"/>
      <c r="M630" s="3"/>
      <c r="N630" s="3"/>
      <c r="O630" s="3"/>
      <c r="P630" s="3"/>
      <c r="Q630" s="48"/>
      <c r="R630" s="3"/>
      <c r="S630" s="3"/>
      <c r="T630" s="3"/>
      <c r="U630" s="28"/>
      <c r="V630" s="28"/>
      <c r="W630" s="77"/>
      <c r="X630" s="77"/>
      <c r="Y630" s="77"/>
      <c r="Z630" s="3"/>
      <c r="AA630" s="3"/>
      <c r="AB630" s="3"/>
    </row>
    <row r="631" spans="1:28" ht="14">
      <c r="A631" s="3"/>
      <c r="B631" s="3"/>
      <c r="C631" s="3"/>
      <c r="D631" s="3"/>
      <c r="E631" s="3"/>
      <c r="F631" s="3"/>
      <c r="G631" s="3"/>
      <c r="H631" s="3"/>
      <c r="I631" s="3"/>
      <c r="J631" s="3"/>
      <c r="K631" s="3"/>
      <c r="L631" s="3"/>
      <c r="M631" s="3"/>
      <c r="N631" s="3"/>
      <c r="O631" s="3"/>
      <c r="P631" s="3"/>
      <c r="Q631" s="48"/>
      <c r="R631" s="3"/>
      <c r="S631" s="3"/>
      <c r="T631" s="3"/>
      <c r="U631" s="28"/>
      <c r="V631" s="28"/>
      <c r="W631" s="77"/>
      <c r="X631" s="77"/>
      <c r="Y631" s="77"/>
      <c r="Z631" s="3"/>
      <c r="AA631" s="3"/>
      <c r="AB631" s="3"/>
    </row>
    <row r="632" spans="1:28" ht="14">
      <c r="A632" s="3"/>
      <c r="B632" s="3"/>
      <c r="C632" s="3"/>
      <c r="D632" s="3"/>
      <c r="E632" s="3"/>
      <c r="F632" s="3"/>
      <c r="G632" s="3"/>
      <c r="H632" s="3"/>
      <c r="I632" s="3"/>
      <c r="J632" s="3"/>
      <c r="K632" s="3"/>
      <c r="L632" s="3"/>
      <c r="M632" s="3"/>
      <c r="N632" s="3"/>
      <c r="O632" s="3"/>
      <c r="P632" s="3"/>
      <c r="Q632" s="48"/>
      <c r="R632" s="3"/>
      <c r="S632" s="3"/>
      <c r="T632" s="3"/>
      <c r="U632" s="28"/>
      <c r="V632" s="28"/>
      <c r="W632" s="77"/>
      <c r="X632" s="77"/>
      <c r="Y632" s="77"/>
      <c r="Z632" s="3"/>
      <c r="AA632" s="3"/>
      <c r="AB632" s="3"/>
    </row>
    <row r="633" spans="1:28" ht="14">
      <c r="A633" s="3"/>
      <c r="B633" s="3"/>
      <c r="C633" s="3"/>
      <c r="D633" s="3"/>
      <c r="E633" s="3"/>
      <c r="F633" s="3"/>
      <c r="G633" s="3"/>
      <c r="H633" s="3"/>
      <c r="I633" s="3"/>
      <c r="J633" s="3"/>
      <c r="K633" s="3"/>
      <c r="L633" s="3"/>
      <c r="M633" s="3"/>
      <c r="N633" s="3"/>
      <c r="O633" s="3"/>
      <c r="P633" s="3"/>
      <c r="Q633" s="48"/>
      <c r="R633" s="3"/>
      <c r="S633" s="3"/>
      <c r="T633" s="3"/>
      <c r="U633" s="28"/>
      <c r="V633" s="28"/>
      <c r="W633" s="77"/>
      <c r="X633" s="77"/>
      <c r="Y633" s="77"/>
      <c r="Z633" s="3"/>
      <c r="AA633" s="3"/>
      <c r="AB633" s="3"/>
    </row>
    <row r="634" spans="1:28" ht="14">
      <c r="A634" s="3"/>
      <c r="B634" s="3"/>
      <c r="C634" s="3"/>
      <c r="D634" s="3"/>
      <c r="E634" s="3"/>
      <c r="F634" s="3"/>
      <c r="G634" s="3"/>
      <c r="H634" s="3"/>
      <c r="I634" s="3"/>
      <c r="J634" s="3"/>
      <c r="K634" s="3"/>
      <c r="L634" s="3"/>
      <c r="M634" s="3"/>
      <c r="N634" s="3"/>
      <c r="O634" s="3"/>
      <c r="P634" s="3"/>
      <c r="Q634" s="48"/>
      <c r="R634" s="3"/>
      <c r="S634" s="3"/>
      <c r="T634" s="3"/>
      <c r="U634" s="28"/>
      <c r="V634" s="28"/>
      <c r="W634" s="77"/>
      <c r="X634" s="77"/>
      <c r="Y634" s="77"/>
      <c r="Z634" s="3"/>
      <c r="AA634" s="3"/>
      <c r="AB634" s="3"/>
    </row>
    <row r="635" spans="1:28" ht="14">
      <c r="A635" s="3"/>
      <c r="B635" s="3"/>
      <c r="C635" s="3"/>
      <c r="D635" s="3"/>
      <c r="E635" s="3"/>
      <c r="F635" s="3"/>
      <c r="G635" s="3"/>
      <c r="H635" s="3"/>
      <c r="I635" s="3"/>
      <c r="J635" s="3"/>
      <c r="K635" s="3"/>
      <c r="L635" s="3"/>
      <c r="M635" s="3"/>
      <c r="N635" s="3"/>
      <c r="O635" s="3"/>
      <c r="P635" s="3"/>
      <c r="Q635" s="48"/>
      <c r="R635" s="3"/>
      <c r="S635" s="3"/>
      <c r="T635" s="3"/>
      <c r="U635" s="28"/>
      <c r="V635" s="28"/>
      <c r="W635" s="77"/>
      <c r="X635" s="77"/>
      <c r="Y635" s="77"/>
      <c r="Z635" s="3"/>
      <c r="AA635" s="3"/>
      <c r="AB635" s="3"/>
    </row>
    <row r="636" spans="1:28" ht="14">
      <c r="A636" s="3"/>
      <c r="B636" s="3"/>
      <c r="C636" s="3"/>
      <c r="D636" s="3"/>
      <c r="E636" s="3"/>
      <c r="F636" s="3"/>
      <c r="G636" s="3"/>
      <c r="H636" s="3"/>
      <c r="I636" s="3"/>
      <c r="J636" s="3"/>
      <c r="K636" s="3"/>
      <c r="L636" s="3"/>
      <c r="M636" s="3"/>
      <c r="N636" s="3"/>
      <c r="O636" s="3"/>
      <c r="P636" s="3"/>
      <c r="Q636" s="48"/>
      <c r="R636" s="3"/>
      <c r="S636" s="3"/>
      <c r="T636" s="3"/>
      <c r="U636" s="28"/>
      <c r="V636" s="28"/>
      <c r="W636" s="77"/>
      <c r="X636" s="77"/>
      <c r="Y636" s="77"/>
      <c r="Z636" s="3"/>
      <c r="AA636" s="3"/>
      <c r="AB636" s="3"/>
    </row>
    <row r="637" spans="1:28" ht="14">
      <c r="A637" s="3"/>
      <c r="B637" s="3"/>
      <c r="C637" s="3"/>
      <c r="D637" s="3"/>
      <c r="E637" s="3"/>
      <c r="F637" s="3"/>
      <c r="G637" s="3"/>
      <c r="H637" s="3"/>
      <c r="I637" s="3"/>
      <c r="J637" s="3"/>
      <c r="K637" s="3"/>
      <c r="L637" s="3"/>
      <c r="M637" s="3"/>
      <c r="N637" s="3"/>
      <c r="O637" s="3"/>
      <c r="P637" s="3"/>
      <c r="Q637" s="48"/>
      <c r="R637" s="3"/>
      <c r="S637" s="3"/>
      <c r="T637" s="3"/>
      <c r="U637" s="28"/>
      <c r="V637" s="28"/>
      <c r="W637" s="77"/>
      <c r="X637" s="77"/>
      <c r="Y637" s="77"/>
      <c r="Z637" s="3"/>
      <c r="AA637" s="3"/>
      <c r="AB637" s="3"/>
    </row>
    <row r="638" spans="1:28" ht="14">
      <c r="A638" s="3"/>
      <c r="B638" s="3"/>
      <c r="C638" s="3"/>
      <c r="D638" s="3"/>
      <c r="E638" s="3"/>
      <c r="F638" s="3"/>
      <c r="G638" s="3"/>
      <c r="H638" s="3"/>
      <c r="I638" s="3"/>
      <c r="J638" s="3"/>
      <c r="K638" s="3"/>
      <c r="L638" s="3"/>
      <c r="M638" s="3"/>
      <c r="N638" s="3"/>
      <c r="O638" s="3"/>
      <c r="P638" s="3"/>
      <c r="Q638" s="48"/>
      <c r="R638" s="3"/>
      <c r="S638" s="3"/>
      <c r="T638" s="3"/>
      <c r="U638" s="28"/>
      <c r="V638" s="28"/>
      <c r="W638" s="77"/>
      <c r="X638" s="77"/>
      <c r="Y638" s="77"/>
      <c r="Z638" s="3"/>
      <c r="AA638" s="3"/>
      <c r="AB638" s="3"/>
    </row>
    <row r="639" spans="1:28" ht="14">
      <c r="A639" s="3"/>
      <c r="B639" s="3"/>
      <c r="C639" s="3"/>
      <c r="D639" s="3"/>
      <c r="E639" s="3"/>
      <c r="F639" s="3"/>
      <c r="G639" s="3"/>
      <c r="H639" s="3"/>
      <c r="I639" s="3"/>
      <c r="J639" s="3"/>
      <c r="K639" s="3"/>
      <c r="L639" s="3"/>
      <c r="M639" s="3"/>
      <c r="N639" s="3"/>
      <c r="O639" s="3"/>
      <c r="P639" s="3"/>
      <c r="Q639" s="48"/>
      <c r="R639" s="3"/>
      <c r="S639" s="3"/>
      <c r="T639" s="3"/>
      <c r="U639" s="28"/>
      <c r="V639" s="28"/>
      <c r="W639" s="77"/>
      <c r="X639" s="77"/>
      <c r="Y639" s="77"/>
      <c r="Z639" s="3"/>
      <c r="AA639" s="3"/>
      <c r="AB639" s="3"/>
    </row>
    <row r="640" spans="1:28" ht="14">
      <c r="A640" s="3"/>
      <c r="B640" s="3"/>
      <c r="C640" s="3"/>
      <c r="D640" s="3"/>
      <c r="E640" s="3"/>
      <c r="F640" s="3"/>
      <c r="G640" s="3"/>
      <c r="H640" s="3"/>
      <c r="I640" s="3"/>
      <c r="J640" s="3"/>
      <c r="K640" s="3"/>
      <c r="L640" s="3"/>
      <c r="M640" s="3"/>
      <c r="N640" s="3"/>
      <c r="O640" s="3"/>
      <c r="P640" s="3"/>
      <c r="Q640" s="48"/>
      <c r="R640" s="3"/>
      <c r="S640" s="3"/>
      <c r="T640" s="3"/>
      <c r="U640" s="28"/>
      <c r="V640" s="28"/>
      <c r="W640" s="77"/>
      <c r="X640" s="77"/>
      <c r="Y640" s="77"/>
      <c r="Z640" s="3"/>
      <c r="AA640" s="3"/>
      <c r="AB640" s="3"/>
    </row>
    <row r="641" spans="1:28" ht="14">
      <c r="A641" s="3"/>
      <c r="B641" s="3"/>
      <c r="C641" s="3"/>
      <c r="D641" s="3"/>
      <c r="E641" s="3"/>
      <c r="F641" s="3"/>
      <c r="G641" s="3"/>
      <c r="H641" s="3"/>
      <c r="I641" s="3"/>
      <c r="J641" s="3"/>
      <c r="K641" s="3"/>
      <c r="L641" s="3"/>
      <c r="M641" s="3"/>
      <c r="N641" s="3"/>
      <c r="O641" s="3"/>
      <c r="P641" s="3"/>
      <c r="Q641" s="48"/>
      <c r="R641" s="3"/>
      <c r="S641" s="3"/>
      <c r="T641" s="3"/>
      <c r="U641" s="28"/>
      <c r="V641" s="28"/>
      <c r="W641" s="77"/>
      <c r="X641" s="77"/>
      <c r="Y641" s="77"/>
      <c r="Z641" s="3"/>
      <c r="AA641" s="3"/>
      <c r="AB641" s="3"/>
    </row>
    <row r="642" spans="1:28" ht="14">
      <c r="A642" s="3"/>
      <c r="B642" s="3"/>
      <c r="C642" s="3"/>
      <c r="D642" s="3"/>
      <c r="E642" s="3"/>
      <c r="F642" s="3"/>
      <c r="G642" s="3"/>
      <c r="H642" s="3"/>
      <c r="I642" s="3"/>
      <c r="J642" s="3"/>
      <c r="K642" s="3"/>
      <c r="L642" s="3"/>
      <c r="M642" s="3"/>
      <c r="N642" s="3"/>
      <c r="O642" s="3"/>
      <c r="P642" s="3"/>
      <c r="Q642" s="48"/>
      <c r="R642" s="3"/>
      <c r="S642" s="3"/>
      <c r="T642" s="3"/>
      <c r="U642" s="28"/>
      <c r="V642" s="28"/>
      <c r="W642" s="77"/>
      <c r="X642" s="77"/>
      <c r="Y642" s="77"/>
      <c r="Z642" s="3"/>
      <c r="AA642" s="3"/>
      <c r="AB642" s="3"/>
    </row>
    <row r="643" spans="1:28" ht="14">
      <c r="A643" s="3"/>
      <c r="B643" s="3"/>
      <c r="C643" s="3"/>
      <c r="D643" s="3"/>
      <c r="E643" s="3"/>
      <c r="F643" s="3"/>
      <c r="G643" s="3"/>
      <c r="H643" s="3"/>
      <c r="I643" s="3"/>
      <c r="J643" s="3"/>
      <c r="K643" s="3"/>
      <c r="L643" s="3"/>
      <c r="M643" s="3"/>
      <c r="N643" s="3"/>
      <c r="O643" s="3"/>
      <c r="P643" s="3"/>
      <c r="Q643" s="48"/>
      <c r="R643" s="3"/>
      <c r="S643" s="3"/>
      <c r="T643" s="3"/>
      <c r="U643" s="28"/>
      <c r="V643" s="28"/>
      <c r="W643" s="77"/>
      <c r="X643" s="77"/>
      <c r="Y643" s="77"/>
      <c r="Z643" s="3"/>
      <c r="AA643" s="3"/>
      <c r="AB643" s="3"/>
    </row>
    <row r="644" spans="1:28" ht="14">
      <c r="A644" s="3"/>
      <c r="B644" s="3"/>
      <c r="C644" s="3"/>
      <c r="D644" s="3"/>
      <c r="E644" s="3"/>
      <c r="F644" s="3"/>
      <c r="G644" s="3"/>
      <c r="H644" s="3"/>
      <c r="I644" s="3"/>
      <c r="J644" s="3"/>
      <c r="K644" s="3"/>
      <c r="L644" s="3"/>
      <c r="M644" s="3"/>
      <c r="N644" s="3"/>
      <c r="O644" s="3"/>
      <c r="P644" s="3"/>
      <c r="Q644" s="48"/>
      <c r="R644" s="3"/>
      <c r="S644" s="3"/>
      <c r="T644" s="3"/>
      <c r="U644" s="28"/>
      <c r="V644" s="28"/>
      <c r="W644" s="77"/>
      <c r="X644" s="77"/>
      <c r="Y644" s="77"/>
      <c r="Z644" s="3"/>
      <c r="AA644" s="3"/>
      <c r="AB644" s="3"/>
    </row>
    <row r="645" spans="1:28" ht="14">
      <c r="A645" s="3"/>
      <c r="B645" s="3"/>
      <c r="C645" s="3"/>
      <c r="D645" s="3"/>
      <c r="E645" s="3"/>
      <c r="F645" s="3"/>
      <c r="G645" s="3"/>
      <c r="H645" s="3"/>
      <c r="I645" s="3"/>
      <c r="J645" s="3"/>
      <c r="K645" s="3"/>
      <c r="L645" s="3"/>
      <c r="M645" s="3"/>
      <c r="N645" s="3"/>
      <c r="O645" s="3"/>
      <c r="P645" s="3"/>
      <c r="Q645" s="48"/>
      <c r="R645" s="3"/>
      <c r="S645" s="3"/>
      <c r="T645" s="3"/>
      <c r="U645" s="28"/>
      <c r="V645" s="28"/>
      <c r="W645" s="77"/>
      <c r="X645" s="77"/>
      <c r="Y645" s="77"/>
      <c r="Z645" s="3"/>
      <c r="AA645" s="3"/>
      <c r="AB645" s="3"/>
    </row>
    <row r="646" spans="1:28" ht="14">
      <c r="A646" s="3"/>
      <c r="B646" s="3"/>
      <c r="C646" s="3"/>
      <c r="D646" s="3"/>
      <c r="E646" s="3"/>
      <c r="F646" s="3"/>
      <c r="G646" s="3"/>
      <c r="H646" s="3"/>
      <c r="I646" s="3"/>
      <c r="J646" s="3"/>
      <c r="K646" s="3"/>
      <c r="L646" s="3"/>
      <c r="M646" s="3"/>
      <c r="N646" s="3"/>
      <c r="O646" s="3"/>
      <c r="P646" s="3"/>
      <c r="Q646" s="48"/>
      <c r="R646" s="3"/>
      <c r="S646" s="3"/>
      <c r="T646" s="3"/>
      <c r="U646" s="28"/>
      <c r="V646" s="28"/>
      <c r="W646" s="77"/>
      <c r="X646" s="77"/>
      <c r="Y646" s="77"/>
      <c r="Z646" s="3"/>
      <c r="AA646" s="3"/>
      <c r="AB646" s="3"/>
    </row>
    <row r="647" spans="1:28" ht="14">
      <c r="A647" s="3"/>
      <c r="B647" s="3"/>
      <c r="C647" s="3"/>
      <c r="D647" s="3"/>
      <c r="E647" s="3"/>
      <c r="F647" s="3"/>
      <c r="G647" s="3"/>
      <c r="H647" s="3"/>
      <c r="I647" s="3"/>
      <c r="J647" s="3"/>
      <c r="K647" s="3"/>
      <c r="L647" s="3"/>
      <c r="M647" s="3"/>
      <c r="N647" s="3"/>
      <c r="O647" s="3"/>
      <c r="P647" s="3"/>
      <c r="Q647" s="48"/>
      <c r="R647" s="3"/>
      <c r="S647" s="3"/>
      <c r="T647" s="3"/>
      <c r="U647" s="28"/>
      <c r="V647" s="28"/>
      <c r="W647" s="77"/>
      <c r="X647" s="77"/>
      <c r="Y647" s="77"/>
      <c r="Z647" s="3"/>
      <c r="AA647" s="3"/>
      <c r="AB647" s="3"/>
    </row>
    <row r="648" spans="1:28" ht="14">
      <c r="A648" s="3"/>
      <c r="B648" s="3"/>
      <c r="C648" s="3"/>
      <c r="D648" s="3"/>
      <c r="E648" s="3"/>
      <c r="F648" s="3"/>
      <c r="G648" s="3"/>
      <c r="H648" s="3"/>
      <c r="I648" s="3"/>
      <c r="J648" s="3"/>
      <c r="K648" s="3"/>
      <c r="L648" s="3"/>
      <c r="M648" s="3"/>
      <c r="N648" s="3"/>
      <c r="O648" s="3"/>
      <c r="P648" s="3"/>
      <c r="Q648" s="48"/>
      <c r="R648" s="3"/>
      <c r="S648" s="3"/>
      <c r="T648" s="3"/>
      <c r="U648" s="28"/>
      <c r="V648" s="28"/>
      <c r="W648" s="77"/>
      <c r="X648" s="77"/>
      <c r="Y648" s="77"/>
      <c r="Z648" s="3"/>
      <c r="AA648" s="3"/>
      <c r="AB648" s="3"/>
    </row>
    <row r="649" spans="1:28" ht="14">
      <c r="A649" s="3"/>
      <c r="B649" s="3"/>
      <c r="C649" s="3"/>
      <c r="D649" s="3"/>
      <c r="E649" s="3"/>
      <c r="F649" s="3"/>
      <c r="G649" s="3"/>
      <c r="H649" s="3"/>
      <c r="I649" s="3"/>
      <c r="J649" s="3"/>
      <c r="K649" s="3"/>
      <c r="L649" s="3"/>
      <c r="M649" s="3"/>
      <c r="N649" s="3"/>
      <c r="O649" s="3"/>
      <c r="P649" s="3"/>
      <c r="Q649" s="48"/>
      <c r="R649" s="3"/>
      <c r="S649" s="3"/>
      <c r="T649" s="3"/>
      <c r="U649" s="28"/>
      <c r="V649" s="28"/>
      <c r="W649" s="77"/>
      <c r="X649" s="77"/>
      <c r="Y649" s="77"/>
      <c r="Z649" s="3"/>
      <c r="AA649" s="3"/>
      <c r="AB649" s="3"/>
    </row>
    <row r="650" spans="1:28" ht="14">
      <c r="A650" s="3"/>
      <c r="B650" s="3"/>
      <c r="C650" s="3"/>
      <c r="D650" s="3"/>
      <c r="E650" s="3"/>
      <c r="F650" s="3"/>
      <c r="G650" s="3"/>
      <c r="H650" s="3"/>
      <c r="I650" s="3"/>
      <c r="J650" s="3"/>
      <c r="K650" s="3"/>
      <c r="L650" s="3"/>
      <c r="M650" s="3"/>
      <c r="N650" s="3"/>
      <c r="O650" s="3"/>
      <c r="P650" s="3"/>
      <c r="Q650" s="48"/>
      <c r="R650" s="3"/>
      <c r="S650" s="3"/>
      <c r="T650" s="3"/>
      <c r="U650" s="28"/>
      <c r="V650" s="28"/>
      <c r="W650" s="77"/>
      <c r="X650" s="77"/>
      <c r="Y650" s="77"/>
      <c r="Z650" s="3"/>
      <c r="AA650" s="3"/>
      <c r="AB650" s="3"/>
    </row>
    <row r="651" spans="1:28" ht="14">
      <c r="A651" s="3"/>
      <c r="B651" s="3"/>
      <c r="C651" s="3"/>
      <c r="D651" s="3"/>
      <c r="E651" s="3"/>
      <c r="F651" s="3"/>
      <c r="G651" s="3"/>
      <c r="H651" s="3"/>
      <c r="I651" s="3"/>
      <c r="J651" s="3"/>
      <c r="K651" s="3"/>
      <c r="L651" s="3"/>
      <c r="M651" s="3"/>
      <c r="N651" s="3"/>
      <c r="O651" s="3"/>
      <c r="P651" s="3"/>
      <c r="Q651" s="48"/>
      <c r="R651" s="3"/>
      <c r="S651" s="3"/>
      <c r="T651" s="3"/>
      <c r="U651" s="28"/>
      <c r="V651" s="28"/>
      <c r="W651" s="77"/>
      <c r="X651" s="77"/>
      <c r="Y651" s="77"/>
      <c r="Z651" s="3"/>
      <c r="AA651" s="3"/>
      <c r="AB651" s="3"/>
    </row>
    <row r="652" spans="1:28" ht="14">
      <c r="A652" s="3"/>
      <c r="B652" s="3"/>
      <c r="C652" s="3"/>
      <c r="D652" s="3"/>
      <c r="E652" s="3"/>
      <c r="F652" s="3"/>
      <c r="G652" s="3"/>
      <c r="H652" s="3"/>
      <c r="I652" s="3"/>
      <c r="J652" s="3"/>
      <c r="K652" s="3"/>
      <c r="L652" s="3"/>
      <c r="M652" s="3"/>
      <c r="N652" s="3"/>
      <c r="O652" s="3"/>
      <c r="P652" s="3"/>
      <c r="Q652" s="48"/>
      <c r="R652" s="3"/>
      <c r="S652" s="3"/>
      <c r="T652" s="3"/>
      <c r="U652" s="28"/>
      <c r="V652" s="28"/>
      <c r="W652" s="77"/>
      <c r="X652" s="77"/>
      <c r="Y652" s="77"/>
      <c r="Z652" s="3"/>
      <c r="AA652" s="3"/>
      <c r="AB652" s="3"/>
    </row>
    <row r="653" spans="1:28" ht="14">
      <c r="A653" s="3"/>
      <c r="B653" s="3"/>
      <c r="C653" s="3"/>
      <c r="D653" s="3"/>
      <c r="E653" s="3"/>
      <c r="F653" s="3"/>
      <c r="G653" s="3"/>
      <c r="H653" s="3"/>
      <c r="I653" s="3"/>
      <c r="J653" s="3"/>
      <c r="K653" s="3"/>
      <c r="L653" s="3"/>
      <c r="M653" s="3"/>
      <c r="N653" s="3"/>
      <c r="O653" s="3"/>
      <c r="P653" s="3"/>
      <c r="Q653" s="48"/>
      <c r="R653" s="3"/>
      <c r="S653" s="3"/>
      <c r="T653" s="3"/>
      <c r="U653" s="28"/>
      <c r="V653" s="28"/>
      <c r="W653" s="77"/>
      <c r="X653" s="77"/>
      <c r="Y653" s="77"/>
      <c r="Z653" s="3"/>
      <c r="AA653" s="3"/>
      <c r="AB653" s="3"/>
    </row>
    <row r="654" spans="1:28" ht="14">
      <c r="A654" s="3"/>
      <c r="B654" s="3"/>
      <c r="C654" s="3"/>
      <c r="D654" s="3"/>
      <c r="E654" s="3"/>
      <c r="F654" s="3"/>
      <c r="G654" s="3"/>
      <c r="H654" s="3"/>
      <c r="I654" s="3"/>
      <c r="J654" s="3"/>
      <c r="K654" s="3"/>
      <c r="L654" s="3"/>
      <c r="M654" s="3"/>
      <c r="N654" s="3"/>
      <c r="O654" s="3"/>
      <c r="P654" s="3"/>
      <c r="Q654" s="48"/>
      <c r="R654" s="3"/>
      <c r="S654" s="3"/>
      <c r="T654" s="3"/>
      <c r="U654" s="28"/>
      <c r="V654" s="28"/>
      <c r="W654" s="77"/>
      <c r="X654" s="77"/>
      <c r="Y654" s="77"/>
      <c r="Z654" s="3"/>
      <c r="AA654" s="3"/>
      <c r="AB654" s="3"/>
    </row>
    <row r="655" spans="1:28" ht="14">
      <c r="A655" s="3"/>
      <c r="B655" s="3"/>
      <c r="C655" s="3"/>
      <c r="D655" s="3"/>
      <c r="E655" s="3"/>
      <c r="F655" s="3"/>
      <c r="G655" s="3"/>
      <c r="H655" s="3"/>
      <c r="I655" s="3"/>
      <c r="J655" s="3"/>
      <c r="K655" s="3"/>
      <c r="L655" s="3"/>
      <c r="M655" s="3"/>
      <c r="N655" s="3"/>
      <c r="O655" s="3"/>
      <c r="P655" s="3"/>
      <c r="Q655" s="48"/>
      <c r="R655" s="3"/>
      <c r="S655" s="3"/>
      <c r="T655" s="3"/>
      <c r="U655" s="28"/>
      <c r="V655" s="28"/>
      <c r="W655" s="77"/>
      <c r="X655" s="77"/>
      <c r="Y655" s="77"/>
      <c r="Z655" s="3"/>
      <c r="AA655" s="3"/>
      <c r="AB655" s="3"/>
    </row>
    <row r="656" spans="1:28" ht="14">
      <c r="A656" s="3"/>
      <c r="B656" s="3"/>
      <c r="C656" s="3"/>
      <c r="D656" s="3"/>
      <c r="E656" s="3"/>
      <c r="F656" s="3"/>
      <c r="G656" s="3"/>
      <c r="H656" s="3"/>
      <c r="I656" s="3"/>
      <c r="J656" s="3"/>
      <c r="K656" s="3"/>
      <c r="L656" s="3"/>
      <c r="M656" s="3"/>
      <c r="N656" s="3"/>
      <c r="O656" s="3"/>
      <c r="P656" s="3"/>
      <c r="Q656" s="48"/>
      <c r="R656" s="3"/>
      <c r="S656" s="3"/>
      <c r="T656" s="3"/>
      <c r="U656" s="28"/>
      <c r="V656" s="28"/>
      <c r="W656" s="77"/>
      <c r="X656" s="77"/>
      <c r="Y656" s="77"/>
      <c r="Z656" s="3"/>
      <c r="AA656" s="3"/>
      <c r="AB656" s="3"/>
    </row>
    <row r="657" spans="1:28" ht="14">
      <c r="A657" s="3"/>
      <c r="B657" s="3"/>
      <c r="C657" s="3"/>
      <c r="D657" s="3"/>
      <c r="E657" s="3"/>
      <c r="F657" s="3"/>
      <c r="G657" s="3"/>
      <c r="H657" s="3"/>
      <c r="I657" s="3"/>
      <c r="J657" s="3"/>
      <c r="K657" s="3"/>
      <c r="L657" s="3"/>
      <c r="M657" s="3"/>
      <c r="N657" s="3"/>
      <c r="O657" s="3"/>
      <c r="P657" s="3"/>
      <c r="Q657" s="48"/>
      <c r="R657" s="3"/>
      <c r="S657" s="3"/>
      <c r="T657" s="3"/>
      <c r="U657" s="28"/>
      <c r="V657" s="28"/>
      <c r="W657" s="77"/>
      <c r="X657" s="77"/>
      <c r="Y657" s="77"/>
      <c r="Z657" s="3"/>
      <c r="AA657" s="3"/>
      <c r="AB657" s="3"/>
    </row>
    <row r="658" spans="1:28" ht="14">
      <c r="A658" s="3"/>
      <c r="B658" s="3"/>
      <c r="C658" s="3"/>
      <c r="D658" s="3"/>
      <c r="E658" s="3"/>
      <c r="F658" s="3"/>
      <c r="G658" s="3"/>
      <c r="H658" s="3"/>
      <c r="I658" s="3"/>
      <c r="J658" s="3"/>
      <c r="K658" s="3"/>
      <c r="L658" s="3"/>
      <c r="M658" s="3"/>
      <c r="N658" s="3"/>
      <c r="O658" s="3"/>
      <c r="P658" s="3"/>
      <c r="Q658" s="48"/>
      <c r="R658" s="3"/>
      <c r="S658" s="3"/>
      <c r="T658" s="3"/>
      <c r="U658" s="28"/>
      <c r="V658" s="28"/>
      <c r="W658" s="77"/>
      <c r="X658" s="77"/>
      <c r="Y658" s="77"/>
      <c r="Z658" s="3"/>
      <c r="AA658" s="3"/>
      <c r="AB658" s="3"/>
    </row>
    <row r="659" spans="1:28" ht="14">
      <c r="A659" s="3"/>
      <c r="B659" s="3"/>
      <c r="C659" s="3"/>
      <c r="D659" s="3"/>
      <c r="E659" s="3"/>
      <c r="F659" s="3"/>
      <c r="G659" s="3"/>
      <c r="H659" s="3"/>
      <c r="I659" s="3"/>
      <c r="J659" s="3"/>
      <c r="K659" s="3"/>
      <c r="L659" s="3"/>
      <c r="M659" s="3"/>
      <c r="N659" s="3"/>
      <c r="O659" s="3"/>
      <c r="P659" s="3"/>
      <c r="Q659" s="48"/>
      <c r="R659" s="3"/>
      <c r="S659" s="3"/>
      <c r="T659" s="3"/>
      <c r="U659" s="28"/>
      <c r="V659" s="28"/>
      <c r="W659" s="77"/>
      <c r="X659" s="77"/>
      <c r="Y659" s="77"/>
      <c r="Z659" s="3"/>
      <c r="AA659" s="3"/>
      <c r="AB659" s="3"/>
    </row>
    <row r="660" spans="1:28" ht="14">
      <c r="A660" s="3"/>
      <c r="B660" s="3"/>
      <c r="C660" s="3"/>
      <c r="D660" s="3"/>
      <c r="E660" s="3"/>
      <c r="F660" s="3"/>
      <c r="G660" s="3"/>
      <c r="H660" s="3"/>
      <c r="I660" s="3"/>
      <c r="J660" s="3"/>
      <c r="K660" s="3"/>
      <c r="L660" s="3"/>
      <c r="M660" s="3"/>
      <c r="N660" s="3"/>
      <c r="O660" s="3"/>
      <c r="P660" s="3"/>
      <c r="Q660" s="48"/>
      <c r="R660" s="3"/>
      <c r="S660" s="3"/>
      <c r="T660" s="3"/>
      <c r="U660" s="28"/>
      <c r="V660" s="28"/>
      <c r="W660" s="77"/>
      <c r="X660" s="77"/>
      <c r="Y660" s="77"/>
      <c r="Z660" s="3"/>
      <c r="AA660" s="3"/>
      <c r="AB660" s="3"/>
    </row>
    <row r="661" spans="1:28" ht="14">
      <c r="A661" s="3"/>
      <c r="B661" s="3"/>
      <c r="C661" s="3"/>
      <c r="D661" s="3"/>
      <c r="E661" s="3"/>
      <c r="F661" s="3"/>
      <c r="G661" s="3"/>
      <c r="H661" s="3"/>
      <c r="I661" s="3"/>
      <c r="J661" s="3"/>
      <c r="K661" s="3"/>
      <c r="L661" s="3"/>
      <c r="M661" s="3"/>
      <c r="N661" s="3"/>
      <c r="O661" s="3"/>
      <c r="P661" s="3"/>
      <c r="Q661" s="48"/>
      <c r="R661" s="3"/>
      <c r="S661" s="3"/>
      <c r="T661" s="3"/>
      <c r="U661" s="28"/>
      <c r="V661" s="28"/>
      <c r="W661" s="77"/>
      <c r="X661" s="77"/>
      <c r="Y661" s="77"/>
      <c r="Z661" s="3"/>
      <c r="AA661" s="3"/>
      <c r="AB661" s="3"/>
    </row>
    <row r="662" spans="1:28" ht="14">
      <c r="A662" s="3"/>
      <c r="B662" s="3"/>
      <c r="C662" s="3"/>
      <c r="D662" s="3"/>
      <c r="E662" s="3"/>
      <c r="F662" s="3"/>
      <c r="G662" s="3"/>
      <c r="H662" s="3"/>
      <c r="I662" s="3"/>
      <c r="J662" s="3"/>
      <c r="K662" s="3"/>
      <c r="L662" s="3"/>
      <c r="M662" s="3"/>
      <c r="N662" s="3"/>
      <c r="O662" s="3"/>
      <c r="P662" s="3"/>
      <c r="Q662" s="48"/>
      <c r="R662" s="3"/>
      <c r="S662" s="3"/>
      <c r="T662" s="3"/>
      <c r="U662" s="28"/>
      <c r="V662" s="28"/>
      <c r="W662" s="77"/>
      <c r="X662" s="77"/>
      <c r="Y662" s="77"/>
      <c r="Z662" s="3"/>
      <c r="AA662" s="3"/>
      <c r="AB662" s="3"/>
    </row>
    <row r="663" spans="1:28" ht="14">
      <c r="A663" s="3"/>
      <c r="B663" s="3"/>
      <c r="C663" s="3"/>
      <c r="D663" s="3"/>
      <c r="E663" s="3"/>
      <c r="F663" s="3"/>
      <c r="G663" s="3"/>
      <c r="H663" s="3"/>
      <c r="I663" s="3"/>
      <c r="J663" s="3"/>
      <c r="K663" s="3"/>
      <c r="L663" s="3"/>
      <c r="M663" s="3"/>
      <c r="N663" s="3"/>
      <c r="O663" s="3"/>
      <c r="P663" s="3"/>
      <c r="Q663" s="48"/>
      <c r="R663" s="3"/>
      <c r="S663" s="3"/>
      <c r="T663" s="3"/>
      <c r="U663" s="28"/>
      <c r="V663" s="28"/>
      <c r="W663" s="77"/>
      <c r="X663" s="77"/>
      <c r="Y663" s="77"/>
      <c r="Z663" s="3"/>
      <c r="AA663" s="3"/>
      <c r="AB663" s="3"/>
    </row>
    <row r="664" spans="1:28" ht="14">
      <c r="A664" s="3"/>
      <c r="B664" s="3"/>
      <c r="C664" s="3"/>
      <c r="D664" s="3"/>
      <c r="E664" s="3"/>
      <c r="F664" s="3"/>
      <c r="G664" s="3"/>
      <c r="H664" s="3"/>
      <c r="I664" s="3"/>
      <c r="J664" s="3"/>
      <c r="K664" s="3"/>
      <c r="L664" s="3"/>
      <c r="M664" s="3"/>
      <c r="N664" s="3"/>
      <c r="O664" s="3"/>
      <c r="P664" s="3"/>
      <c r="Q664" s="48"/>
      <c r="R664" s="3"/>
      <c r="S664" s="3"/>
      <c r="T664" s="3"/>
      <c r="U664" s="28"/>
      <c r="V664" s="28"/>
      <c r="W664" s="77"/>
      <c r="X664" s="77"/>
      <c r="Y664" s="77"/>
      <c r="Z664" s="3"/>
      <c r="AA664" s="3"/>
      <c r="AB664" s="3"/>
    </row>
    <row r="665" spans="1:28" ht="14">
      <c r="A665" s="3"/>
      <c r="B665" s="3"/>
      <c r="C665" s="3"/>
      <c r="D665" s="3"/>
      <c r="E665" s="3"/>
      <c r="F665" s="3"/>
      <c r="G665" s="3"/>
      <c r="H665" s="3"/>
      <c r="I665" s="3"/>
      <c r="J665" s="3"/>
      <c r="K665" s="3"/>
      <c r="L665" s="3"/>
      <c r="M665" s="3"/>
      <c r="N665" s="3"/>
      <c r="O665" s="3"/>
      <c r="P665" s="3"/>
      <c r="Q665" s="48"/>
      <c r="R665" s="3"/>
      <c r="S665" s="3"/>
      <c r="T665" s="3"/>
      <c r="U665" s="28"/>
      <c r="V665" s="28"/>
      <c r="W665" s="77"/>
      <c r="X665" s="77"/>
      <c r="Y665" s="77"/>
      <c r="Z665" s="3"/>
      <c r="AA665" s="3"/>
      <c r="AB665" s="3"/>
    </row>
    <row r="666" spans="1:28" ht="14">
      <c r="A666" s="3"/>
      <c r="B666" s="3"/>
      <c r="C666" s="3"/>
      <c r="D666" s="3"/>
      <c r="E666" s="3"/>
      <c r="F666" s="3"/>
      <c r="G666" s="3"/>
      <c r="H666" s="3"/>
      <c r="I666" s="3"/>
      <c r="J666" s="3"/>
      <c r="K666" s="3"/>
      <c r="L666" s="3"/>
      <c r="M666" s="3"/>
      <c r="N666" s="3"/>
      <c r="O666" s="3"/>
      <c r="P666" s="3"/>
      <c r="Q666" s="48"/>
      <c r="R666" s="3"/>
      <c r="S666" s="3"/>
      <c r="T666" s="3"/>
      <c r="U666" s="28"/>
      <c r="V666" s="28"/>
      <c r="W666" s="77"/>
      <c r="X666" s="77"/>
      <c r="Y666" s="77"/>
      <c r="Z666" s="3"/>
      <c r="AA666" s="3"/>
      <c r="AB666" s="3"/>
    </row>
    <row r="667" spans="1:28" ht="14">
      <c r="A667" s="3"/>
      <c r="B667" s="3"/>
      <c r="C667" s="3"/>
      <c r="D667" s="3"/>
      <c r="E667" s="3"/>
      <c r="F667" s="3"/>
      <c r="G667" s="3"/>
      <c r="H667" s="3"/>
      <c r="I667" s="3"/>
      <c r="J667" s="3"/>
      <c r="K667" s="3"/>
      <c r="L667" s="3"/>
      <c r="M667" s="3"/>
      <c r="N667" s="3"/>
      <c r="O667" s="3"/>
      <c r="P667" s="3"/>
      <c r="Q667" s="48"/>
      <c r="R667" s="3"/>
      <c r="S667" s="3"/>
      <c r="T667" s="3"/>
      <c r="U667" s="28"/>
      <c r="V667" s="28"/>
      <c r="W667" s="77"/>
      <c r="X667" s="77"/>
      <c r="Y667" s="77"/>
      <c r="Z667" s="3"/>
      <c r="AA667" s="3"/>
      <c r="AB667" s="3"/>
    </row>
    <row r="668" spans="1:28" ht="14">
      <c r="A668" s="3"/>
      <c r="B668" s="3"/>
      <c r="C668" s="3"/>
      <c r="D668" s="3"/>
      <c r="E668" s="3"/>
      <c r="F668" s="3"/>
      <c r="G668" s="3"/>
      <c r="H668" s="3"/>
      <c r="I668" s="3"/>
      <c r="J668" s="3"/>
      <c r="K668" s="3"/>
      <c r="L668" s="3"/>
      <c r="M668" s="3"/>
      <c r="N668" s="3"/>
      <c r="O668" s="3"/>
      <c r="P668" s="3"/>
      <c r="Q668" s="48"/>
      <c r="R668" s="3"/>
      <c r="S668" s="3"/>
      <c r="T668" s="3"/>
      <c r="U668" s="28"/>
      <c r="V668" s="28"/>
      <c r="W668" s="77"/>
      <c r="X668" s="77"/>
      <c r="Y668" s="77"/>
      <c r="Z668" s="3"/>
      <c r="AA668" s="3"/>
      <c r="AB668" s="3"/>
    </row>
    <row r="669" spans="1:28" ht="14">
      <c r="A669" s="3"/>
      <c r="B669" s="3"/>
      <c r="C669" s="3"/>
      <c r="D669" s="3"/>
      <c r="E669" s="3"/>
      <c r="F669" s="3"/>
      <c r="G669" s="3"/>
      <c r="H669" s="3"/>
      <c r="I669" s="3"/>
      <c r="J669" s="3"/>
      <c r="K669" s="3"/>
      <c r="L669" s="3"/>
      <c r="M669" s="3"/>
      <c r="N669" s="3"/>
      <c r="O669" s="3"/>
      <c r="P669" s="3"/>
      <c r="Q669" s="48"/>
      <c r="R669" s="3"/>
      <c r="S669" s="3"/>
      <c r="T669" s="3"/>
      <c r="U669" s="28"/>
      <c r="V669" s="28"/>
      <c r="W669" s="77"/>
      <c r="X669" s="77"/>
      <c r="Y669" s="77"/>
      <c r="Z669" s="3"/>
      <c r="AA669" s="3"/>
      <c r="AB669" s="3"/>
    </row>
    <row r="670" spans="1:28" ht="14">
      <c r="A670" s="3"/>
      <c r="B670" s="3"/>
      <c r="C670" s="3"/>
      <c r="D670" s="3"/>
      <c r="E670" s="3"/>
      <c r="F670" s="3"/>
      <c r="G670" s="3"/>
      <c r="H670" s="3"/>
      <c r="I670" s="3"/>
      <c r="J670" s="3"/>
      <c r="K670" s="3"/>
      <c r="L670" s="3"/>
      <c r="M670" s="3"/>
      <c r="N670" s="3"/>
      <c r="O670" s="3"/>
      <c r="P670" s="3"/>
      <c r="Q670" s="48"/>
      <c r="R670" s="3"/>
      <c r="S670" s="3"/>
      <c r="T670" s="3"/>
      <c r="U670" s="28"/>
      <c r="V670" s="28"/>
      <c r="W670" s="77"/>
      <c r="X670" s="77"/>
      <c r="Y670" s="77"/>
      <c r="Z670" s="3"/>
      <c r="AA670" s="3"/>
      <c r="AB670" s="3"/>
    </row>
    <row r="671" spans="1:28" ht="14">
      <c r="A671" s="3"/>
      <c r="B671" s="3"/>
      <c r="C671" s="3"/>
      <c r="D671" s="3"/>
      <c r="E671" s="3"/>
      <c r="F671" s="3"/>
      <c r="G671" s="3"/>
      <c r="H671" s="3"/>
      <c r="I671" s="3"/>
      <c r="J671" s="3"/>
      <c r="K671" s="3"/>
      <c r="L671" s="3"/>
      <c r="M671" s="3"/>
      <c r="N671" s="3"/>
      <c r="O671" s="3"/>
      <c r="P671" s="3"/>
      <c r="Q671" s="48"/>
      <c r="R671" s="3"/>
      <c r="S671" s="3"/>
      <c r="T671" s="3"/>
      <c r="U671" s="28"/>
      <c r="V671" s="28"/>
      <c r="W671" s="77"/>
      <c r="X671" s="77"/>
      <c r="Y671" s="77"/>
      <c r="Z671" s="3"/>
      <c r="AA671" s="3"/>
      <c r="AB671" s="3"/>
    </row>
    <row r="672" spans="1:28" ht="14">
      <c r="A672" s="3"/>
      <c r="B672" s="3"/>
      <c r="C672" s="3"/>
      <c r="D672" s="3"/>
      <c r="E672" s="3"/>
      <c r="F672" s="3"/>
      <c r="G672" s="3"/>
      <c r="H672" s="3"/>
      <c r="I672" s="3"/>
      <c r="J672" s="3"/>
      <c r="K672" s="3"/>
      <c r="L672" s="3"/>
      <c r="M672" s="3"/>
      <c r="N672" s="3"/>
      <c r="O672" s="3"/>
      <c r="P672" s="3"/>
      <c r="Q672" s="48"/>
      <c r="R672" s="3"/>
      <c r="S672" s="3"/>
      <c r="T672" s="3"/>
      <c r="U672" s="28"/>
      <c r="V672" s="28"/>
      <c r="W672" s="77"/>
      <c r="X672" s="77"/>
      <c r="Y672" s="77"/>
      <c r="Z672" s="3"/>
      <c r="AA672" s="3"/>
      <c r="AB672" s="3"/>
    </row>
    <row r="673" spans="1:28" ht="14">
      <c r="A673" s="3"/>
      <c r="B673" s="3"/>
      <c r="C673" s="3"/>
      <c r="D673" s="3"/>
      <c r="E673" s="3"/>
      <c r="F673" s="3"/>
      <c r="G673" s="3"/>
      <c r="H673" s="3"/>
      <c r="I673" s="3"/>
      <c r="J673" s="3"/>
      <c r="K673" s="3"/>
      <c r="L673" s="3"/>
      <c r="M673" s="3"/>
      <c r="N673" s="3"/>
      <c r="O673" s="3"/>
      <c r="P673" s="3"/>
      <c r="Q673" s="48"/>
      <c r="R673" s="3"/>
      <c r="S673" s="3"/>
      <c r="T673" s="3"/>
      <c r="U673" s="28"/>
      <c r="V673" s="28"/>
      <c r="W673" s="77"/>
      <c r="X673" s="77"/>
      <c r="Y673" s="77"/>
      <c r="Z673" s="3"/>
      <c r="AA673" s="3"/>
      <c r="AB673" s="3"/>
    </row>
    <row r="674" spans="1:28" ht="14">
      <c r="A674" s="3"/>
      <c r="B674" s="3"/>
      <c r="C674" s="3"/>
      <c r="D674" s="3"/>
      <c r="E674" s="3"/>
      <c r="F674" s="3"/>
      <c r="G674" s="3"/>
      <c r="H674" s="3"/>
      <c r="I674" s="3"/>
      <c r="J674" s="3"/>
      <c r="K674" s="3"/>
      <c r="L674" s="3"/>
      <c r="M674" s="3"/>
      <c r="N674" s="3"/>
      <c r="O674" s="3"/>
      <c r="P674" s="3"/>
      <c r="Q674" s="48"/>
      <c r="R674" s="3"/>
      <c r="S674" s="3"/>
      <c r="T674" s="3"/>
      <c r="U674" s="28"/>
      <c r="V674" s="28"/>
      <c r="W674" s="77"/>
      <c r="X674" s="77"/>
      <c r="Y674" s="77"/>
      <c r="Z674" s="3"/>
      <c r="AA674" s="3"/>
      <c r="AB674" s="3"/>
    </row>
    <row r="675" spans="1:28" ht="14">
      <c r="A675" s="3"/>
      <c r="B675" s="3"/>
      <c r="C675" s="3"/>
      <c r="D675" s="3"/>
      <c r="E675" s="3"/>
      <c r="F675" s="3"/>
      <c r="G675" s="3"/>
      <c r="H675" s="3"/>
      <c r="I675" s="3"/>
      <c r="J675" s="3"/>
      <c r="K675" s="3"/>
      <c r="L675" s="3"/>
      <c r="M675" s="3"/>
      <c r="N675" s="3"/>
      <c r="O675" s="3"/>
      <c r="P675" s="3"/>
      <c r="Q675" s="48"/>
      <c r="R675" s="3"/>
      <c r="S675" s="3"/>
      <c r="T675" s="3"/>
      <c r="U675" s="28"/>
      <c r="V675" s="28"/>
      <c r="W675" s="77"/>
      <c r="X675" s="77"/>
      <c r="Y675" s="77"/>
      <c r="Z675" s="3"/>
      <c r="AA675" s="3"/>
      <c r="AB675" s="3"/>
    </row>
    <row r="676" spans="1:28" ht="14">
      <c r="A676" s="3"/>
      <c r="B676" s="3"/>
      <c r="C676" s="3"/>
      <c r="D676" s="3"/>
      <c r="E676" s="3"/>
      <c r="F676" s="3"/>
      <c r="G676" s="3"/>
      <c r="H676" s="3"/>
      <c r="I676" s="3"/>
      <c r="J676" s="3"/>
      <c r="K676" s="3"/>
      <c r="L676" s="3"/>
      <c r="M676" s="3"/>
      <c r="N676" s="3"/>
      <c r="O676" s="3"/>
      <c r="P676" s="3"/>
      <c r="Q676" s="48"/>
      <c r="R676" s="3"/>
      <c r="S676" s="3"/>
      <c r="T676" s="3"/>
      <c r="U676" s="28"/>
      <c r="V676" s="28"/>
      <c r="W676" s="77"/>
      <c r="X676" s="77"/>
      <c r="Y676" s="77"/>
      <c r="Z676" s="3"/>
      <c r="AA676" s="3"/>
      <c r="AB676" s="3"/>
    </row>
    <row r="677" spans="1:28" ht="14">
      <c r="A677" s="3"/>
      <c r="B677" s="3"/>
      <c r="C677" s="3"/>
      <c r="D677" s="3"/>
      <c r="E677" s="3"/>
      <c r="F677" s="3"/>
      <c r="G677" s="3"/>
      <c r="H677" s="3"/>
      <c r="I677" s="3"/>
      <c r="J677" s="3"/>
      <c r="K677" s="3"/>
      <c r="L677" s="3"/>
      <c r="M677" s="3"/>
      <c r="N677" s="3"/>
      <c r="O677" s="3"/>
      <c r="P677" s="3"/>
      <c r="Q677" s="48"/>
      <c r="R677" s="3"/>
      <c r="S677" s="3"/>
      <c r="T677" s="3"/>
      <c r="U677" s="28"/>
      <c r="V677" s="28"/>
      <c r="W677" s="77"/>
      <c r="X677" s="77"/>
      <c r="Y677" s="77"/>
      <c r="Z677" s="3"/>
      <c r="AA677" s="3"/>
      <c r="AB677" s="3"/>
    </row>
    <row r="678" spans="1:28" ht="14">
      <c r="A678" s="3"/>
      <c r="B678" s="3"/>
      <c r="C678" s="3"/>
      <c r="D678" s="3"/>
      <c r="E678" s="3"/>
      <c r="F678" s="3"/>
      <c r="G678" s="3"/>
      <c r="H678" s="3"/>
      <c r="I678" s="3"/>
      <c r="J678" s="3"/>
      <c r="K678" s="3"/>
      <c r="L678" s="3"/>
      <c r="M678" s="3"/>
      <c r="N678" s="3"/>
      <c r="O678" s="3"/>
      <c r="P678" s="3"/>
      <c r="Q678" s="48"/>
      <c r="R678" s="3"/>
      <c r="S678" s="3"/>
      <c r="T678" s="3"/>
      <c r="U678" s="28"/>
      <c r="V678" s="28"/>
      <c r="W678" s="77"/>
      <c r="X678" s="77"/>
      <c r="Y678" s="77"/>
      <c r="Z678" s="3"/>
      <c r="AA678" s="3"/>
      <c r="AB678" s="3"/>
    </row>
    <row r="679" spans="1:28" ht="14">
      <c r="A679" s="3"/>
      <c r="B679" s="3"/>
      <c r="C679" s="3"/>
      <c r="D679" s="3"/>
      <c r="E679" s="3"/>
      <c r="F679" s="3"/>
      <c r="G679" s="3"/>
      <c r="H679" s="3"/>
      <c r="I679" s="3"/>
      <c r="J679" s="3"/>
      <c r="K679" s="3"/>
      <c r="L679" s="3"/>
      <c r="M679" s="3"/>
      <c r="N679" s="3"/>
      <c r="O679" s="3"/>
      <c r="P679" s="3"/>
      <c r="Q679" s="48"/>
      <c r="R679" s="3"/>
      <c r="S679" s="3"/>
      <c r="T679" s="3"/>
      <c r="U679" s="28"/>
      <c r="V679" s="28"/>
      <c r="W679" s="77"/>
      <c r="X679" s="77"/>
      <c r="Y679" s="77"/>
      <c r="Z679" s="3"/>
      <c r="AA679" s="3"/>
      <c r="AB679" s="3"/>
    </row>
    <row r="680" spans="1:28" ht="14">
      <c r="A680" s="3"/>
      <c r="B680" s="3"/>
      <c r="C680" s="3"/>
      <c r="D680" s="3"/>
      <c r="E680" s="3"/>
      <c r="F680" s="3"/>
      <c r="G680" s="3"/>
      <c r="H680" s="3"/>
      <c r="I680" s="3"/>
      <c r="J680" s="3"/>
      <c r="K680" s="3"/>
      <c r="L680" s="3"/>
      <c r="M680" s="3"/>
      <c r="N680" s="3"/>
      <c r="O680" s="3"/>
      <c r="P680" s="3"/>
      <c r="Q680" s="48"/>
      <c r="R680" s="3"/>
      <c r="S680" s="3"/>
      <c r="T680" s="3"/>
      <c r="U680" s="28"/>
      <c r="V680" s="28"/>
      <c r="W680" s="77"/>
      <c r="X680" s="77"/>
      <c r="Y680" s="77"/>
      <c r="Z680" s="3"/>
      <c r="AA680" s="3"/>
      <c r="AB680" s="3"/>
    </row>
    <row r="681" spans="1:28" ht="14">
      <c r="A681" s="3"/>
      <c r="B681" s="3"/>
      <c r="C681" s="3"/>
      <c r="D681" s="3"/>
      <c r="E681" s="3"/>
      <c r="F681" s="3"/>
      <c r="G681" s="3"/>
      <c r="H681" s="3"/>
      <c r="I681" s="3"/>
      <c r="J681" s="3"/>
      <c r="K681" s="3"/>
      <c r="L681" s="3"/>
      <c r="M681" s="3"/>
      <c r="N681" s="3"/>
      <c r="O681" s="3"/>
      <c r="P681" s="3"/>
      <c r="Q681" s="48"/>
      <c r="R681" s="3"/>
      <c r="S681" s="3"/>
      <c r="T681" s="3"/>
      <c r="U681" s="28"/>
      <c r="V681" s="28"/>
      <c r="W681" s="77"/>
      <c r="X681" s="77"/>
      <c r="Y681" s="77"/>
      <c r="Z681" s="3"/>
      <c r="AA681" s="3"/>
      <c r="AB681" s="3"/>
    </row>
    <row r="682" spans="1:28" ht="14">
      <c r="A682" s="3"/>
      <c r="B682" s="3"/>
      <c r="C682" s="3"/>
      <c r="D682" s="3"/>
      <c r="E682" s="3"/>
      <c r="F682" s="3"/>
      <c r="G682" s="3"/>
      <c r="H682" s="3"/>
      <c r="I682" s="3"/>
      <c r="J682" s="3"/>
      <c r="K682" s="3"/>
      <c r="L682" s="3"/>
      <c r="M682" s="3"/>
      <c r="N682" s="3"/>
      <c r="O682" s="3"/>
      <c r="P682" s="3"/>
      <c r="Q682" s="48"/>
      <c r="R682" s="3"/>
      <c r="S682" s="3"/>
      <c r="T682" s="3"/>
      <c r="U682" s="28"/>
      <c r="V682" s="28"/>
      <c r="W682" s="77"/>
      <c r="X682" s="77"/>
      <c r="Y682" s="77"/>
      <c r="Z682" s="3"/>
      <c r="AA682" s="3"/>
      <c r="AB682" s="3"/>
    </row>
    <row r="683" spans="1:28" ht="14">
      <c r="A683" s="3"/>
      <c r="B683" s="3"/>
      <c r="C683" s="3"/>
      <c r="D683" s="3"/>
      <c r="E683" s="3"/>
      <c r="F683" s="3"/>
      <c r="G683" s="3"/>
      <c r="H683" s="3"/>
      <c r="I683" s="3"/>
      <c r="J683" s="3"/>
      <c r="K683" s="3"/>
      <c r="L683" s="3"/>
      <c r="M683" s="3"/>
      <c r="N683" s="3"/>
      <c r="O683" s="3"/>
      <c r="P683" s="3"/>
      <c r="Q683" s="48"/>
      <c r="R683" s="3"/>
      <c r="S683" s="3"/>
      <c r="T683" s="3"/>
      <c r="U683" s="28"/>
      <c r="V683" s="28"/>
      <c r="W683" s="77"/>
      <c r="X683" s="77"/>
      <c r="Y683" s="77"/>
      <c r="Z683" s="3"/>
      <c r="AA683" s="3"/>
      <c r="AB683" s="3"/>
    </row>
    <row r="684" spans="1:28" ht="14">
      <c r="A684" s="3"/>
      <c r="B684" s="3"/>
      <c r="C684" s="3"/>
      <c r="D684" s="3"/>
      <c r="E684" s="3"/>
      <c r="F684" s="3"/>
      <c r="G684" s="3"/>
      <c r="H684" s="3"/>
      <c r="I684" s="3"/>
      <c r="J684" s="3"/>
      <c r="K684" s="3"/>
      <c r="L684" s="3"/>
      <c r="M684" s="3"/>
      <c r="N684" s="3"/>
      <c r="O684" s="3"/>
      <c r="P684" s="3"/>
      <c r="Q684" s="48"/>
      <c r="R684" s="3"/>
      <c r="S684" s="3"/>
      <c r="T684" s="3"/>
      <c r="U684" s="28"/>
      <c r="V684" s="28"/>
      <c r="W684" s="77"/>
      <c r="X684" s="77"/>
      <c r="Y684" s="77"/>
      <c r="Z684" s="3"/>
      <c r="AA684" s="3"/>
      <c r="AB684" s="3"/>
    </row>
    <row r="685" spans="1:28" ht="14">
      <c r="A685" s="3"/>
      <c r="B685" s="3"/>
      <c r="C685" s="3"/>
      <c r="D685" s="3"/>
      <c r="E685" s="3"/>
      <c r="F685" s="3"/>
      <c r="G685" s="3"/>
      <c r="H685" s="3"/>
      <c r="I685" s="3"/>
      <c r="J685" s="3"/>
      <c r="K685" s="3"/>
      <c r="L685" s="3"/>
      <c r="M685" s="3"/>
      <c r="N685" s="3"/>
      <c r="O685" s="3"/>
      <c r="P685" s="3"/>
      <c r="Q685" s="48"/>
      <c r="R685" s="3"/>
      <c r="S685" s="3"/>
      <c r="T685" s="3"/>
      <c r="U685" s="28"/>
      <c r="V685" s="28"/>
      <c r="W685" s="77"/>
      <c r="X685" s="77"/>
      <c r="Y685" s="77"/>
      <c r="Z685" s="3"/>
      <c r="AA685" s="3"/>
      <c r="AB685" s="3"/>
    </row>
    <row r="686" spans="1:28" ht="14">
      <c r="A686" s="3"/>
      <c r="B686" s="3"/>
      <c r="C686" s="3"/>
      <c r="D686" s="3"/>
      <c r="E686" s="3"/>
      <c r="F686" s="3"/>
      <c r="G686" s="3"/>
      <c r="H686" s="3"/>
      <c r="I686" s="3"/>
      <c r="J686" s="3"/>
      <c r="K686" s="3"/>
      <c r="L686" s="3"/>
      <c r="M686" s="3"/>
      <c r="N686" s="3"/>
      <c r="O686" s="3"/>
      <c r="P686" s="3"/>
      <c r="Q686" s="48"/>
      <c r="R686" s="3"/>
      <c r="S686" s="3"/>
      <c r="T686" s="3"/>
      <c r="U686" s="28"/>
      <c r="V686" s="28"/>
      <c r="W686" s="77"/>
      <c r="X686" s="77"/>
      <c r="Y686" s="77"/>
      <c r="Z686" s="3"/>
      <c r="AA686" s="3"/>
      <c r="AB686" s="3"/>
    </row>
    <row r="687" spans="1:28" ht="14">
      <c r="A687" s="3"/>
      <c r="B687" s="3"/>
      <c r="C687" s="3"/>
      <c r="D687" s="3"/>
      <c r="E687" s="3"/>
      <c r="F687" s="3"/>
      <c r="G687" s="3"/>
      <c r="H687" s="3"/>
      <c r="I687" s="3"/>
      <c r="J687" s="3"/>
      <c r="K687" s="3"/>
      <c r="L687" s="3"/>
      <c r="M687" s="3"/>
      <c r="N687" s="3"/>
      <c r="O687" s="3"/>
      <c r="P687" s="3"/>
      <c r="Q687" s="48"/>
      <c r="R687" s="3"/>
      <c r="S687" s="3"/>
      <c r="T687" s="3"/>
      <c r="U687" s="28"/>
      <c r="V687" s="28"/>
      <c r="W687" s="77"/>
      <c r="X687" s="77"/>
      <c r="Y687" s="77"/>
      <c r="Z687" s="3"/>
      <c r="AA687" s="3"/>
      <c r="AB687" s="3"/>
    </row>
    <row r="688" spans="1:28" ht="14">
      <c r="A688" s="3"/>
      <c r="B688" s="3"/>
      <c r="C688" s="3"/>
      <c r="D688" s="3"/>
      <c r="E688" s="3"/>
      <c r="F688" s="3"/>
      <c r="G688" s="3"/>
      <c r="H688" s="3"/>
      <c r="I688" s="3"/>
      <c r="J688" s="3"/>
      <c r="K688" s="3"/>
      <c r="L688" s="3"/>
      <c r="M688" s="3"/>
      <c r="N688" s="3"/>
      <c r="O688" s="3"/>
      <c r="P688" s="3"/>
      <c r="Q688" s="48"/>
      <c r="R688" s="3"/>
      <c r="S688" s="3"/>
      <c r="T688" s="3"/>
      <c r="U688" s="28"/>
      <c r="V688" s="28"/>
      <c r="W688" s="77"/>
      <c r="X688" s="77"/>
      <c r="Y688" s="77"/>
      <c r="Z688" s="3"/>
      <c r="AA688" s="3"/>
      <c r="AB688" s="3"/>
    </row>
    <row r="689" spans="1:28" ht="14">
      <c r="A689" s="3"/>
      <c r="B689" s="3"/>
      <c r="C689" s="3"/>
      <c r="D689" s="3"/>
      <c r="E689" s="3"/>
      <c r="F689" s="3"/>
      <c r="G689" s="3"/>
      <c r="H689" s="3"/>
      <c r="I689" s="3"/>
      <c r="J689" s="3"/>
      <c r="K689" s="3"/>
      <c r="L689" s="3"/>
      <c r="M689" s="3"/>
      <c r="N689" s="3"/>
      <c r="O689" s="3"/>
      <c r="P689" s="3"/>
      <c r="Q689" s="48"/>
      <c r="R689" s="3"/>
      <c r="S689" s="3"/>
      <c r="T689" s="3"/>
      <c r="U689" s="28"/>
      <c r="V689" s="28"/>
      <c r="W689" s="77"/>
      <c r="X689" s="77"/>
      <c r="Y689" s="77"/>
      <c r="Z689" s="3"/>
      <c r="AA689" s="3"/>
      <c r="AB689" s="3"/>
    </row>
    <row r="690" spans="1:28" ht="14">
      <c r="A690" s="3"/>
      <c r="B690" s="3"/>
      <c r="C690" s="3"/>
      <c r="D690" s="3"/>
      <c r="E690" s="3"/>
      <c r="F690" s="3"/>
      <c r="G690" s="3"/>
      <c r="H690" s="3"/>
      <c r="I690" s="3"/>
      <c r="J690" s="3"/>
      <c r="K690" s="3"/>
      <c r="L690" s="3"/>
      <c r="M690" s="3"/>
      <c r="N690" s="3"/>
      <c r="O690" s="3"/>
      <c r="P690" s="3"/>
      <c r="Q690" s="48"/>
      <c r="R690" s="3"/>
      <c r="S690" s="3"/>
      <c r="T690" s="3"/>
      <c r="U690" s="28"/>
      <c r="V690" s="28"/>
      <c r="W690" s="77"/>
      <c r="X690" s="77"/>
      <c r="Y690" s="77"/>
      <c r="Z690" s="3"/>
      <c r="AA690" s="3"/>
      <c r="AB690" s="3"/>
    </row>
    <row r="691" spans="1:28" ht="14">
      <c r="A691" s="3"/>
      <c r="B691" s="3"/>
      <c r="C691" s="3"/>
      <c r="D691" s="3"/>
      <c r="E691" s="3"/>
      <c r="F691" s="3"/>
      <c r="G691" s="3"/>
      <c r="H691" s="3"/>
      <c r="I691" s="3"/>
      <c r="J691" s="3"/>
      <c r="K691" s="3"/>
      <c r="L691" s="3"/>
      <c r="M691" s="3"/>
      <c r="N691" s="3"/>
      <c r="O691" s="3"/>
      <c r="P691" s="3"/>
      <c r="Q691" s="48"/>
      <c r="R691" s="3"/>
      <c r="S691" s="3"/>
      <c r="T691" s="3"/>
      <c r="U691" s="28"/>
      <c r="V691" s="28"/>
      <c r="W691" s="77"/>
      <c r="X691" s="77"/>
      <c r="Y691" s="77"/>
      <c r="Z691" s="3"/>
      <c r="AA691" s="3"/>
      <c r="AB691" s="3"/>
    </row>
    <row r="692" spans="1:28" ht="14">
      <c r="A692" s="3"/>
      <c r="B692" s="3"/>
      <c r="C692" s="3"/>
      <c r="D692" s="3"/>
      <c r="E692" s="3"/>
      <c r="F692" s="3"/>
      <c r="G692" s="3"/>
      <c r="H692" s="3"/>
      <c r="I692" s="3"/>
      <c r="J692" s="3"/>
      <c r="K692" s="3"/>
      <c r="L692" s="3"/>
      <c r="M692" s="3"/>
      <c r="N692" s="3"/>
      <c r="O692" s="3"/>
      <c r="P692" s="3"/>
      <c r="Q692" s="48"/>
      <c r="R692" s="3"/>
      <c r="S692" s="3"/>
      <c r="T692" s="3"/>
      <c r="U692" s="28"/>
      <c r="V692" s="28"/>
      <c r="W692" s="77"/>
      <c r="X692" s="77"/>
      <c r="Y692" s="77"/>
      <c r="Z692" s="3"/>
      <c r="AA692" s="3"/>
      <c r="AB692" s="3"/>
    </row>
    <row r="693" spans="1:28" ht="14">
      <c r="A693" s="3"/>
      <c r="B693" s="3"/>
      <c r="C693" s="3"/>
      <c r="D693" s="3"/>
      <c r="E693" s="3"/>
      <c r="F693" s="3"/>
      <c r="G693" s="3"/>
      <c r="H693" s="3"/>
      <c r="I693" s="3"/>
      <c r="J693" s="3"/>
      <c r="K693" s="3"/>
      <c r="L693" s="3"/>
      <c r="M693" s="3"/>
      <c r="N693" s="3"/>
      <c r="O693" s="3"/>
      <c r="P693" s="3"/>
      <c r="Q693" s="48"/>
      <c r="R693" s="3"/>
      <c r="S693" s="3"/>
      <c r="T693" s="3"/>
      <c r="U693" s="28"/>
      <c r="V693" s="28"/>
      <c r="W693" s="77"/>
      <c r="X693" s="77"/>
      <c r="Y693" s="77"/>
      <c r="Z693" s="3"/>
      <c r="AA693" s="3"/>
      <c r="AB693" s="3"/>
    </row>
    <row r="694" spans="1:28" ht="14">
      <c r="A694" s="3"/>
      <c r="B694" s="3"/>
      <c r="C694" s="3"/>
      <c r="D694" s="3"/>
      <c r="E694" s="3"/>
      <c r="F694" s="3"/>
      <c r="G694" s="3"/>
      <c r="H694" s="3"/>
      <c r="I694" s="3"/>
      <c r="J694" s="3"/>
      <c r="K694" s="3"/>
      <c r="L694" s="3"/>
      <c r="M694" s="3"/>
      <c r="N694" s="3"/>
      <c r="O694" s="3"/>
      <c r="P694" s="3"/>
      <c r="Q694" s="48"/>
      <c r="R694" s="3"/>
      <c r="S694" s="3"/>
      <c r="T694" s="3"/>
      <c r="U694" s="28"/>
      <c r="V694" s="28"/>
      <c r="W694" s="77"/>
      <c r="X694" s="77"/>
      <c r="Y694" s="77"/>
      <c r="Z694" s="3"/>
      <c r="AA694" s="3"/>
      <c r="AB694" s="3"/>
    </row>
    <row r="695" spans="1:28" ht="14">
      <c r="A695" s="3"/>
      <c r="B695" s="3"/>
      <c r="C695" s="3"/>
      <c r="D695" s="3"/>
      <c r="E695" s="3"/>
      <c r="F695" s="3"/>
      <c r="G695" s="3"/>
      <c r="H695" s="3"/>
      <c r="I695" s="3"/>
      <c r="J695" s="3"/>
      <c r="K695" s="3"/>
      <c r="L695" s="3"/>
      <c r="M695" s="3"/>
      <c r="N695" s="3"/>
      <c r="O695" s="3"/>
      <c r="P695" s="3"/>
      <c r="Q695" s="48"/>
      <c r="R695" s="3"/>
      <c r="S695" s="3"/>
      <c r="T695" s="3"/>
      <c r="U695" s="28"/>
      <c r="V695" s="28"/>
      <c r="W695" s="77"/>
      <c r="X695" s="77"/>
      <c r="Y695" s="77"/>
      <c r="Z695" s="3"/>
      <c r="AA695" s="3"/>
      <c r="AB695" s="3"/>
    </row>
    <row r="696" spans="1:28" ht="14">
      <c r="A696" s="3"/>
      <c r="B696" s="3"/>
      <c r="C696" s="3"/>
      <c r="D696" s="3"/>
      <c r="E696" s="3"/>
      <c r="F696" s="3"/>
      <c r="G696" s="3"/>
      <c r="H696" s="3"/>
      <c r="I696" s="3"/>
      <c r="J696" s="3"/>
      <c r="K696" s="3"/>
      <c r="L696" s="3"/>
      <c r="M696" s="3"/>
      <c r="N696" s="3"/>
      <c r="O696" s="3"/>
      <c r="P696" s="3"/>
      <c r="Q696" s="48"/>
      <c r="R696" s="3"/>
      <c r="S696" s="3"/>
      <c r="T696" s="3"/>
      <c r="U696" s="28"/>
      <c r="V696" s="28"/>
      <c r="W696" s="77"/>
      <c r="X696" s="77"/>
      <c r="Y696" s="77"/>
      <c r="Z696" s="3"/>
      <c r="AA696" s="3"/>
      <c r="AB696" s="3"/>
    </row>
    <row r="697" spans="1:28" ht="14">
      <c r="A697" s="3"/>
      <c r="B697" s="3"/>
      <c r="C697" s="3"/>
      <c r="D697" s="3"/>
      <c r="E697" s="3"/>
      <c r="F697" s="3"/>
      <c r="G697" s="3"/>
      <c r="H697" s="3"/>
      <c r="I697" s="3"/>
      <c r="J697" s="3"/>
      <c r="K697" s="3"/>
      <c r="L697" s="3"/>
      <c r="M697" s="3"/>
      <c r="N697" s="3"/>
      <c r="O697" s="3"/>
      <c r="P697" s="3"/>
      <c r="Q697" s="48"/>
      <c r="R697" s="3"/>
      <c r="S697" s="3"/>
      <c r="T697" s="3"/>
      <c r="U697" s="28"/>
      <c r="V697" s="28"/>
      <c r="W697" s="77"/>
      <c r="X697" s="77"/>
      <c r="Y697" s="77"/>
      <c r="Z697" s="3"/>
      <c r="AA697" s="3"/>
      <c r="AB697" s="3"/>
    </row>
    <row r="698" spans="1:28" ht="14">
      <c r="A698" s="3"/>
      <c r="B698" s="3"/>
      <c r="C698" s="3"/>
      <c r="D698" s="3"/>
      <c r="E698" s="3"/>
      <c r="F698" s="3"/>
      <c r="G698" s="3"/>
      <c r="H698" s="3"/>
      <c r="I698" s="3"/>
      <c r="J698" s="3"/>
      <c r="K698" s="3"/>
      <c r="L698" s="3"/>
      <c r="M698" s="3"/>
      <c r="N698" s="3"/>
      <c r="O698" s="3"/>
      <c r="P698" s="3"/>
      <c r="Q698" s="48"/>
      <c r="R698" s="3"/>
      <c r="S698" s="3"/>
      <c r="T698" s="3"/>
      <c r="U698" s="28"/>
      <c r="V698" s="28"/>
      <c r="W698" s="77"/>
      <c r="X698" s="77"/>
      <c r="Y698" s="77"/>
      <c r="Z698" s="3"/>
      <c r="AA698" s="3"/>
      <c r="AB698" s="3"/>
    </row>
    <row r="699" spans="1:28" ht="14">
      <c r="A699" s="3"/>
      <c r="B699" s="3"/>
      <c r="C699" s="3"/>
      <c r="D699" s="3"/>
      <c r="E699" s="3"/>
      <c r="F699" s="3"/>
      <c r="G699" s="3"/>
      <c r="H699" s="3"/>
      <c r="I699" s="3"/>
      <c r="J699" s="3"/>
      <c r="K699" s="3"/>
      <c r="L699" s="3"/>
      <c r="M699" s="3"/>
      <c r="N699" s="3"/>
      <c r="O699" s="3"/>
      <c r="P699" s="3"/>
      <c r="Q699" s="48"/>
      <c r="R699" s="3"/>
      <c r="S699" s="3"/>
      <c r="T699" s="3"/>
      <c r="U699" s="28"/>
      <c r="V699" s="28"/>
      <c r="W699" s="77"/>
      <c r="X699" s="77"/>
      <c r="Y699" s="77"/>
      <c r="Z699" s="3"/>
      <c r="AA699" s="3"/>
      <c r="AB699" s="3"/>
    </row>
    <row r="700" spans="1:28" ht="14">
      <c r="A700" s="3"/>
      <c r="B700" s="3"/>
      <c r="C700" s="3"/>
      <c r="D700" s="3"/>
      <c r="E700" s="3"/>
      <c r="F700" s="3"/>
      <c r="G700" s="3"/>
      <c r="H700" s="3"/>
      <c r="I700" s="3"/>
      <c r="J700" s="3"/>
      <c r="K700" s="3"/>
      <c r="L700" s="3"/>
      <c r="M700" s="3"/>
      <c r="N700" s="3"/>
      <c r="O700" s="3"/>
      <c r="P700" s="3"/>
      <c r="Q700" s="48"/>
      <c r="R700" s="3"/>
      <c r="S700" s="3"/>
      <c r="T700" s="3"/>
      <c r="U700" s="28"/>
      <c r="V700" s="28"/>
      <c r="W700" s="77"/>
      <c r="X700" s="77"/>
      <c r="Y700" s="77"/>
      <c r="Z700" s="3"/>
      <c r="AA700" s="3"/>
      <c r="AB700" s="3"/>
    </row>
    <row r="701" spans="1:28" ht="14">
      <c r="A701" s="3"/>
      <c r="B701" s="3"/>
      <c r="C701" s="3"/>
      <c r="D701" s="3"/>
      <c r="E701" s="3"/>
      <c r="F701" s="3"/>
      <c r="G701" s="3"/>
      <c r="H701" s="3"/>
      <c r="I701" s="3"/>
      <c r="J701" s="3"/>
      <c r="K701" s="3"/>
      <c r="L701" s="3"/>
      <c r="M701" s="3"/>
      <c r="N701" s="3"/>
      <c r="O701" s="3"/>
      <c r="P701" s="3"/>
      <c r="Q701" s="48"/>
      <c r="R701" s="3"/>
      <c r="S701" s="3"/>
      <c r="T701" s="3"/>
      <c r="U701" s="28"/>
      <c r="V701" s="28"/>
      <c r="W701" s="77"/>
      <c r="X701" s="77"/>
      <c r="Y701" s="77"/>
      <c r="Z701" s="3"/>
      <c r="AA701" s="3"/>
      <c r="AB701" s="3"/>
    </row>
    <row r="702" spans="1:28" ht="14">
      <c r="A702" s="3"/>
      <c r="B702" s="3"/>
      <c r="C702" s="3"/>
      <c r="D702" s="3"/>
      <c r="E702" s="3"/>
      <c r="F702" s="3"/>
      <c r="G702" s="3"/>
      <c r="H702" s="3"/>
      <c r="I702" s="3"/>
      <c r="J702" s="3"/>
      <c r="K702" s="3"/>
      <c r="L702" s="3"/>
      <c r="M702" s="3"/>
      <c r="N702" s="3"/>
      <c r="O702" s="3"/>
      <c r="P702" s="3"/>
      <c r="Q702" s="48"/>
      <c r="R702" s="3"/>
      <c r="S702" s="3"/>
      <c r="T702" s="3"/>
      <c r="U702" s="28"/>
      <c r="V702" s="28"/>
      <c r="W702" s="77"/>
      <c r="X702" s="77"/>
      <c r="Y702" s="77"/>
      <c r="Z702" s="3"/>
      <c r="AA702" s="3"/>
      <c r="AB702" s="3"/>
    </row>
    <row r="703" spans="1:28" ht="14">
      <c r="A703" s="3"/>
      <c r="B703" s="3"/>
      <c r="C703" s="3"/>
      <c r="D703" s="3"/>
      <c r="E703" s="3"/>
      <c r="F703" s="3"/>
      <c r="G703" s="3"/>
      <c r="H703" s="3"/>
      <c r="I703" s="3"/>
      <c r="J703" s="3"/>
      <c r="K703" s="3"/>
      <c r="L703" s="3"/>
      <c r="M703" s="3"/>
      <c r="N703" s="3"/>
      <c r="O703" s="3"/>
      <c r="P703" s="3"/>
      <c r="Q703" s="48"/>
      <c r="R703" s="3"/>
      <c r="S703" s="3"/>
      <c r="T703" s="3"/>
      <c r="U703" s="28"/>
      <c r="V703" s="28"/>
      <c r="W703" s="77"/>
      <c r="X703" s="77"/>
      <c r="Y703" s="77"/>
      <c r="Z703" s="3"/>
      <c r="AA703" s="3"/>
      <c r="AB703" s="3"/>
    </row>
    <row r="704" spans="1:28" ht="14">
      <c r="A704" s="3"/>
      <c r="B704" s="3"/>
      <c r="C704" s="3"/>
      <c r="D704" s="3"/>
      <c r="E704" s="3"/>
      <c r="F704" s="3"/>
      <c r="G704" s="3"/>
      <c r="H704" s="3"/>
      <c r="I704" s="3"/>
      <c r="J704" s="3"/>
      <c r="K704" s="3"/>
      <c r="L704" s="3"/>
      <c r="M704" s="3"/>
      <c r="N704" s="3"/>
      <c r="O704" s="3"/>
      <c r="P704" s="3"/>
      <c r="Q704" s="48"/>
      <c r="R704" s="3"/>
      <c r="S704" s="3"/>
      <c r="T704" s="3"/>
      <c r="U704" s="28"/>
      <c r="V704" s="28"/>
      <c r="W704" s="77"/>
      <c r="X704" s="77"/>
      <c r="Y704" s="77"/>
      <c r="Z704" s="3"/>
      <c r="AA704" s="3"/>
      <c r="AB704" s="3"/>
    </row>
    <row r="705" spans="1:28" ht="14">
      <c r="A705" s="3"/>
      <c r="B705" s="3"/>
      <c r="C705" s="3"/>
      <c r="D705" s="3"/>
      <c r="E705" s="3"/>
      <c r="F705" s="3"/>
      <c r="G705" s="3"/>
      <c r="H705" s="3"/>
      <c r="I705" s="3"/>
      <c r="J705" s="3"/>
      <c r="K705" s="3"/>
      <c r="L705" s="3"/>
      <c r="M705" s="3"/>
      <c r="N705" s="3"/>
      <c r="O705" s="3"/>
      <c r="P705" s="3"/>
      <c r="Q705" s="48"/>
      <c r="R705" s="3"/>
      <c r="S705" s="3"/>
      <c r="T705" s="3"/>
      <c r="U705" s="28"/>
      <c r="V705" s="28"/>
      <c r="W705" s="77"/>
      <c r="X705" s="77"/>
      <c r="Y705" s="77"/>
      <c r="Z705" s="3"/>
      <c r="AA705" s="3"/>
      <c r="AB705" s="3"/>
    </row>
    <row r="706" spans="1:28" ht="14">
      <c r="A706" s="3"/>
      <c r="B706" s="3"/>
      <c r="C706" s="3"/>
      <c r="D706" s="3"/>
      <c r="E706" s="3"/>
      <c r="F706" s="3"/>
      <c r="G706" s="3"/>
      <c r="H706" s="3"/>
      <c r="I706" s="3"/>
      <c r="J706" s="3"/>
      <c r="K706" s="3"/>
      <c r="L706" s="3"/>
      <c r="M706" s="3"/>
      <c r="N706" s="3"/>
      <c r="O706" s="3"/>
      <c r="P706" s="3"/>
      <c r="Q706" s="48"/>
      <c r="R706" s="3"/>
      <c r="S706" s="3"/>
      <c r="T706" s="3"/>
      <c r="U706" s="28"/>
      <c r="V706" s="28"/>
      <c r="W706" s="77"/>
      <c r="X706" s="77"/>
      <c r="Y706" s="77"/>
      <c r="Z706" s="3"/>
      <c r="AA706" s="3"/>
      <c r="AB706" s="3"/>
    </row>
    <row r="707" spans="1:28" ht="14">
      <c r="A707" s="3"/>
      <c r="B707" s="3"/>
      <c r="C707" s="3"/>
      <c r="D707" s="3"/>
      <c r="E707" s="3"/>
      <c r="F707" s="3"/>
      <c r="G707" s="3"/>
      <c r="H707" s="3"/>
      <c r="I707" s="3"/>
      <c r="J707" s="3"/>
      <c r="K707" s="3"/>
      <c r="L707" s="3"/>
      <c r="M707" s="3"/>
      <c r="N707" s="3"/>
      <c r="O707" s="3"/>
      <c r="P707" s="3"/>
      <c r="Q707" s="48"/>
      <c r="R707" s="3"/>
      <c r="S707" s="3"/>
      <c r="T707" s="3"/>
      <c r="U707" s="28"/>
      <c r="V707" s="28"/>
      <c r="W707" s="77"/>
      <c r="X707" s="77"/>
      <c r="Y707" s="77"/>
      <c r="Z707" s="3"/>
      <c r="AA707" s="3"/>
      <c r="AB707" s="3"/>
    </row>
    <row r="708" spans="1:28" ht="14">
      <c r="A708" s="3"/>
      <c r="B708" s="3"/>
      <c r="C708" s="3"/>
      <c r="D708" s="3"/>
      <c r="E708" s="3"/>
      <c r="F708" s="3"/>
      <c r="G708" s="3"/>
      <c r="H708" s="3"/>
      <c r="I708" s="3"/>
      <c r="J708" s="3"/>
      <c r="K708" s="3"/>
      <c r="L708" s="3"/>
      <c r="M708" s="3"/>
      <c r="N708" s="3"/>
      <c r="O708" s="3"/>
      <c r="P708" s="3"/>
      <c r="Q708" s="48"/>
      <c r="R708" s="3"/>
      <c r="S708" s="3"/>
      <c r="T708" s="3"/>
      <c r="U708" s="28"/>
      <c r="V708" s="28"/>
      <c r="W708" s="77"/>
      <c r="X708" s="77"/>
      <c r="Y708" s="77"/>
      <c r="Z708" s="3"/>
      <c r="AA708" s="3"/>
      <c r="AB708" s="3"/>
    </row>
    <row r="709" spans="1:28" ht="14">
      <c r="A709" s="3"/>
      <c r="B709" s="3"/>
      <c r="C709" s="3"/>
      <c r="D709" s="3"/>
      <c r="E709" s="3"/>
      <c r="F709" s="3"/>
      <c r="G709" s="3"/>
      <c r="H709" s="3"/>
      <c r="I709" s="3"/>
      <c r="J709" s="3"/>
      <c r="K709" s="3"/>
      <c r="L709" s="3"/>
      <c r="M709" s="3"/>
      <c r="N709" s="3"/>
      <c r="O709" s="3"/>
      <c r="P709" s="3"/>
      <c r="Q709" s="48"/>
      <c r="R709" s="3"/>
      <c r="S709" s="3"/>
      <c r="T709" s="3"/>
      <c r="U709" s="28"/>
      <c r="V709" s="28"/>
      <c r="W709" s="77"/>
      <c r="X709" s="77"/>
      <c r="Y709" s="77"/>
      <c r="Z709" s="3"/>
      <c r="AA709" s="3"/>
      <c r="AB709" s="3"/>
    </row>
    <row r="710" spans="1:28" ht="14">
      <c r="A710" s="3"/>
      <c r="B710" s="3"/>
      <c r="C710" s="3"/>
      <c r="D710" s="3"/>
      <c r="E710" s="3"/>
      <c r="F710" s="3"/>
      <c r="G710" s="3"/>
      <c r="H710" s="3"/>
      <c r="I710" s="3"/>
      <c r="J710" s="3"/>
      <c r="K710" s="3"/>
      <c r="L710" s="3"/>
      <c r="M710" s="3"/>
      <c r="N710" s="3"/>
      <c r="O710" s="3"/>
      <c r="P710" s="3"/>
      <c r="Q710" s="48"/>
      <c r="R710" s="3"/>
      <c r="S710" s="3"/>
      <c r="T710" s="3"/>
      <c r="U710" s="28"/>
      <c r="V710" s="28"/>
      <c r="W710" s="77"/>
      <c r="X710" s="77"/>
      <c r="Y710" s="77"/>
      <c r="Z710" s="3"/>
      <c r="AA710" s="3"/>
      <c r="AB710" s="3"/>
    </row>
    <row r="711" spans="1:28" ht="14">
      <c r="A711" s="3"/>
      <c r="B711" s="3"/>
      <c r="C711" s="3"/>
      <c r="D711" s="3"/>
      <c r="E711" s="3"/>
      <c r="F711" s="3"/>
      <c r="G711" s="3"/>
      <c r="H711" s="3"/>
      <c r="I711" s="3"/>
      <c r="J711" s="3"/>
      <c r="K711" s="3"/>
      <c r="L711" s="3"/>
      <c r="M711" s="3"/>
      <c r="N711" s="3"/>
      <c r="O711" s="3"/>
      <c r="P711" s="3"/>
      <c r="Q711" s="48"/>
      <c r="R711" s="3"/>
      <c r="S711" s="3"/>
      <c r="T711" s="3"/>
      <c r="U711" s="28"/>
      <c r="V711" s="28"/>
      <c r="W711" s="77"/>
      <c r="X711" s="77"/>
      <c r="Y711" s="77"/>
      <c r="Z711" s="3"/>
      <c r="AA711" s="3"/>
      <c r="AB711" s="3"/>
    </row>
    <row r="712" spans="1:28" ht="14">
      <c r="A712" s="3"/>
      <c r="B712" s="3"/>
      <c r="C712" s="3"/>
      <c r="D712" s="3"/>
      <c r="E712" s="3"/>
      <c r="F712" s="3"/>
      <c r="G712" s="3"/>
      <c r="H712" s="3"/>
      <c r="I712" s="3"/>
      <c r="J712" s="3"/>
      <c r="K712" s="3"/>
      <c r="L712" s="3"/>
      <c r="M712" s="3"/>
      <c r="N712" s="3"/>
      <c r="O712" s="3"/>
      <c r="P712" s="3"/>
      <c r="Q712" s="48"/>
      <c r="R712" s="3"/>
      <c r="S712" s="3"/>
      <c r="T712" s="3"/>
      <c r="U712" s="28"/>
      <c r="V712" s="28"/>
      <c r="W712" s="77"/>
      <c r="X712" s="77"/>
      <c r="Y712" s="77"/>
      <c r="Z712" s="3"/>
      <c r="AA712" s="3"/>
      <c r="AB712" s="3"/>
    </row>
    <row r="713" spans="1:28" ht="14">
      <c r="A713" s="3"/>
      <c r="B713" s="3"/>
      <c r="C713" s="3"/>
      <c r="D713" s="3"/>
      <c r="E713" s="3"/>
      <c r="F713" s="3"/>
      <c r="G713" s="3"/>
      <c r="H713" s="3"/>
      <c r="I713" s="3"/>
      <c r="J713" s="3"/>
      <c r="K713" s="3"/>
      <c r="L713" s="3"/>
      <c r="M713" s="3"/>
      <c r="N713" s="3"/>
      <c r="O713" s="3"/>
      <c r="P713" s="3"/>
      <c r="Q713" s="48"/>
      <c r="R713" s="3"/>
      <c r="S713" s="3"/>
      <c r="T713" s="3"/>
      <c r="U713" s="28"/>
      <c r="V713" s="28"/>
      <c r="W713" s="77"/>
      <c r="X713" s="77"/>
      <c r="Y713" s="77"/>
      <c r="Z713" s="3"/>
      <c r="AA713" s="3"/>
      <c r="AB713" s="3"/>
    </row>
    <row r="714" spans="1:28" ht="14">
      <c r="A714" s="3"/>
      <c r="B714" s="3"/>
      <c r="C714" s="3"/>
      <c r="D714" s="3"/>
      <c r="E714" s="3"/>
      <c r="F714" s="3"/>
      <c r="G714" s="3"/>
      <c r="H714" s="3"/>
      <c r="I714" s="3"/>
      <c r="J714" s="3"/>
      <c r="K714" s="3"/>
      <c r="L714" s="3"/>
      <c r="M714" s="3"/>
      <c r="N714" s="3"/>
      <c r="O714" s="3"/>
      <c r="P714" s="3"/>
      <c r="Q714" s="48"/>
      <c r="R714" s="3"/>
      <c r="S714" s="3"/>
      <c r="T714" s="3"/>
      <c r="U714" s="28"/>
      <c r="V714" s="28"/>
      <c r="W714" s="77"/>
      <c r="X714" s="77"/>
      <c r="Y714" s="77"/>
      <c r="Z714" s="3"/>
      <c r="AA714" s="3"/>
      <c r="AB714" s="3"/>
    </row>
    <row r="715" spans="1:28" ht="14">
      <c r="A715" s="3"/>
      <c r="B715" s="3"/>
      <c r="C715" s="3"/>
      <c r="D715" s="3"/>
      <c r="E715" s="3"/>
      <c r="F715" s="3"/>
      <c r="G715" s="3"/>
      <c r="H715" s="3"/>
      <c r="I715" s="3"/>
      <c r="J715" s="3"/>
      <c r="K715" s="3"/>
      <c r="L715" s="3"/>
      <c r="M715" s="3"/>
      <c r="N715" s="3"/>
      <c r="O715" s="3"/>
      <c r="P715" s="3"/>
      <c r="Q715" s="48"/>
      <c r="R715" s="3"/>
      <c r="S715" s="3"/>
      <c r="T715" s="3"/>
      <c r="U715" s="28"/>
      <c r="V715" s="28"/>
      <c r="W715" s="77"/>
      <c r="X715" s="77"/>
      <c r="Y715" s="77"/>
      <c r="Z715" s="3"/>
      <c r="AA715" s="3"/>
      <c r="AB715" s="3"/>
    </row>
    <row r="716" spans="1:28" ht="14">
      <c r="A716" s="3"/>
      <c r="B716" s="3"/>
      <c r="C716" s="3"/>
      <c r="D716" s="3"/>
      <c r="E716" s="3"/>
      <c r="F716" s="3"/>
      <c r="G716" s="3"/>
      <c r="H716" s="3"/>
      <c r="I716" s="3"/>
      <c r="J716" s="3"/>
      <c r="K716" s="3"/>
      <c r="L716" s="3"/>
      <c r="M716" s="3"/>
      <c r="N716" s="3"/>
      <c r="O716" s="3"/>
      <c r="P716" s="3"/>
      <c r="Q716" s="48"/>
      <c r="R716" s="3"/>
      <c r="S716" s="3"/>
      <c r="T716" s="3"/>
      <c r="U716" s="28"/>
      <c r="V716" s="28"/>
      <c r="W716" s="77"/>
      <c r="X716" s="77"/>
      <c r="Y716" s="77"/>
      <c r="Z716" s="3"/>
      <c r="AA716" s="3"/>
      <c r="AB716" s="3"/>
    </row>
    <row r="717" spans="1:28" ht="14">
      <c r="A717" s="3"/>
      <c r="B717" s="3"/>
      <c r="C717" s="3"/>
      <c r="D717" s="3"/>
      <c r="E717" s="3"/>
      <c r="F717" s="3"/>
      <c r="G717" s="3"/>
      <c r="H717" s="3"/>
      <c r="I717" s="3"/>
      <c r="J717" s="3"/>
      <c r="K717" s="3"/>
      <c r="L717" s="3"/>
      <c r="M717" s="3"/>
      <c r="N717" s="3"/>
      <c r="O717" s="3"/>
      <c r="P717" s="3"/>
      <c r="Q717" s="48"/>
      <c r="R717" s="3"/>
      <c r="S717" s="3"/>
      <c r="T717" s="3"/>
      <c r="U717" s="28"/>
      <c r="V717" s="28"/>
      <c r="W717" s="77"/>
      <c r="X717" s="77"/>
      <c r="Y717" s="77"/>
      <c r="Z717" s="3"/>
      <c r="AA717" s="3"/>
      <c r="AB717" s="3"/>
    </row>
    <row r="718" spans="1:28" ht="14">
      <c r="A718" s="3"/>
      <c r="B718" s="3"/>
      <c r="C718" s="3"/>
      <c r="D718" s="3"/>
      <c r="E718" s="3"/>
      <c r="F718" s="3"/>
      <c r="G718" s="3"/>
      <c r="H718" s="3"/>
      <c r="I718" s="3"/>
      <c r="J718" s="3"/>
      <c r="K718" s="3"/>
      <c r="L718" s="3"/>
      <c r="M718" s="3"/>
      <c r="N718" s="3"/>
      <c r="O718" s="3"/>
      <c r="P718" s="3"/>
      <c r="Q718" s="48"/>
      <c r="R718" s="3"/>
      <c r="S718" s="3"/>
      <c r="T718" s="3"/>
      <c r="U718" s="28"/>
      <c r="V718" s="28"/>
      <c r="W718" s="77"/>
      <c r="X718" s="77"/>
      <c r="Y718" s="77"/>
      <c r="Z718" s="3"/>
      <c r="AA718" s="3"/>
      <c r="AB718" s="3"/>
    </row>
    <row r="719" spans="1:28" ht="14">
      <c r="A719" s="3"/>
      <c r="B719" s="3"/>
      <c r="C719" s="3"/>
      <c r="D719" s="3"/>
      <c r="E719" s="3"/>
      <c r="F719" s="3"/>
      <c r="G719" s="3"/>
      <c r="H719" s="3"/>
      <c r="I719" s="3"/>
      <c r="J719" s="3"/>
      <c r="K719" s="3"/>
      <c r="L719" s="3"/>
      <c r="M719" s="3"/>
      <c r="N719" s="3"/>
      <c r="O719" s="3"/>
      <c r="P719" s="3"/>
      <c r="Q719" s="48"/>
      <c r="R719" s="3"/>
      <c r="S719" s="3"/>
      <c r="T719" s="3"/>
      <c r="U719" s="28"/>
      <c r="V719" s="28"/>
      <c r="W719" s="77"/>
      <c r="X719" s="77"/>
      <c r="Y719" s="77"/>
      <c r="Z719" s="3"/>
      <c r="AA719" s="3"/>
      <c r="AB719" s="3"/>
    </row>
    <row r="720" spans="1:28" ht="14">
      <c r="A720" s="3"/>
      <c r="B720" s="3"/>
      <c r="C720" s="3"/>
      <c r="D720" s="3"/>
      <c r="E720" s="3"/>
      <c r="F720" s="3"/>
      <c r="G720" s="3"/>
      <c r="H720" s="3"/>
      <c r="I720" s="3"/>
      <c r="J720" s="3"/>
      <c r="K720" s="3"/>
      <c r="L720" s="3"/>
      <c r="M720" s="3"/>
      <c r="N720" s="3"/>
      <c r="O720" s="3"/>
      <c r="P720" s="3"/>
      <c r="Q720" s="48"/>
      <c r="R720" s="3"/>
      <c r="S720" s="3"/>
      <c r="T720" s="3"/>
      <c r="U720" s="28"/>
      <c r="V720" s="28"/>
      <c r="W720" s="77"/>
      <c r="X720" s="77"/>
      <c r="Y720" s="77"/>
      <c r="Z720" s="3"/>
      <c r="AA720" s="3"/>
      <c r="AB720" s="3"/>
    </row>
    <row r="721" spans="1:28" ht="14">
      <c r="A721" s="3"/>
      <c r="B721" s="3"/>
      <c r="C721" s="3"/>
      <c r="D721" s="3"/>
      <c r="E721" s="3"/>
      <c r="F721" s="3"/>
      <c r="G721" s="3"/>
      <c r="H721" s="3"/>
      <c r="I721" s="3"/>
      <c r="J721" s="3"/>
      <c r="K721" s="3"/>
      <c r="L721" s="3"/>
      <c r="M721" s="3"/>
      <c r="N721" s="3"/>
      <c r="O721" s="3"/>
      <c r="P721" s="3"/>
      <c r="Q721" s="48"/>
      <c r="R721" s="3"/>
      <c r="S721" s="3"/>
      <c r="T721" s="3"/>
      <c r="U721" s="28"/>
      <c r="V721" s="28"/>
      <c r="W721" s="77"/>
      <c r="X721" s="77"/>
      <c r="Y721" s="77"/>
      <c r="Z721" s="3"/>
      <c r="AA721" s="3"/>
      <c r="AB721" s="3"/>
    </row>
    <row r="722" spans="1:28" ht="14">
      <c r="A722" s="3"/>
      <c r="B722" s="3"/>
      <c r="C722" s="3"/>
      <c r="D722" s="3"/>
      <c r="E722" s="3"/>
      <c r="F722" s="3"/>
      <c r="G722" s="3"/>
      <c r="H722" s="3"/>
      <c r="I722" s="3"/>
      <c r="J722" s="3"/>
      <c r="K722" s="3"/>
      <c r="L722" s="3"/>
      <c r="M722" s="3"/>
      <c r="N722" s="3"/>
      <c r="O722" s="3"/>
      <c r="P722" s="3"/>
      <c r="Q722" s="48"/>
      <c r="R722" s="3"/>
      <c r="S722" s="3"/>
      <c r="T722" s="3"/>
      <c r="U722" s="28"/>
      <c r="V722" s="28"/>
      <c r="W722" s="77"/>
      <c r="X722" s="77"/>
      <c r="Y722" s="77"/>
      <c r="Z722" s="3"/>
      <c r="AA722" s="3"/>
      <c r="AB722" s="3"/>
    </row>
    <row r="723" spans="1:28" ht="14">
      <c r="A723" s="3"/>
      <c r="B723" s="3"/>
      <c r="C723" s="3"/>
      <c r="D723" s="3"/>
      <c r="E723" s="3"/>
      <c r="F723" s="3"/>
      <c r="G723" s="3"/>
      <c r="H723" s="3"/>
      <c r="I723" s="3"/>
      <c r="J723" s="3"/>
      <c r="K723" s="3"/>
      <c r="L723" s="3"/>
      <c r="M723" s="3"/>
      <c r="N723" s="3"/>
      <c r="O723" s="3"/>
      <c r="P723" s="3"/>
      <c r="Q723" s="48"/>
      <c r="R723" s="3"/>
      <c r="S723" s="3"/>
      <c r="T723" s="3"/>
      <c r="U723" s="28"/>
      <c r="V723" s="28"/>
      <c r="W723" s="77"/>
      <c r="X723" s="77"/>
      <c r="Y723" s="77"/>
      <c r="Z723" s="3"/>
      <c r="AA723" s="3"/>
      <c r="AB723" s="3"/>
    </row>
    <row r="724" spans="1:28" ht="14">
      <c r="A724" s="3"/>
      <c r="B724" s="3"/>
      <c r="C724" s="3"/>
      <c r="D724" s="3"/>
      <c r="E724" s="3"/>
      <c r="F724" s="3"/>
      <c r="G724" s="3"/>
      <c r="H724" s="3"/>
      <c r="I724" s="3"/>
      <c r="J724" s="3"/>
      <c r="K724" s="3"/>
      <c r="L724" s="3"/>
      <c r="M724" s="3"/>
      <c r="N724" s="3"/>
      <c r="O724" s="3"/>
      <c r="P724" s="3"/>
      <c r="Q724" s="48"/>
      <c r="R724" s="3"/>
      <c r="S724" s="3"/>
      <c r="T724" s="3"/>
      <c r="U724" s="28"/>
      <c r="V724" s="28"/>
      <c r="W724" s="77"/>
      <c r="X724" s="77"/>
      <c r="Y724" s="77"/>
      <c r="Z724" s="3"/>
      <c r="AA724" s="3"/>
      <c r="AB724" s="3"/>
    </row>
    <row r="725" spans="1:28" ht="14">
      <c r="A725" s="3"/>
      <c r="B725" s="3"/>
      <c r="C725" s="3"/>
      <c r="D725" s="3"/>
      <c r="E725" s="3"/>
      <c r="F725" s="3"/>
      <c r="G725" s="3"/>
      <c r="H725" s="3"/>
      <c r="I725" s="3"/>
      <c r="J725" s="3"/>
      <c r="K725" s="3"/>
      <c r="L725" s="3"/>
      <c r="M725" s="3"/>
      <c r="N725" s="3"/>
      <c r="O725" s="3"/>
      <c r="P725" s="3"/>
      <c r="Q725" s="48"/>
      <c r="R725" s="3"/>
      <c r="S725" s="3"/>
      <c r="T725" s="3"/>
      <c r="U725" s="28"/>
      <c r="V725" s="28"/>
      <c r="W725" s="77"/>
      <c r="X725" s="77"/>
      <c r="Y725" s="77"/>
      <c r="Z725" s="3"/>
      <c r="AA725" s="3"/>
      <c r="AB725" s="3"/>
    </row>
    <row r="726" spans="1:28" ht="14">
      <c r="A726" s="3"/>
      <c r="B726" s="3"/>
      <c r="C726" s="3"/>
      <c r="D726" s="3"/>
      <c r="E726" s="3"/>
      <c r="F726" s="3"/>
      <c r="G726" s="3"/>
      <c r="H726" s="3"/>
      <c r="I726" s="3"/>
      <c r="J726" s="3"/>
      <c r="K726" s="3"/>
      <c r="L726" s="3"/>
      <c r="M726" s="3"/>
      <c r="N726" s="3"/>
      <c r="O726" s="3"/>
      <c r="P726" s="3"/>
      <c r="Q726" s="48"/>
      <c r="R726" s="3"/>
      <c r="S726" s="3"/>
      <c r="T726" s="3"/>
      <c r="U726" s="28"/>
      <c r="V726" s="28"/>
      <c r="W726" s="77"/>
      <c r="X726" s="77"/>
      <c r="Y726" s="77"/>
      <c r="Z726" s="3"/>
      <c r="AA726" s="3"/>
      <c r="AB726" s="3"/>
    </row>
    <row r="727" spans="1:28" ht="14">
      <c r="A727" s="3"/>
      <c r="B727" s="3"/>
      <c r="C727" s="3"/>
      <c r="D727" s="3"/>
      <c r="E727" s="3"/>
      <c r="F727" s="3"/>
      <c r="G727" s="3"/>
      <c r="H727" s="3"/>
      <c r="I727" s="3"/>
      <c r="J727" s="3"/>
      <c r="K727" s="3"/>
      <c r="L727" s="3"/>
      <c r="M727" s="3"/>
      <c r="N727" s="3"/>
      <c r="O727" s="3"/>
      <c r="P727" s="3"/>
      <c r="Q727" s="48"/>
      <c r="R727" s="3"/>
      <c r="S727" s="3"/>
      <c r="T727" s="3"/>
      <c r="U727" s="28"/>
      <c r="V727" s="28"/>
      <c r="W727" s="77"/>
      <c r="X727" s="77"/>
      <c r="Y727" s="77"/>
      <c r="Z727" s="3"/>
      <c r="AA727" s="3"/>
      <c r="AB727" s="3"/>
    </row>
    <row r="728" spans="1:28" ht="14">
      <c r="A728" s="3"/>
      <c r="B728" s="3"/>
      <c r="C728" s="3"/>
      <c r="D728" s="3"/>
      <c r="E728" s="3"/>
      <c r="F728" s="3"/>
      <c r="G728" s="3"/>
      <c r="H728" s="3"/>
      <c r="I728" s="3"/>
      <c r="J728" s="3"/>
      <c r="K728" s="3"/>
      <c r="L728" s="3"/>
      <c r="M728" s="3"/>
      <c r="N728" s="3"/>
      <c r="O728" s="3"/>
      <c r="P728" s="3"/>
      <c r="Q728" s="48"/>
      <c r="R728" s="3"/>
      <c r="S728" s="3"/>
      <c r="T728" s="3"/>
      <c r="U728" s="28"/>
      <c r="V728" s="28"/>
      <c r="W728" s="77"/>
      <c r="X728" s="77"/>
      <c r="Y728" s="77"/>
      <c r="Z728" s="3"/>
      <c r="AA728" s="3"/>
      <c r="AB728" s="3"/>
    </row>
    <row r="729" spans="1:28" ht="14">
      <c r="A729" s="3"/>
      <c r="B729" s="3"/>
      <c r="C729" s="3"/>
      <c r="D729" s="3"/>
      <c r="E729" s="3"/>
      <c r="F729" s="3"/>
      <c r="G729" s="3"/>
      <c r="H729" s="3"/>
      <c r="I729" s="3"/>
      <c r="J729" s="3"/>
      <c r="K729" s="3"/>
      <c r="L729" s="3"/>
      <c r="M729" s="3"/>
      <c r="N729" s="3"/>
      <c r="O729" s="3"/>
      <c r="P729" s="3"/>
      <c r="Q729" s="48"/>
      <c r="R729" s="3"/>
      <c r="S729" s="3"/>
      <c r="T729" s="3"/>
      <c r="U729" s="28"/>
      <c r="V729" s="28"/>
      <c r="W729" s="77"/>
      <c r="X729" s="77"/>
      <c r="Y729" s="77"/>
      <c r="Z729" s="3"/>
      <c r="AA729" s="3"/>
      <c r="AB729" s="3"/>
    </row>
    <row r="730" spans="1:28" ht="14">
      <c r="A730" s="3"/>
      <c r="B730" s="3"/>
      <c r="C730" s="3"/>
      <c r="D730" s="3"/>
      <c r="E730" s="3"/>
      <c r="F730" s="3"/>
      <c r="G730" s="3"/>
      <c r="H730" s="3"/>
      <c r="I730" s="3"/>
      <c r="J730" s="3"/>
      <c r="K730" s="3"/>
      <c r="L730" s="3"/>
      <c r="M730" s="3"/>
      <c r="N730" s="3"/>
      <c r="O730" s="3"/>
      <c r="P730" s="3"/>
      <c r="Q730" s="48"/>
      <c r="R730" s="3"/>
      <c r="S730" s="3"/>
      <c r="T730" s="3"/>
      <c r="U730" s="28"/>
      <c r="V730" s="28"/>
      <c r="W730" s="77"/>
      <c r="X730" s="77"/>
      <c r="Y730" s="77"/>
      <c r="Z730" s="3"/>
      <c r="AA730" s="3"/>
      <c r="AB730" s="3"/>
    </row>
    <row r="731" spans="1:28" ht="14">
      <c r="A731" s="3"/>
      <c r="B731" s="3"/>
      <c r="C731" s="3"/>
      <c r="D731" s="3"/>
      <c r="E731" s="3"/>
      <c r="F731" s="3"/>
      <c r="G731" s="3"/>
      <c r="H731" s="3"/>
      <c r="I731" s="3"/>
      <c r="J731" s="3"/>
      <c r="K731" s="3"/>
      <c r="L731" s="3"/>
      <c r="M731" s="3"/>
      <c r="N731" s="3"/>
      <c r="O731" s="3"/>
      <c r="P731" s="3"/>
      <c r="Q731" s="48"/>
      <c r="R731" s="3"/>
      <c r="S731" s="3"/>
      <c r="T731" s="3"/>
      <c r="U731" s="28"/>
      <c r="V731" s="28"/>
      <c r="W731" s="77"/>
      <c r="X731" s="77"/>
      <c r="Y731" s="77"/>
      <c r="Z731" s="3"/>
      <c r="AA731" s="3"/>
      <c r="AB731" s="3"/>
    </row>
    <row r="732" spans="1:28" ht="14">
      <c r="A732" s="3"/>
      <c r="B732" s="3"/>
      <c r="C732" s="3"/>
      <c r="D732" s="3"/>
      <c r="E732" s="3"/>
      <c r="F732" s="3"/>
      <c r="G732" s="3"/>
      <c r="H732" s="3"/>
      <c r="I732" s="3"/>
      <c r="J732" s="3"/>
      <c r="K732" s="3"/>
      <c r="L732" s="3"/>
      <c r="M732" s="3"/>
      <c r="N732" s="3"/>
      <c r="O732" s="3"/>
      <c r="P732" s="3"/>
      <c r="Q732" s="48"/>
      <c r="R732" s="3"/>
      <c r="S732" s="3"/>
      <c r="T732" s="3"/>
      <c r="U732" s="28"/>
      <c r="V732" s="28"/>
      <c r="W732" s="77"/>
      <c r="X732" s="77"/>
      <c r="Y732" s="77"/>
      <c r="Z732" s="3"/>
      <c r="AA732" s="3"/>
      <c r="AB732" s="3"/>
    </row>
    <row r="733" spans="1:28" ht="14">
      <c r="A733" s="3"/>
      <c r="B733" s="3"/>
      <c r="C733" s="3"/>
      <c r="D733" s="3"/>
      <c r="E733" s="3"/>
      <c r="F733" s="3"/>
      <c r="G733" s="3"/>
      <c r="H733" s="3"/>
      <c r="I733" s="3"/>
      <c r="J733" s="3"/>
      <c r="K733" s="3"/>
      <c r="L733" s="3"/>
      <c r="M733" s="3"/>
      <c r="N733" s="3"/>
      <c r="O733" s="3"/>
      <c r="P733" s="3"/>
      <c r="Q733" s="48"/>
      <c r="R733" s="3"/>
      <c r="S733" s="3"/>
      <c r="T733" s="3"/>
      <c r="U733" s="28"/>
      <c r="V733" s="28"/>
      <c r="W733" s="77"/>
      <c r="X733" s="77"/>
      <c r="Y733" s="77"/>
      <c r="Z733" s="3"/>
      <c r="AA733" s="3"/>
      <c r="AB733" s="3"/>
    </row>
    <row r="734" spans="1:28" ht="14">
      <c r="A734" s="3"/>
      <c r="B734" s="3"/>
      <c r="C734" s="3"/>
      <c r="D734" s="3"/>
      <c r="E734" s="3"/>
      <c r="F734" s="3"/>
      <c r="G734" s="3"/>
      <c r="H734" s="3"/>
      <c r="I734" s="3"/>
      <c r="J734" s="3"/>
      <c r="K734" s="3"/>
      <c r="L734" s="3"/>
      <c r="M734" s="3"/>
      <c r="N734" s="3"/>
      <c r="O734" s="3"/>
      <c r="P734" s="3"/>
      <c r="Q734" s="48"/>
      <c r="R734" s="3"/>
      <c r="S734" s="3"/>
      <c r="T734" s="3"/>
      <c r="U734" s="28"/>
      <c r="V734" s="28"/>
      <c r="W734" s="77"/>
      <c r="X734" s="77"/>
      <c r="Y734" s="77"/>
      <c r="Z734" s="3"/>
      <c r="AA734" s="3"/>
      <c r="AB734" s="3"/>
    </row>
    <row r="735" spans="1:28" ht="14">
      <c r="A735" s="3"/>
      <c r="B735" s="3"/>
      <c r="C735" s="3"/>
      <c r="D735" s="3"/>
      <c r="E735" s="3"/>
      <c r="F735" s="3"/>
      <c r="G735" s="3"/>
      <c r="H735" s="3"/>
      <c r="I735" s="3"/>
      <c r="J735" s="3"/>
      <c r="K735" s="3"/>
      <c r="L735" s="3"/>
      <c r="M735" s="3"/>
      <c r="N735" s="3"/>
      <c r="O735" s="3"/>
      <c r="P735" s="3"/>
      <c r="Q735" s="48"/>
      <c r="R735" s="3"/>
      <c r="S735" s="3"/>
      <c r="T735" s="3"/>
      <c r="U735" s="28"/>
      <c r="V735" s="28"/>
      <c r="W735" s="77"/>
      <c r="X735" s="77"/>
      <c r="Y735" s="77"/>
      <c r="Z735" s="3"/>
      <c r="AA735" s="3"/>
      <c r="AB735" s="3"/>
    </row>
    <row r="736" spans="1:28" ht="14">
      <c r="A736" s="3"/>
      <c r="B736" s="3"/>
      <c r="C736" s="3"/>
      <c r="D736" s="3"/>
      <c r="E736" s="3"/>
      <c r="F736" s="3"/>
      <c r="G736" s="3"/>
      <c r="H736" s="3"/>
      <c r="I736" s="3"/>
      <c r="J736" s="3"/>
      <c r="K736" s="3"/>
      <c r="L736" s="3"/>
      <c r="M736" s="3"/>
      <c r="N736" s="3"/>
      <c r="O736" s="3"/>
      <c r="P736" s="3"/>
      <c r="Q736" s="48"/>
      <c r="R736" s="3"/>
      <c r="S736" s="3"/>
      <c r="T736" s="3"/>
      <c r="U736" s="28"/>
      <c r="V736" s="28"/>
      <c r="W736" s="77"/>
      <c r="X736" s="77"/>
      <c r="Y736" s="77"/>
      <c r="Z736" s="3"/>
      <c r="AA736" s="3"/>
      <c r="AB736" s="3"/>
    </row>
    <row r="737" spans="1:28" ht="14">
      <c r="A737" s="3"/>
      <c r="B737" s="3"/>
      <c r="C737" s="3"/>
      <c r="D737" s="3"/>
      <c r="E737" s="3"/>
      <c r="F737" s="3"/>
      <c r="G737" s="3"/>
      <c r="H737" s="3"/>
      <c r="I737" s="3"/>
      <c r="J737" s="3"/>
      <c r="K737" s="3"/>
      <c r="L737" s="3"/>
      <c r="M737" s="3"/>
      <c r="N737" s="3"/>
      <c r="O737" s="3"/>
      <c r="P737" s="3"/>
      <c r="Q737" s="48"/>
      <c r="R737" s="3"/>
      <c r="S737" s="3"/>
      <c r="T737" s="3"/>
      <c r="U737" s="28"/>
      <c r="V737" s="28"/>
      <c r="W737" s="77"/>
      <c r="X737" s="77"/>
      <c r="Y737" s="77"/>
      <c r="Z737" s="3"/>
      <c r="AA737" s="3"/>
      <c r="AB737" s="3"/>
    </row>
    <row r="738" spans="1:28" ht="14">
      <c r="A738" s="3"/>
      <c r="B738" s="3"/>
      <c r="C738" s="3"/>
      <c r="D738" s="3"/>
      <c r="E738" s="3"/>
      <c r="F738" s="3"/>
      <c r="G738" s="3"/>
      <c r="H738" s="3"/>
      <c r="I738" s="3"/>
      <c r="J738" s="3"/>
      <c r="K738" s="3"/>
      <c r="L738" s="3"/>
      <c r="M738" s="3"/>
      <c r="N738" s="3"/>
      <c r="O738" s="3"/>
      <c r="P738" s="3"/>
      <c r="Q738" s="48"/>
      <c r="R738" s="3"/>
      <c r="S738" s="3"/>
      <c r="T738" s="3"/>
      <c r="U738" s="28"/>
      <c r="V738" s="28"/>
      <c r="W738" s="77"/>
      <c r="X738" s="77"/>
      <c r="Y738" s="77"/>
      <c r="Z738" s="3"/>
      <c r="AA738" s="3"/>
      <c r="AB738" s="3"/>
    </row>
    <row r="739" spans="1:28" ht="14">
      <c r="A739" s="3"/>
      <c r="B739" s="3"/>
      <c r="C739" s="3"/>
      <c r="D739" s="3"/>
      <c r="E739" s="3"/>
      <c r="F739" s="3"/>
      <c r="G739" s="3"/>
      <c r="H739" s="3"/>
      <c r="I739" s="3"/>
      <c r="J739" s="3"/>
      <c r="K739" s="3"/>
      <c r="L739" s="3"/>
      <c r="M739" s="3"/>
      <c r="N739" s="3"/>
      <c r="O739" s="3"/>
      <c r="P739" s="3"/>
      <c r="Q739" s="48"/>
      <c r="R739" s="3"/>
      <c r="S739" s="3"/>
      <c r="T739" s="3"/>
      <c r="U739" s="28"/>
      <c r="V739" s="28"/>
      <c r="W739" s="77"/>
      <c r="X739" s="77"/>
      <c r="Y739" s="77"/>
      <c r="Z739" s="3"/>
      <c r="AA739" s="3"/>
      <c r="AB739" s="3"/>
    </row>
    <row r="740" spans="1:28" ht="14">
      <c r="A740" s="3"/>
      <c r="B740" s="3"/>
      <c r="C740" s="3"/>
      <c r="D740" s="3"/>
      <c r="E740" s="3"/>
      <c r="F740" s="3"/>
      <c r="G740" s="3"/>
      <c r="H740" s="3"/>
      <c r="I740" s="3"/>
      <c r="J740" s="3"/>
      <c r="K740" s="3"/>
      <c r="L740" s="3"/>
      <c r="M740" s="3"/>
      <c r="N740" s="3"/>
      <c r="O740" s="3"/>
      <c r="P740" s="3"/>
      <c r="Q740" s="48"/>
      <c r="R740" s="3"/>
      <c r="S740" s="3"/>
      <c r="T740" s="3"/>
      <c r="U740" s="28"/>
      <c r="V740" s="28"/>
      <c r="W740" s="77"/>
      <c r="X740" s="77"/>
      <c r="Y740" s="77"/>
      <c r="Z740" s="3"/>
      <c r="AA740" s="3"/>
      <c r="AB740" s="3"/>
    </row>
    <row r="741" spans="1:28" ht="14">
      <c r="A741" s="3"/>
      <c r="B741" s="3"/>
      <c r="C741" s="3"/>
      <c r="D741" s="3"/>
      <c r="E741" s="3"/>
      <c r="F741" s="3"/>
      <c r="G741" s="3"/>
      <c r="H741" s="3"/>
      <c r="I741" s="3"/>
      <c r="J741" s="3"/>
      <c r="K741" s="3"/>
      <c r="L741" s="3"/>
      <c r="M741" s="3"/>
      <c r="N741" s="3"/>
      <c r="O741" s="3"/>
      <c r="P741" s="3"/>
      <c r="Q741" s="48"/>
      <c r="R741" s="3"/>
      <c r="S741" s="3"/>
      <c r="T741" s="3"/>
      <c r="U741" s="28"/>
      <c r="V741" s="28"/>
      <c r="W741" s="77"/>
      <c r="X741" s="77"/>
      <c r="Y741" s="77"/>
      <c r="Z741" s="3"/>
      <c r="AA741" s="3"/>
      <c r="AB741" s="3"/>
    </row>
    <row r="742" spans="1:28" ht="14">
      <c r="A742" s="3"/>
      <c r="B742" s="3"/>
      <c r="C742" s="3"/>
      <c r="D742" s="3"/>
      <c r="E742" s="3"/>
      <c r="F742" s="3"/>
      <c r="G742" s="3"/>
      <c r="H742" s="3"/>
      <c r="I742" s="3"/>
      <c r="J742" s="3"/>
      <c r="K742" s="3"/>
      <c r="L742" s="3"/>
      <c r="M742" s="3"/>
      <c r="N742" s="3"/>
      <c r="O742" s="3"/>
      <c r="P742" s="3"/>
      <c r="Q742" s="48"/>
      <c r="R742" s="3"/>
      <c r="S742" s="3"/>
      <c r="T742" s="3"/>
      <c r="U742" s="28"/>
      <c r="V742" s="28"/>
      <c r="W742" s="77"/>
      <c r="X742" s="77"/>
      <c r="Y742" s="77"/>
      <c r="Z742" s="3"/>
      <c r="AA742" s="3"/>
      <c r="AB742" s="3"/>
    </row>
    <row r="743" spans="1:28" ht="14">
      <c r="A743" s="3"/>
      <c r="B743" s="3"/>
      <c r="C743" s="3"/>
      <c r="D743" s="3"/>
      <c r="E743" s="3"/>
      <c r="F743" s="3"/>
      <c r="G743" s="3"/>
      <c r="H743" s="3"/>
      <c r="I743" s="3"/>
      <c r="J743" s="3"/>
      <c r="K743" s="3"/>
      <c r="L743" s="3"/>
      <c r="M743" s="3"/>
      <c r="N743" s="3"/>
      <c r="O743" s="3"/>
      <c r="P743" s="3"/>
      <c r="Q743" s="48"/>
      <c r="R743" s="3"/>
      <c r="S743" s="3"/>
      <c r="T743" s="3"/>
      <c r="U743" s="28"/>
      <c r="V743" s="28"/>
      <c r="W743" s="77"/>
      <c r="X743" s="77"/>
      <c r="Y743" s="77"/>
      <c r="Z743" s="3"/>
      <c r="AA743" s="3"/>
      <c r="AB743" s="3"/>
    </row>
    <row r="744" spans="1:28" ht="14">
      <c r="A744" s="3"/>
      <c r="B744" s="3"/>
      <c r="C744" s="3"/>
      <c r="D744" s="3"/>
      <c r="E744" s="3"/>
      <c r="F744" s="3"/>
      <c r="G744" s="3"/>
      <c r="H744" s="3"/>
      <c r="I744" s="3"/>
      <c r="J744" s="3"/>
      <c r="K744" s="3"/>
      <c r="L744" s="3"/>
      <c r="M744" s="3"/>
      <c r="N744" s="3"/>
      <c r="O744" s="3"/>
      <c r="P744" s="3"/>
      <c r="Q744" s="48"/>
      <c r="R744" s="3"/>
      <c r="S744" s="3"/>
      <c r="T744" s="3"/>
      <c r="U744" s="28"/>
      <c r="V744" s="28"/>
      <c r="W744" s="77"/>
      <c r="X744" s="77"/>
      <c r="Y744" s="77"/>
      <c r="Z744" s="3"/>
      <c r="AA744" s="3"/>
      <c r="AB744" s="3"/>
    </row>
    <row r="745" spans="1:28" ht="14">
      <c r="A745" s="3"/>
      <c r="B745" s="3"/>
      <c r="C745" s="3"/>
      <c r="D745" s="3"/>
      <c r="E745" s="3"/>
      <c r="F745" s="3"/>
      <c r="G745" s="3"/>
      <c r="H745" s="3"/>
      <c r="I745" s="3"/>
      <c r="J745" s="3"/>
      <c r="K745" s="3"/>
      <c r="L745" s="3"/>
      <c r="M745" s="3"/>
      <c r="N745" s="3"/>
      <c r="O745" s="3"/>
      <c r="P745" s="3"/>
      <c r="Q745" s="48"/>
      <c r="R745" s="3"/>
      <c r="S745" s="3"/>
      <c r="T745" s="3"/>
      <c r="U745" s="28"/>
      <c r="V745" s="28"/>
      <c r="W745" s="77"/>
      <c r="X745" s="77"/>
      <c r="Y745" s="77"/>
      <c r="Z745" s="3"/>
      <c r="AA745" s="3"/>
      <c r="AB745" s="3"/>
    </row>
    <row r="746" spans="1:28" ht="14">
      <c r="A746" s="3"/>
      <c r="B746" s="3"/>
      <c r="C746" s="3"/>
      <c r="D746" s="3"/>
      <c r="E746" s="3"/>
      <c r="F746" s="3"/>
      <c r="G746" s="3"/>
      <c r="H746" s="3"/>
      <c r="I746" s="3"/>
      <c r="J746" s="3"/>
      <c r="K746" s="3"/>
      <c r="L746" s="3"/>
      <c r="M746" s="3"/>
      <c r="N746" s="3"/>
      <c r="O746" s="3"/>
      <c r="P746" s="3"/>
      <c r="Q746" s="48"/>
      <c r="R746" s="3"/>
      <c r="S746" s="3"/>
      <c r="T746" s="3"/>
      <c r="U746" s="28"/>
      <c r="V746" s="28"/>
      <c r="W746" s="77"/>
      <c r="X746" s="77"/>
      <c r="Y746" s="77"/>
      <c r="Z746" s="3"/>
      <c r="AA746" s="3"/>
      <c r="AB746" s="3"/>
    </row>
    <row r="747" spans="1:28" ht="14">
      <c r="A747" s="3"/>
      <c r="B747" s="3"/>
      <c r="C747" s="3"/>
      <c r="D747" s="3"/>
      <c r="E747" s="3"/>
      <c r="F747" s="3"/>
      <c r="G747" s="3"/>
      <c r="H747" s="3"/>
      <c r="I747" s="3"/>
      <c r="J747" s="3"/>
      <c r="K747" s="3"/>
      <c r="L747" s="3"/>
      <c r="M747" s="3"/>
      <c r="N747" s="3"/>
      <c r="O747" s="3"/>
      <c r="P747" s="3"/>
      <c r="Q747" s="48"/>
      <c r="R747" s="3"/>
      <c r="S747" s="3"/>
      <c r="T747" s="3"/>
      <c r="U747" s="28"/>
      <c r="V747" s="28"/>
      <c r="W747" s="77"/>
      <c r="X747" s="77"/>
      <c r="Y747" s="77"/>
      <c r="Z747" s="3"/>
      <c r="AA747" s="3"/>
      <c r="AB747" s="3"/>
    </row>
    <row r="748" spans="1:28" ht="14">
      <c r="A748" s="3"/>
      <c r="B748" s="3"/>
      <c r="C748" s="3"/>
      <c r="D748" s="3"/>
      <c r="E748" s="3"/>
      <c r="F748" s="3"/>
      <c r="G748" s="3"/>
      <c r="H748" s="3"/>
      <c r="I748" s="3"/>
      <c r="J748" s="3"/>
      <c r="K748" s="3"/>
      <c r="L748" s="3"/>
      <c r="M748" s="3"/>
      <c r="N748" s="3"/>
      <c r="O748" s="3"/>
      <c r="P748" s="3"/>
      <c r="Q748" s="48"/>
      <c r="R748" s="3"/>
      <c r="S748" s="3"/>
      <c r="T748" s="3"/>
      <c r="U748" s="28"/>
      <c r="V748" s="28"/>
      <c r="W748" s="77"/>
      <c r="X748" s="77"/>
      <c r="Y748" s="77"/>
      <c r="Z748" s="3"/>
      <c r="AA748" s="3"/>
      <c r="AB748" s="3"/>
    </row>
    <row r="749" spans="1:28" ht="14">
      <c r="A749" s="3"/>
      <c r="B749" s="3"/>
      <c r="C749" s="3"/>
      <c r="D749" s="3"/>
      <c r="E749" s="3"/>
      <c r="F749" s="3"/>
      <c r="G749" s="3"/>
      <c r="H749" s="3"/>
      <c r="I749" s="3"/>
      <c r="J749" s="3"/>
      <c r="K749" s="3"/>
      <c r="L749" s="3"/>
      <c r="M749" s="3"/>
      <c r="N749" s="3"/>
      <c r="O749" s="3"/>
      <c r="P749" s="3"/>
      <c r="Q749" s="48"/>
      <c r="R749" s="3"/>
      <c r="S749" s="3"/>
      <c r="T749" s="3"/>
      <c r="U749" s="28"/>
      <c r="V749" s="28"/>
      <c r="W749" s="77"/>
      <c r="X749" s="77"/>
      <c r="Y749" s="77"/>
      <c r="Z749" s="3"/>
      <c r="AA749" s="3"/>
      <c r="AB749" s="3"/>
    </row>
    <row r="750" spans="1:28" ht="14">
      <c r="A750" s="3"/>
      <c r="B750" s="3"/>
      <c r="C750" s="3"/>
      <c r="D750" s="3"/>
      <c r="E750" s="3"/>
      <c r="F750" s="3"/>
      <c r="G750" s="3"/>
      <c r="H750" s="3"/>
      <c r="I750" s="3"/>
      <c r="J750" s="3"/>
      <c r="K750" s="3"/>
      <c r="L750" s="3"/>
      <c r="M750" s="3"/>
      <c r="N750" s="3"/>
      <c r="O750" s="3"/>
      <c r="P750" s="3"/>
      <c r="Q750" s="48"/>
      <c r="R750" s="3"/>
      <c r="S750" s="3"/>
      <c r="T750" s="3"/>
      <c r="U750" s="28"/>
      <c r="V750" s="28"/>
      <c r="W750" s="77"/>
      <c r="X750" s="77"/>
      <c r="Y750" s="77"/>
      <c r="Z750" s="3"/>
      <c r="AA750" s="3"/>
      <c r="AB750" s="3"/>
    </row>
    <row r="751" spans="1:28" ht="14">
      <c r="A751" s="3"/>
      <c r="B751" s="3"/>
      <c r="C751" s="3"/>
      <c r="D751" s="3"/>
      <c r="E751" s="3"/>
      <c r="F751" s="3"/>
      <c r="G751" s="3"/>
      <c r="H751" s="3"/>
      <c r="I751" s="3"/>
      <c r="J751" s="3"/>
      <c r="K751" s="3"/>
      <c r="L751" s="3"/>
      <c r="M751" s="3"/>
      <c r="N751" s="3"/>
      <c r="O751" s="3"/>
      <c r="P751" s="3"/>
      <c r="Q751" s="48"/>
      <c r="R751" s="3"/>
      <c r="S751" s="3"/>
      <c r="T751" s="3"/>
      <c r="U751" s="28"/>
      <c r="V751" s="28"/>
      <c r="W751" s="77"/>
      <c r="X751" s="77"/>
      <c r="Y751" s="77"/>
      <c r="Z751" s="3"/>
      <c r="AA751" s="3"/>
      <c r="AB751" s="3"/>
    </row>
    <row r="752" spans="1:28" ht="14">
      <c r="A752" s="3"/>
      <c r="B752" s="3"/>
      <c r="C752" s="3"/>
      <c r="D752" s="3"/>
      <c r="E752" s="3"/>
      <c r="F752" s="3"/>
      <c r="G752" s="3"/>
      <c r="H752" s="3"/>
      <c r="I752" s="3"/>
      <c r="J752" s="3"/>
      <c r="K752" s="3"/>
      <c r="L752" s="3"/>
      <c r="M752" s="3"/>
      <c r="N752" s="3"/>
      <c r="O752" s="3"/>
      <c r="P752" s="3"/>
      <c r="Q752" s="48"/>
      <c r="R752" s="3"/>
      <c r="S752" s="3"/>
      <c r="T752" s="3"/>
      <c r="U752" s="28"/>
      <c r="V752" s="28"/>
      <c r="W752" s="77"/>
      <c r="X752" s="77"/>
      <c r="Y752" s="77"/>
      <c r="Z752" s="3"/>
      <c r="AA752" s="3"/>
      <c r="AB752" s="3"/>
    </row>
    <row r="753" spans="1:28" ht="14">
      <c r="A753" s="3"/>
      <c r="B753" s="3"/>
      <c r="C753" s="3"/>
      <c r="D753" s="3"/>
      <c r="E753" s="3"/>
      <c r="F753" s="3"/>
      <c r="G753" s="3"/>
      <c r="H753" s="3"/>
      <c r="I753" s="3"/>
      <c r="J753" s="3"/>
      <c r="K753" s="3"/>
      <c r="L753" s="3"/>
      <c r="M753" s="3"/>
      <c r="N753" s="3"/>
      <c r="O753" s="3"/>
      <c r="P753" s="3"/>
      <c r="Q753" s="48"/>
      <c r="R753" s="3"/>
      <c r="S753" s="3"/>
      <c r="T753" s="3"/>
      <c r="U753" s="28"/>
      <c r="V753" s="28"/>
      <c r="W753" s="77"/>
      <c r="X753" s="77"/>
      <c r="Y753" s="77"/>
      <c r="Z753" s="3"/>
      <c r="AA753" s="3"/>
      <c r="AB753" s="3"/>
    </row>
    <row r="754" spans="1:28" ht="14">
      <c r="A754" s="3"/>
      <c r="B754" s="3"/>
      <c r="C754" s="3"/>
      <c r="D754" s="3"/>
      <c r="E754" s="3"/>
      <c r="F754" s="3"/>
      <c r="G754" s="3"/>
      <c r="H754" s="3"/>
      <c r="I754" s="3"/>
      <c r="J754" s="3"/>
      <c r="K754" s="3"/>
      <c r="L754" s="3"/>
      <c r="M754" s="3"/>
      <c r="N754" s="3"/>
      <c r="O754" s="3"/>
      <c r="P754" s="3"/>
      <c r="Q754" s="48"/>
      <c r="R754" s="3"/>
      <c r="S754" s="3"/>
      <c r="T754" s="3"/>
      <c r="U754" s="28"/>
      <c r="V754" s="28"/>
      <c r="W754" s="77"/>
      <c r="X754" s="77"/>
      <c r="Y754" s="77"/>
      <c r="Z754" s="3"/>
      <c r="AA754" s="3"/>
      <c r="AB754" s="3"/>
    </row>
    <row r="755" spans="1:28" ht="14">
      <c r="A755" s="3"/>
      <c r="B755" s="3"/>
      <c r="C755" s="3"/>
      <c r="D755" s="3"/>
      <c r="E755" s="3"/>
      <c r="F755" s="3"/>
      <c r="G755" s="3"/>
      <c r="H755" s="3"/>
      <c r="I755" s="3"/>
      <c r="J755" s="3"/>
      <c r="K755" s="3"/>
      <c r="L755" s="3"/>
      <c r="M755" s="3"/>
      <c r="N755" s="3"/>
      <c r="O755" s="3"/>
      <c r="P755" s="3"/>
      <c r="Q755" s="48"/>
      <c r="R755" s="3"/>
      <c r="S755" s="3"/>
      <c r="T755" s="3"/>
      <c r="U755" s="28"/>
      <c r="V755" s="28"/>
      <c r="W755" s="77"/>
      <c r="X755" s="77"/>
      <c r="Y755" s="77"/>
      <c r="Z755" s="3"/>
      <c r="AA755" s="3"/>
      <c r="AB755" s="3"/>
    </row>
    <row r="756" spans="1:28" ht="14">
      <c r="A756" s="3"/>
      <c r="B756" s="3"/>
      <c r="C756" s="3"/>
      <c r="D756" s="3"/>
      <c r="E756" s="3"/>
      <c r="F756" s="3"/>
      <c r="G756" s="3"/>
      <c r="H756" s="3"/>
      <c r="I756" s="3"/>
      <c r="J756" s="3"/>
      <c r="K756" s="3"/>
      <c r="L756" s="3"/>
      <c r="M756" s="3"/>
      <c r="N756" s="3"/>
      <c r="O756" s="3"/>
      <c r="P756" s="3"/>
      <c r="Q756" s="48"/>
      <c r="R756" s="3"/>
      <c r="S756" s="3"/>
      <c r="T756" s="3"/>
      <c r="U756" s="28"/>
      <c r="V756" s="28"/>
      <c r="W756" s="77"/>
      <c r="X756" s="77"/>
      <c r="Y756" s="77"/>
      <c r="Z756" s="3"/>
      <c r="AA756" s="3"/>
      <c r="AB756" s="3"/>
    </row>
    <row r="757" spans="1:28" ht="14">
      <c r="A757" s="3"/>
      <c r="B757" s="3"/>
      <c r="C757" s="3"/>
      <c r="D757" s="3"/>
      <c r="E757" s="3"/>
      <c r="F757" s="3"/>
      <c r="G757" s="3"/>
      <c r="H757" s="3"/>
      <c r="I757" s="3"/>
      <c r="J757" s="3"/>
      <c r="K757" s="3"/>
      <c r="L757" s="3"/>
      <c r="M757" s="3"/>
      <c r="N757" s="3"/>
      <c r="O757" s="3"/>
      <c r="P757" s="3"/>
      <c r="Q757" s="48"/>
      <c r="R757" s="3"/>
      <c r="S757" s="3"/>
      <c r="T757" s="3"/>
      <c r="U757" s="28"/>
      <c r="V757" s="28"/>
      <c r="W757" s="77"/>
      <c r="X757" s="77"/>
      <c r="Y757" s="77"/>
      <c r="Z757" s="3"/>
      <c r="AA757" s="3"/>
      <c r="AB757" s="3"/>
    </row>
    <row r="758" spans="1:28" ht="14">
      <c r="A758" s="3"/>
      <c r="B758" s="3"/>
      <c r="C758" s="3"/>
      <c r="D758" s="3"/>
      <c r="E758" s="3"/>
      <c r="F758" s="3"/>
      <c r="G758" s="3"/>
      <c r="H758" s="3"/>
      <c r="I758" s="3"/>
      <c r="J758" s="3"/>
      <c r="K758" s="3"/>
      <c r="L758" s="3"/>
      <c r="M758" s="3"/>
      <c r="N758" s="3"/>
      <c r="O758" s="3"/>
      <c r="P758" s="3"/>
      <c r="Q758" s="48"/>
      <c r="R758" s="3"/>
      <c r="S758" s="3"/>
      <c r="T758" s="3"/>
      <c r="U758" s="28"/>
      <c r="V758" s="28"/>
      <c r="W758" s="77"/>
      <c r="X758" s="77"/>
      <c r="Y758" s="77"/>
      <c r="Z758" s="3"/>
      <c r="AA758" s="3"/>
      <c r="AB758" s="3"/>
    </row>
    <row r="759" spans="1:28" ht="14">
      <c r="A759" s="3"/>
      <c r="B759" s="3"/>
      <c r="C759" s="3"/>
      <c r="D759" s="3"/>
      <c r="E759" s="3"/>
      <c r="F759" s="3"/>
      <c r="G759" s="3"/>
      <c r="H759" s="3"/>
      <c r="I759" s="3"/>
      <c r="J759" s="3"/>
      <c r="K759" s="3"/>
      <c r="L759" s="3"/>
      <c r="M759" s="3"/>
      <c r="N759" s="3"/>
      <c r="O759" s="3"/>
      <c r="P759" s="3"/>
      <c r="Q759" s="48"/>
      <c r="R759" s="3"/>
      <c r="S759" s="3"/>
      <c r="T759" s="3"/>
      <c r="U759" s="28"/>
      <c r="V759" s="28"/>
      <c r="W759" s="77"/>
      <c r="X759" s="77"/>
      <c r="Y759" s="77"/>
      <c r="Z759" s="3"/>
      <c r="AA759" s="3"/>
      <c r="AB759" s="3"/>
    </row>
    <row r="760" spans="1:28" ht="14">
      <c r="A760" s="3"/>
      <c r="B760" s="3"/>
      <c r="C760" s="3"/>
      <c r="D760" s="3"/>
      <c r="E760" s="3"/>
      <c r="F760" s="3"/>
      <c r="G760" s="3"/>
      <c r="H760" s="3"/>
      <c r="I760" s="3"/>
      <c r="J760" s="3"/>
      <c r="K760" s="3"/>
      <c r="L760" s="3"/>
      <c r="M760" s="3"/>
      <c r="N760" s="3"/>
      <c r="O760" s="3"/>
      <c r="P760" s="3"/>
      <c r="Q760" s="48"/>
      <c r="R760" s="3"/>
      <c r="S760" s="3"/>
      <c r="T760" s="3"/>
      <c r="U760" s="28"/>
      <c r="V760" s="28"/>
      <c r="W760" s="77"/>
      <c r="X760" s="77"/>
      <c r="Y760" s="77"/>
      <c r="Z760" s="3"/>
      <c r="AA760" s="3"/>
      <c r="AB760" s="3"/>
    </row>
    <row r="761" spans="1:28" ht="14">
      <c r="A761" s="3"/>
      <c r="B761" s="3"/>
      <c r="C761" s="3"/>
      <c r="D761" s="3"/>
      <c r="E761" s="3"/>
      <c r="F761" s="3"/>
      <c r="G761" s="3"/>
      <c r="H761" s="3"/>
      <c r="I761" s="3"/>
      <c r="J761" s="3"/>
      <c r="K761" s="3"/>
      <c r="L761" s="3"/>
      <c r="M761" s="3"/>
      <c r="N761" s="3"/>
      <c r="O761" s="3"/>
      <c r="P761" s="3"/>
      <c r="Q761" s="48"/>
      <c r="R761" s="3"/>
      <c r="S761" s="3"/>
      <c r="T761" s="3"/>
      <c r="U761" s="28"/>
      <c r="V761" s="28"/>
      <c r="W761" s="77"/>
      <c r="X761" s="77"/>
      <c r="Y761" s="77"/>
      <c r="Z761" s="3"/>
      <c r="AA761" s="3"/>
      <c r="AB761" s="3"/>
    </row>
    <row r="762" spans="1:28" ht="14">
      <c r="A762" s="3"/>
      <c r="B762" s="3"/>
      <c r="C762" s="3"/>
      <c r="D762" s="3"/>
      <c r="E762" s="3"/>
      <c r="F762" s="3"/>
      <c r="G762" s="3"/>
      <c r="H762" s="3"/>
      <c r="I762" s="3"/>
      <c r="J762" s="3"/>
      <c r="K762" s="3"/>
      <c r="L762" s="3"/>
      <c r="M762" s="3"/>
      <c r="N762" s="3"/>
      <c r="O762" s="3"/>
      <c r="P762" s="3"/>
      <c r="Q762" s="48"/>
      <c r="R762" s="3"/>
      <c r="S762" s="3"/>
      <c r="T762" s="3"/>
      <c r="U762" s="28"/>
      <c r="V762" s="28"/>
      <c r="W762" s="77"/>
      <c r="X762" s="77"/>
      <c r="Y762" s="77"/>
      <c r="Z762" s="3"/>
      <c r="AA762" s="3"/>
      <c r="AB762" s="3"/>
    </row>
    <row r="763" spans="1:28" ht="14">
      <c r="A763" s="3"/>
      <c r="B763" s="3"/>
      <c r="C763" s="3"/>
      <c r="D763" s="3"/>
      <c r="E763" s="3"/>
      <c r="F763" s="3"/>
      <c r="G763" s="3"/>
      <c r="H763" s="3"/>
      <c r="I763" s="3"/>
      <c r="J763" s="3"/>
      <c r="K763" s="3"/>
      <c r="L763" s="3"/>
      <c r="M763" s="3"/>
      <c r="N763" s="3"/>
      <c r="O763" s="3"/>
      <c r="P763" s="3"/>
      <c r="Q763" s="48"/>
      <c r="R763" s="3"/>
      <c r="S763" s="3"/>
      <c r="T763" s="3"/>
      <c r="U763" s="28"/>
      <c r="V763" s="28"/>
      <c r="W763" s="77"/>
      <c r="X763" s="77"/>
      <c r="Y763" s="77"/>
      <c r="Z763" s="3"/>
      <c r="AA763" s="3"/>
      <c r="AB763" s="3"/>
    </row>
    <row r="764" spans="1:28" ht="14">
      <c r="A764" s="3"/>
      <c r="B764" s="3"/>
      <c r="C764" s="3"/>
      <c r="D764" s="3"/>
      <c r="E764" s="3"/>
      <c r="F764" s="3"/>
      <c r="G764" s="3"/>
      <c r="H764" s="3"/>
      <c r="I764" s="3"/>
      <c r="J764" s="3"/>
      <c r="K764" s="3"/>
      <c r="L764" s="3"/>
      <c r="M764" s="3"/>
      <c r="N764" s="3"/>
      <c r="O764" s="3"/>
      <c r="P764" s="3"/>
      <c r="Q764" s="48"/>
      <c r="R764" s="3"/>
      <c r="S764" s="3"/>
      <c r="T764" s="3"/>
      <c r="U764" s="28"/>
      <c r="V764" s="28"/>
      <c r="W764" s="77"/>
      <c r="X764" s="77"/>
      <c r="Y764" s="77"/>
      <c r="Z764" s="3"/>
      <c r="AA764" s="3"/>
      <c r="AB764" s="3"/>
    </row>
    <row r="765" spans="1:28" ht="14">
      <c r="A765" s="3"/>
      <c r="B765" s="3"/>
      <c r="C765" s="3"/>
      <c r="D765" s="3"/>
      <c r="E765" s="3"/>
      <c r="F765" s="3"/>
      <c r="G765" s="3"/>
      <c r="H765" s="3"/>
      <c r="I765" s="3"/>
      <c r="J765" s="3"/>
      <c r="K765" s="3"/>
      <c r="L765" s="3"/>
      <c r="M765" s="3"/>
      <c r="N765" s="3"/>
      <c r="O765" s="3"/>
      <c r="P765" s="3"/>
      <c r="Q765" s="48"/>
      <c r="R765" s="3"/>
      <c r="S765" s="3"/>
      <c r="T765" s="3"/>
      <c r="U765" s="28"/>
      <c r="V765" s="28"/>
      <c r="W765" s="77"/>
      <c r="X765" s="77"/>
      <c r="Y765" s="77"/>
      <c r="Z765" s="3"/>
      <c r="AA765" s="3"/>
      <c r="AB765" s="3"/>
    </row>
    <row r="766" spans="1:28" ht="14">
      <c r="A766" s="3"/>
      <c r="B766" s="3"/>
      <c r="C766" s="3"/>
      <c r="D766" s="3"/>
      <c r="E766" s="3"/>
      <c r="F766" s="3"/>
      <c r="G766" s="3"/>
      <c r="H766" s="3"/>
      <c r="I766" s="3"/>
      <c r="J766" s="3"/>
      <c r="K766" s="3"/>
      <c r="L766" s="3"/>
      <c r="M766" s="3"/>
      <c r="N766" s="3"/>
      <c r="O766" s="3"/>
      <c r="P766" s="3"/>
      <c r="Q766" s="48"/>
      <c r="R766" s="3"/>
      <c r="S766" s="3"/>
      <c r="T766" s="3"/>
      <c r="U766" s="28"/>
      <c r="V766" s="28"/>
      <c r="W766" s="77"/>
      <c r="X766" s="77"/>
      <c r="Y766" s="77"/>
      <c r="Z766" s="3"/>
      <c r="AA766" s="3"/>
      <c r="AB766" s="3"/>
    </row>
    <row r="767" spans="1:28" ht="14">
      <c r="A767" s="3"/>
      <c r="B767" s="3"/>
      <c r="C767" s="3"/>
      <c r="D767" s="3"/>
      <c r="E767" s="3"/>
      <c r="F767" s="3"/>
      <c r="G767" s="3"/>
      <c r="H767" s="3"/>
      <c r="I767" s="3"/>
      <c r="J767" s="3"/>
      <c r="K767" s="3"/>
      <c r="L767" s="3"/>
      <c r="M767" s="3"/>
      <c r="N767" s="3"/>
      <c r="O767" s="3"/>
      <c r="P767" s="3"/>
      <c r="Q767" s="48"/>
      <c r="R767" s="3"/>
      <c r="S767" s="3"/>
      <c r="T767" s="3"/>
      <c r="U767" s="28"/>
      <c r="V767" s="28"/>
      <c r="W767" s="77"/>
      <c r="X767" s="77"/>
      <c r="Y767" s="77"/>
      <c r="Z767" s="3"/>
      <c r="AA767" s="3"/>
      <c r="AB767" s="3"/>
    </row>
    <row r="768" spans="1:28" ht="14">
      <c r="A768" s="3"/>
      <c r="B768" s="3"/>
      <c r="C768" s="3"/>
      <c r="D768" s="3"/>
      <c r="E768" s="3"/>
      <c r="F768" s="3"/>
      <c r="G768" s="3"/>
      <c r="H768" s="3"/>
      <c r="I768" s="3"/>
      <c r="J768" s="3"/>
      <c r="K768" s="3"/>
      <c r="L768" s="3"/>
      <c r="M768" s="3"/>
      <c r="N768" s="3"/>
      <c r="O768" s="3"/>
      <c r="P768" s="3"/>
      <c r="Q768" s="48"/>
      <c r="R768" s="3"/>
      <c r="S768" s="3"/>
      <c r="T768" s="3"/>
      <c r="U768" s="28"/>
      <c r="V768" s="28"/>
      <c r="W768" s="77"/>
      <c r="X768" s="77"/>
      <c r="Y768" s="77"/>
      <c r="Z768" s="3"/>
      <c r="AA768" s="3"/>
      <c r="AB768" s="3"/>
    </row>
    <row r="769" spans="1:28" ht="14">
      <c r="A769" s="3"/>
      <c r="B769" s="3"/>
      <c r="C769" s="3"/>
      <c r="D769" s="3"/>
      <c r="E769" s="3"/>
      <c r="F769" s="3"/>
      <c r="G769" s="3"/>
      <c r="H769" s="3"/>
      <c r="I769" s="3"/>
      <c r="J769" s="3"/>
      <c r="K769" s="3"/>
      <c r="L769" s="3"/>
      <c r="M769" s="3"/>
      <c r="N769" s="3"/>
      <c r="O769" s="3"/>
      <c r="P769" s="3"/>
      <c r="Q769" s="48"/>
      <c r="R769" s="3"/>
      <c r="S769" s="3"/>
      <c r="T769" s="3"/>
      <c r="U769" s="28"/>
      <c r="V769" s="28"/>
      <c r="W769" s="77"/>
      <c r="X769" s="77"/>
      <c r="Y769" s="77"/>
      <c r="Z769" s="3"/>
      <c r="AA769" s="3"/>
      <c r="AB769" s="3"/>
    </row>
    <row r="770" spans="1:28" ht="14">
      <c r="A770" s="3"/>
      <c r="B770" s="3"/>
      <c r="C770" s="3"/>
      <c r="D770" s="3"/>
      <c r="E770" s="3"/>
      <c r="F770" s="3"/>
      <c r="G770" s="3"/>
      <c r="H770" s="3"/>
      <c r="I770" s="3"/>
      <c r="J770" s="3"/>
      <c r="K770" s="3"/>
      <c r="L770" s="3"/>
      <c r="M770" s="3"/>
      <c r="N770" s="3"/>
      <c r="O770" s="3"/>
      <c r="P770" s="3"/>
      <c r="Q770" s="48"/>
      <c r="R770" s="3"/>
      <c r="S770" s="3"/>
      <c r="T770" s="3"/>
      <c r="U770" s="28"/>
      <c r="V770" s="28"/>
      <c r="W770" s="77"/>
      <c r="X770" s="77"/>
      <c r="Y770" s="77"/>
      <c r="Z770" s="3"/>
      <c r="AA770" s="3"/>
      <c r="AB770" s="3"/>
    </row>
    <row r="771" spans="1:28" ht="14">
      <c r="A771" s="3"/>
      <c r="B771" s="3"/>
      <c r="C771" s="3"/>
      <c r="D771" s="3"/>
      <c r="E771" s="3"/>
      <c r="F771" s="3"/>
      <c r="G771" s="3"/>
      <c r="H771" s="3"/>
      <c r="I771" s="3"/>
      <c r="J771" s="3"/>
      <c r="K771" s="3"/>
      <c r="L771" s="3"/>
      <c r="M771" s="3"/>
      <c r="N771" s="3"/>
      <c r="O771" s="3"/>
      <c r="P771" s="3"/>
      <c r="Q771" s="48"/>
      <c r="R771" s="3"/>
      <c r="S771" s="3"/>
      <c r="T771" s="3"/>
      <c r="U771" s="28"/>
      <c r="V771" s="28"/>
      <c r="W771" s="77"/>
      <c r="X771" s="77"/>
      <c r="Y771" s="77"/>
      <c r="Z771" s="3"/>
      <c r="AA771" s="3"/>
      <c r="AB771" s="3"/>
    </row>
    <row r="772" spans="1:28" ht="14">
      <c r="A772" s="3"/>
      <c r="B772" s="3"/>
      <c r="C772" s="3"/>
      <c r="D772" s="3"/>
      <c r="E772" s="3"/>
      <c r="F772" s="3"/>
      <c r="G772" s="3"/>
      <c r="H772" s="3"/>
      <c r="I772" s="3"/>
      <c r="J772" s="3"/>
      <c r="K772" s="3"/>
      <c r="L772" s="3"/>
      <c r="M772" s="3"/>
      <c r="N772" s="3"/>
      <c r="O772" s="3"/>
      <c r="P772" s="3"/>
      <c r="Q772" s="48"/>
      <c r="R772" s="3"/>
      <c r="S772" s="3"/>
      <c r="T772" s="3"/>
      <c r="U772" s="28"/>
      <c r="V772" s="28"/>
      <c r="W772" s="77"/>
      <c r="X772" s="77"/>
      <c r="Y772" s="77"/>
      <c r="Z772" s="3"/>
      <c r="AA772" s="3"/>
      <c r="AB772" s="3"/>
    </row>
    <row r="773" spans="1:28" ht="14">
      <c r="A773" s="3"/>
      <c r="B773" s="3"/>
      <c r="C773" s="3"/>
      <c r="D773" s="3"/>
      <c r="E773" s="3"/>
      <c r="F773" s="3"/>
      <c r="G773" s="3"/>
      <c r="H773" s="3"/>
      <c r="I773" s="3"/>
      <c r="J773" s="3"/>
      <c r="K773" s="3"/>
      <c r="L773" s="3"/>
      <c r="M773" s="3"/>
      <c r="N773" s="3"/>
      <c r="O773" s="3"/>
      <c r="P773" s="3"/>
      <c r="Q773" s="48"/>
      <c r="R773" s="3"/>
      <c r="S773" s="3"/>
      <c r="T773" s="3"/>
      <c r="U773" s="28"/>
      <c r="V773" s="28"/>
      <c r="W773" s="77"/>
      <c r="X773" s="77"/>
      <c r="Y773" s="77"/>
      <c r="Z773" s="3"/>
      <c r="AA773" s="3"/>
      <c r="AB773" s="3"/>
    </row>
    <row r="774" spans="1:28" ht="14">
      <c r="A774" s="3"/>
      <c r="B774" s="3"/>
      <c r="C774" s="3"/>
      <c r="D774" s="3"/>
      <c r="E774" s="3"/>
      <c r="F774" s="3"/>
      <c r="G774" s="3"/>
      <c r="H774" s="3"/>
      <c r="I774" s="3"/>
      <c r="J774" s="3"/>
      <c r="K774" s="3"/>
      <c r="L774" s="3"/>
      <c r="M774" s="3"/>
      <c r="N774" s="3"/>
      <c r="O774" s="3"/>
      <c r="P774" s="3"/>
      <c r="Q774" s="48"/>
      <c r="R774" s="3"/>
      <c r="S774" s="3"/>
      <c r="T774" s="3"/>
      <c r="U774" s="28"/>
      <c r="V774" s="28"/>
      <c r="W774" s="77"/>
      <c r="X774" s="77"/>
      <c r="Y774" s="77"/>
      <c r="Z774" s="3"/>
      <c r="AA774" s="3"/>
      <c r="AB774" s="3"/>
    </row>
    <row r="775" spans="1:28" ht="14">
      <c r="A775" s="3"/>
      <c r="B775" s="3"/>
      <c r="C775" s="3"/>
      <c r="D775" s="3"/>
      <c r="E775" s="3"/>
      <c r="F775" s="3"/>
      <c r="G775" s="3"/>
      <c r="H775" s="3"/>
      <c r="I775" s="3"/>
      <c r="J775" s="3"/>
      <c r="K775" s="3"/>
      <c r="L775" s="3"/>
      <c r="M775" s="3"/>
      <c r="N775" s="3"/>
      <c r="O775" s="3"/>
      <c r="P775" s="3"/>
      <c r="Q775" s="48"/>
      <c r="R775" s="3"/>
      <c r="S775" s="3"/>
      <c r="T775" s="3"/>
      <c r="U775" s="28"/>
      <c r="V775" s="28"/>
      <c r="W775" s="77"/>
      <c r="X775" s="77"/>
      <c r="Y775" s="77"/>
      <c r="Z775" s="3"/>
      <c r="AA775" s="3"/>
      <c r="AB775" s="3"/>
    </row>
    <row r="776" spans="1:28" ht="14">
      <c r="A776" s="3"/>
      <c r="B776" s="3"/>
      <c r="C776" s="3"/>
      <c r="D776" s="3"/>
      <c r="E776" s="3"/>
      <c r="F776" s="3"/>
      <c r="G776" s="3"/>
      <c r="H776" s="3"/>
      <c r="I776" s="3"/>
      <c r="J776" s="3"/>
      <c r="K776" s="3"/>
      <c r="L776" s="3"/>
      <c r="M776" s="3"/>
      <c r="N776" s="3"/>
      <c r="O776" s="3"/>
      <c r="P776" s="3"/>
      <c r="Q776" s="48"/>
      <c r="R776" s="3"/>
      <c r="S776" s="3"/>
      <c r="T776" s="3"/>
      <c r="U776" s="28"/>
      <c r="V776" s="28"/>
      <c r="W776" s="77"/>
      <c r="X776" s="77"/>
      <c r="Y776" s="77"/>
      <c r="Z776" s="3"/>
      <c r="AA776" s="3"/>
      <c r="AB776" s="3"/>
    </row>
    <row r="777" spans="1:28" ht="14">
      <c r="A777" s="3"/>
      <c r="B777" s="3"/>
      <c r="C777" s="3"/>
      <c r="D777" s="3"/>
      <c r="E777" s="3"/>
      <c r="F777" s="3"/>
      <c r="G777" s="3"/>
      <c r="H777" s="3"/>
      <c r="I777" s="3"/>
      <c r="J777" s="3"/>
      <c r="K777" s="3"/>
      <c r="L777" s="3"/>
      <c r="M777" s="3"/>
      <c r="N777" s="3"/>
      <c r="O777" s="3"/>
      <c r="P777" s="3"/>
      <c r="Q777" s="48"/>
      <c r="R777" s="3"/>
      <c r="S777" s="3"/>
      <c r="T777" s="3"/>
      <c r="U777" s="28"/>
      <c r="V777" s="28"/>
      <c r="W777" s="77"/>
      <c r="X777" s="77"/>
      <c r="Y777" s="77"/>
      <c r="Z777" s="3"/>
      <c r="AA777" s="3"/>
      <c r="AB777" s="3"/>
    </row>
    <row r="778" spans="1:28" ht="14">
      <c r="A778" s="3"/>
      <c r="B778" s="3"/>
      <c r="C778" s="3"/>
      <c r="D778" s="3"/>
      <c r="E778" s="3"/>
      <c r="F778" s="3"/>
      <c r="G778" s="3"/>
      <c r="H778" s="3"/>
      <c r="I778" s="3"/>
      <c r="J778" s="3"/>
      <c r="K778" s="3"/>
      <c r="L778" s="3"/>
      <c r="M778" s="3"/>
      <c r="N778" s="3"/>
      <c r="O778" s="3"/>
      <c r="P778" s="3"/>
      <c r="Q778" s="48"/>
      <c r="R778" s="3"/>
      <c r="S778" s="3"/>
      <c r="T778" s="3"/>
      <c r="U778" s="28"/>
      <c r="V778" s="28"/>
      <c r="W778" s="77"/>
      <c r="X778" s="77"/>
      <c r="Y778" s="77"/>
      <c r="Z778" s="3"/>
      <c r="AA778" s="3"/>
      <c r="AB778" s="3"/>
    </row>
    <row r="779" spans="1:28" ht="14">
      <c r="A779" s="3"/>
      <c r="B779" s="3"/>
      <c r="C779" s="3"/>
      <c r="D779" s="3"/>
      <c r="E779" s="3"/>
      <c r="F779" s="3"/>
      <c r="G779" s="3"/>
      <c r="H779" s="3"/>
      <c r="I779" s="3"/>
      <c r="J779" s="3"/>
      <c r="K779" s="3"/>
      <c r="L779" s="3"/>
      <c r="M779" s="3"/>
      <c r="N779" s="3"/>
      <c r="O779" s="3"/>
      <c r="P779" s="3"/>
      <c r="Q779" s="48"/>
      <c r="R779" s="3"/>
      <c r="S779" s="3"/>
      <c r="T779" s="3"/>
      <c r="U779" s="28"/>
      <c r="V779" s="28"/>
      <c r="W779" s="77"/>
      <c r="X779" s="77"/>
      <c r="Y779" s="77"/>
      <c r="Z779" s="3"/>
      <c r="AA779" s="3"/>
      <c r="AB779" s="3"/>
    </row>
    <row r="780" spans="1:28" ht="14">
      <c r="A780" s="3"/>
      <c r="B780" s="3"/>
      <c r="C780" s="3"/>
      <c r="D780" s="3"/>
      <c r="E780" s="3"/>
      <c r="F780" s="3"/>
      <c r="G780" s="3"/>
      <c r="H780" s="3"/>
      <c r="I780" s="3"/>
      <c r="J780" s="3"/>
      <c r="K780" s="3"/>
      <c r="L780" s="3"/>
      <c r="M780" s="3"/>
      <c r="N780" s="3"/>
      <c r="O780" s="3"/>
      <c r="P780" s="3"/>
      <c r="Q780" s="48"/>
      <c r="R780" s="3"/>
      <c r="S780" s="3"/>
      <c r="T780" s="3"/>
      <c r="U780" s="28"/>
      <c r="V780" s="28"/>
      <c r="W780" s="77"/>
      <c r="X780" s="77"/>
      <c r="Y780" s="77"/>
      <c r="Z780" s="3"/>
      <c r="AA780" s="3"/>
      <c r="AB780" s="3"/>
    </row>
    <row r="781" spans="1:28" ht="14">
      <c r="A781" s="3"/>
      <c r="B781" s="3"/>
      <c r="C781" s="3"/>
      <c r="D781" s="3"/>
      <c r="E781" s="3"/>
      <c r="F781" s="3"/>
      <c r="G781" s="3"/>
      <c r="H781" s="3"/>
      <c r="I781" s="3"/>
      <c r="J781" s="3"/>
      <c r="K781" s="3"/>
      <c r="L781" s="3"/>
      <c r="M781" s="3"/>
      <c r="N781" s="3"/>
      <c r="O781" s="3"/>
      <c r="P781" s="3"/>
      <c r="Q781" s="48"/>
      <c r="R781" s="3"/>
      <c r="S781" s="3"/>
      <c r="T781" s="3"/>
      <c r="U781" s="28"/>
      <c r="V781" s="28"/>
      <c r="W781" s="77"/>
      <c r="X781" s="77"/>
      <c r="Y781" s="77"/>
      <c r="Z781" s="3"/>
      <c r="AA781" s="3"/>
      <c r="AB781" s="3"/>
    </row>
    <row r="782" spans="1:28" ht="14">
      <c r="A782" s="3"/>
      <c r="B782" s="3"/>
      <c r="C782" s="3"/>
      <c r="D782" s="3"/>
      <c r="E782" s="3"/>
      <c r="F782" s="3"/>
      <c r="G782" s="3"/>
      <c r="H782" s="3"/>
      <c r="I782" s="3"/>
      <c r="J782" s="3"/>
      <c r="K782" s="3"/>
      <c r="L782" s="3"/>
      <c r="M782" s="3"/>
      <c r="N782" s="3"/>
      <c r="O782" s="3"/>
      <c r="P782" s="3"/>
      <c r="Q782" s="48"/>
      <c r="R782" s="3"/>
      <c r="S782" s="3"/>
      <c r="T782" s="3"/>
      <c r="U782" s="28"/>
      <c r="V782" s="28"/>
      <c r="W782" s="77"/>
      <c r="X782" s="77"/>
      <c r="Y782" s="77"/>
      <c r="Z782" s="3"/>
      <c r="AA782" s="3"/>
      <c r="AB782" s="3"/>
    </row>
    <row r="783" spans="1:28" ht="14">
      <c r="A783" s="3"/>
      <c r="B783" s="3"/>
      <c r="C783" s="3"/>
      <c r="D783" s="3"/>
      <c r="E783" s="3"/>
      <c r="F783" s="3"/>
      <c r="G783" s="3"/>
      <c r="H783" s="3"/>
      <c r="I783" s="3"/>
      <c r="J783" s="3"/>
      <c r="K783" s="3"/>
      <c r="L783" s="3"/>
      <c r="M783" s="3"/>
      <c r="N783" s="3"/>
      <c r="O783" s="3"/>
      <c r="P783" s="3"/>
      <c r="Q783" s="48"/>
      <c r="R783" s="3"/>
      <c r="S783" s="3"/>
      <c r="T783" s="3"/>
      <c r="U783" s="28"/>
      <c r="V783" s="28"/>
      <c r="W783" s="77"/>
      <c r="X783" s="77"/>
      <c r="Y783" s="77"/>
      <c r="Z783" s="3"/>
      <c r="AA783" s="3"/>
      <c r="AB783" s="3"/>
    </row>
    <row r="784" spans="1:28" ht="14">
      <c r="A784" s="3"/>
      <c r="B784" s="3"/>
      <c r="C784" s="3"/>
      <c r="D784" s="3"/>
      <c r="E784" s="3"/>
      <c r="F784" s="3"/>
      <c r="G784" s="3"/>
      <c r="H784" s="3"/>
      <c r="I784" s="3"/>
      <c r="J784" s="3"/>
      <c r="K784" s="3"/>
      <c r="L784" s="3"/>
      <c r="M784" s="3"/>
      <c r="N784" s="3"/>
      <c r="O784" s="3"/>
      <c r="P784" s="3"/>
      <c r="Q784" s="48"/>
      <c r="R784" s="3"/>
      <c r="S784" s="3"/>
      <c r="T784" s="3"/>
      <c r="U784" s="28"/>
      <c r="V784" s="28"/>
      <c r="W784" s="77"/>
      <c r="X784" s="77"/>
      <c r="Y784" s="77"/>
      <c r="Z784" s="3"/>
      <c r="AA784" s="3"/>
      <c r="AB784" s="3"/>
    </row>
    <row r="785" spans="1:28" ht="14">
      <c r="A785" s="3"/>
      <c r="B785" s="3"/>
      <c r="C785" s="3"/>
      <c r="D785" s="3"/>
      <c r="E785" s="3"/>
      <c r="F785" s="3"/>
      <c r="G785" s="3"/>
      <c r="H785" s="3"/>
      <c r="I785" s="3"/>
      <c r="J785" s="3"/>
      <c r="K785" s="3"/>
      <c r="L785" s="3"/>
      <c r="M785" s="3"/>
      <c r="N785" s="3"/>
      <c r="O785" s="3"/>
      <c r="P785" s="3"/>
      <c r="Q785" s="48"/>
      <c r="R785" s="3"/>
      <c r="S785" s="3"/>
      <c r="T785" s="3"/>
      <c r="U785" s="28"/>
      <c r="V785" s="28"/>
      <c r="W785" s="77"/>
      <c r="X785" s="77"/>
      <c r="Y785" s="77"/>
      <c r="Z785" s="3"/>
      <c r="AA785" s="3"/>
      <c r="AB785" s="3"/>
    </row>
    <row r="786" spans="1:28" ht="14">
      <c r="A786" s="3"/>
      <c r="B786" s="3"/>
      <c r="C786" s="3"/>
      <c r="D786" s="3"/>
      <c r="E786" s="3"/>
      <c r="F786" s="3"/>
      <c r="G786" s="3"/>
      <c r="H786" s="3"/>
      <c r="I786" s="3"/>
      <c r="J786" s="3"/>
      <c r="K786" s="3"/>
      <c r="L786" s="3"/>
      <c r="M786" s="3"/>
      <c r="N786" s="3"/>
      <c r="O786" s="3"/>
      <c r="P786" s="3"/>
      <c r="Q786" s="48"/>
      <c r="R786" s="3"/>
      <c r="S786" s="3"/>
      <c r="T786" s="3"/>
      <c r="U786" s="28"/>
      <c r="V786" s="28"/>
      <c r="W786" s="77"/>
      <c r="X786" s="77"/>
      <c r="Y786" s="77"/>
      <c r="Z786" s="3"/>
      <c r="AA786" s="3"/>
      <c r="AB786" s="3"/>
    </row>
    <row r="787" spans="1:28" ht="14">
      <c r="A787" s="3"/>
      <c r="B787" s="3"/>
      <c r="C787" s="3"/>
      <c r="D787" s="3"/>
      <c r="E787" s="3"/>
      <c r="F787" s="3"/>
      <c r="G787" s="3"/>
      <c r="H787" s="3"/>
      <c r="I787" s="3"/>
      <c r="J787" s="3"/>
      <c r="K787" s="3"/>
      <c r="L787" s="3"/>
      <c r="M787" s="3"/>
      <c r="N787" s="3"/>
      <c r="O787" s="3"/>
      <c r="P787" s="3"/>
      <c r="Q787" s="48"/>
      <c r="R787" s="3"/>
      <c r="S787" s="3"/>
      <c r="T787" s="3"/>
      <c r="U787" s="28"/>
      <c r="V787" s="28"/>
      <c r="W787" s="77"/>
      <c r="X787" s="77"/>
      <c r="Y787" s="77"/>
      <c r="Z787" s="3"/>
      <c r="AA787" s="3"/>
      <c r="AB787" s="3"/>
    </row>
    <row r="788" spans="1:28" ht="14">
      <c r="A788" s="3"/>
      <c r="B788" s="3"/>
      <c r="C788" s="3"/>
      <c r="D788" s="3"/>
      <c r="E788" s="3"/>
      <c r="F788" s="3"/>
      <c r="G788" s="3"/>
      <c r="H788" s="3"/>
      <c r="I788" s="3"/>
      <c r="J788" s="3"/>
      <c r="K788" s="3"/>
      <c r="L788" s="3"/>
      <c r="M788" s="3"/>
      <c r="N788" s="3"/>
      <c r="O788" s="3"/>
      <c r="P788" s="3"/>
      <c r="Q788" s="48"/>
      <c r="R788" s="3"/>
      <c r="S788" s="3"/>
      <c r="T788" s="3"/>
      <c r="U788" s="28"/>
      <c r="V788" s="28"/>
      <c r="W788" s="77"/>
      <c r="X788" s="77"/>
      <c r="Y788" s="77"/>
      <c r="Z788" s="3"/>
      <c r="AA788" s="3"/>
      <c r="AB788" s="3"/>
    </row>
    <row r="789" spans="1:28" ht="14">
      <c r="A789" s="3"/>
      <c r="B789" s="3"/>
      <c r="C789" s="3"/>
      <c r="D789" s="3"/>
      <c r="E789" s="3"/>
      <c r="F789" s="3"/>
      <c r="G789" s="3"/>
      <c r="H789" s="3"/>
      <c r="I789" s="3"/>
      <c r="J789" s="3"/>
      <c r="K789" s="3"/>
      <c r="L789" s="3"/>
      <c r="M789" s="3"/>
      <c r="N789" s="3"/>
      <c r="O789" s="3"/>
      <c r="P789" s="3"/>
      <c r="Q789" s="48"/>
      <c r="R789" s="3"/>
      <c r="S789" s="3"/>
      <c r="T789" s="3"/>
      <c r="U789" s="28"/>
      <c r="V789" s="28"/>
      <c r="W789" s="77"/>
      <c r="X789" s="77"/>
      <c r="Y789" s="77"/>
      <c r="Z789" s="3"/>
      <c r="AA789" s="3"/>
      <c r="AB789" s="3"/>
    </row>
    <row r="790" spans="1:28" ht="14">
      <c r="A790" s="3"/>
      <c r="B790" s="3"/>
      <c r="C790" s="3"/>
      <c r="D790" s="3"/>
      <c r="E790" s="3"/>
      <c r="F790" s="3"/>
      <c r="G790" s="3"/>
      <c r="H790" s="3"/>
      <c r="I790" s="3"/>
      <c r="J790" s="3"/>
      <c r="K790" s="3"/>
      <c r="L790" s="3"/>
      <c r="M790" s="3"/>
      <c r="N790" s="3"/>
      <c r="O790" s="3"/>
      <c r="P790" s="3"/>
      <c r="Q790" s="48"/>
      <c r="R790" s="3"/>
      <c r="S790" s="3"/>
      <c r="T790" s="3"/>
      <c r="U790" s="28"/>
      <c r="V790" s="28"/>
      <c r="W790" s="77"/>
      <c r="X790" s="77"/>
      <c r="Y790" s="77"/>
      <c r="Z790" s="3"/>
      <c r="AA790" s="3"/>
      <c r="AB790" s="3"/>
    </row>
    <row r="791" spans="1:28" ht="14">
      <c r="A791" s="3"/>
      <c r="B791" s="3"/>
      <c r="C791" s="3"/>
      <c r="D791" s="3"/>
      <c r="E791" s="3"/>
      <c r="F791" s="3"/>
      <c r="G791" s="3"/>
      <c r="H791" s="3"/>
      <c r="I791" s="3"/>
      <c r="J791" s="3"/>
      <c r="K791" s="3"/>
      <c r="L791" s="3"/>
      <c r="M791" s="3"/>
      <c r="N791" s="3"/>
      <c r="O791" s="3"/>
      <c r="P791" s="3"/>
      <c r="Q791" s="48"/>
      <c r="R791" s="3"/>
      <c r="S791" s="3"/>
      <c r="T791" s="3"/>
      <c r="U791" s="28"/>
      <c r="V791" s="28"/>
      <c r="W791" s="77"/>
      <c r="X791" s="77"/>
      <c r="Y791" s="77"/>
      <c r="Z791" s="3"/>
      <c r="AA791" s="3"/>
      <c r="AB791" s="3"/>
    </row>
    <row r="792" spans="1:28" ht="14">
      <c r="A792" s="3"/>
      <c r="B792" s="3"/>
      <c r="C792" s="3"/>
      <c r="D792" s="3"/>
      <c r="E792" s="3"/>
      <c r="F792" s="3"/>
      <c r="G792" s="3"/>
      <c r="H792" s="3"/>
      <c r="I792" s="3"/>
      <c r="J792" s="3"/>
      <c r="K792" s="3"/>
      <c r="L792" s="3"/>
      <c r="M792" s="3"/>
      <c r="N792" s="3"/>
      <c r="O792" s="3"/>
      <c r="P792" s="3"/>
      <c r="Q792" s="48"/>
      <c r="R792" s="3"/>
      <c r="S792" s="3"/>
      <c r="T792" s="3"/>
      <c r="U792" s="28"/>
      <c r="V792" s="28"/>
      <c r="W792" s="77"/>
      <c r="X792" s="77"/>
      <c r="Y792" s="77"/>
      <c r="Z792" s="3"/>
      <c r="AA792" s="3"/>
      <c r="AB792" s="3"/>
    </row>
    <row r="793" spans="1:28" ht="14">
      <c r="A793" s="3"/>
      <c r="B793" s="3"/>
      <c r="C793" s="3"/>
      <c r="D793" s="3"/>
      <c r="E793" s="3"/>
      <c r="F793" s="3"/>
      <c r="G793" s="3"/>
      <c r="H793" s="3"/>
      <c r="I793" s="3"/>
      <c r="J793" s="3"/>
      <c r="K793" s="3"/>
      <c r="L793" s="3"/>
      <c r="M793" s="3"/>
      <c r="N793" s="3"/>
      <c r="O793" s="3"/>
      <c r="P793" s="3"/>
      <c r="Q793" s="48"/>
      <c r="R793" s="3"/>
      <c r="S793" s="3"/>
      <c r="T793" s="3"/>
      <c r="U793" s="28"/>
      <c r="V793" s="28"/>
      <c r="W793" s="77"/>
      <c r="X793" s="77"/>
      <c r="Y793" s="77"/>
      <c r="Z793" s="3"/>
      <c r="AA793" s="3"/>
      <c r="AB793" s="3"/>
    </row>
    <row r="794" spans="1:28" ht="14">
      <c r="A794" s="3"/>
      <c r="B794" s="3"/>
      <c r="C794" s="3"/>
      <c r="D794" s="3"/>
      <c r="E794" s="3"/>
      <c r="F794" s="3"/>
      <c r="G794" s="3"/>
      <c r="H794" s="3"/>
      <c r="I794" s="3"/>
      <c r="J794" s="3"/>
      <c r="K794" s="3"/>
      <c r="L794" s="3"/>
      <c r="M794" s="3"/>
      <c r="N794" s="3"/>
      <c r="O794" s="3"/>
      <c r="P794" s="3"/>
      <c r="Q794" s="48"/>
      <c r="R794" s="3"/>
      <c r="S794" s="3"/>
      <c r="T794" s="3"/>
      <c r="U794" s="28"/>
      <c r="V794" s="28"/>
      <c r="W794" s="77"/>
      <c r="X794" s="77"/>
      <c r="Y794" s="77"/>
      <c r="Z794" s="3"/>
      <c r="AA794" s="3"/>
      <c r="AB794" s="3"/>
    </row>
    <row r="795" spans="1:28" ht="14">
      <c r="A795" s="3"/>
      <c r="B795" s="3"/>
      <c r="C795" s="3"/>
      <c r="D795" s="3"/>
      <c r="E795" s="3"/>
      <c r="F795" s="3"/>
      <c r="G795" s="3"/>
      <c r="H795" s="3"/>
      <c r="I795" s="3"/>
      <c r="J795" s="3"/>
      <c r="K795" s="3"/>
      <c r="L795" s="3"/>
      <c r="M795" s="3"/>
      <c r="N795" s="3"/>
      <c r="O795" s="3"/>
      <c r="P795" s="3"/>
      <c r="Q795" s="48"/>
      <c r="R795" s="3"/>
      <c r="S795" s="3"/>
      <c r="T795" s="3"/>
      <c r="U795" s="28"/>
      <c r="V795" s="28"/>
      <c r="W795" s="77"/>
      <c r="X795" s="77"/>
      <c r="Y795" s="77"/>
      <c r="Z795" s="3"/>
      <c r="AA795" s="3"/>
      <c r="AB795" s="3"/>
    </row>
    <row r="796" spans="1:28" ht="14">
      <c r="A796" s="3"/>
      <c r="B796" s="3"/>
      <c r="C796" s="3"/>
      <c r="D796" s="3"/>
      <c r="E796" s="3"/>
      <c r="F796" s="3"/>
      <c r="G796" s="3"/>
      <c r="H796" s="3"/>
      <c r="I796" s="3"/>
      <c r="J796" s="3"/>
      <c r="K796" s="3"/>
      <c r="L796" s="3"/>
      <c r="M796" s="3"/>
      <c r="N796" s="3"/>
      <c r="O796" s="3"/>
      <c r="P796" s="3"/>
      <c r="Q796" s="48"/>
      <c r="R796" s="3"/>
      <c r="S796" s="3"/>
      <c r="T796" s="3"/>
      <c r="U796" s="28"/>
      <c r="V796" s="28"/>
      <c r="W796" s="77"/>
      <c r="X796" s="77"/>
      <c r="Y796" s="77"/>
      <c r="Z796" s="3"/>
      <c r="AA796" s="3"/>
      <c r="AB796" s="3"/>
    </row>
    <row r="797" spans="1:28" ht="14">
      <c r="A797" s="3"/>
      <c r="B797" s="3"/>
      <c r="C797" s="3"/>
      <c r="D797" s="3"/>
      <c r="E797" s="3"/>
      <c r="F797" s="3"/>
      <c r="G797" s="3"/>
      <c r="H797" s="3"/>
      <c r="I797" s="3"/>
      <c r="J797" s="3"/>
      <c r="K797" s="3"/>
      <c r="L797" s="3"/>
      <c r="M797" s="3"/>
      <c r="N797" s="3"/>
      <c r="O797" s="3"/>
      <c r="P797" s="3"/>
      <c r="Q797" s="48"/>
      <c r="R797" s="3"/>
      <c r="S797" s="3"/>
      <c r="T797" s="3"/>
      <c r="U797" s="28"/>
      <c r="V797" s="28"/>
      <c r="W797" s="77"/>
      <c r="X797" s="77"/>
      <c r="Y797" s="77"/>
      <c r="Z797" s="3"/>
      <c r="AA797" s="3"/>
      <c r="AB797" s="3"/>
    </row>
    <row r="798" spans="1:28" ht="14">
      <c r="A798" s="3"/>
      <c r="B798" s="3"/>
      <c r="C798" s="3"/>
      <c r="D798" s="3"/>
      <c r="E798" s="3"/>
      <c r="F798" s="3"/>
      <c r="G798" s="3"/>
      <c r="H798" s="3"/>
      <c r="I798" s="3"/>
      <c r="J798" s="3"/>
      <c r="K798" s="3"/>
      <c r="L798" s="3"/>
      <c r="M798" s="3"/>
      <c r="N798" s="3"/>
      <c r="O798" s="3"/>
      <c r="P798" s="3"/>
      <c r="Q798" s="48"/>
      <c r="R798" s="3"/>
      <c r="S798" s="3"/>
      <c r="T798" s="3"/>
      <c r="U798" s="28"/>
      <c r="V798" s="28"/>
      <c r="W798" s="77"/>
      <c r="X798" s="77"/>
      <c r="Y798" s="77"/>
      <c r="Z798" s="3"/>
      <c r="AA798" s="3"/>
      <c r="AB798" s="3"/>
    </row>
    <row r="799" spans="1:28" ht="14">
      <c r="A799" s="3"/>
      <c r="B799" s="3"/>
      <c r="C799" s="3"/>
      <c r="D799" s="3"/>
      <c r="E799" s="3"/>
      <c r="F799" s="3"/>
      <c r="G799" s="3"/>
      <c r="H799" s="3"/>
      <c r="I799" s="3"/>
      <c r="J799" s="3"/>
      <c r="K799" s="3"/>
      <c r="L799" s="3"/>
      <c r="M799" s="3"/>
      <c r="N799" s="3"/>
      <c r="O799" s="3"/>
      <c r="P799" s="3"/>
      <c r="Q799" s="48"/>
      <c r="R799" s="3"/>
      <c r="S799" s="3"/>
      <c r="T799" s="3"/>
      <c r="U799" s="28"/>
      <c r="V799" s="28"/>
      <c r="W799" s="77"/>
      <c r="X799" s="77"/>
      <c r="Y799" s="77"/>
      <c r="Z799" s="3"/>
      <c r="AA799" s="3"/>
      <c r="AB799" s="3"/>
    </row>
    <row r="800" spans="1:28" ht="14">
      <c r="A800" s="3"/>
      <c r="B800" s="3"/>
      <c r="C800" s="3"/>
      <c r="D800" s="3"/>
      <c r="E800" s="3"/>
      <c r="F800" s="3"/>
      <c r="G800" s="3"/>
      <c r="H800" s="3"/>
      <c r="I800" s="3"/>
      <c r="J800" s="3"/>
      <c r="K800" s="3"/>
      <c r="L800" s="3"/>
      <c r="M800" s="3"/>
      <c r="N800" s="3"/>
      <c r="O800" s="3"/>
      <c r="P800" s="3"/>
      <c r="Q800" s="48"/>
      <c r="R800" s="3"/>
      <c r="S800" s="3"/>
      <c r="T800" s="3"/>
      <c r="U800" s="28"/>
      <c r="V800" s="28"/>
      <c r="W800" s="77"/>
      <c r="X800" s="77"/>
      <c r="Y800" s="77"/>
      <c r="Z800" s="3"/>
      <c r="AA800" s="3"/>
      <c r="AB800" s="3"/>
    </row>
    <row r="801" spans="1:28" ht="14">
      <c r="A801" s="3"/>
      <c r="B801" s="3"/>
      <c r="C801" s="3"/>
      <c r="D801" s="3"/>
      <c r="E801" s="3"/>
      <c r="F801" s="3"/>
      <c r="G801" s="3"/>
      <c r="H801" s="3"/>
      <c r="I801" s="3"/>
      <c r="J801" s="3"/>
      <c r="K801" s="3"/>
      <c r="L801" s="3"/>
      <c r="M801" s="3"/>
      <c r="N801" s="3"/>
      <c r="O801" s="3"/>
      <c r="P801" s="3"/>
      <c r="Q801" s="48"/>
      <c r="R801" s="3"/>
      <c r="S801" s="3"/>
      <c r="T801" s="3"/>
      <c r="U801" s="28"/>
      <c r="V801" s="28"/>
      <c r="W801" s="77"/>
      <c r="X801" s="77"/>
      <c r="Y801" s="77"/>
      <c r="Z801" s="3"/>
      <c r="AA801" s="3"/>
      <c r="AB801" s="3"/>
    </row>
    <row r="802" spans="1:28" ht="14">
      <c r="A802" s="3"/>
      <c r="B802" s="3"/>
      <c r="C802" s="3"/>
      <c r="D802" s="3"/>
      <c r="E802" s="3"/>
      <c r="F802" s="3"/>
      <c r="G802" s="3"/>
      <c r="H802" s="3"/>
      <c r="I802" s="3"/>
      <c r="J802" s="3"/>
      <c r="K802" s="3"/>
      <c r="L802" s="3"/>
      <c r="M802" s="3"/>
      <c r="N802" s="3"/>
      <c r="O802" s="3"/>
      <c r="P802" s="3"/>
      <c r="Q802" s="48"/>
      <c r="R802" s="3"/>
      <c r="S802" s="3"/>
      <c r="T802" s="3"/>
      <c r="U802" s="28"/>
      <c r="V802" s="28"/>
      <c r="W802" s="77"/>
      <c r="X802" s="77"/>
      <c r="Y802" s="77"/>
      <c r="Z802" s="3"/>
      <c r="AA802" s="3"/>
      <c r="AB802" s="3"/>
    </row>
    <row r="803" spans="1:28" ht="14">
      <c r="A803" s="3"/>
      <c r="B803" s="3"/>
      <c r="C803" s="3"/>
      <c r="D803" s="3"/>
      <c r="E803" s="3"/>
      <c r="F803" s="3"/>
      <c r="G803" s="3"/>
      <c r="H803" s="3"/>
      <c r="I803" s="3"/>
      <c r="J803" s="3"/>
      <c r="K803" s="3"/>
      <c r="L803" s="3"/>
      <c r="M803" s="3"/>
      <c r="N803" s="3"/>
      <c r="O803" s="3"/>
      <c r="P803" s="3"/>
      <c r="Q803" s="48"/>
      <c r="R803" s="3"/>
      <c r="S803" s="3"/>
      <c r="T803" s="3"/>
      <c r="U803" s="28"/>
      <c r="V803" s="28"/>
      <c r="W803" s="77"/>
      <c r="X803" s="77"/>
      <c r="Y803" s="77"/>
      <c r="Z803" s="3"/>
      <c r="AA803" s="3"/>
      <c r="AB803" s="3"/>
    </row>
    <row r="804" spans="1:28" ht="14">
      <c r="A804" s="3"/>
      <c r="B804" s="3"/>
      <c r="C804" s="3"/>
      <c r="D804" s="3"/>
      <c r="E804" s="3"/>
      <c r="F804" s="3"/>
      <c r="G804" s="3"/>
      <c r="H804" s="3"/>
      <c r="I804" s="3"/>
      <c r="J804" s="3"/>
      <c r="K804" s="3"/>
      <c r="L804" s="3"/>
      <c r="M804" s="3"/>
      <c r="N804" s="3"/>
      <c r="O804" s="3"/>
      <c r="P804" s="3"/>
      <c r="Q804" s="48"/>
      <c r="R804" s="3"/>
      <c r="S804" s="3"/>
      <c r="T804" s="3"/>
      <c r="U804" s="28"/>
      <c r="V804" s="28"/>
      <c r="W804" s="77"/>
      <c r="X804" s="77"/>
      <c r="Y804" s="77"/>
      <c r="Z804" s="3"/>
      <c r="AA804" s="3"/>
      <c r="AB804" s="3"/>
    </row>
    <row r="805" spans="1:28" ht="14">
      <c r="A805" s="3"/>
      <c r="B805" s="3"/>
      <c r="C805" s="3"/>
      <c r="D805" s="3"/>
      <c r="E805" s="3"/>
      <c r="F805" s="3"/>
      <c r="G805" s="3"/>
      <c r="H805" s="3"/>
      <c r="I805" s="3"/>
      <c r="J805" s="3"/>
      <c r="K805" s="3"/>
      <c r="L805" s="3"/>
      <c r="M805" s="3"/>
      <c r="N805" s="3"/>
      <c r="O805" s="3"/>
      <c r="P805" s="3"/>
      <c r="Q805" s="48"/>
      <c r="R805" s="3"/>
      <c r="S805" s="3"/>
      <c r="T805" s="3"/>
      <c r="U805" s="28"/>
      <c r="V805" s="28"/>
      <c r="W805" s="77"/>
      <c r="X805" s="77"/>
      <c r="Y805" s="77"/>
      <c r="Z805" s="3"/>
      <c r="AA805" s="3"/>
      <c r="AB805" s="3"/>
    </row>
    <row r="806" spans="1:28" ht="14">
      <c r="A806" s="3"/>
      <c r="B806" s="3"/>
      <c r="C806" s="3"/>
      <c r="D806" s="3"/>
      <c r="E806" s="3"/>
      <c r="F806" s="3"/>
      <c r="G806" s="3"/>
      <c r="H806" s="3"/>
      <c r="I806" s="3"/>
      <c r="J806" s="3"/>
      <c r="K806" s="3"/>
      <c r="L806" s="3"/>
      <c r="M806" s="3"/>
      <c r="N806" s="3"/>
      <c r="O806" s="3"/>
      <c r="P806" s="3"/>
      <c r="Q806" s="48"/>
      <c r="R806" s="3"/>
      <c r="S806" s="3"/>
      <c r="T806" s="3"/>
      <c r="U806" s="28"/>
      <c r="V806" s="28"/>
      <c r="W806" s="77"/>
      <c r="X806" s="77"/>
      <c r="Y806" s="77"/>
      <c r="Z806" s="3"/>
      <c r="AA806" s="3"/>
      <c r="AB806" s="3"/>
    </row>
    <row r="807" spans="1:28" ht="14">
      <c r="A807" s="3"/>
      <c r="B807" s="3"/>
      <c r="C807" s="3"/>
      <c r="D807" s="3"/>
      <c r="E807" s="3"/>
      <c r="F807" s="3"/>
      <c r="G807" s="3"/>
      <c r="H807" s="3"/>
      <c r="I807" s="3"/>
      <c r="J807" s="3"/>
      <c r="K807" s="3"/>
      <c r="L807" s="3"/>
      <c r="M807" s="3"/>
      <c r="N807" s="3"/>
      <c r="O807" s="3"/>
      <c r="P807" s="3"/>
      <c r="Q807" s="48"/>
      <c r="R807" s="3"/>
      <c r="S807" s="3"/>
      <c r="T807" s="3"/>
      <c r="U807" s="28"/>
      <c r="V807" s="28"/>
      <c r="W807" s="77"/>
      <c r="X807" s="77"/>
      <c r="Y807" s="77"/>
      <c r="Z807" s="3"/>
      <c r="AA807" s="3"/>
      <c r="AB807" s="3"/>
    </row>
    <row r="808" spans="1:28" ht="14">
      <c r="A808" s="3"/>
      <c r="B808" s="3"/>
      <c r="C808" s="3"/>
      <c r="D808" s="3"/>
      <c r="E808" s="3"/>
      <c r="F808" s="3"/>
      <c r="G808" s="3"/>
      <c r="H808" s="3"/>
      <c r="I808" s="3"/>
      <c r="J808" s="3"/>
      <c r="K808" s="3"/>
      <c r="L808" s="3"/>
      <c r="M808" s="3"/>
      <c r="N808" s="3"/>
      <c r="O808" s="3"/>
      <c r="P808" s="3"/>
      <c r="Q808" s="48"/>
      <c r="R808" s="3"/>
      <c r="S808" s="3"/>
      <c r="T808" s="3"/>
      <c r="U808" s="28"/>
      <c r="V808" s="28"/>
      <c r="W808" s="77"/>
      <c r="X808" s="77"/>
      <c r="Y808" s="77"/>
      <c r="Z808" s="3"/>
      <c r="AA808" s="3"/>
      <c r="AB808" s="3"/>
    </row>
    <row r="809" spans="1:28" ht="14">
      <c r="A809" s="3"/>
      <c r="B809" s="3"/>
      <c r="C809" s="3"/>
      <c r="D809" s="3"/>
      <c r="E809" s="3"/>
      <c r="F809" s="3"/>
      <c r="G809" s="3"/>
      <c r="H809" s="3"/>
      <c r="I809" s="3"/>
      <c r="J809" s="3"/>
      <c r="K809" s="3"/>
      <c r="L809" s="3"/>
      <c r="M809" s="3"/>
      <c r="N809" s="3"/>
      <c r="O809" s="3"/>
      <c r="P809" s="3"/>
      <c r="Q809" s="48"/>
      <c r="R809" s="3"/>
      <c r="S809" s="3"/>
      <c r="T809" s="3"/>
      <c r="U809" s="28"/>
      <c r="V809" s="28"/>
      <c r="W809" s="77"/>
      <c r="X809" s="77"/>
      <c r="Y809" s="77"/>
      <c r="Z809" s="3"/>
      <c r="AA809" s="3"/>
      <c r="AB809" s="3"/>
    </row>
    <row r="810" spans="1:28" ht="14">
      <c r="A810" s="3"/>
      <c r="B810" s="3"/>
      <c r="C810" s="3"/>
      <c r="D810" s="3"/>
      <c r="E810" s="3"/>
      <c r="F810" s="3"/>
      <c r="G810" s="3"/>
      <c r="H810" s="3"/>
      <c r="I810" s="3"/>
      <c r="J810" s="3"/>
      <c r="K810" s="3"/>
      <c r="L810" s="3"/>
      <c r="M810" s="3"/>
      <c r="N810" s="3"/>
      <c r="O810" s="3"/>
      <c r="P810" s="3"/>
      <c r="Q810" s="48"/>
      <c r="R810" s="3"/>
      <c r="S810" s="3"/>
      <c r="T810" s="3"/>
      <c r="U810" s="28"/>
      <c r="V810" s="28"/>
      <c r="W810" s="77"/>
      <c r="X810" s="77"/>
      <c r="Y810" s="77"/>
      <c r="Z810" s="3"/>
      <c r="AA810" s="3"/>
      <c r="AB810" s="3"/>
    </row>
    <row r="811" spans="1:28" ht="14">
      <c r="A811" s="3"/>
      <c r="B811" s="3"/>
      <c r="C811" s="3"/>
      <c r="D811" s="3"/>
      <c r="E811" s="3"/>
      <c r="F811" s="3"/>
      <c r="G811" s="3"/>
      <c r="H811" s="3"/>
      <c r="I811" s="3"/>
      <c r="J811" s="3"/>
      <c r="K811" s="3"/>
      <c r="L811" s="3"/>
      <c r="M811" s="3"/>
      <c r="N811" s="3"/>
      <c r="O811" s="3"/>
      <c r="P811" s="3"/>
      <c r="Q811" s="48"/>
      <c r="R811" s="3"/>
      <c r="S811" s="3"/>
      <c r="T811" s="3"/>
      <c r="U811" s="28"/>
      <c r="V811" s="28"/>
      <c r="W811" s="77"/>
      <c r="X811" s="77"/>
      <c r="Y811" s="77"/>
      <c r="Z811" s="3"/>
      <c r="AA811" s="3"/>
      <c r="AB811" s="3"/>
    </row>
    <row r="812" spans="1:28" ht="14">
      <c r="A812" s="3"/>
      <c r="B812" s="3"/>
      <c r="C812" s="3"/>
      <c r="D812" s="3"/>
      <c r="E812" s="3"/>
      <c r="F812" s="3"/>
      <c r="G812" s="3"/>
      <c r="H812" s="3"/>
      <c r="I812" s="3"/>
      <c r="J812" s="3"/>
      <c r="K812" s="3"/>
      <c r="L812" s="3"/>
      <c r="M812" s="3"/>
      <c r="N812" s="3"/>
      <c r="O812" s="3"/>
      <c r="P812" s="3"/>
      <c r="Q812" s="48"/>
      <c r="R812" s="3"/>
      <c r="S812" s="3"/>
      <c r="T812" s="3"/>
      <c r="U812" s="28"/>
      <c r="V812" s="28"/>
      <c r="W812" s="77"/>
      <c r="X812" s="77"/>
      <c r="Y812" s="77"/>
      <c r="Z812" s="3"/>
      <c r="AA812" s="3"/>
      <c r="AB812" s="3"/>
    </row>
    <row r="813" spans="1:28" ht="14">
      <c r="A813" s="3"/>
      <c r="B813" s="3"/>
      <c r="C813" s="3"/>
      <c r="D813" s="3"/>
      <c r="E813" s="3"/>
      <c r="F813" s="3"/>
      <c r="G813" s="3"/>
      <c r="H813" s="3"/>
      <c r="I813" s="3"/>
      <c r="J813" s="3"/>
      <c r="K813" s="3"/>
      <c r="L813" s="3"/>
      <c r="M813" s="3"/>
      <c r="N813" s="3"/>
      <c r="O813" s="3"/>
      <c r="P813" s="3"/>
      <c r="Q813" s="48"/>
      <c r="R813" s="3"/>
      <c r="S813" s="3"/>
      <c r="T813" s="3"/>
      <c r="U813" s="28"/>
      <c r="V813" s="28"/>
      <c r="W813" s="77"/>
      <c r="X813" s="77"/>
      <c r="Y813" s="77"/>
      <c r="Z813" s="3"/>
      <c r="AA813" s="3"/>
      <c r="AB813" s="3"/>
    </row>
    <row r="814" spans="1:28" ht="14">
      <c r="A814" s="3"/>
      <c r="B814" s="3"/>
      <c r="C814" s="3"/>
      <c r="D814" s="3"/>
      <c r="E814" s="3"/>
      <c r="F814" s="3"/>
      <c r="G814" s="3"/>
      <c r="H814" s="3"/>
      <c r="I814" s="3"/>
      <c r="J814" s="3"/>
      <c r="K814" s="3"/>
      <c r="L814" s="3"/>
      <c r="M814" s="3"/>
      <c r="N814" s="3"/>
      <c r="O814" s="3"/>
      <c r="P814" s="3"/>
      <c r="Q814" s="48"/>
      <c r="R814" s="3"/>
      <c r="S814" s="3"/>
      <c r="T814" s="3"/>
      <c r="U814" s="28"/>
      <c r="V814" s="28"/>
      <c r="W814" s="77"/>
      <c r="X814" s="77"/>
      <c r="Y814" s="77"/>
      <c r="Z814" s="3"/>
      <c r="AA814" s="3"/>
      <c r="AB814" s="3"/>
    </row>
    <row r="815" spans="1:28" ht="14">
      <c r="A815" s="3"/>
      <c r="B815" s="3"/>
      <c r="C815" s="3"/>
      <c r="D815" s="3"/>
      <c r="E815" s="3"/>
      <c r="F815" s="3"/>
      <c r="G815" s="3"/>
      <c r="H815" s="3"/>
      <c r="I815" s="3"/>
      <c r="J815" s="3"/>
      <c r="K815" s="3"/>
      <c r="L815" s="3"/>
      <c r="M815" s="3"/>
      <c r="N815" s="3"/>
      <c r="O815" s="3"/>
      <c r="P815" s="3"/>
      <c r="Q815" s="48"/>
      <c r="R815" s="3"/>
      <c r="S815" s="3"/>
      <c r="T815" s="3"/>
      <c r="U815" s="28"/>
      <c r="V815" s="28"/>
      <c r="W815" s="77"/>
      <c r="X815" s="77"/>
      <c r="Y815" s="77"/>
      <c r="Z815" s="3"/>
      <c r="AA815" s="3"/>
      <c r="AB815" s="3"/>
    </row>
    <row r="816" spans="1:28" ht="14">
      <c r="A816" s="3"/>
      <c r="B816" s="3"/>
      <c r="C816" s="3"/>
      <c r="D816" s="3"/>
      <c r="E816" s="3"/>
      <c r="F816" s="3"/>
      <c r="G816" s="3"/>
      <c r="H816" s="3"/>
      <c r="I816" s="3"/>
      <c r="J816" s="3"/>
      <c r="K816" s="3"/>
      <c r="L816" s="3"/>
      <c r="M816" s="3"/>
      <c r="N816" s="3"/>
      <c r="O816" s="3"/>
      <c r="P816" s="3"/>
      <c r="Q816" s="48"/>
      <c r="R816" s="3"/>
      <c r="S816" s="3"/>
      <c r="T816" s="3"/>
      <c r="U816" s="28"/>
      <c r="V816" s="28"/>
      <c r="W816" s="77"/>
      <c r="X816" s="77"/>
      <c r="Y816" s="77"/>
      <c r="Z816" s="3"/>
      <c r="AA816" s="3"/>
      <c r="AB816" s="3"/>
    </row>
    <row r="817" spans="1:28" ht="14">
      <c r="A817" s="3"/>
      <c r="B817" s="3"/>
      <c r="C817" s="3"/>
      <c r="D817" s="3"/>
      <c r="E817" s="3"/>
      <c r="F817" s="3"/>
      <c r="G817" s="3"/>
      <c r="H817" s="3"/>
      <c r="I817" s="3"/>
      <c r="J817" s="3"/>
      <c r="K817" s="3"/>
      <c r="L817" s="3"/>
      <c r="M817" s="3"/>
      <c r="N817" s="3"/>
      <c r="O817" s="3"/>
      <c r="P817" s="3"/>
      <c r="Q817" s="48"/>
      <c r="R817" s="3"/>
      <c r="S817" s="3"/>
      <c r="T817" s="3"/>
      <c r="U817" s="28"/>
      <c r="V817" s="28"/>
      <c r="W817" s="77"/>
      <c r="X817" s="77"/>
      <c r="Y817" s="77"/>
      <c r="Z817" s="3"/>
      <c r="AA817" s="3"/>
      <c r="AB817" s="3"/>
    </row>
    <row r="818" spans="1:28" ht="14">
      <c r="A818" s="3"/>
      <c r="B818" s="3"/>
      <c r="C818" s="3"/>
      <c r="D818" s="3"/>
      <c r="E818" s="3"/>
      <c r="F818" s="3"/>
      <c r="G818" s="3"/>
      <c r="H818" s="3"/>
      <c r="I818" s="3"/>
      <c r="J818" s="3"/>
      <c r="K818" s="3"/>
      <c r="L818" s="3"/>
      <c r="M818" s="3"/>
      <c r="N818" s="3"/>
      <c r="O818" s="3"/>
      <c r="P818" s="3"/>
      <c r="Q818" s="48"/>
      <c r="R818" s="3"/>
      <c r="S818" s="3"/>
      <c r="T818" s="3"/>
      <c r="U818" s="28"/>
      <c r="V818" s="28"/>
      <c r="W818" s="77"/>
      <c r="X818" s="77"/>
      <c r="Y818" s="77"/>
      <c r="Z818" s="3"/>
      <c r="AA818" s="3"/>
      <c r="AB818" s="3"/>
    </row>
    <row r="819" spans="1:28" ht="14">
      <c r="A819" s="3"/>
      <c r="B819" s="3"/>
      <c r="C819" s="3"/>
      <c r="D819" s="3"/>
      <c r="E819" s="3"/>
      <c r="F819" s="3"/>
      <c r="G819" s="3"/>
      <c r="H819" s="3"/>
      <c r="I819" s="3"/>
      <c r="J819" s="3"/>
      <c r="K819" s="3"/>
      <c r="L819" s="3"/>
      <c r="M819" s="3"/>
      <c r="N819" s="3"/>
      <c r="O819" s="3"/>
      <c r="P819" s="3"/>
      <c r="Q819" s="48"/>
      <c r="R819" s="3"/>
      <c r="S819" s="3"/>
      <c r="T819" s="3"/>
      <c r="U819" s="28"/>
      <c r="V819" s="28"/>
      <c r="W819" s="77"/>
      <c r="X819" s="77"/>
      <c r="Y819" s="77"/>
      <c r="Z819" s="3"/>
      <c r="AA819" s="3"/>
      <c r="AB819" s="3"/>
    </row>
    <row r="820" spans="1:28" ht="14">
      <c r="A820" s="3"/>
      <c r="B820" s="3"/>
      <c r="C820" s="3"/>
      <c r="D820" s="3"/>
      <c r="E820" s="3"/>
      <c r="F820" s="3"/>
      <c r="G820" s="3"/>
      <c r="H820" s="3"/>
      <c r="I820" s="3"/>
      <c r="J820" s="3"/>
      <c r="K820" s="3"/>
      <c r="L820" s="3"/>
      <c r="M820" s="3"/>
      <c r="N820" s="3"/>
      <c r="O820" s="3"/>
      <c r="P820" s="3"/>
      <c r="Q820" s="48"/>
      <c r="R820" s="3"/>
      <c r="S820" s="3"/>
      <c r="T820" s="3"/>
      <c r="U820" s="28"/>
      <c r="V820" s="28"/>
      <c r="W820" s="77"/>
      <c r="X820" s="77"/>
      <c r="Y820" s="77"/>
      <c r="Z820" s="3"/>
      <c r="AA820" s="3"/>
      <c r="AB820" s="3"/>
    </row>
    <row r="821" spans="1:28" ht="14">
      <c r="A821" s="3"/>
      <c r="B821" s="3"/>
      <c r="C821" s="3"/>
      <c r="D821" s="3"/>
      <c r="E821" s="3"/>
      <c r="F821" s="3"/>
      <c r="G821" s="3"/>
      <c r="H821" s="3"/>
      <c r="I821" s="3"/>
      <c r="J821" s="3"/>
      <c r="K821" s="3"/>
      <c r="L821" s="3"/>
      <c r="M821" s="3"/>
      <c r="N821" s="3"/>
      <c r="O821" s="3"/>
      <c r="P821" s="3"/>
      <c r="Q821" s="48"/>
      <c r="R821" s="3"/>
      <c r="S821" s="3"/>
      <c r="T821" s="3"/>
      <c r="U821" s="28"/>
      <c r="V821" s="28"/>
      <c r="W821" s="77"/>
      <c r="X821" s="77"/>
      <c r="Y821" s="77"/>
      <c r="Z821" s="3"/>
      <c r="AA821" s="3"/>
      <c r="AB821" s="3"/>
    </row>
    <row r="822" spans="1:28" ht="14">
      <c r="A822" s="3"/>
      <c r="B822" s="3"/>
      <c r="C822" s="3"/>
      <c r="D822" s="3"/>
      <c r="E822" s="3"/>
      <c r="F822" s="3"/>
      <c r="G822" s="3"/>
      <c r="H822" s="3"/>
      <c r="I822" s="3"/>
      <c r="J822" s="3"/>
      <c r="K822" s="3"/>
      <c r="L822" s="3"/>
      <c r="M822" s="3"/>
      <c r="N822" s="3"/>
      <c r="O822" s="3"/>
      <c r="P822" s="3"/>
      <c r="Q822" s="48"/>
      <c r="R822" s="3"/>
      <c r="S822" s="3"/>
      <c r="T822" s="3"/>
      <c r="U822" s="28"/>
      <c r="V822" s="28"/>
      <c r="W822" s="77"/>
      <c r="X822" s="77"/>
      <c r="Y822" s="77"/>
      <c r="Z822" s="3"/>
      <c r="AA822" s="3"/>
      <c r="AB822" s="3"/>
    </row>
    <row r="823" spans="1:28" ht="14">
      <c r="A823" s="3"/>
      <c r="B823" s="3"/>
      <c r="C823" s="3"/>
      <c r="D823" s="3"/>
      <c r="E823" s="3"/>
      <c r="F823" s="3"/>
      <c r="G823" s="3"/>
      <c r="H823" s="3"/>
      <c r="I823" s="3"/>
      <c r="J823" s="3"/>
      <c r="K823" s="3"/>
      <c r="L823" s="3"/>
      <c r="M823" s="3"/>
      <c r="N823" s="3"/>
      <c r="O823" s="3"/>
      <c r="P823" s="3"/>
      <c r="Q823" s="48"/>
      <c r="R823" s="3"/>
      <c r="S823" s="3"/>
      <c r="T823" s="3"/>
      <c r="U823" s="28"/>
      <c r="V823" s="28"/>
      <c r="W823" s="77"/>
      <c r="X823" s="77"/>
      <c r="Y823" s="77"/>
      <c r="Z823" s="3"/>
      <c r="AA823" s="3"/>
      <c r="AB823" s="3"/>
    </row>
    <row r="824" spans="1:28" ht="14">
      <c r="A824" s="3"/>
      <c r="B824" s="3"/>
      <c r="C824" s="3"/>
      <c r="D824" s="3"/>
      <c r="E824" s="3"/>
      <c r="F824" s="3"/>
      <c r="G824" s="3"/>
      <c r="H824" s="3"/>
      <c r="I824" s="3"/>
      <c r="J824" s="3"/>
      <c r="K824" s="3"/>
      <c r="L824" s="3"/>
      <c r="M824" s="3"/>
      <c r="N824" s="3"/>
      <c r="O824" s="3"/>
      <c r="P824" s="3"/>
      <c r="Q824" s="48"/>
      <c r="R824" s="3"/>
      <c r="S824" s="3"/>
      <c r="T824" s="3"/>
      <c r="U824" s="28"/>
      <c r="V824" s="28"/>
      <c r="W824" s="77"/>
      <c r="X824" s="77"/>
      <c r="Y824" s="77"/>
      <c r="Z824" s="3"/>
      <c r="AA824" s="3"/>
      <c r="AB824" s="3"/>
    </row>
    <row r="825" spans="1:28" ht="14">
      <c r="A825" s="3"/>
      <c r="B825" s="3"/>
      <c r="C825" s="3"/>
      <c r="D825" s="3"/>
      <c r="E825" s="3"/>
      <c r="F825" s="3"/>
      <c r="G825" s="3"/>
      <c r="H825" s="3"/>
      <c r="I825" s="3"/>
      <c r="J825" s="3"/>
      <c r="K825" s="3"/>
      <c r="L825" s="3"/>
      <c r="M825" s="3"/>
      <c r="N825" s="3"/>
      <c r="O825" s="3"/>
      <c r="P825" s="3"/>
      <c r="Q825" s="48"/>
      <c r="R825" s="3"/>
      <c r="S825" s="3"/>
      <c r="T825" s="3"/>
      <c r="U825" s="28"/>
      <c r="V825" s="28"/>
      <c r="W825" s="77"/>
      <c r="X825" s="77"/>
      <c r="Y825" s="77"/>
      <c r="Z825" s="3"/>
      <c r="AA825" s="3"/>
      <c r="AB825" s="3"/>
    </row>
    <row r="826" spans="1:28" ht="14">
      <c r="A826" s="3"/>
      <c r="B826" s="3"/>
      <c r="C826" s="3"/>
      <c r="D826" s="3"/>
      <c r="E826" s="3"/>
      <c r="F826" s="3"/>
      <c r="G826" s="3"/>
      <c r="H826" s="3"/>
      <c r="I826" s="3"/>
      <c r="J826" s="3"/>
      <c r="K826" s="3"/>
      <c r="L826" s="3"/>
      <c r="M826" s="3"/>
      <c r="N826" s="3"/>
      <c r="O826" s="3"/>
      <c r="P826" s="3"/>
      <c r="Q826" s="48"/>
      <c r="R826" s="3"/>
      <c r="S826" s="3"/>
      <c r="T826" s="3"/>
      <c r="U826" s="28"/>
      <c r="V826" s="28"/>
      <c r="W826" s="77"/>
      <c r="X826" s="77"/>
      <c r="Y826" s="77"/>
      <c r="Z826" s="3"/>
      <c r="AA826" s="3"/>
      <c r="AB826" s="3"/>
    </row>
    <row r="827" spans="1:28" ht="14">
      <c r="A827" s="3"/>
      <c r="B827" s="3"/>
      <c r="C827" s="3"/>
      <c r="D827" s="3"/>
      <c r="E827" s="3"/>
      <c r="F827" s="3"/>
      <c r="G827" s="3"/>
      <c r="H827" s="3"/>
      <c r="I827" s="3"/>
      <c r="J827" s="3"/>
      <c r="K827" s="3"/>
      <c r="L827" s="3"/>
      <c r="M827" s="3"/>
      <c r="N827" s="3"/>
      <c r="O827" s="3"/>
      <c r="P827" s="3"/>
      <c r="Q827" s="48"/>
      <c r="R827" s="3"/>
      <c r="S827" s="3"/>
      <c r="T827" s="3"/>
      <c r="U827" s="28"/>
      <c r="V827" s="28"/>
      <c r="W827" s="77"/>
      <c r="X827" s="77"/>
      <c r="Y827" s="77"/>
      <c r="Z827" s="3"/>
      <c r="AA827" s="3"/>
      <c r="AB827" s="3"/>
    </row>
    <row r="828" spans="1:28" ht="14">
      <c r="A828" s="3"/>
      <c r="B828" s="3"/>
      <c r="C828" s="3"/>
      <c r="D828" s="3"/>
      <c r="E828" s="3"/>
      <c r="F828" s="3"/>
      <c r="G828" s="3"/>
      <c r="H828" s="3"/>
      <c r="I828" s="3"/>
      <c r="J828" s="3"/>
      <c r="K828" s="3"/>
      <c r="L828" s="3"/>
      <c r="M828" s="3"/>
      <c r="N828" s="3"/>
      <c r="O828" s="3"/>
      <c r="P828" s="3"/>
      <c r="Q828" s="48"/>
      <c r="R828" s="3"/>
      <c r="S828" s="3"/>
      <c r="T828" s="3"/>
      <c r="U828" s="28"/>
      <c r="V828" s="28"/>
      <c r="W828" s="77"/>
      <c r="X828" s="77"/>
      <c r="Y828" s="77"/>
      <c r="Z828" s="3"/>
      <c r="AA828" s="3"/>
      <c r="AB828" s="3"/>
    </row>
    <row r="829" spans="1:28" ht="14">
      <c r="A829" s="3"/>
      <c r="B829" s="3"/>
      <c r="C829" s="3"/>
      <c r="D829" s="3"/>
      <c r="E829" s="3"/>
      <c r="F829" s="3"/>
      <c r="G829" s="3"/>
      <c r="H829" s="3"/>
      <c r="I829" s="3"/>
      <c r="J829" s="3"/>
      <c r="K829" s="3"/>
      <c r="L829" s="3"/>
      <c r="M829" s="3"/>
      <c r="N829" s="3"/>
      <c r="O829" s="3"/>
      <c r="P829" s="3"/>
      <c r="Q829" s="48"/>
      <c r="R829" s="3"/>
      <c r="S829" s="3"/>
      <c r="T829" s="3"/>
      <c r="U829" s="28"/>
      <c r="V829" s="28"/>
      <c r="W829" s="77"/>
      <c r="X829" s="77"/>
      <c r="Y829" s="77"/>
      <c r="Z829" s="3"/>
      <c r="AA829" s="3"/>
      <c r="AB829" s="3"/>
    </row>
    <row r="830" spans="1:28" ht="14">
      <c r="A830" s="3"/>
      <c r="B830" s="3"/>
      <c r="C830" s="3"/>
      <c r="D830" s="3"/>
      <c r="E830" s="3"/>
      <c r="F830" s="3"/>
      <c r="G830" s="3"/>
      <c r="H830" s="3"/>
      <c r="I830" s="3"/>
      <c r="J830" s="3"/>
      <c r="K830" s="3"/>
      <c r="L830" s="3"/>
      <c r="M830" s="3"/>
      <c r="N830" s="3"/>
      <c r="O830" s="3"/>
      <c r="P830" s="3"/>
      <c r="Q830" s="48"/>
      <c r="R830" s="3"/>
      <c r="S830" s="3"/>
      <c r="T830" s="3"/>
      <c r="U830" s="28"/>
      <c r="V830" s="28"/>
      <c r="W830" s="77"/>
      <c r="X830" s="77"/>
      <c r="Y830" s="77"/>
      <c r="Z830" s="3"/>
      <c r="AA830" s="3"/>
      <c r="AB830" s="3"/>
    </row>
    <row r="831" spans="1:28" ht="14">
      <c r="A831" s="3"/>
      <c r="B831" s="3"/>
      <c r="C831" s="3"/>
      <c r="D831" s="3"/>
      <c r="E831" s="3"/>
      <c r="F831" s="3"/>
      <c r="G831" s="3"/>
      <c r="H831" s="3"/>
      <c r="I831" s="3"/>
      <c r="J831" s="3"/>
      <c r="K831" s="3"/>
      <c r="L831" s="3"/>
      <c r="M831" s="3"/>
      <c r="N831" s="3"/>
      <c r="O831" s="3"/>
      <c r="P831" s="3"/>
      <c r="Q831" s="48"/>
      <c r="R831" s="3"/>
      <c r="S831" s="3"/>
      <c r="T831" s="3"/>
      <c r="U831" s="28"/>
      <c r="V831" s="28"/>
      <c r="W831" s="77"/>
      <c r="X831" s="77"/>
      <c r="Y831" s="77"/>
      <c r="Z831" s="3"/>
      <c r="AA831" s="3"/>
      <c r="AB831" s="3"/>
    </row>
    <row r="832" spans="1:28" ht="14">
      <c r="A832" s="3"/>
      <c r="B832" s="3"/>
      <c r="C832" s="3"/>
      <c r="D832" s="3"/>
      <c r="E832" s="3"/>
      <c r="F832" s="3"/>
      <c r="G832" s="3"/>
      <c r="H832" s="3"/>
      <c r="I832" s="3"/>
      <c r="J832" s="3"/>
      <c r="K832" s="3"/>
      <c r="L832" s="3"/>
      <c r="M832" s="3"/>
      <c r="N832" s="3"/>
      <c r="O832" s="3"/>
      <c r="P832" s="3"/>
      <c r="Q832" s="48"/>
      <c r="R832" s="3"/>
      <c r="S832" s="3"/>
      <c r="T832" s="3"/>
      <c r="U832" s="28"/>
      <c r="V832" s="28"/>
      <c r="W832" s="77"/>
      <c r="X832" s="77"/>
      <c r="Y832" s="77"/>
      <c r="Z832" s="3"/>
      <c r="AA832" s="3"/>
      <c r="AB832" s="3"/>
    </row>
    <row r="833" spans="1:28" ht="14">
      <c r="A833" s="3"/>
      <c r="B833" s="3"/>
      <c r="C833" s="3"/>
      <c r="D833" s="3"/>
      <c r="E833" s="3"/>
      <c r="F833" s="3"/>
      <c r="G833" s="3"/>
      <c r="H833" s="3"/>
      <c r="I833" s="3"/>
      <c r="J833" s="3"/>
      <c r="K833" s="3"/>
      <c r="L833" s="3"/>
      <c r="M833" s="3"/>
      <c r="N833" s="3"/>
      <c r="O833" s="3"/>
      <c r="P833" s="3"/>
      <c r="Q833" s="48"/>
      <c r="R833" s="3"/>
      <c r="S833" s="3"/>
      <c r="T833" s="3"/>
      <c r="U833" s="28"/>
      <c r="V833" s="28"/>
      <c r="W833" s="77"/>
      <c r="X833" s="77"/>
      <c r="Y833" s="77"/>
      <c r="Z833" s="3"/>
      <c r="AA833" s="3"/>
      <c r="AB833" s="3"/>
    </row>
    <row r="834" spans="1:28" ht="14">
      <c r="A834" s="3"/>
      <c r="B834" s="3"/>
      <c r="C834" s="3"/>
      <c r="D834" s="3"/>
      <c r="E834" s="3"/>
      <c r="F834" s="3"/>
      <c r="G834" s="3"/>
      <c r="H834" s="3"/>
      <c r="I834" s="3"/>
      <c r="J834" s="3"/>
      <c r="K834" s="3"/>
      <c r="L834" s="3"/>
      <c r="M834" s="3"/>
      <c r="N834" s="3"/>
      <c r="O834" s="3"/>
      <c r="P834" s="3"/>
      <c r="Q834" s="48"/>
      <c r="R834" s="3"/>
      <c r="S834" s="3"/>
      <c r="T834" s="3"/>
      <c r="U834" s="28"/>
      <c r="V834" s="28"/>
      <c r="W834" s="77"/>
      <c r="X834" s="77"/>
      <c r="Y834" s="77"/>
      <c r="Z834" s="3"/>
      <c r="AA834" s="3"/>
      <c r="AB834" s="3"/>
    </row>
    <row r="835" spans="1:28" ht="14">
      <c r="A835" s="3"/>
      <c r="B835" s="3"/>
      <c r="C835" s="3"/>
      <c r="D835" s="3"/>
      <c r="E835" s="3"/>
      <c r="F835" s="3"/>
      <c r="G835" s="3"/>
      <c r="H835" s="3"/>
      <c r="I835" s="3"/>
      <c r="J835" s="3"/>
      <c r="K835" s="3"/>
      <c r="L835" s="3"/>
      <c r="M835" s="3"/>
      <c r="N835" s="3"/>
      <c r="O835" s="3"/>
      <c r="P835" s="3"/>
      <c r="Q835" s="48"/>
      <c r="R835" s="3"/>
      <c r="S835" s="3"/>
      <c r="T835" s="3"/>
      <c r="U835" s="28"/>
      <c r="V835" s="28"/>
      <c r="W835" s="77"/>
      <c r="X835" s="77"/>
      <c r="Y835" s="77"/>
      <c r="Z835" s="3"/>
      <c r="AA835" s="3"/>
      <c r="AB835" s="3"/>
    </row>
    <row r="836" spans="1:28" ht="14">
      <c r="A836" s="3"/>
      <c r="B836" s="3"/>
      <c r="C836" s="3"/>
      <c r="D836" s="3"/>
      <c r="E836" s="3"/>
      <c r="F836" s="3"/>
      <c r="G836" s="3"/>
      <c r="H836" s="3"/>
      <c r="I836" s="3"/>
      <c r="J836" s="3"/>
      <c r="K836" s="3"/>
      <c r="L836" s="3"/>
      <c r="M836" s="3"/>
      <c r="N836" s="3"/>
      <c r="O836" s="3"/>
      <c r="P836" s="3"/>
      <c r="Q836" s="48"/>
      <c r="R836" s="3"/>
      <c r="S836" s="3"/>
      <c r="T836" s="3"/>
      <c r="U836" s="28"/>
      <c r="V836" s="28"/>
      <c r="W836" s="77"/>
      <c r="X836" s="77"/>
      <c r="Y836" s="77"/>
      <c r="Z836" s="3"/>
      <c r="AA836" s="3"/>
      <c r="AB836" s="3"/>
    </row>
    <row r="837" spans="1:28" ht="14">
      <c r="A837" s="3"/>
      <c r="B837" s="3"/>
      <c r="C837" s="3"/>
      <c r="D837" s="3"/>
      <c r="E837" s="3"/>
      <c r="F837" s="3"/>
      <c r="G837" s="3"/>
      <c r="H837" s="3"/>
      <c r="I837" s="3"/>
      <c r="J837" s="3"/>
      <c r="K837" s="3"/>
      <c r="L837" s="3"/>
      <c r="M837" s="3"/>
      <c r="N837" s="3"/>
      <c r="O837" s="3"/>
      <c r="P837" s="3"/>
      <c r="Q837" s="48"/>
      <c r="R837" s="3"/>
      <c r="S837" s="3"/>
      <c r="T837" s="3"/>
      <c r="U837" s="28"/>
      <c r="V837" s="28"/>
      <c r="W837" s="77"/>
      <c r="X837" s="77"/>
      <c r="Y837" s="77"/>
      <c r="Z837" s="3"/>
      <c r="AA837" s="3"/>
      <c r="AB837" s="3"/>
    </row>
    <row r="838" spans="1:28" ht="14">
      <c r="A838" s="3"/>
      <c r="B838" s="3"/>
      <c r="C838" s="3"/>
      <c r="D838" s="3"/>
      <c r="E838" s="3"/>
      <c r="F838" s="3"/>
      <c r="G838" s="3"/>
      <c r="H838" s="3"/>
      <c r="I838" s="3"/>
      <c r="J838" s="3"/>
      <c r="K838" s="3"/>
      <c r="L838" s="3"/>
      <c r="M838" s="3"/>
      <c r="N838" s="3"/>
      <c r="O838" s="3"/>
      <c r="P838" s="3"/>
      <c r="Q838" s="48"/>
      <c r="R838" s="3"/>
      <c r="S838" s="3"/>
      <c r="T838" s="3"/>
      <c r="U838" s="28"/>
      <c r="V838" s="28"/>
      <c r="W838" s="77"/>
      <c r="X838" s="77"/>
      <c r="Y838" s="77"/>
      <c r="Z838" s="3"/>
      <c r="AA838" s="3"/>
      <c r="AB838" s="3"/>
    </row>
    <row r="839" spans="1:28" ht="14">
      <c r="A839" s="3"/>
      <c r="B839" s="3"/>
      <c r="C839" s="3"/>
      <c r="D839" s="3"/>
      <c r="E839" s="3"/>
      <c r="F839" s="3"/>
      <c r="G839" s="3"/>
      <c r="H839" s="3"/>
      <c r="I839" s="3"/>
      <c r="J839" s="3"/>
      <c r="K839" s="3"/>
      <c r="L839" s="3"/>
      <c r="M839" s="3"/>
      <c r="N839" s="3"/>
      <c r="O839" s="3"/>
      <c r="P839" s="3"/>
      <c r="Q839" s="48"/>
      <c r="R839" s="3"/>
      <c r="S839" s="3"/>
      <c r="T839" s="3"/>
      <c r="U839" s="28"/>
      <c r="V839" s="28"/>
      <c r="W839" s="77"/>
      <c r="X839" s="77"/>
      <c r="Y839" s="77"/>
      <c r="Z839" s="3"/>
      <c r="AA839" s="3"/>
      <c r="AB839" s="3"/>
    </row>
    <row r="840" spans="1:28" ht="14">
      <c r="A840" s="3"/>
      <c r="B840" s="3"/>
      <c r="C840" s="3"/>
      <c r="D840" s="3"/>
      <c r="E840" s="3"/>
      <c r="F840" s="3"/>
      <c r="G840" s="3"/>
      <c r="H840" s="3"/>
      <c r="I840" s="3"/>
      <c r="J840" s="3"/>
      <c r="K840" s="3"/>
      <c r="L840" s="3"/>
      <c r="M840" s="3"/>
      <c r="N840" s="3"/>
      <c r="O840" s="3"/>
      <c r="P840" s="3"/>
      <c r="Q840" s="48"/>
      <c r="R840" s="3"/>
      <c r="S840" s="3"/>
      <c r="T840" s="3"/>
      <c r="U840" s="28"/>
      <c r="V840" s="28"/>
      <c r="W840" s="77"/>
      <c r="X840" s="77"/>
      <c r="Y840" s="77"/>
      <c r="Z840" s="3"/>
      <c r="AA840" s="3"/>
      <c r="AB840" s="3"/>
    </row>
    <row r="841" spans="1:28" ht="14">
      <c r="A841" s="3"/>
      <c r="B841" s="3"/>
      <c r="C841" s="3"/>
      <c r="D841" s="3"/>
      <c r="E841" s="3"/>
      <c r="F841" s="3"/>
      <c r="G841" s="3"/>
      <c r="H841" s="3"/>
      <c r="I841" s="3"/>
      <c r="J841" s="3"/>
      <c r="K841" s="3"/>
      <c r="L841" s="3"/>
      <c r="M841" s="3"/>
      <c r="N841" s="3"/>
      <c r="O841" s="3"/>
      <c r="P841" s="3"/>
      <c r="Q841" s="48"/>
      <c r="R841" s="3"/>
      <c r="S841" s="3"/>
      <c r="T841" s="3"/>
      <c r="U841" s="28"/>
      <c r="V841" s="28"/>
      <c r="W841" s="77"/>
      <c r="X841" s="77"/>
      <c r="Y841" s="77"/>
      <c r="Z841" s="3"/>
      <c r="AA841" s="3"/>
      <c r="AB841" s="3"/>
    </row>
    <row r="842" spans="1:28" ht="14">
      <c r="A842" s="3"/>
      <c r="B842" s="3"/>
      <c r="C842" s="3"/>
      <c r="D842" s="3"/>
      <c r="E842" s="3"/>
      <c r="F842" s="3"/>
      <c r="G842" s="3"/>
      <c r="H842" s="3"/>
      <c r="I842" s="3"/>
      <c r="J842" s="3"/>
      <c r="K842" s="3"/>
      <c r="L842" s="3"/>
      <c r="M842" s="3"/>
      <c r="N842" s="3"/>
      <c r="O842" s="3"/>
      <c r="P842" s="3"/>
      <c r="Q842" s="48"/>
      <c r="R842" s="3"/>
      <c r="S842" s="3"/>
      <c r="T842" s="3"/>
      <c r="U842" s="28"/>
      <c r="V842" s="28"/>
      <c r="W842" s="77"/>
      <c r="X842" s="77"/>
      <c r="Y842" s="77"/>
      <c r="Z842" s="3"/>
      <c r="AA842" s="3"/>
      <c r="AB842" s="3"/>
    </row>
    <row r="843" spans="1:28" ht="14">
      <c r="A843" s="3"/>
      <c r="B843" s="3"/>
      <c r="C843" s="3"/>
      <c r="D843" s="3"/>
      <c r="E843" s="3"/>
      <c r="F843" s="3"/>
      <c r="G843" s="3"/>
      <c r="H843" s="3"/>
      <c r="I843" s="3"/>
      <c r="J843" s="3"/>
      <c r="K843" s="3"/>
      <c r="L843" s="3"/>
      <c r="M843" s="3"/>
      <c r="N843" s="3"/>
      <c r="O843" s="3"/>
      <c r="P843" s="3"/>
      <c r="Q843" s="48"/>
      <c r="R843" s="3"/>
      <c r="S843" s="3"/>
      <c r="T843" s="3"/>
      <c r="U843" s="28"/>
      <c r="V843" s="28"/>
      <c r="W843" s="77"/>
      <c r="X843" s="77"/>
      <c r="Y843" s="77"/>
      <c r="Z843" s="3"/>
      <c r="AA843" s="3"/>
      <c r="AB843" s="3"/>
    </row>
    <row r="844" spans="1:28" ht="14">
      <c r="A844" s="3"/>
      <c r="B844" s="3"/>
      <c r="C844" s="3"/>
      <c r="D844" s="3"/>
      <c r="E844" s="3"/>
      <c r="F844" s="3"/>
      <c r="G844" s="3"/>
      <c r="H844" s="3"/>
      <c r="I844" s="3"/>
      <c r="J844" s="3"/>
      <c r="K844" s="3"/>
      <c r="L844" s="3"/>
      <c r="M844" s="3"/>
      <c r="N844" s="3"/>
      <c r="O844" s="3"/>
      <c r="P844" s="3"/>
      <c r="Q844" s="48"/>
      <c r="R844" s="3"/>
      <c r="S844" s="3"/>
      <c r="T844" s="3"/>
      <c r="U844" s="28"/>
      <c r="V844" s="28"/>
      <c r="W844" s="77"/>
      <c r="X844" s="77"/>
      <c r="Y844" s="77"/>
      <c r="Z844" s="3"/>
      <c r="AA844" s="3"/>
      <c r="AB844" s="3"/>
    </row>
    <row r="845" spans="1:28" ht="14">
      <c r="A845" s="3"/>
      <c r="B845" s="3"/>
      <c r="C845" s="3"/>
      <c r="D845" s="3"/>
      <c r="E845" s="3"/>
      <c r="F845" s="3"/>
      <c r="G845" s="3"/>
      <c r="H845" s="3"/>
      <c r="I845" s="3"/>
      <c r="J845" s="3"/>
      <c r="K845" s="3"/>
      <c r="L845" s="3"/>
      <c r="M845" s="3"/>
      <c r="N845" s="3"/>
      <c r="O845" s="3"/>
      <c r="P845" s="3"/>
      <c r="Q845" s="48"/>
      <c r="R845" s="3"/>
      <c r="S845" s="3"/>
      <c r="T845" s="3"/>
      <c r="U845" s="28"/>
      <c r="V845" s="28"/>
      <c r="W845" s="77"/>
      <c r="X845" s="77"/>
      <c r="Y845" s="77"/>
      <c r="Z845" s="3"/>
      <c r="AA845" s="3"/>
      <c r="AB845" s="3"/>
    </row>
    <row r="846" spans="1:28" ht="14">
      <c r="A846" s="3"/>
      <c r="B846" s="3"/>
      <c r="C846" s="3"/>
      <c r="D846" s="3"/>
      <c r="E846" s="3"/>
      <c r="F846" s="3"/>
      <c r="G846" s="3"/>
      <c r="H846" s="3"/>
      <c r="I846" s="3"/>
      <c r="J846" s="3"/>
      <c r="K846" s="3"/>
      <c r="L846" s="3"/>
      <c r="M846" s="3"/>
      <c r="N846" s="3"/>
      <c r="O846" s="3"/>
      <c r="P846" s="3"/>
      <c r="Q846" s="48"/>
      <c r="R846" s="3"/>
      <c r="S846" s="3"/>
      <c r="T846" s="3"/>
      <c r="U846" s="28"/>
      <c r="V846" s="28"/>
      <c r="W846" s="77"/>
      <c r="X846" s="77"/>
      <c r="Y846" s="77"/>
      <c r="Z846" s="3"/>
      <c r="AA846" s="3"/>
      <c r="AB846" s="3"/>
    </row>
    <row r="847" spans="1:28" ht="14">
      <c r="A847" s="3"/>
      <c r="B847" s="3"/>
      <c r="C847" s="3"/>
      <c r="D847" s="3"/>
      <c r="E847" s="3"/>
      <c r="F847" s="3"/>
      <c r="G847" s="3"/>
      <c r="H847" s="3"/>
      <c r="I847" s="3"/>
      <c r="J847" s="3"/>
      <c r="K847" s="3"/>
      <c r="L847" s="3"/>
      <c r="M847" s="3"/>
      <c r="N847" s="3"/>
      <c r="O847" s="3"/>
      <c r="P847" s="3"/>
      <c r="Q847" s="48"/>
      <c r="R847" s="3"/>
      <c r="S847" s="3"/>
      <c r="T847" s="3"/>
      <c r="U847" s="28"/>
      <c r="V847" s="28"/>
      <c r="W847" s="77"/>
      <c r="X847" s="77"/>
      <c r="Y847" s="77"/>
      <c r="Z847" s="3"/>
      <c r="AA847" s="3"/>
      <c r="AB847" s="3"/>
    </row>
    <row r="848" spans="1:28" ht="14">
      <c r="A848" s="3"/>
      <c r="B848" s="3"/>
      <c r="C848" s="3"/>
      <c r="D848" s="3"/>
      <c r="E848" s="3"/>
      <c r="F848" s="3"/>
      <c r="G848" s="3"/>
      <c r="H848" s="3"/>
      <c r="I848" s="3"/>
      <c r="J848" s="3"/>
      <c r="K848" s="3"/>
      <c r="L848" s="3"/>
      <c r="M848" s="3"/>
      <c r="N848" s="3"/>
      <c r="O848" s="3"/>
      <c r="P848" s="3"/>
      <c r="Q848" s="48"/>
      <c r="R848" s="3"/>
      <c r="S848" s="3"/>
      <c r="T848" s="3"/>
      <c r="U848" s="28"/>
      <c r="V848" s="28"/>
      <c r="W848" s="77"/>
      <c r="X848" s="77"/>
      <c r="Y848" s="77"/>
      <c r="Z848" s="3"/>
      <c r="AA848" s="3"/>
      <c r="AB848" s="3"/>
    </row>
    <row r="849" spans="1:28" ht="14">
      <c r="A849" s="3"/>
      <c r="B849" s="3"/>
      <c r="C849" s="3"/>
      <c r="D849" s="3"/>
      <c r="E849" s="3"/>
      <c r="F849" s="3"/>
      <c r="G849" s="3"/>
      <c r="H849" s="3"/>
      <c r="I849" s="3"/>
      <c r="J849" s="3"/>
      <c r="K849" s="3"/>
      <c r="L849" s="3"/>
      <c r="M849" s="3"/>
      <c r="N849" s="3"/>
      <c r="O849" s="3"/>
      <c r="P849" s="3"/>
      <c r="Q849" s="48"/>
      <c r="R849" s="3"/>
      <c r="S849" s="3"/>
      <c r="T849" s="3"/>
      <c r="U849" s="28"/>
      <c r="V849" s="28"/>
      <c r="W849" s="77"/>
      <c r="X849" s="77"/>
      <c r="Y849" s="77"/>
      <c r="Z849" s="3"/>
      <c r="AA849" s="3"/>
      <c r="AB849" s="3"/>
    </row>
    <row r="850" spans="1:28" ht="14">
      <c r="A850" s="3"/>
      <c r="B850" s="3"/>
      <c r="C850" s="3"/>
      <c r="D850" s="3"/>
      <c r="E850" s="3"/>
      <c r="F850" s="3"/>
      <c r="G850" s="3"/>
      <c r="H850" s="3"/>
      <c r="I850" s="3"/>
      <c r="J850" s="3"/>
      <c r="K850" s="3"/>
      <c r="L850" s="3"/>
      <c r="M850" s="3"/>
      <c r="N850" s="3"/>
      <c r="O850" s="3"/>
      <c r="P850" s="3"/>
      <c r="Q850" s="48"/>
      <c r="R850" s="3"/>
      <c r="S850" s="3"/>
      <c r="T850" s="3"/>
      <c r="U850" s="28"/>
      <c r="V850" s="28"/>
      <c r="W850" s="77"/>
      <c r="X850" s="77"/>
      <c r="Y850" s="77"/>
      <c r="Z850" s="3"/>
      <c r="AA850" s="3"/>
      <c r="AB850" s="3"/>
    </row>
    <row r="851" spans="1:28" ht="14">
      <c r="A851" s="3"/>
      <c r="B851" s="3"/>
      <c r="C851" s="3"/>
      <c r="D851" s="3"/>
      <c r="E851" s="3"/>
      <c r="F851" s="3"/>
      <c r="G851" s="3"/>
      <c r="H851" s="3"/>
      <c r="I851" s="3"/>
      <c r="J851" s="3"/>
      <c r="K851" s="3"/>
      <c r="L851" s="3"/>
      <c r="M851" s="3"/>
      <c r="N851" s="3"/>
      <c r="O851" s="3"/>
      <c r="P851" s="3"/>
      <c r="Q851" s="48"/>
      <c r="R851" s="3"/>
      <c r="S851" s="3"/>
      <c r="T851" s="3"/>
      <c r="U851" s="28"/>
      <c r="V851" s="28"/>
      <c r="W851" s="77"/>
      <c r="X851" s="77"/>
      <c r="Y851" s="77"/>
      <c r="Z851" s="3"/>
      <c r="AA851" s="3"/>
      <c r="AB851" s="3"/>
    </row>
    <row r="852" spans="1:28" ht="14">
      <c r="A852" s="3"/>
      <c r="B852" s="3"/>
      <c r="C852" s="3"/>
      <c r="D852" s="3"/>
      <c r="E852" s="3"/>
      <c r="F852" s="3"/>
      <c r="G852" s="3"/>
      <c r="H852" s="3"/>
      <c r="I852" s="3"/>
      <c r="J852" s="3"/>
      <c r="K852" s="3"/>
      <c r="L852" s="3"/>
      <c r="M852" s="3"/>
      <c r="N852" s="3"/>
      <c r="O852" s="3"/>
      <c r="P852" s="3"/>
      <c r="Q852" s="48"/>
      <c r="R852" s="3"/>
      <c r="S852" s="3"/>
      <c r="T852" s="3"/>
      <c r="U852" s="28"/>
      <c r="V852" s="28"/>
      <c r="W852" s="77"/>
      <c r="X852" s="77"/>
      <c r="Y852" s="77"/>
      <c r="Z852" s="3"/>
      <c r="AA852" s="3"/>
      <c r="AB852" s="3"/>
    </row>
    <row r="853" spans="1:28" ht="14">
      <c r="A853" s="3"/>
      <c r="B853" s="3"/>
      <c r="C853" s="3"/>
      <c r="D853" s="3"/>
      <c r="E853" s="3"/>
      <c r="F853" s="3"/>
      <c r="G853" s="3"/>
      <c r="H853" s="3"/>
      <c r="I853" s="3"/>
      <c r="J853" s="3"/>
      <c r="K853" s="3"/>
      <c r="L853" s="3"/>
      <c r="M853" s="3"/>
      <c r="N853" s="3"/>
      <c r="O853" s="3"/>
      <c r="P853" s="3"/>
      <c r="Q853" s="48"/>
      <c r="R853" s="3"/>
      <c r="S853" s="3"/>
      <c r="T853" s="3"/>
      <c r="U853" s="28"/>
      <c r="V853" s="28"/>
      <c r="W853" s="77"/>
      <c r="X853" s="77"/>
      <c r="Y853" s="77"/>
      <c r="Z853" s="3"/>
      <c r="AA853" s="3"/>
      <c r="AB853" s="3"/>
    </row>
    <row r="854" spans="1:28" ht="14">
      <c r="A854" s="3"/>
      <c r="B854" s="3"/>
      <c r="C854" s="3"/>
      <c r="D854" s="3"/>
      <c r="E854" s="3"/>
      <c r="F854" s="3"/>
      <c r="G854" s="3"/>
      <c r="H854" s="3"/>
      <c r="I854" s="3"/>
      <c r="J854" s="3"/>
      <c r="K854" s="3"/>
      <c r="L854" s="3"/>
      <c r="M854" s="3"/>
      <c r="N854" s="3"/>
      <c r="O854" s="3"/>
      <c r="P854" s="3"/>
      <c r="Q854" s="48"/>
      <c r="R854" s="3"/>
      <c r="S854" s="3"/>
      <c r="T854" s="3"/>
      <c r="U854" s="28"/>
      <c r="V854" s="28"/>
      <c r="W854" s="77"/>
      <c r="X854" s="77"/>
      <c r="Y854" s="77"/>
      <c r="Z854" s="3"/>
      <c r="AA854" s="3"/>
      <c r="AB854" s="3"/>
    </row>
    <row r="855" spans="1:28" ht="14">
      <c r="A855" s="3"/>
      <c r="B855" s="3"/>
      <c r="C855" s="3"/>
      <c r="D855" s="3"/>
      <c r="E855" s="3"/>
      <c r="F855" s="3"/>
      <c r="G855" s="3"/>
      <c r="H855" s="3"/>
      <c r="I855" s="3"/>
      <c r="J855" s="3"/>
      <c r="K855" s="3"/>
      <c r="L855" s="3"/>
      <c r="M855" s="3"/>
      <c r="N855" s="3"/>
      <c r="O855" s="3"/>
      <c r="P855" s="3"/>
      <c r="Q855" s="48"/>
      <c r="R855" s="3"/>
      <c r="S855" s="3"/>
      <c r="T855" s="3"/>
      <c r="U855" s="28"/>
      <c r="V855" s="28"/>
      <c r="W855" s="77"/>
      <c r="X855" s="77"/>
      <c r="Y855" s="77"/>
      <c r="Z855" s="3"/>
      <c r="AA855" s="3"/>
      <c r="AB855" s="3"/>
    </row>
    <row r="856" spans="1:28" ht="14">
      <c r="A856" s="3"/>
      <c r="B856" s="3"/>
      <c r="C856" s="3"/>
      <c r="D856" s="3"/>
      <c r="E856" s="3"/>
      <c r="F856" s="3"/>
      <c r="G856" s="3"/>
      <c r="H856" s="3"/>
      <c r="I856" s="3"/>
      <c r="J856" s="3"/>
      <c r="K856" s="3"/>
      <c r="L856" s="3"/>
      <c r="M856" s="3"/>
      <c r="N856" s="3"/>
      <c r="O856" s="3"/>
      <c r="P856" s="3"/>
      <c r="Q856" s="48"/>
      <c r="R856" s="3"/>
      <c r="S856" s="3"/>
      <c r="T856" s="3"/>
      <c r="U856" s="28"/>
      <c r="V856" s="28"/>
      <c r="W856" s="77"/>
      <c r="X856" s="77"/>
      <c r="Y856" s="77"/>
      <c r="Z856" s="3"/>
      <c r="AA856" s="3"/>
      <c r="AB856" s="3"/>
    </row>
    <row r="857" spans="1:28" ht="14">
      <c r="A857" s="3"/>
      <c r="B857" s="3"/>
      <c r="C857" s="3"/>
      <c r="D857" s="3"/>
      <c r="E857" s="3"/>
      <c r="F857" s="3"/>
      <c r="G857" s="3"/>
      <c r="H857" s="3"/>
      <c r="I857" s="3"/>
      <c r="J857" s="3"/>
      <c r="K857" s="3"/>
      <c r="L857" s="3"/>
      <c r="M857" s="3"/>
      <c r="N857" s="3"/>
      <c r="O857" s="3"/>
      <c r="P857" s="3"/>
      <c r="Q857" s="48"/>
      <c r="R857" s="3"/>
      <c r="S857" s="3"/>
      <c r="T857" s="3"/>
      <c r="U857" s="28"/>
      <c r="V857" s="28"/>
      <c r="W857" s="77"/>
      <c r="X857" s="77"/>
      <c r="Y857" s="77"/>
      <c r="Z857" s="3"/>
      <c r="AA857" s="3"/>
      <c r="AB857" s="3"/>
    </row>
    <row r="858" spans="1:28" ht="14">
      <c r="A858" s="3"/>
      <c r="B858" s="3"/>
      <c r="C858" s="3"/>
      <c r="D858" s="3"/>
      <c r="E858" s="3"/>
      <c r="F858" s="3"/>
      <c r="G858" s="3"/>
      <c r="H858" s="3"/>
      <c r="I858" s="3"/>
      <c r="J858" s="3"/>
      <c r="K858" s="3"/>
      <c r="L858" s="3"/>
      <c r="M858" s="3"/>
      <c r="N858" s="3"/>
      <c r="O858" s="3"/>
      <c r="P858" s="3"/>
      <c r="Q858" s="48"/>
      <c r="R858" s="3"/>
      <c r="S858" s="3"/>
      <c r="T858" s="3"/>
      <c r="U858" s="28"/>
      <c r="V858" s="28"/>
      <c r="W858" s="77"/>
      <c r="X858" s="77"/>
      <c r="Y858" s="77"/>
      <c r="Z858" s="3"/>
      <c r="AA858" s="3"/>
      <c r="AB858" s="3"/>
    </row>
    <row r="859" spans="1:28" ht="14">
      <c r="A859" s="3"/>
      <c r="B859" s="3"/>
      <c r="C859" s="3"/>
      <c r="D859" s="3"/>
      <c r="E859" s="3"/>
      <c r="F859" s="3"/>
      <c r="G859" s="3"/>
      <c r="H859" s="3"/>
      <c r="I859" s="3"/>
      <c r="J859" s="3"/>
      <c r="K859" s="3"/>
      <c r="L859" s="3"/>
      <c r="M859" s="3"/>
      <c r="N859" s="3"/>
      <c r="O859" s="3"/>
      <c r="P859" s="3"/>
      <c r="Q859" s="48"/>
      <c r="R859" s="3"/>
      <c r="S859" s="3"/>
      <c r="T859" s="3"/>
      <c r="U859" s="28"/>
      <c r="V859" s="28"/>
      <c r="W859" s="77"/>
      <c r="X859" s="77"/>
      <c r="Y859" s="77"/>
      <c r="Z859" s="3"/>
      <c r="AA859" s="3"/>
      <c r="AB859" s="3"/>
    </row>
    <row r="860" spans="1:28" ht="14">
      <c r="A860" s="3"/>
      <c r="B860" s="3"/>
      <c r="C860" s="3"/>
      <c r="D860" s="3"/>
      <c r="E860" s="3"/>
      <c r="F860" s="3"/>
      <c r="G860" s="3"/>
      <c r="H860" s="3"/>
      <c r="I860" s="3"/>
      <c r="J860" s="3"/>
      <c r="K860" s="3"/>
      <c r="L860" s="3"/>
      <c r="M860" s="3"/>
      <c r="N860" s="3"/>
      <c r="O860" s="3"/>
      <c r="P860" s="3"/>
      <c r="Q860" s="48"/>
      <c r="R860" s="3"/>
      <c r="S860" s="3"/>
      <c r="T860" s="3"/>
      <c r="U860" s="28"/>
      <c r="V860" s="28"/>
      <c r="W860" s="77"/>
      <c r="X860" s="77"/>
      <c r="Y860" s="77"/>
      <c r="Z860" s="3"/>
      <c r="AA860" s="3"/>
      <c r="AB860" s="3"/>
    </row>
    <row r="861" spans="1:28" ht="14">
      <c r="A861" s="3"/>
      <c r="B861" s="3"/>
      <c r="C861" s="3"/>
      <c r="D861" s="3"/>
      <c r="E861" s="3"/>
      <c r="F861" s="3"/>
      <c r="G861" s="3"/>
      <c r="H861" s="3"/>
      <c r="I861" s="3"/>
      <c r="J861" s="3"/>
      <c r="K861" s="3"/>
      <c r="L861" s="3"/>
      <c r="M861" s="3"/>
      <c r="N861" s="3"/>
      <c r="O861" s="3"/>
      <c r="P861" s="3"/>
      <c r="Q861" s="48"/>
      <c r="R861" s="3"/>
      <c r="S861" s="3"/>
      <c r="T861" s="3"/>
      <c r="U861" s="28"/>
      <c r="V861" s="28"/>
      <c r="W861" s="77"/>
      <c r="X861" s="77"/>
      <c r="Y861" s="77"/>
      <c r="Z861" s="3"/>
      <c r="AA861" s="3"/>
      <c r="AB861" s="3"/>
    </row>
    <row r="862" spans="1:28" ht="14">
      <c r="A862" s="3"/>
      <c r="B862" s="3"/>
      <c r="C862" s="3"/>
      <c r="D862" s="3"/>
      <c r="E862" s="3"/>
      <c r="F862" s="3"/>
      <c r="G862" s="3"/>
      <c r="H862" s="3"/>
      <c r="I862" s="3"/>
      <c r="J862" s="3"/>
      <c r="K862" s="3"/>
      <c r="L862" s="3"/>
      <c r="M862" s="3"/>
      <c r="N862" s="3"/>
      <c r="O862" s="3"/>
      <c r="P862" s="3"/>
      <c r="Q862" s="48"/>
      <c r="R862" s="3"/>
      <c r="S862" s="3"/>
      <c r="T862" s="3"/>
      <c r="U862" s="28"/>
      <c r="V862" s="28"/>
      <c r="W862" s="77"/>
      <c r="X862" s="77"/>
      <c r="Y862" s="77"/>
      <c r="Z862" s="3"/>
      <c r="AA862" s="3"/>
      <c r="AB862" s="3"/>
    </row>
    <row r="863" spans="1:28" ht="14">
      <c r="A863" s="3"/>
      <c r="B863" s="3"/>
      <c r="C863" s="3"/>
      <c r="D863" s="3"/>
      <c r="E863" s="3"/>
      <c r="F863" s="3"/>
      <c r="G863" s="3"/>
      <c r="H863" s="3"/>
      <c r="I863" s="3"/>
      <c r="J863" s="3"/>
      <c r="K863" s="3"/>
      <c r="L863" s="3"/>
      <c r="M863" s="3"/>
      <c r="N863" s="3"/>
      <c r="O863" s="3"/>
      <c r="P863" s="3"/>
      <c r="Q863" s="48"/>
      <c r="R863" s="3"/>
      <c r="S863" s="3"/>
      <c r="T863" s="3"/>
      <c r="U863" s="28"/>
      <c r="V863" s="28"/>
      <c r="W863" s="77"/>
      <c r="X863" s="77"/>
      <c r="Y863" s="77"/>
      <c r="Z863" s="3"/>
      <c r="AA863" s="3"/>
      <c r="AB863" s="3"/>
    </row>
    <row r="864" spans="1:28" ht="14">
      <c r="A864" s="3"/>
      <c r="B864" s="3"/>
      <c r="C864" s="3"/>
      <c r="D864" s="3"/>
      <c r="E864" s="3"/>
      <c r="F864" s="3"/>
      <c r="G864" s="3"/>
      <c r="H864" s="3"/>
      <c r="I864" s="3"/>
      <c r="J864" s="3"/>
      <c r="K864" s="3"/>
      <c r="L864" s="3"/>
      <c r="M864" s="3"/>
      <c r="N864" s="3"/>
      <c r="O864" s="3"/>
      <c r="P864" s="3"/>
      <c r="Q864" s="48"/>
      <c r="R864" s="3"/>
      <c r="S864" s="3"/>
      <c r="T864" s="3"/>
      <c r="U864" s="28"/>
      <c r="V864" s="28"/>
      <c r="W864" s="77"/>
      <c r="X864" s="77"/>
      <c r="Y864" s="77"/>
      <c r="Z864" s="3"/>
      <c r="AA864" s="3"/>
      <c r="AB864" s="3"/>
    </row>
    <row r="865" spans="1:28" ht="14">
      <c r="A865" s="3"/>
      <c r="B865" s="3"/>
      <c r="C865" s="3"/>
      <c r="D865" s="3"/>
      <c r="E865" s="3"/>
      <c r="F865" s="3"/>
      <c r="G865" s="3"/>
      <c r="H865" s="3"/>
      <c r="I865" s="3"/>
      <c r="J865" s="3"/>
      <c r="K865" s="3"/>
      <c r="L865" s="3"/>
      <c r="M865" s="3"/>
      <c r="N865" s="3"/>
      <c r="O865" s="3"/>
      <c r="P865" s="3"/>
      <c r="Q865" s="48"/>
      <c r="R865" s="3"/>
      <c r="S865" s="3"/>
      <c r="T865" s="3"/>
      <c r="U865" s="28"/>
      <c r="V865" s="28"/>
      <c r="W865" s="77"/>
      <c r="X865" s="77"/>
      <c r="Y865" s="77"/>
      <c r="Z865" s="3"/>
      <c r="AA865" s="3"/>
      <c r="AB865" s="3"/>
    </row>
    <row r="866" spans="1:28" ht="14">
      <c r="A866" s="3"/>
      <c r="B866" s="3"/>
      <c r="C866" s="3"/>
      <c r="D866" s="3"/>
      <c r="E866" s="3"/>
      <c r="F866" s="3"/>
      <c r="G866" s="3"/>
      <c r="H866" s="3"/>
      <c r="I866" s="3"/>
      <c r="J866" s="3"/>
      <c r="K866" s="3"/>
      <c r="L866" s="3"/>
      <c r="M866" s="3"/>
      <c r="N866" s="3"/>
      <c r="O866" s="3"/>
      <c r="P866" s="3"/>
      <c r="Q866" s="48"/>
      <c r="R866" s="3"/>
      <c r="S866" s="3"/>
      <c r="T866" s="3"/>
      <c r="U866" s="28"/>
      <c r="V866" s="28"/>
      <c r="W866" s="77"/>
      <c r="X866" s="77"/>
      <c r="Y866" s="77"/>
      <c r="Z866" s="3"/>
      <c r="AA866" s="3"/>
      <c r="AB866" s="3"/>
    </row>
    <row r="867" spans="1:28" ht="14">
      <c r="A867" s="3"/>
      <c r="B867" s="3"/>
      <c r="C867" s="3"/>
      <c r="D867" s="3"/>
      <c r="E867" s="3"/>
      <c r="F867" s="3"/>
      <c r="G867" s="3"/>
      <c r="H867" s="3"/>
      <c r="I867" s="3"/>
      <c r="J867" s="3"/>
      <c r="K867" s="3"/>
      <c r="L867" s="3"/>
      <c r="M867" s="3"/>
      <c r="N867" s="3"/>
      <c r="O867" s="3"/>
      <c r="P867" s="3"/>
      <c r="Q867" s="48"/>
      <c r="R867" s="3"/>
      <c r="S867" s="3"/>
      <c r="T867" s="3"/>
      <c r="U867" s="28"/>
      <c r="V867" s="28"/>
      <c r="W867" s="77"/>
      <c r="X867" s="77"/>
      <c r="Y867" s="77"/>
      <c r="Z867" s="3"/>
      <c r="AA867" s="3"/>
      <c r="AB867" s="3"/>
    </row>
    <row r="868" spans="1:28" ht="14">
      <c r="A868" s="3"/>
      <c r="B868" s="3"/>
      <c r="C868" s="3"/>
      <c r="D868" s="3"/>
      <c r="E868" s="3"/>
      <c r="F868" s="3"/>
      <c r="G868" s="3"/>
      <c r="H868" s="3"/>
      <c r="I868" s="3"/>
      <c r="J868" s="3"/>
      <c r="K868" s="3"/>
      <c r="L868" s="3"/>
      <c r="M868" s="3"/>
      <c r="N868" s="3"/>
      <c r="O868" s="3"/>
      <c r="P868" s="3"/>
      <c r="Q868" s="48"/>
      <c r="R868" s="3"/>
      <c r="S868" s="3"/>
      <c r="T868" s="3"/>
      <c r="U868" s="28"/>
      <c r="V868" s="28"/>
      <c r="W868" s="77"/>
      <c r="X868" s="77"/>
      <c r="Y868" s="77"/>
      <c r="Z868" s="3"/>
      <c r="AA868" s="3"/>
      <c r="AB868" s="3"/>
    </row>
    <row r="869" spans="1:28" ht="14">
      <c r="A869" s="3"/>
      <c r="B869" s="3"/>
      <c r="C869" s="3"/>
      <c r="D869" s="3"/>
      <c r="E869" s="3"/>
      <c r="F869" s="3"/>
      <c r="G869" s="3"/>
      <c r="H869" s="3"/>
      <c r="I869" s="3"/>
      <c r="J869" s="3"/>
      <c r="K869" s="3"/>
      <c r="L869" s="3"/>
      <c r="M869" s="3"/>
      <c r="N869" s="3"/>
      <c r="O869" s="3"/>
      <c r="P869" s="3"/>
      <c r="Q869" s="48"/>
      <c r="R869" s="3"/>
      <c r="S869" s="3"/>
      <c r="T869" s="3"/>
      <c r="U869" s="28"/>
      <c r="V869" s="28"/>
      <c r="W869" s="77"/>
      <c r="X869" s="77"/>
      <c r="Y869" s="77"/>
      <c r="Z869" s="3"/>
      <c r="AA869" s="3"/>
      <c r="AB869" s="3"/>
    </row>
    <row r="870" spans="1:28" ht="14">
      <c r="A870" s="3"/>
      <c r="B870" s="3"/>
      <c r="C870" s="3"/>
      <c r="D870" s="3"/>
      <c r="E870" s="3"/>
      <c r="F870" s="3"/>
      <c r="G870" s="3"/>
      <c r="H870" s="3"/>
      <c r="I870" s="3"/>
      <c r="J870" s="3"/>
      <c r="K870" s="3"/>
      <c r="L870" s="3"/>
      <c r="M870" s="3"/>
      <c r="N870" s="3"/>
      <c r="O870" s="3"/>
      <c r="P870" s="3"/>
      <c r="Q870" s="48"/>
      <c r="R870" s="3"/>
      <c r="S870" s="3"/>
      <c r="T870" s="3"/>
      <c r="U870" s="28"/>
      <c r="V870" s="28"/>
      <c r="W870" s="77"/>
      <c r="X870" s="77"/>
      <c r="Y870" s="77"/>
      <c r="Z870" s="3"/>
      <c r="AA870" s="3"/>
      <c r="AB870" s="3"/>
    </row>
    <row r="871" spans="1:28" ht="14">
      <c r="A871" s="3"/>
      <c r="B871" s="3"/>
      <c r="C871" s="3"/>
      <c r="D871" s="3"/>
      <c r="E871" s="3"/>
      <c r="F871" s="3"/>
      <c r="G871" s="3"/>
      <c r="H871" s="3"/>
      <c r="I871" s="3"/>
      <c r="J871" s="3"/>
      <c r="K871" s="3"/>
      <c r="L871" s="3"/>
      <c r="M871" s="3"/>
      <c r="N871" s="3"/>
      <c r="O871" s="3"/>
      <c r="P871" s="3"/>
      <c r="Q871" s="48"/>
      <c r="R871" s="3"/>
      <c r="S871" s="3"/>
      <c r="T871" s="3"/>
      <c r="U871" s="28"/>
      <c r="V871" s="28"/>
      <c r="W871" s="77"/>
      <c r="X871" s="77"/>
      <c r="Y871" s="77"/>
      <c r="Z871" s="3"/>
      <c r="AA871" s="3"/>
      <c r="AB871" s="3"/>
    </row>
    <row r="872" spans="1:28" ht="14">
      <c r="A872" s="3"/>
      <c r="B872" s="3"/>
      <c r="C872" s="3"/>
      <c r="D872" s="3"/>
      <c r="E872" s="3"/>
      <c r="F872" s="3"/>
      <c r="G872" s="3"/>
      <c r="H872" s="3"/>
      <c r="I872" s="3"/>
      <c r="J872" s="3"/>
      <c r="K872" s="3"/>
      <c r="L872" s="3"/>
      <c r="M872" s="3"/>
      <c r="N872" s="3"/>
      <c r="O872" s="3"/>
      <c r="P872" s="3"/>
      <c r="Q872" s="48"/>
      <c r="R872" s="3"/>
      <c r="S872" s="3"/>
      <c r="T872" s="3"/>
      <c r="U872" s="28"/>
      <c r="V872" s="28"/>
      <c r="W872" s="77"/>
      <c r="X872" s="77"/>
      <c r="Y872" s="77"/>
      <c r="Z872" s="3"/>
      <c r="AA872" s="3"/>
      <c r="AB872" s="3"/>
    </row>
    <row r="873" spans="1:28" ht="14">
      <c r="A873" s="3"/>
      <c r="B873" s="3"/>
      <c r="C873" s="3"/>
      <c r="D873" s="3"/>
      <c r="E873" s="3"/>
      <c r="F873" s="3"/>
      <c r="G873" s="3"/>
      <c r="H873" s="3"/>
      <c r="I873" s="3"/>
      <c r="J873" s="3"/>
      <c r="K873" s="3"/>
      <c r="L873" s="3"/>
      <c r="M873" s="3"/>
      <c r="N873" s="3"/>
      <c r="O873" s="3"/>
      <c r="P873" s="3"/>
      <c r="Q873" s="48"/>
      <c r="R873" s="3"/>
      <c r="S873" s="3"/>
      <c r="T873" s="3"/>
      <c r="U873" s="28"/>
      <c r="V873" s="28"/>
      <c r="W873" s="77"/>
      <c r="X873" s="77"/>
      <c r="Y873" s="77"/>
      <c r="Z873" s="3"/>
      <c r="AA873" s="3"/>
      <c r="AB873" s="3"/>
    </row>
    <row r="874" spans="1:28" ht="14">
      <c r="A874" s="3"/>
      <c r="B874" s="3"/>
      <c r="C874" s="3"/>
      <c r="D874" s="3"/>
      <c r="E874" s="3"/>
      <c r="F874" s="3"/>
      <c r="G874" s="3"/>
      <c r="H874" s="3"/>
      <c r="I874" s="3"/>
      <c r="J874" s="3"/>
      <c r="K874" s="3"/>
      <c r="L874" s="3"/>
      <c r="M874" s="3"/>
      <c r="N874" s="3"/>
      <c r="O874" s="3"/>
      <c r="P874" s="3"/>
      <c r="Q874" s="48"/>
      <c r="R874" s="3"/>
      <c r="S874" s="3"/>
      <c r="T874" s="3"/>
      <c r="U874" s="28"/>
      <c r="V874" s="28"/>
      <c r="W874" s="77"/>
      <c r="X874" s="77"/>
      <c r="Y874" s="77"/>
      <c r="Z874" s="3"/>
      <c r="AA874" s="3"/>
      <c r="AB874" s="3"/>
    </row>
    <row r="875" spans="1:28" ht="14">
      <c r="A875" s="3"/>
      <c r="B875" s="3"/>
      <c r="C875" s="3"/>
      <c r="D875" s="3"/>
      <c r="E875" s="3"/>
      <c r="F875" s="3"/>
      <c r="G875" s="3"/>
      <c r="H875" s="3"/>
      <c r="I875" s="3"/>
      <c r="J875" s="3"/>
      <c r="K875" s="3"/>
      <c r="L875" s="3"/>
      <c r="M875" s="3"/>
      <c r="N875" s="3"/>
      <c r="O875" s="3"/>
      <c r="P875" s="3"/>
      <c r="Q875" s="48"/>
      <c r="R875" s="3"/>
      <c r="S875" s="3"/>
      <c r="T875" s="3"/>
      <c r="U875" s="28"/>
      <c r="V875" s="28"/>
      <c r="W875" s="77"/>
      <c r="X875" s="77"/>
      <c r="Y875" s="77"/>
      <c r="Z875" s="3"/>
      <c r="AA875" s="3"/>
      <c r="AB875" s="3"/>
    </row>
    <row r="876" spans="1:28" ht="14">
      <c r="A876" s="3"/>
      <c r="B876" s="3"/>
      <c r="C876" s="3"/>
      <c r="D876" s="3"/>
      <c r="E876" s="3"/>
      <c r="F876" s="3"/>
      <c r="G876" s="3"/>
      <c r="H876" s="3"/>
      <c r="I876" s="3"/>
      <c r="J876" s="3"/>
      <c r="K876" s="3"/>
      <c r="L876" s="3"/>
      <c r="M876" s="3"/>
      <c r="N876" s="3"/>
      <c r="O876" s="3"/>
      <c r="P876" s="3"/>
      <c r="Q876" s="48"/>
      <c r="R876" s="3"/>
      <c r="S876" s="3"/>
      <c r="T876" s="3"/>
      <c r="U876" s="28"/>
      <c r="V876" s="28"/>
      <c r="W876" s="77"/>
      <c r="X876" s="77"/>
      <c r="Y876" s="77"/>
      <c r="Z876" s="3"/>
      <c r="AA876" s="3"/>
      <c r="AB876" s="3"/>
    </row>
    <row r="877" spans="1:28" ht="14">
      <c r="A877" s="3"/>
      <c r="B877" s="3"/>
      <c r="C877" s="3"/>
      <c r="D877" s="3"/>
      <c r="E877" s="3"/>
      <c r="F877" s="3"/>
      <c r="G877" s="3"/>
      <c r="H877" s="3"/>
      <c r="I877" s="3"/>
      <c r="J877" s="3"/>
      <c r="K877" s="3"/>
      <c r="L877" s="3"/>
      <c r="M877" s="3"/>
      <c r="N877" s="3"/>
      <c r="O877" s="3"/>
      <c r="P877" s="3"/>
      <c r="Q877" s="48"/>
      <c r="R877" s="3"/>
      <c r="S877" s="3"/>
      <c r="T877" s="3"/>
      <c r="U877" s="28"/>
      <c r="V877" s="28"/>
      <c r="W877" s="77"/>
      <c r="X877" s="77"/>
      <c r="Y877" s="77"/>
      <c r="Z877" s="3"/>
      <c r="AA877" s="3"/>
      <c r="AB877" s="3"/>
    </row>
    <row r="878" spans="1:28" ht="14">
      <c r="A878" s="3"/>
      <c r="B878" s="3"/>
      <c r="C878" s="3"/>
      <c r="D878" s="3"/>
      <c r="E878" s="3"/>
      <c r="F878" s="3"/>
      <c r="G878" s="3"/>
      <c r="H878" s="3"/>
      <c r="I878" s="3"/>
      <c r="J878" s="3"/>
      <c r="K878" s="3"/>
      <c r="L878" s="3"/>
      <c r="M878" s="3"/>
      <c r="N878" s="3"/>
      <c r="O878" s="3"/>
      <c r="P878" s="3"/>
      <c r="Q878" s="48"/>
      <c r="R878" s="3"/>
      <c r="S878" s="3"/>
      <c r="T878" s="3"/>
      <c r="U878" s="28"/>
      <c r="V878" s="28"/>
      <c r="W878" s="77"/>
      <c r="X878" s="77"/>
      <c r="Y878" s="77"/>
      <c r="Z878" s="3"/>
      <c r="AA878" s="3"/>
      <c r="AB878" s="3"/>
    </row>
    <row r="879" spans="1:28" ht="14">
      <c r="A879" s="3"/>
      <c r="B879" s="3"/>
      <c r="C879" s="3"/>
      <c r="D879" s="3"/>
      <c r="E879" s="3"/>
      <c r="F879" s="3"/>
      <c r="G879" s="3"/>
      <c r="H879" s="3"/>
      <c r="I879" s="3"/>
      <c r="J879" s="3"/>
      <c r="K879" s="3"/>
      <c r="L879" s="3"/>
      <c r="M879" s="3"/>
      <c r="N879" s="3"/>
      <c r="O879" s="3"/>
      <c r="P879" s="3"/>
      <c r="Q879" s="48"/>
      <c r="R879" s="3"/>
      <c r="S879" s="3"/>
      <c r="T879" s="3"/>
      <c r="U879" s="28"/>
      <c r="V879" s="28"/>
      <c r="W879" s="77"/>
      <c r="X879" s="77"/>
      <c r="Y879" s="77"/>
      <c r="Z879" s="3"/>
      <c r="AA879" s="3"/>
      <c r="AB879" s="3"/>
    </row>
    <row r="880" spans="1:28" ht="14">
      <c r="A880" s="3"/>
      <c r="B880" s="3"/>
      <c r="C880" s="3"/>
      <c r="D880" s="3"/>
      <c r="E880" s="3"/>
      <c r="F880" s="3"/>
      <c r="G880" s="3"/>
      <c r="H880" s="3"/>
      <c r="I880" s="3"/>
      <c r="J880" s="3"/>
      <c r="K880" s="3"/>
      <c r="L880" s="3"/>
      <c r="M880" s="3"/>
      <c r="N880" s="3"/>
      <c r="O880" s="3"/>
      <c r="P880" s="3"/>
      <c r="Q880" s="48"/>
      <c r="R880" s="3"/>
      <c r="S880" s="3"/>
      <c r="T880" s="3"/>
      <c r="U880" s="28"/>
      <c r="V880" s="28"/>
      <c r="W880" s="77"/>
      <c r="X880" s="77"/>
      <c r="Y880" s="77"/>
      <c r="Z880" s="3"/>
      <c r="AA880" s="3"/>
      <c r="AB880" s="3"/>
    </row>
    <row r="881" spans="1:28" ht="14">
      <c r="A881" s="3"/>
      <c r="B881" s="3"/>
      <c r="C881" s="3"/>
      <c r="D881" s="3"/>
      <c r="E881" s="3"/>
      <c r="F881" s="3"/>
      <c r="G881" s="3"/>
      <c r="H881" s="3"/>
      <c r="I881" s="3"/>
      <c r="J881" s="3"/>
      <c r="K881" s="3"/>
      <c r="L881" s="3"/>
      <c r="M881" s="3"/>
      <c r="N881" s="3"/>
      <c r="O881" s="3"/>
      <c r="P881" s="3"/>
      <c r="Q881" s="48"/>
      <c r="R881" s="3"/>
      <c r="S881" s="3"/>
      <c r="T881" s="3"/>
      <c r="U881" s="28"/>
      <c r="V881" s="28"/>
      <c r="W881" s="77"/>
      <c r="X881" s="77"/>
      <c r="Y881" s="77"/>
      <c r="Z881" s="3"/>
      <c r="AA881" s="3"/>
      <c r="AB881" s="3"/>
    </row>
    <row r="882" spans="1:28" ht="14">
      <c r="A882" s="3"/>
      <c r="B882" s="3"/>
      <c r="C882" s="3"/>
      <c r="D882" s="3"/>
      <c r="E882" s="3"/>
      <c r="F882" s="3"/>
      <c r="G882" s="3"/>
      <c r="H882" s="3"/>
      <c r="I882" s="3"/>
      <c r="J882" s="3"/>
      <c r="K882" s="3"/>
      <c r="L882" s="3"/>
      <c r="M882" s="3"/>
      <c r="N882" s="3"/>
      <c r="O882" s="3"/>
      <c r="P882" s="3"/>
      <c r="Q882" s="48"/>
      <c r="R882" s="3"/>
      <c r="S882" s="3"/>
      <c r="T882" s="3"/>
      <c r="U882" s="28"/>
      <c r="V882" s="28"/>
      <c r="W882" s="77"/>
      <c r="X882" s="77"/>
      <c r="Y882" s="77"/>
      <c r="Z882" s="3"/>
      <c r="AA882" s="3"/>
      <c r="AB882" s="3"/>
    </row>
    <row r="883" spans="1:28" ht="14">
      <c r="A883" s="3"/>
      <c r="B883" s="3"/>
      <c r="C883" s="3"/>
      <c r="D883" s="3"/>
      <c r="E883" s="3"/>
      <c r="F883" s="3"/>
      <c r="G883" s="3"/>
      <c r="H883" s="3"/>
      <c r="I883" s="3"/>
      <c r="J883" s="3"/>
      <c r="K883" s="3"/>
      <c r="L883" s="3"/>
      <c r="M883" s="3"/>
      <c r="N883" s="3"/>
      <c r="O883" s="3"/>
      <c r="P883" s="3"/>
      <c r="Q883" s="48"/>
      <c r="R883" s="3"/>
      <c r="S883" s="3"/>
      <c r="T883" s="3"/>
      <c r="U883" s="28"/>
      <c r="V883" s="28"/>
      <c r="W883" s="77"/>
      <c r="X883" s="77"/>
      <c r="Y883" s="77"/>
      <c r="Z883" s="3"/>
      <c r="AA883" s="3"/>
      <c r="AB883" s="3"/>
    </row>
    <row r="884" spans="1:28" ht="14">
      <c r="A884" s="3"/>
      <c r="B884" s="3"/>
      <c r="C884" s="3"/>
      <c r="D884" s="3"/>
      <c r="E884" s="3"/>
      <c r="F884" s="3"/>
      <c r="G884" s="3"/>
      <c r="H884" s="3"/>
      <c r="I884" s="3"/>
      <c r="J884" s="3"/>
      <c r="K884" s="3"/>
      <c r="L884" s="3"/>
      <c r="M884" s="3"/>
      <c r="N884" s="3"/>
      <c r="O884" s="3"/>
      <c r="P884" s="3"/>
      <c r="Q884" s="48"/>
      <c r="R884" s="3"/>
      <c r="S884" s="3"/>
      <c r="T884" s="3"/>
      <c r="U884" s="28"/>
      <c r="V884" s="28"/>
      <c r="W884" s="77"/>
      <c r="X884" s="77"/>
      <c r="Y884" s="77"/>
      <c r="Z884" s="3"/>
      <c r="AA884" s="3"/>
      <c r="AB884" s="3"/>
    </row>
    <row r="885" spans="1:28" ht="14">
      <c r="A885" s="3"/>
      <c r="B885" s="3"/>
      <c r="C885" s="3"/>
      <c r="D885" s="3"/>
      <c r="E885" s="3"/>
      <c r="F885" s="3"/>
      <c r="G885" s="3"/>
      <c r="H885" s="3"/>
      <c r="I885" s="3"/>
      <c r="J885" s="3"/>
      <c r="K885" s="3"/>
      <c r="L885" s="3"/>
      <c r="M885" s="3"/>
      <c r="N885" s="3"/>
      <c r="O885" s="3"/>
      <c r="P885" s="3"/>
      <c r="Q885" s="48"/>
      <c r="R885" s="3"/>
      <c r="S885" s="3"/>
      <c r="T885" s="3"/>
      <c r="U885" s="28"/>
      <c r="V885" s="28"/>
      <c r="W885" s="77"/>
      <c r="X885" s="77"/>
      <c r="Y885" s="77"/>
      <c r="Z885" s="3"/>
      <c r="AA885" s="3"/>
      <c r="AB885" s="3"/>
    </row>
    <row r="886" spans="1:28" ht="14">
      <c r="A886" s="3"/>
      <c r="B886" s="3"/>
      <c r="C886" s="3"/>
      <c r="D886" s="3"/>
      <c r="E886" s="3"/>
      <c r="F886" s="3"/>
      <c r="G886" s="3"/>
      <c r="H886" s="3"/>
      <c r="I886" s="3"/>
      <c r="J886" s="3"/>
      <c r="K886" s="3"/>
      <c r="L886" s="3"/>
      <c r="M886" s="3"/>
      <c r="N886" s="3"/>
      <c r="O886" s="3"/>
      <c r="P886" s="3"/>
      <c r="Q886" s="48"/>
      <c r="R886" s="3"/>
      <c r="S886" s="3"/>
      <c r="T886" s="3"/>
      <c r="U886" s="28"/>
      <c r="V886" s="28"/>
      <c r="W886" s="77"/>
      <c r="X886" s="77"/>
      <c r="Y886" s="77"/>
      <c r="Z886" s="3"/>
      <c r="AA886" s="3"/>
      <c r="AB886" s="3"/>
    </row>
    <row r="887" spans="1:28" ht="14">
      <c r="A887" s="3"/>
      <c r="B887" s="3"/>
      <c r="C887" s="3"/>
      <c r="D887" s="3"/>
      <c r="E887" s="3"/>
      <c r="F887" s="3"/>
      <c r="G887" s="3"/>
      <c r="H887" s="3"/>
      <c r="I887" s="3"/>
      <c r="J887" s="3"/>
      <c r="K887" s="3"/>
      <c r="L887" s="3"/>
      <c r="M887" s="3"/>
      <c r="N887" s="3"/>
      <c r="O887" s="3"/>
      <c r="P887" s="3"/>
      <c r="Q887" s="48"/>
      <c r="R887" s="3"/>
      <c r="S887" s="3"/>
      <c r="T887" s="3"/>
      <c r="U887" s="28"/>
      <c r="V887" s="28"/>
      <c r="W887" s="77"/>
      <c r="X887" s="77"/>
      <c r="Y887" s="77"/>
      <c r="Z887" s="3"/>
      <c r="AA887" s="3"/>
      <c r="AB887" s="3"/>
    </row>
    <row r="888" spans="1:28" ht="14">
      <c r="A888" s="3"/>
      <c r="B888" s="3"/>
      <c r="C888" s="3"/>
      <c r="D888" s="3"/>
      <c r="E888" s="3"/>
      <c r="F888" s="3"/>
      <c r="G888" s="3"/>
      <c r="H888" s="3"/>
      <c r="I888" s="3"/>
      <c r="J888" s="3"/>
      <c r="K888" s="3"/>
      <c r="L888" s="3"/>
      <c r="M888" s="3"/>
      <c r="N888" s="3"/>
      <c r="O888" s="3"/>
      <c r="P888" s="3"/>
      <c r="Q888" s="48"/>
      <c r="R888" s="3"/>
      <c r="S888" s="3"/>
      <c r="T888" s="3"/>
      <c r="U888" s="28"/>
      <c r="V888" s="28"/>
      <c r="W888" s="77"/>
      <c r="X888" s="77"/>
      <c r="Y888" s="77"/>
      <c r="Z888" s="3"/>
      <c r="AA888" s="3"/>
      <c r="AB888" s="3"/>
    </row>
    <row r="889" spans="1:28" ht="14">
      <c r="A889" s="3"/>
      <c r="B889" s="3"/>
      <c r="C889" s="3"/>
      <c r="D889" s="3"/>
      <c r="E889" s="3"/>
      <c r="F889" s="3"/>
      <c r="G889" s="3"/>
      <c r="H889" s="3"/>
      <c r="I889" s="3"/>
      <c r="J889" s="3"/>
      <c r="K889" s="3"/>
      <c r="L889" s="3"/>
      <c r="M889" s="3"/>
      <c r="N889" s="3"/>
      <c r="O889" s="3"/>
      <c r="P889" s="3"/>
      <c r="Q889" s="48"/>
      <c r="R889" s="3"/>
      <c r="S889" s="3"/>
      <c r="T889" s="3"/>
      <c r="U889" s="28"/>
      <c r="V889" s="28"/>
      <c r="W889" s="77"/>
      <c r="X889" s="77"/>
      <c r="Y889" s="77"/>
      <c r="Z889" s="3"/>
      <c r="AA889" s="3"/>
      <c r="AB889" s="3"/>
    </row>
    <row r="890" spans="1:28" ht="14">
      <c r="A890" s="3"/>
      <c r="B890" s="3"/>
      <c r="C890" s="3"/>
      <c r="D890" s="3"/>
      <c r="E890" s="3"/>
      <c r="F890" s="3"/>
      <c r="G890" s="3"/>
      <c r="H890" s="3"/>
      <c r="I890" s="3"/>
      <c r="J890" s="3"/>
      <c r="K890" s="3"/>
      <c r="L890" s="3"/>
      <c r="M890" s="3"/>
      <c r="N890" s="3"/>
      <c r="O890" s="3"/>
      <c r="P890" s="3"/>
      <c r="Q890" s="48"/>
      <c r="R890" s="3"/>
      <c r="S890" s="3"/>
      <c r="T890" s="3"/>
      <c r="U890" s="28"/>
      <c r="V890" s="28"/>
      <c r="W890" s="77"/>
      <c r="X890" s="77"/>
      <c r="Y890" s="77"/>
      <c r="Z890" s="3"/>
      <c r="AA890" s="3"/>
      <c r="AB890" s="3"/>
    </row>
    <row r="891" spans="1:28" ht="14">
      <c r="A891" s="3"/>
      <c r="B891" s="3"/>
      <c r="C891" s="3"/>
      <c r="D891" s="3"/>
      <c r="E891" s="3"/>
      <c r="F891" s="3"/>
      <c r="G891" s="3"/>
      <c r="H891" s="3"/>
      <c r="I891" s="3"/>
      <c r="J891" s="3"/>
      <c r="K891" s="3"/>
      <c r="L891" s="3"/>
      <c r="M891" s="3"/>
      <c r="N891" s="3"/>
      <c r="O891" s="3"/>
      <c r="P891" s="3"/>
      <c r="Q891" s="48"/>
      <c r="R891" s="3"/>
      <c r="S891" s="3"/>
      <c r="T891" s="3"/>
      <c r="U891" s="28"/>
      <c r="V891" s="28"/>
      <c r="W891" s="77"/>
      <c r="X891" s="77"/>
      <c r="Y891" s="77"/>
      <c r="Z891" s="3"/>
      <c r="AA891" s="3"/>
      <c r="AB891" s="3"/>
    </row>
    <row r="892" spans="1:28" ht="14">
      <c r="A892" s="3"/>
      <c r="B892" s="3"/>
      <c r="C892" s="3"/>
      <c r="D892" s="3"/>
      <c r="E892" s="3"/>
      <c r="F892" s="3"/>
      <c r="G892" s="3"/>
      <c r="H892" s="3"/>
      <c r="I892" s="3"/>
      <c r="J892" s="3"/>
      <c r="K892" s="3"/>
      <c r="L892" s="3"/>
      <c r="M892" s="3"/>
      <c r="N892" s="3"/>
      <c r="O892" s="3"/>
      <c r="P892" s="3"/>
      <c r="Q892" s="48"/>
      <c r="R892" s="3"/>
      <c r="S892" s="3"/>
      <c r="T892" s="3"/>
      <c r="U892" s="28"/>
      <c r="V892" s="28"/>
      <c r="W892" s="77"/>
      <c r="X892" s="77"/>
      <c r="Y892" s="77"/>
      <c r="Z892" s="3"/>
      <c r="AA892" s="3"/>
      <c r="AB892" s="3"/>
    </row>
    <row r="893" spans="1:28" ht="14">
      <c r="A893" s="3"/>
      <c r="B893" s="3"/>
      <c r="C893" s="3"/>
      <c r="D893" s="3"/>
      <c r="E893" s="3"/>
      <c r="F893" s="3"/>
      <c r="G893" s="3"/>
      <c r="H893" s="3"/>
      <c r="I893" s="3"/>
      <c r="J893" s="3"/>
      <c r="K893" s="3"/>
      <c r="L893" s="3"/>
      <c r="M893" s="3"/>
      <c r="N893" s="3"/>
      <c r="O893" s="3"/>
      <c r="P893" s="3"/>
      <c r="Q893" s="48"/>
      <c r="R893" s="3"/>
      <c r="S893" s="3"/>
      <c r="T893" s="3"/>
      <c r="U893" s="28"/>
      <c r="V893" s="28"/>
      <c r="W893" s="77"/>
      <c r="X893" s="77"/>
      <c r="Y893" s="77"/>
      <c r="Z893" s="3"/>
      <c r="AA893" s="3"/>
      <c r="AB893" s="3"/>
    </row>
    <row r="894" spans="1:28" ht="14">
      <c r="A894" s="3"/>
      <c r="B894" s="3"/>
      <c r="C894" s="3"/>
      <c r="D894" s="3"/>
      <c r="E894" s="3"/>
      <c r="F894" s="3"/>
      <c r="G894" s="3"/>
      <c r="H894" s="3"/>
      <c r="I894" s="3"/>
      <c r="J894" s="3"/>
      <c r="K894" s="3"/>
      <c r="L894" s="3"/>
      <c r="M894" s="3"/>
      <c r="N894" s="3"/>
      <c r="O894" s="3"/>
      <c r="P894" s="3"/>
      <c r="Q894" s="48"/>
      <c r="R894" s="3"/>
      <c r="S894" s="3"/>
      <c r="T894" s="3"/>
      <c r="U894" s="28"/>
      <c r="V894" s="28"/>
      <c r="W894" s="77"/>
      <c r="X894" s="77"/>
      <c r="Y894" s="77"/>
      <c r="Z894" s="3"/>
      <c r="AA894" s="3"/>
      <c r="AB894" s="3"/>
    </row>
    <row r="895" spans="1:28" ht="14">
      <c r="A895" s="3"/>
      <c r="B895" s="3"/>
      <c r="C895" s="3"/>
      <c r="D895" s="3"/>
      <c r="E895" s="3"/>
      <c r="F895" s="3"/>
      <c r="G895" s="3"/>
      <c r="H895" s="3"/>
      <c r="I895" s="3"/>
      <c r="J895" s="3"/>
      <c r="K895" s="3"/>
      <c r="L895" s="3"/>
      <c r="M895" s="3"/>
      <c r="N895" s="3"/>
      <c r="O895" s="3"/>
      <c r="P895" s="3"/>
      <c r="Q895" s="48"/>
      <c r="R895" s="3"/>
      <c r="S895" s="3"/>
      <c r="T895" s="3"/>
      <c r="U895" s="28"/>
      <c r="V895" s="28"/>
      <c r="W895" s="77"/>
      <c r="X895" s="77"/>
      <c r="Y895" s="77"/>
      <c r="Z895" s="3"/>
      <c r="AA895" s="3"/>
      <c r="AB895" s="3"/>
    </row>
    <row r="896" spans="1:28" ht="14">
      <c r="A896" s="3"/>
      <c r="B896" s="3"/>
      <c r="C896" s="3"/>
      <c r="D896" s="3"/>
      <c r="E896" s="3"/>
      <c r="F896" s="3"/>
      <c r="G896" s="3"/>
      <c r="H896" s="3"/>
      <c r="I896" s="3"/>
      <c r="J896" s="3"/>
      <c r="K896" s="3"/>
      <c r="L896" s="3"/>
      <c r="M896" s="3"/>
      <c r="N896" s="3"/>
      <c r="O896" s="3"/>
      <c r="P896" s="3"/>
      <c r="Q896" s="48"/>
      <c r="R896" s="3"/>
      <c r="S896" s="3"/>
      <c r="T896" s="3"/>
      <c r="U896" s="28"/>
      <c r="V896" s="28"/>
      <c r="W896" s="77"/>
      <c r="X896" s="77"/>
      <c r="Y896" s="77"/>
      <c r="Z896" s="3"/>
      <c r="AA896" s="3"/>
      <c r="AB896" s="3"/>
    </row>
    <row r="897" spans="1:28" ht="14">
      <c r="A897" s="3"/>
      <c r="B897" s="3"/>
      <c r="C897" s="3"/>
      <c r="D897" s="3"/>
      <c r="E897" s="3"/>
      <c r="F897" s="3"/>
      <c r="G897" s="3"/>
      <c r="H897" s="3"/>
      <c r="I897" s="3"/>
      <c r="J897" s="3"/>
      <c r="K897" s="3"/>
      <c r="L897" s="3"/>
      <c r="M897" s="3"/>
      <c r="N897" s="3"/>
      <c r="O897" s="3"/>
      <c r="P897" s="3"/>
      <c r="Q897" s="48"/>
      <c r="R897" s="3"/>
      <c r="S897" s="3"/>
      <c r="T897" s="3"/>
      <c r="U897" s="28"/>
      <c r="V897" s="28"/>
      <c r="W897" s="77"/>
      <c r="X897" s="77"/>
      <c r="Y897" s="77"/>
      <c r="Z897" s="3"/>
      <c r="AA897" s="3"/>
      <c r="AB897" s="3"/>
    </row>
    <row r="898" spans="1:28" ht="14">
      <c r="A898" s="3"/>
      <c r="B898" s="3"/>
      <c r="C898" s="3"/>
      <c r="D898" s="3"/>
      <c r="E898" s="3"/>
      <c r="F898" s="3"/>
      <c r="G898" s="3"/>
      <c r="H898" s="3"/>
      <c r="I898" s="3"/>
      <c r="J898" s="3"/>
      <c r="K898" s="3"/>
      <c r="L898" s="3"/>
      <c r="M898" s="3"/>
      <c r="N898" s="3"/>
      <c r="O898" s="3"/>
      <c r="P898" s="3"/>
      <c r="Q898" s="48"/>
      <c r="R898" s="3"/>
      <c r="S898" s="3"/>
      <c r="T898" s="3"/>
      <c r="U898" s="28"/>
      <c r="V898" s="28"/>
      <c r="W898" s="77"/>
      <c r="X898" s="77"/>
      <c r="Y898" s="77"/>
      <c r="Z898" s="3"/>
      <c r="AA898" s="3"/>
      <c r="AB898" s="3"/>
    </row>
    <row r="899" spans="1:28" ht="14">
      <c r="A899" s="3"/>
      <c r="B899" s="3"/>
      <c r="C899" s="3"/>
      <c r="D899" s="3"/>
      <c r="E899" s="3"/>
      <c r="F899" s="3"/>
      <c r="G899" s="3"/>
      <c r="H899" s="3"/>
      <c r="I899" s="3"/>
      <c r="J899" s="3"/>
      <c r="K899" s="3"/>
      <c r="L899" s="3"/>
      <c r="M899" s="3"/>
      <c r="N899" s="3"/>
      <c r="O899" s="3"/>
      <c r="P899" s="3"/>
      <c r="Q899" s="48"/>
      <c r="R899" s="3"/>
      <c r="S899" s="3"/>
      <c r="T899" s="3"/>
      <c r="U899" s="28"/>
      <c r="V899" s="28"/>
      <c r="W899" s="77"/>
      <c r="X899" s="77"/>
      <c r="Y899" s="77"/>
      <c r="Z899" s="3"/>
      <c r="AA899" s="3"/>
      <c r="AB899" s="3"/>
    </row>
    <row r="900" spans="1:28" ht="14">
      <c r="A900" s="3"/>
      <c r="B900" s="3"/>
      <c r="C900" s="3"/>
      <c r="D900" s="3"/>
      <c r="E900" s="3"/>
      <c r="F900" s="3"/>
      <c r="G900" s="3"/>
      <c r="H900" s="3"/>
      <c r="I900" s="3"/>
      <c r="J900" s="3"/>
      <c r="K900" s="3"/>
      <c r="L900" s="3"/>
      <c r="M900" s="3"/>
      <c r="N900" s="3"/>
      <c r="O900" s="3"/>
      <c r="P900" s="3"/>
      <c r="Q900" s="48"/>
      <c r="R900" s="3"/>
      <c r="S900" s="3"/>
      <c r="T900" s="3"/>
      <c r="U900" s="28"/>
      <c r="V900" s="28"/>
      <c r="W900" s="77"/>
      <c r="X900" s="77"/>
      <c r="Y900" s="77"/>
      <c r="Z900" s="3"/>
      <c r="AA900" s="3"/>
      <c r="AB900" s="3"/>
    </row>
    <row r="901" spans="1:28" ht="14">
      <c r="A901" s="3"/>
      <c r="B901" s="3"/>
      <c r="C901" s="3"/>
      <c r="D901" s="3"/>
      <c r="E901" s="3"/>
      <c r="F901" s="3"/>
      <c r="G901" s="3"/>
      <c r="H901" s="3"/>
      <c r="I901" s="3"/>
      <c r="J901" s="3"/>
      <c r="K901" s="3"/>
      <c r="L901" s="3"/>
      <c r="M901" s="3"/>
      <c r="N901" s="3"/>
      <c r="O901" s="3"/>
      <c r="P901" s="3"/>
      <c r="Q901" s="48"/>
      <c r="R901" s="3"/>
      <c r="S901" s="3"/>
      <c r="T901" s="3"/>
      <c r="U901" s="28"/>
      <c r="V901" s="28"/>
      <c r="W901" s="77"/>
      <c r="X901" s="77"/>
      <c r="Y901" s="77"/>
      <c r="Z901" s="3"/>
      <c r="AA901" s="3"/>
      <c r="AB901" s="3"/>
    </row>
    <row r="902" spans="1:28" ht="14">
      <c r="A902" s="3"/>
      <c r="B902" s="3"/>
      <c r="C902" s="3"/>
      <c r="D902" s="3"/>
      <c r="E902" s="3"/>
      <c r="F902" s="3"/>
      <c r="G902" s="3"/>
      <c r="H902" s="3"/>
      <c r="I902" s="3"/>
      <c r="J902" s="3"/>
      <c r="K902" s="3"/>
      <c r="L902" s="3"/>
      <c r="M902" s="3"/>
      <c r="N902" s="3"/>
      <c r="O902" s="3"/>
      <c r="P902" s="3"/>
      <c r="Q902" s="48"/>
      <c r="R902" s="3"/>
      <c r="S902" s="3"/>
      <c r="T902" s="3"/>
      <c r="U902" s="28"/>
      <c r="V902" s="28"/>
      <c r="W902" s="77"/>
      <c r="X902" s="77"/>
      <c r="Y902" s="77"/>
      <c r="Z902" s="3"/>
      <c r="AA902" s="3"/>
      <c r="AB902" s="3"/>
    </row>
    <row r="903" spans="1:28" ht="14">
      <c r="A903" s="3"/>
      <c r="B903" s="3"/>
      <c r="C903" s="3"/>
      <c r="D903" s="3"/>
      <c r="E903" s="3"/>
      <c r="F903" s="3"/>
      <c r="G903" s="3"/>
      <c r="H903" s="3"/>
      <c r="I903" s="3"/>
      <c r="J903" s="3"/>
      <c r="K903" s="3"/>
      <c r="L903" s="3"/>
      <c r="M903" s="3"/>
      <c r="N903" s="3"/>
      <c r="O903" s="3"/>
      <c r="P903" s="3"/>
      <c r="Q903" s="48"/>
      <c r="R903" s="3"/>
      <c r="S903" s="3"/>
      <c r="T903" s="3"/>
      <c r="U903" s="28"/>
      <c r="V903" s="28"/>
      <c r="W903" s="77"/>
      <c r="X903" s="77"/>
      <c r="Y903" s="77"/>
      <c r="Z903" s="3"/>
      <c r="AA903" s="3"/>
      <c r="AB903" s="3"/>
    </row>
    <row r="904" spans="1:28" ht="14">
      <c r="A904" s="3"/>
      <c r="B904" s="3"/>
      <c r="C904" s="3"/>
      <c r="D904" s="3"/>
      <c r="E904" s="3"/>
      <c r="F904" s="3"/>
      <c r="G904" s="3"/>
      <c r="H904" s="3"/>
      <c r="I904" s="3"/>
      <c r="J904" s="3"/>
      <c r="K904" s="3"/>
      <c r="L904" s="3"/>
      <c r="M904" s="3"/>
      <c r="N904" s="3"/>
      <c r="O904" s="3"/>
      <c r="P904" s="3"/>
      <c r="Q904" s="48"/>
      <c r="R904" s="3"/>
      <c r="S904" s="3"/>
      <c r="T904" s="3"/>
      <c r="U904" s="28"/>
      <c r="V904" s="28"/>
      <c r="W904" s="77"/>
      <c r="X904" s="77"/>
      <c r="Y904" s="77"/>
      <c r="Z904" s="3"/>
      <c r="AA904" s="3"/>
      <c r="AB904" s="3"/>
    </row>
    <row r="905" spans="1:28" ht="14">
      <c r="A905" s="3"/>
      <c r="B905" s="3"/>
      <c r="C905" s="3"/>
      <c r="D905" s="3"/>
      <c r="E905" s="3"/>
      <c r="F905" s="3"/>
      <c r="G905" s="3"/>
      <c r="H905" s="3"/>
      <c r="I905" s="3"/>
      <c r="J905" s="3"/>
      <c r="K905" s="3"/>
      <c r="L905" s="3"/>
      <c r="M905" s="3"/>
      <c r="N905" s="3"/>
      <c r="O905" s="3"/>
      <c r="P905" s="3"/>
      <c r="Q905" s="48"/>
      <c r="R905" s="3"/>
      <c r="S905" s="3"/>
      <c r="T905" s="3"/>
      <c r="U905" s="28"/>
      <c r="V905" s="28"/>
      <c r="W905" s="77"/>
      <c r="X905" s="77"/>
      <c r="Y905" s="77"/>
      <c r="Z905" s="3"/>
      <c r="AA905" s="3"/>
      <c r="AB905" s="3"/>
    </row>
    <row r="906" spans="1:28" ht="14">
      <c r="A906" s="3"/>
      <c r="B906" s="3"/>
      <c r="C906" s="3"/>
      <c r="D906" s="3"/>
      <c r="E906" s="3"/>
      <c r="F906" s="3"/>
      <c r="G906" s="3"/>
      <c r="H906" s="3"/>
      <c r="I906" s="3"/>
      <c r="J906" s="3"/>
      <c r="K906" s="3"/>
      <c r="L906" s="3"/>
      <c r="M906" s="3"/>
      <c r="N906" s="3"/>
      <c r="O906" s="3"/>
      <c r="P906" s="3"/>
      <c r="Q906" s="48"/>
      <c r="R906" s="3"/>
      <c r="S906" s="3"/>
      <c r="T906" s="3"/>
      <c r="U906" s="28"/>
      <c r="V906" s="28"/>
      <c r="W906" s="77"/>
      <c r="X906" s="77"/>
      <c r="Y906" s="77"/>
      <c r="Z906" s="3"/>
      <c r="AA906" s="3"/>
      <c r="AB906" s="3"/>
    </row>
    <row r="907" spans="1:28" ht="14">
      <c r="A907" s="3"/>
      <c r="B907" s="3"/>
      <c r="C907" s="3"/>
      <c r="D907" s="3"/>
      <c r="E907" s="3"/>
      <c r="F907" s="3"/>
      <c r="G907" s="3"/>
      <c r="H907" s="3"/>
      <c r="I907" s="3"/>
      <c r="J907" s="3"/>
      <c r="K907" s="3"/>
      <c r="L907" s="3"/>
      <c r="M907" s="3"/>
      <c r="N907" s="3"/>
      <c r="O907" s="3"/>
      <c r="P907" s="3"/>
      <c r="Q907" s="48"/>
      <c r="R907" s="3"/>
      <c r="S907" s="3"/>
      <c r="T907" s="3"/>
      <c r="U907" s="28"/>
      <c r="V907" s="28"/>
      <c r="W907" s="77"/>
      <c r="X907" s="77"/>
      <c r="Y907" s="77"/>
      <c r="Z907" s="3"/>
      <c r="AA907" s="3"/>
      <c r="AB907" s="3"/>
    </row>
    <row r="908" spans="1:28" ht="14">
      <c r="A908" s="3"/>
      <c r="B908" s="3"/>
      <c r="C908" s="3"/>
      <c r="D908" s="3"/>
      <c r="E908" s="3"/>
      <c r="F908" s="3"/>
      <c r="G908" s="3"/>
      <c r="H908" s="3"/>
      <c r="I908" s="3"/>
      <c r="J908" s="3"/>
      <c r="K908" s="3"/>
      <c r="L908" s="3"/>
      <c r="M908" s="3"/>
      <c r="N908" s="3"/>
      <c r="O908" s="3"/>
      <c r="P908" s="3"/>
      <c r="Q908" s="48"/>
      <c r="R908" s="3"/>
      <c r="S908" s="3"/>
      <c r="T908" s="3"/>
      <c r="U908" s="28"/>
      <c r="V908" s="28"/>
      <c r="W908" s="77"/>
      <c r="X908" s="77"/>
      <c r="Y908" s="77"/>
      <c r="Z908" s="3"/>
      <c r="AA908" s="3"/>
      <c r="AB908" s="3"/>
    </row>
    <row r="909" spans="1:28" ht="14">
      <c r="A909" s="3"/>
      <c r="B909" s="3"/>
      <c r="C909" s="3"/>
      <c r="D909" s="3"/>
      <c r="E909" s="3"/>
      <c r="F909" s="3"/>
      <c r="G909" s="3"/>
      <c r="H909" s="3"/>
      <c r="I909" s="3"/>
      <c r="J909" s="3"/>
      <c r="K909" s="3"/>
      <c r="L909" s="3"/>
      <c r="M909" s="3"/>
      <c r="N909" s="3"/>
      <c r="O909" s="3"/>
      <c r="P909" s="3"/>
      <c r="Q909" s="48"/>
      <c r="R909" s="3"/>
      <c r="S909" s="3"/>
      <c r="T909" s="3"/>
      <c r="U909" s="28"/>
      <c r="V909" s="28"/>
      <c r="W909" s="77"/>
      <c r="X909" s="77"/>
      <c r="Y909" s="77"/>
      <c r="Z909" s="3"/>
      <c r="AA909" s="3"/>
      <c r="AB909" s="3"/>
    </row>
    <row r="910" spans="1:28" ht="14">
      <c r="A910" s="3"/>
      <c r="B910" s="3"/>
      <c r="C910" s="3"/>
      <c r="D910" s="3"/>
      <c r="E910" s="3"/>
      <c r="F910" s="3"/>
      <c r="G910" s="3"/>
      <c r="H910" s="3"/>
      <c r="I910" s="3"/>
      <c r="J910" s="3"/>
      <c r="K910" s="3"/>
      <c r="L910" s="3"/>
      <c r="M910" s="3"/>
      <c r="N910" s="3"/>
      <c r="O910" s="3"/>
      <c r="P910" s="3"/>
      <c r="Q910" s="48"/>
      <c r="R910" s="3"/>
      <c r="S910" s="3"/>
      <c r="T910" s="3"/>
      <c r="U910" s="28"/>
      <c r="V910" s="28"/>
      <c r="W910" s="77"/>
      <c r="X910" s="77"/>
      <c r="Y910" s="77"/>
      <c r="Z910" s="3"/>
      <c r="AA910" s="3"/>
      <c r="AB910" s="3"/>
    </row>
    <row r="911" spans="1:28" ht="14">
      <c r="A911" s="3"/>
      <c r="B911" s="3"/>
      <c r="C911" s="3"/>
      <c r="D911" s="3"/>
      <c r="E911" s="3"/>
      <c r="F911" s="3"/>
      <c r="G911" s="3"/>
      <c r="H911" s="3"/>
      <c r="I911" s="3"/>
      <c r="J911" s="3"/>
      <c r="K911" s="3"/>
      <c r="L911" s="3"/>
      <c r="M911" s="3"/>
      <c r="N911" s="3"/>
      <c r="O911" s="3"/>
      <c r="P911" s="3"/>
      <c r="Q911" s="48"/>
      <c r="R911" s="3"/>
      <c r="S911" s="3"/>
      <c r="T911" s="3"/>
      <c r="U911" s="28"/>
      <c r="V911" s="28"/>
      <c r="W911" s="77"/>
      <c r="X911" s="77"/>
      <c r="Y911" s="77"/>
      <c r="Z911" s="3"/>
      <c r="AA911" s="3"/>
      <c r="AB911" s="3"/>
    </row>
    <row r="912" spans="1:28" ht="14">
      <c r="A912" s="3"/>
      <c r="B912" s="3"/>
      <c r="C912" s="3"/>
      <c r="D912" s="3"/>
      <c r="E912" s="3"/>
      <c r="F912" s="3"/>
      <c r="G912" s="3"/>
      <c r="H912" s="3"/>
      <c r="I912" s="3"/>
      <c r="J912" s="3"/>
      <c r="K912" s="3"/>
      <c r="L912" s="3"/>
      <c r="M912" s="3"/>
      <c r="N912" s="3"/>
      <c r="O912" s="3"/>
      <c r="P912" s="3"/>
      <c r="Q912" s="48"/>
      <c r="R912" s="3"/>
      <c r="S912" s="3"/>
      <c r="T912" s="3"/>
      <c r="U912" s="28"/>
      <c r="V912" s="28"/>
      <c r="W912" s="77"/>
      <c r="X912" s="77"/>
      <c r="Y912" s="77"/>
      <c r="Z912" s="3"/>
      <c r="AA912" s="3"/>
      <c r="AB912" s="3"/>
    </row>
    <row r="913" spans="1:28" ht="14">
      <c r="A913" s="3"/>
      <c r="B913" s="3"/>
      <c r="C913" s="3"/>
      <c r="D913" s="3"/>
      <c r="E913" s="3"/>
      <c r="F913" s="3"/>
      <c r="G913" s="3"/>
      <c r="H913" s="3"/>
      <c r="I913" s="3"/>
      <c r="J913" s="3"/>
      <c r="K913" s="3"/>
      <c r="L913" s="3"/>
      <c r="M913" s="3"/>
      <c r="N913" s="3"/>
      <c r="O913" s="3"/>
      <c r="P913" s="3"/>
      <c r="Q913" s="48"/>
      <c r="R913" s="3"/>
      <c r="S913" s="3"/>
      <c r="T913" s="3"/>
      <c r="U913" s="28"/>
      <c r="V913" s="28"/>
      <c r="W913" s="77"/>
      <c r="X913" s="77"/>
      <c r="Y913" s="77"/>
      <c r="Z913" s="3"/>
      <c r="AA913" s="3"/>
      <c r="AB913" s="3"/>
    </row>
    <row r="914" spans="1:28" ht="14">
      <c r="A914" s="3"/>
      <c r="B914" s="3"/>
      <c r="C914" s="3"/>
      <c r="D914" s="3"/>
      <c r="E914" s="3"/>
      <c r="F914" s="3"/>
      <c r="G914" s="3"/>
      <c r="H914" s="3"/>
      <c r="I914" s="3"/>
      <c r="J914" s="3"/>
      <c r="K914" s="3"/>
      <c r="L914" s="3"/>
      <c r="M914" s="3"/>
      <c r="N914" s="3"/>
      <c r="O914" s="3"/>
      <c r="P914" s="3"/>
      <c r="Q914" s="48"/>
      <c r="R914" s="3"/>
      <c r="S914" s="3"/>
      <c r="T914" s="3"/>
      <c r="U914" s="28"/>
      <c r="V914" s="28"/>
      <c r="W914" s="77"/>
      <c r="X914" s="77"/>
      <c r="Y914" s="77"/>
      <c r="Z914" s="3"/>
      <c r="AA914" s="3"/>
      <c r="AB914" s="3"/>
    </row>
    <row r="915" spans="1:28" ht="14">
      <c r="A915" s="3"/>
      <c r="B915" s="3"/>
      <c r="C915" s="3"/>
      <c r="D915" s="3"/>
      <c r="E915" s="3"/>
      <c r="F915" s="3"/>
      <c r="G915" s="3"/>
      <c r="H915" s="3"/>
      <c r="I915" s="3"/>
      <c r="J915" s="3"/>
      <c r="K915" s="3"/>
      <c r="L915" s="3"/>
      <c r="M915" s="3"/>
      <c r="N915" s="3"/>
      <c r="O915" s="3"/>
      <c r="P915" s="3"/>
      <c r="Q915" s="48"/>
      <c r="R915" s="3"/>
      <c r="S915" s="3"/>
      <c r="T915" s="3"/>
      <c r="U915" s="28"/>
      <c r="V915" s="28"/>
      <c r="W915" s="77"/>
      <c r="X915" s="77"/>
      <c r="Y915" s="77"/>
      <c r="Z915" s="3"/>
      <c r="AA915" s="3"/>
      <c r="AB915" s="3"/>
    </row>
    <row r="916" spans="1:28" ht="14">
      <c r="A916" s="3"/>
      <c r="B916" s="3"/>
      <c r="C916" s="3"/>
      <c r="D916" s="3"/>
      <c r="E916" s="3"/>
      <c r="F916" s="3"/>
      <c r="G916" s="3"/>
      <c r="H916" s="3"/>
      <c r="I916" s="3"/>
      <c r="J916" s="3"/>
      <c r="K916" s="3"/>
      <c r="L916" s="3"/>
      <c r="M916" s="3"/>
      <c r="N916" s="3"/>
      <c r="O916" s="3"/>
      <c r="P916" s="3"/>
      <c r="Q916" s="48"/>
      <c r="R916" s="3"/>
      <c r="S916" s="3"/>
      <c r="T916" s="3"/>
      <c r="U916" s="28"/>
      <c r="V916" s="28"/>
      <c r="W916" s="77"/>
      <c r="X916" s="77"/>
      <c r="Y916" s="77"/>
      <c r="Z916" s="3"/>
      <c r="AA916" s="3"/>
      <c r="AB916" s="3"/>
    </row>
    <row r="917" spans="1:28" ht="14">
      <c r="A917" s="3"/>
      <c r="B917" s="3"/>
      <c r="C917" s="3"/>
      <c r="D917" s="3"/>
      <c r="E917" s="3"/>
      <c r="F917" s="3"/>
      <c r="G917" s="3"/>
      <c r="H917" s="3"/>
      <c r="I917" s="3"/>
      <c r="J917" s="3"/>
      <c r="K917" s="3"/>
      <c r="L917" s="3"/>
      <c r="M917" s="3"/>
      <c r="N917" s="3"/>
      <c r="O917" s="3"/>
      <c r="P917" s="3"/>
      <c r="Q917" s="48"/>
      <c r="R917" s="3"/>
      <c r="S917" s="3"/>
      <c r="T917" s="3"/>
      <c r="U917" s="28"/>
      <c r="V917" s="28"/>
      <c r="W917" s="77"/>
      <c r="X917" s="77"/>
      <c r="Y917" s="77"/>
      <c r="Z917" s="3"/>
      <c r="AA917" s="3"/>
      <c r="AB917" s="3"/>
    </row>
    <row r="918" spans="1:28" ht="14">
      <c r="A918" s="3"/>
      <c r="B918" s="3"/>
      <c r="C918" s="3"/>
      <c r="D918" s="3"/>
      <c r="E918" s="3"/>
      <c r="F918" s="3"/>
      <c r="G918" s="3"/>
      <c r="H918" s="3"/>
      <c r="I918" s="3"/>
      <c r="J918" s="3"/>
      <c r="K918" s="3"/>
      <c r="L918" s="3"/>
      <c r="M918" s="3"/>
      <c r="N918" s="3"/>
      <c r="O918" s="3"/>
      <c r="P918" s="3"/>
      <c r="Q918" s="48"/>
      <c r="R918" s="3"/>
      <c r="S918" s="3"/>
      <c r="T918" s="3"/>
      <c r="U918" s="28"/>
      <c r="V918" s="28"/>
      <c r="W918" s="77"/>
      <c r="X918" s="77"/>
      <c r="Y918" s="77"/>
      <c r="Z918" s="3"/>
      <c r="AA918" s="3"/>
      <c r="AB918" s="3"/>
    </row>
    <row r="919" spans="1:28" ht="14">
      <c r="A919" s="3"/>
      <c r="B919" s="3"/>
      <c r="C919" s="3"/>
      <c r="D919" s="3"/>
      <c r="E919" s="3"/>
      <c r="F919" s="3"/>
      <c r="G919" s="3"/>
      <c r="H919" s="3"/>
      <c r="I919" s="3"/>
      <c r="J919" s="3"/>
      <c r="K919" s="3"/>
      <c r="L919" s="3"/>
      <c r="M919" s="3"/>
      <c r="N919" s="3"/>
      <c r="O919" s="3"/>
      <c r="P919" s="3"/>
      <c r="Q919" s="48"/>
      <c r="R919" s="3"/>
      <c r="S919" s="3"/>
      <c r="T919" s="3"/>
      <c r="U919" s="28"/>
      <c r="V919" s="28"/>
      <c r="W919" s="77"/>
      <c r="X919" s="77"/>
      <c r="Y919" s="77"/>
      <c r="Z919" s="3"/>
      <c r="AA919" s="3"/>
      <c r="AB919" s="3"/>
    </row>
    <row r="920" spans="1:28" ht="14">
      <c r="A920" s="3"/>
      <c r="B920" s="3"/>
      <c r="C920" s="3"/>
      <c r="D920" s="3"/>
      <c r="E920" s="3"/>
      <c r="F920" s="3"/>
      <c r="G920" s="3"/>
      <c r="H920" s="3"/>
      <c r="I920" s="3"/>
      <c r="J920" s="3"/>
      <c r="K920" s="3"/>
      <c r="L920" s="3"/>
      <c r="M920" s="3"/>
      <c r="N920" s="3"/>
      <c r="O920" s="3"/>
      <c r="P920" s="3"/>
      <c r="Q920" s="48"/>
      <c r="R920" s="3"/>
      <c r="S920" s="3"/>
      <c r="T920" s="3"/>
      <c r="U920" s="28"/>
      <c r="V920" s="28"/>
      <c r="W920" s="77"/>
      <c r="X920" s="77"/>
      <c r="Y920" s="77"/>
      <c r="Z920" s="3"/>
      <c r="AA920" s="3"/>
      <c r="AB920" s="3"/>
    </row>
    <row r="921" spans="1:28" ht="14">
      <c r="A921" s="3"/>
      <c r="B921" s="3"/>
      <c r="C921" s="3"/>
      <c r="D921" s="3"/>
      <c r="E921" s="3"/>
      <c r="F921" s="3"/>
      <c r="G921" s="3"/>
      <c r="H921" s="3"/>
      <c r="I921" s="3"/>
      <c r="J921" s="3"/>
      <c r="K921" s="3"/>
      <c r="L921" s="3"/>
      <c r="M921" s="3"/>
      <c r="N921" s="3"/>
      <c r="O921" s="3"/>
      <c r="P921" s="3"/>
      <c r="Q921" s="48"/>
      <c r="R921" s="3"/>
      <c r="S921" s="3"/>
      <c r="T921" s="3"/>
      <c r="U921" s="28"/>
      <c r="V921" s="28"/>
      <c r="W921" s="77"/>
      <c r="X921" s="77"/>
      <c r="Y921" s="77"/>
      <c r="Z921" s="3"/>
      <c r="AA921" s="3"/>
      <c r="AB921" s="3"/>
    </row>
    <row r="922" spans="1:28" ht="14">
      <c r="A922" s="3"/>
      <c r="B922" s="3"/>
      <c r="C922" s="3"/>
      <c r="D922" s="3"/>
      <c r="E922" s="3"/>
      <c r="F922" s="3"/>
      <c r="G922" s="3"/>
      <c r="H922" s="3"/>
      <c r="I922" s="3"/>
      <c r="J922" s="3"/>
      <c r="K922" s="3"/>
      <c r="L922" s="3"/>
      <c r="M922" s="3"/>
      <c r="N922" s="3"/>
      <c r="O922" s="3"/>
      <c r="P922" s="3"/>
      <c r="Q922" s="48"/>
      <c r="R922" s="3"/>
      <c r="S922" s="3"/>
      <c r="T922" s="3"/>
      <c r="U922" s="28"/>
      <c r="V922" s="28"/>
      <c r="W922" s="77"/>
      <c r="X922" s="77"/>
      <c r="Y922" s="77"/>
      <c r="Z922" s="3"/>
      <c r="AA922" s="3"/>
      <c r="AB922" s="3"/>
    </row>
    <row r="923" spans="1:28" ht="14">
      <c r="A923" s="3"/>
      <c r="B923" s="3"/>
      <c r="C923" s="3"/>
      <c r="D923" s="3"/>
      <c r="E923" s="3"/>
      <c r="F923" s="3"/>
      <c r="G923" s="3"/>
      <c r="H923" s="3"/>
      <c r="I923" s="3"/>
      <c r="J923" s="3"/>
      <c r="K923" s="3"/>
      <c r="L923" s="3"/>
      <c r="M923" s="3"/>
      <c r="N923" s="3"/>
      <c r="O923" s="3"/>
      <c r="P923" s="3"/>
      <c r="Q923" s="48"/>
      <c r="R923" s="3"/>
      <c r="S923" s="3"/>
      <c r="T923" s="3"/>
      <c r="U923" s="28"/>
      <c r="V923" s="28"/>
      <c r="W923" s="77"/>
      <c r="X923" s="77"/>
      <c r="Y923" s="77"/>
      <c r="Z923" s="3"/>
      <c r="AA923" s="3"/>
      <c r="AB923" s="3"/>
    </row>
    <row r="924" spans="1:28" ht="14">
      <c r="A924" s="3"/>
      <c r="B924" s="3"/>
      <c r="C924" s="3"/>
      <c r="D924" s="3"/>
      <c r="E924" s="3"/>
      <c r="F924" s="3"/>
      <c r="G924" s="3"/>
      <c r="H924" s="3"/>
      <c r="I924" s="3"/>
      <c r="J924" s="3"/>
      <c r="K924" s="3"/>
      <c r="L924" s="3"/>
      <c r="M924" s="3"/>
      <c r="N924" s="3"/>
      <c r="O924" s="3"/>
      <c r="P924" s="3"/>
      <c r="Q924" s="48"/>
      <c r="R924" s="3"/>
      <c r="S924" s="3"/>
      <c r="T924" s="3"/>
      <c r="U924" s="28"/>
      <c r="V924" s="28"/>
      <c r="W924" s="77"/>
      <c r="X924" s="77"/>
      <c r="Y924" s="77"/>
      <c r="Z924" s="3"/>
      <c r="AA924" s="3"/>
      <c r="AB924" s="3"/>
    </row>
    <row r="925" spans="1:28" ht="14">
      <c r="A925" s="3"/>
      <c r="B925" s="3"/>
      <c r="C925" s="3"/>
      <c r="D925" s="3"/>
      <c r="E925" s="3"/>
      <c r="F925" s="3"/>
      <c r="G925" s="3"/>
      <c r="H925" s="3"/>
      <c r="I925" s="3"/>
      <c r="J925" s="3"/>
      <c r="K925" s="3"/>
      <c r="L925" s="3"/>
      <c r="M925" s="3"/>
      <c r="N925" s="3"/>
      <c r="O925" s="3"/>
      <c r="P925" s="3"/>
      <c r="Q925" s="48"/>
      <c r="R925" s="3"/>
      <c r="S925" s="3"/>
      <c r="T925" s="3"/>
      <c r="U925" s="28"/>
      <c r="V925" s="28"/>
      <c r="W925" s="77"/>
      <c r="X925" s="77"/>
      <c r="Y925" s="77"/>
      <c r="Z925" s="3"/>
      <c r="AA925" s="3"/>
      <c r="AB925" s="3"/>
    </row>
    <row r="926" spans="1:28" ht="14">
      <c r="A926" s="3"/>
      <c r="B926" s="3"/>
      <c r="C926" s="3"/>
      <c r="D926" s="3"/>
      <c r="E926" s="3"/>
      <c r="F926" s="3"/>
      <c r="G926" s="3"/>
      <c r="H926" s="3"/>
      <c r="I926" s="3"/>
      <c r="J926" s="3"/>
      <c r="K926" s="3"/>
      <c r="L926" s="3"/>
      <c r="M926" s="3"/>
      <c r="N926" s="3"/>
      <c r="O926" s="3"/>
      <c r="P926" s="3"/>
      <c r="Q926" s="48"/>
      <c r="R926" s="3"/>
      <c r="S926" s="3"/>
      <c r="T926" s="3"/>
      <c r="U926" s="28"/>
      <c r="V926" s="28"/>
      <c r="W926" s="77"/>
      <c r="X926" s="77"/>
      <c r="Y926" s="77"/>
      <c r="Z926" s="3"/>
      <c r="AA926" s="3"/>
      <c r="AB926" s="3"/>
    </row>
    <row r="927" spans="1:28" ht="14">
      <c r="A927" s="3"/>
      <c r="B927" s="3"/>
      <c r="C927" s="3"/>
      <c r="D927" s="3"/>
      <c r="E927" s="3"/>
      <c r="F927" s="3"/>
      <c r="G927" s="3"/>
      <c r="H927" s="3"/>
      <c r="I927" s="3"/>
      <c r="J927" s="3"/>
      <c r="K927" s="3"/>
      <c r="L927" s="3"/>
      <c r="M927" s="3"/>
      <c r="N927" s="3"/>
      <c r="O927" s="3"/>
      <c r="P927" s="3"/>
      <c r="Q927" s="48"/>
      <c r="R927" s="3"/>
      <c r="S927" s="3"/>
      <c r="T927" s="3"/>
      <c r="U927" s="28"/>
      <c r="V927" s="28"/>
      <c r="W927" s="77"/>
      <c r="X927" s="77"/>
      <c r="Y927" s="77"/>
      <c r="Z927" s="3"/>
      <c r="AA927" s="3"/>
      <c r="AB927" s="3"/>
    </row>
    <row r="928" spans="1:28" ht="14">
      <c r="A928" s="3"/>
      <c r="B928" s="3"/>
      <c r="C928" s="3"/>
      <c r="D928" s="3"/>
      <c r="E928" s="3"/>
      <c r="F928" s="3"/>
      <c r="G928" s="3"/>
      <c r="H928" s="3"/>
      <c r="I928" s="3"/>
      <c r="J928" s="3"/>
      <c r="K928" s="3"/>
      <c r="L928" s="3"/>
      <c r="M928" s="3"/>
      <c r="N928" s="3"/>
      <c r="O928" s="3"/>
      <c r="P928" s="3"/>
      <c r="Q928" s="48"/>
      <c r="R928" s="3"/>
      <c r="S928" s="3"/>
      <c r="T928" s="3"/>
      <c r="U928" s="28"/>
      <c r="V928" s="28"/>
      <c r="W928" s="77"/>
      <c r="X928" s="77"/>
      <c r="Y928" s="77"/>
      <c r="Z928" s="3"/>
      <c r="AA928" s="3"/>
      <c r="AB928" s="3"/>
    </row>
    <row r="929" spans="1:28" ht="14">
      <c r="A929" s="3"/>
      <c r="B929" s="3"/>
      <c r="C929" s="3"/>
      <c r="D929" s="3"/>
      <c r="E929" s="3"/>
      <c r="F929" s="3"/>
      <c r="G929" s="3"/>
      <c r="H929" s="3"/>
      <c r="I929" s="3"/>
      <c r="J929" s="3"/>
      <c r="K929" s="3"/>
      <c r="L929" s="3"/>
      <c r="M929" s="3"/>
      <c r="N929" s="3"/>
      <c r="O929" s="3"/>
      <c r="P929" s="3"/>
      <c r="Q929" s="48"/>
      <c r="R929" s="3"/>
      <c r="S929" s="3"/>
      <c r="T929" s="3"/>
      <c r="U929" s="28"/>
      <c r="V929" s="28"/>
      <c r="W929" s="77"/>
      <c r="X929" s="77"/>
      <c r="Y929" s="77"/>
      <c r="Z929" s="3"/>
      <c r="AA929" s="3"/>
      <c r="AB929" s="3"/>
    </row>
    <row r="930" spans="1:28" ht="14">
      <c r="A930" s="3"/>
      <c r="B930" s="3"/>
      <c r="C930" s="3"/>
      <c r="D930" s="3"/>
      <c r="E930" s="3"/>
      <c r="F930" s="3"/>
      <c r="G930" s="3"/>
      <c r="H930" s="3"/>
      <c r="I930" s="3"/>
      <c r="J930" s="3"/>
      <c r="K930" s="3"/>
      <c r="L930" s="3"/>
      <c r="M930" s="3"/>
      <c r="N930" s="3"/>
      <c r="O930" s="3"/>
      <c r="P930" s="3"/>
      <c r="Q930" s="48"/>
      <c r="R930" s="3"/>
      <c r="S930" s="3"/>
      <c r="T930" s="3"/>
      <c r="U930" s="28"/>
      <c r="V930" s="28"/>
      <c r="W930" s="77"/>
      <c r="X930" s="77"/>
      <c r="Y930" s="77"/>
      <c r="Z930" s="3"/>
      <c r="AA930" s="3"/>
      <c r="AB930" s="3"/>
    </row>
    <row r="931" spans="1:28" ht="14">
      <c r="A931" s="3"/>
      <c r="B931" s="3"/>
      <c r="C931" s="3"/>
      <c r="D931" s="3"/>
      <c r="E931" s="3"/>
      <c r="F931" s="3"/>
      <c r="G931" s="3"/>
      <c r="H931" s="3"/>
      <c r="I931" s="3"/>
      <c r="J931" s="3"/>
      <c r="K931" s="3"/>
      <c r="L931" s="3"/>
      <c r="M931" s="3"/>
      <c r="N931" s="3"/>
      <c r="O931" s="3"/>
      <c r="P931" s="3"/>
      <c r="Q931" s="48"/>
      <c r="R931" s="3"/>
      <c r="S931" s="3"/>
      <c r="T931" s="3"/>
      <c r="U931" s="28"/>
      <c r="V931" s="28"/>
      <c r="W931" s="77"/>
      <c r="X931" s="77"/>
      <c r="Y931" s="77"/>
      <c r="Z931" s="3"/>
      <c r="AA931" s="3"/>
      <c r="AB931" s="3"/>
    </row>
    <row r="932" spans="1:28" ht="14">
      <c r="A932" s="3"/>
      <c r="B932" s="3"/>
      <c r="C932" s="3"/>
      <c r="D932" s="3"/>
      <c r="E932" s="3"/>
      <c r="F932" s="3"/>
      <c r="G932" s="3"/>
      <c r="H932" s="3"/>
      <c r="I932" s="3"/>
      <c r="J932" s="3"/>
      <c r="K932" s="3"/>
      <c r="L932" s="3"/>
      <c r="M932" s="3"/>
      <c r="N932" s="3"/>
      <c r="O932" s="3"/>
      <c r="P932" s="3"/>
      <c r="Q932" s="48"/>
      <c r="R932" s="3"/>
      <c r="S932" s="3"/>
      <c r="T932" s="3"/>
      <c r="U932" s="28"/>
      <c r="V932" s="28"/>
      <c r="W932" s="77"/>
      <c r="X932" s="77"/>
      <c r="Y932" s="77"/>
      <c r="Z932" s="3"/>
      <c r="AA932" s="3"/>
      <c r="AB932" s="3"/>
    </row>
    <row r="933" spans="1:28" ht="14">
      <c r="A933" s="3"/>
      <c r="B933" s="3"/>
      <c r="C933" s="3"/>
      <c r="D933" s="3"/>
      <c r="E933" s="3"/>
      <c r="F933" s="3"/>
      <c r="G933" s="3"/>
      <c r="H933" s="3"/>
      <c r="I933" s="3"/>
      <c r="J933" s="3"/>
      <c r="K933" s="3"/>
      <c r="L933" s="3"/>
      <c r="M933" s="3"/>
      <c r="N933" s="3"/>
      <c r="O933" s="3"/>
      <c r="P933" s="3"/>
      <c r="Q933" s="48"/>
      <c r="R933" s="3"/>
      <c r="S933" s="3"/>
      <c r="T933" s="3"/>
      <c r="U933" s="28"/>
      <c r="V933" s="28"/>
      <c r="W933" s="77"/>
      <c r="X933" s="77"/>
      <c r="Y933" s="77"/>
      <c r="Z933" s="3"/>
      <c r="AA933" s="3"/>
      <c r="AB933" s="3"/>
    </row>
    <row r="934" spans="1:28" ht="14">
      <c r="A934" s="3"/>
      <c r="B934" s="3"/>
      <c r="C934" s="3"/>
      <c r="D934" s="3"/>
      <c r="E934" s="3"/>
      <c r="F934" s="3"/>
      <c r="G934" s="3"/>
      <c r="H934" s="3"/>
      <c r="I934" s="3"/>
      <c r="J934" s="3"/>
      <c r="K934" s="3"/>
      <c r="L934" s="3"/>
      <c r="M934" s="3"/>
      <c r="N934" s="3"/>
      <c r="O934" s="3"/>
      <c r="P934" s="3"/>
      <c r="Q934" s="48"/>
      <c r="R934" s="3"/>
      <c r="S934" s="3"/>
      <c r="T934" s="3"/>
      <c r="U934" s="28"/>
      <c r="V934" s="28"/>
      <c r="W934" s="77"/>
      <c r="X934" s="77"/>
      <c r="Y934" s="77"/>
      <c r="Z934" s="3"/>
      <c r="AA934" s="3"/>
      <c r="AB934" s="3"/>
    </row>
    <row r="935" spans="1:28" ht="14">
      <c r="A935" s="3"/>
      <c r="B935" s="3"/>
      <c r="C935" s="3"/>
      <c r="D935" s="3"/>
      <c r="E935" s="3"/>
      <c r="F935" s="3"/>
      <c r="G935" s="3"/>
      <c r="H935" s="3"/>
      <c r="I935" s="3"/>
      <c r="J935" s="3"/>
      <c r="K935" s="3"/>
      <c r="L935" s="3"/>
      <c r="M935" s="3"/>
      <c r="N935" s="3"/>
      <c r="O935" s="3"/>
      <c r="P935" s="3"/>
      <c r="Q935" s="48"/>
      <c r="R935" s="3"/>
      <c r="S935" s="3"/>
      <c r="T935" s="3"/>
      <c r="U935" s="28"/>
      <c r="V935" s="28"/>
      <c r="W935" s="77"/>
      <c r="X935" s="77"/>
      <c r="Y935" s="77"/>
      <c r="Z935" s="3"/>
      <c r="AA935" s="3"/>
      <c r="AB935" s="3"/>
    </row>
    <row r="936" spans="1:28" ht="14">
      <c r="A936" s="3"/>
      <c r="B936" s="3"/>
      <c r="C936" s="3"/>
      <c r="D936" s="3"/>
      <c r="E936" s="3"/>
      <c r="F936" s="3"/>
      <c r="G936" s="3"/>
      <c r="H936" s="3"/>
      <c r="I936" s="3"/>
      <c r="J936" s="3"/>
      <c r="K936" s="3"/>
      <c r="L936" s="3"/>
      <c r="M936" s="3"/>
      <c r="N936" s="3"/>
      <c r="O936" s="3"/>
      <c r="P936" s="3"/>
      <c r="Q936" s="48"/>
      <c r="R936" s="3"/>
      <c r="S936" s="3"/>
      <c r="T936" s="3"/>
      <c r="U936" s="28"/>
      <c r="V936" s="28"/>
      <c r="W936" s="77"/>
      <c r="X936" s="77"/>
      <c r="Y936" s="77"/>
      <c r="Z936" s="3"/>
      <c r="AA936" s="3"/>
      <c r="AB936" s="3"/>
    </row>
    <row r="937" spans="1:28" ht="14">
      <c r="A937" s="3"/>
      <c r="B937" s="3"/>
      <c r="C937" s="3"/>
      <c r="D937" s="3"/>
      <c r="E937" s="3"/>
      <c r="F937" s="3"/>
      <c r="G937" s="3"/>
      <c r="H937" s="3"/>
      <c r="I937" s="3"/>
      <c r="J937" s="3"/>
      <c r="K937" s="3"/>
      <c r="L937" s="3"/>
      <c r="M937" s="3"/>
      <c r="N937" s="3"/>
      <c r="O937" s="3"/>
      <c r="P937" s="3"/>
      <c r="Q937" s="48"/>
      <c r="R937" s="3"/>
      <c r="S937" s="3"/>
      <c r="T937" s="3"/>
      <c r="U937" s="28"/>
      <c r="V937" s="28"/>
      <c r="W937" s="77"/>
      <c r="X937" s="77"/>
      <c r="Y937" s="77"/>
      <c r="Z937" s="3"/>
      <c r="AA937" s="3"/>
      <c r="AB937" s="3"/>
    </row>
    <row r="938" spans="1:28" ht="14">
      <c r="A938" s="3"/>
      <c r="B938" s="3"/>
      <c r="C938" s="3"/>
      <c r="D938" s="3"/>
      <c r="E938" s="3"/>
      <c r="F938" s="3"/>
      <c r="G938" s="3"/>
      <c r="H938" s="3"/>
      <c r="I938" s="3"/>
      <c r="J938" s="3"/>
      <c r="K938" s="3"/>
      <c r="L938" s="3"/>
      <c r="M938" s="3"/>
      <c r="N938" s="3"/>
      <c r="O938" s="3"/>
      <c r="P938" s="3"/>
      <c r="Q938" s="48"/>
      <c r="R938" s="3"/>
      <c r="S938" s="3"/>
      <c r="T938" s="3"/>
      <c r="U938" s="28"/>
      <c r="V938" s="28"/>
      <c r="W938" s="77"/>
      <c r="X938" s="77"/>
      <c r="Y938" s="77"/>
      <c r="Z938" s="3"/>
      <c r="AA938" s="3"/>
      <c r="AB938" s="3"/>
    </row>
    <row r="939" spans="1:28" ht="14">
      <c r="A939" s="3"/>
      <c r="B939" s="3"/>
      <c r="C939" s="3"/>
      <c r="D939" s="3"/>
      <c r="E939" s="3"/>
      <c r="F939" s="3"/>
      <c r="G939" s="3"/>
      <c r="H939" s="3"/>
      <c r="I939" s="3"/>
      <c r="J939" s="3"/>
      <c r="K939" s="3"/>
      <c r="L939" s="3"/>
      <c r="M939" s="3"/>
      <c r="N939" s="3"/>
      <c r="O939" s="3"/>
      <c r="P939" s="3"/>
      <c r="Q939" s="48"/>
      <c r="R939" s="3"/>
      <c r="S939" s="3"/>
      <c r="T939" s="3"/>
      <c r="U939" s="28"/>
      <c r="V939" s="28"/>
      <c r="W939" s="77"/>
      <c r="X939" s="77"/>
      <c r="Y939" s="77"/>
      <c r="Z939" s="3"/>
      <c r="AA939" s="3"/>
      <c r="AB939" s="3"/>
    </row>
    <row r="940" spans="1:28" ht="14">
      <c r="A940" s="3"/>
      <c r="B940" s="3"/>
      <c r="C940" s="3"/>
      <c r="D940" s="3"/>
      <c r="E940" s="3"/>
      <c r="F940" s="3"/>
      <c r="G940" s="3"/>
      <c r="H940" s="3"/>
      <c r="I940" s="3"/>
      <c r="J940" s="3"/>
      <c r="K940" s="3"/>
      <c r="L940" s="3"/>
      <c r="M940" s="3"/>
      <c r="N940" s="3"/>
      <c r="O940" s="3"/>
      <c r="P940" s="3"/>
      <c r="Q940" s="48"/>
      <c r="R940" s="3"/>
      <c r="S940" s="3"/>
      <c r="T940" s="3"/>
      <c r="U940" s="28"/>
      <c r="V940" s="28"/>
      <c r="W940" s="77"/>
      <c r="X940" s="77"/>
      <c r="Y940" s="77"/>
      <c r="Z940" s="3"/>
      <c r="AA940" s="3"/>
      <c r="AB940" s="3"/>
    </row>
    <row r="941" spans="1:28" ht="14">
      <c r="A941" s="3"/>
      <c r="B941" s="3"/>
      <c r="C941" s="3"/>
      <c r="D941" s="3"/>
      <c r="E941" s="3"/>
      <c r="F941" s="3"/>
      <c r="G941" s="3"/>
      <c r="H941" s="3"/>
      <c r="I941" s="3"/>
      <c r="J941" s="3"/>
      <c r="K941" s="3"/>
      <c r="L941" s="3"/>
      <c r="M941" s="3"/>
      <c r="N941" s="3"/>
      <c r="O941" s="3"/>
      <c r="P941" s="3"/>
      <c r="Q941" s="48"/>
      <c r="R941" s="3"/>
      <c r="S941" s="3"/>
      <c r="T941" s="3"/>
      <c r="U941" s="28"/>
      <c r="V941" s="28"/>
      <c r="W941" s="77"/>
      <c r="X941" s="77"/>
      <c r="Y941" s="77"/>
      <c r="Z941" s="3"/>
      <c r="AA941" s="3"/>
      <c r="AB941" s="3"/>
    </row>
    <row r="942" spans="1:28" ht="14">
      <c r="A942" s="3"/>
      <c r="B942" s="3"/>
      <c r="C942" s="3"/>
      <c r="D942" s="3"/>
      <c r="E942" s="3"/>
      <c r="F942" s="3"/>
      <c r="G942" s="3"/>
      <c r="H942" s="3"/>
      <c r="I942" s="3"/>
      <c r="J942" s="3"/>
      <c r="K942" s="3"/>
      <c r="L942" s="3"/>
      <c r="M942" s="3"/>
      <c r="N942" s="3"/>
      <c r="O942" s="3"/>
      <c r="P942" s="3"/>
      <c r="Q942" s="48"/>
      <c r="R942" s="3"/>
      <c r="S942" s="3"/>
      <c r="T942" s="3"/>
      <c r="U942" s="28"/>
      <c r="V942" s="28"/>
      <c r="W942" s="77"/>
      <c r="X942" s="77"/>
      <c r="Y942" s="77"/>
      <c r="Z942" s="3"/>
      <c r="AA942" s="3"/>
      <c r="AB942" s="3"/>
    </row>
    <row r="943" spans="1:28" ht="14">
      <c r="A943" s="3"/>
      <c r="B943" s="3"/>
      <c r="C943" s="3"/>
      <c r="D943" s="3"/>
      <c r="E943" s="3"/>
      <c r="F943" s="3"/>
      <c r="G943" s="3"/>
      <c r="H943" s="3"/>
      <c r="I943" s="3"/>
      <c r="J943" s="3"/>
      <c r="K943" s="3"/>
      <c r="L943" s="3"/>
      <c r="M943" s="3"/>
      <c r="N943" s="3"/>
      <c r="O943" s="3"/>
      <c r="P943" s="3"/>
      <c r="Q943" s="48"/>
      <c r="R943" s="3"/>
      <c r="S943" s="3"/>
      <c r="T943" s="3"/>
      <c r="U943" s="28"/>
      <c r="V943" s="28"/>
      <c r="W943" s="77"/>
      <c r="X943" s="77"/>
      <c r="Y943" s="77"/>
      <c r="Z943" s="3"/>
      <c r="AA943" s="3"/>
      <c r="AB943" s="3"/>
    </row>
    <row r="944" spans="1:28" ht="14">
      <c r="A944" s="3"/>
      <c r="B944" s="3"/>
      <c r="C944" s="3"/>
      <c r="D944" s="3"/>
      <c r="E944" s="3"/>
      <c r="F944" s="3"/>
      <c r="G944" s="3"/>
      <c r="H944" s="3"/>
      <c r="I944" s="3"/>
      <c r="J944" s="3"/>
      <c r="K944" s="3"/>
      <c r="L944" s="3"/>
      <c r="M944" s="3"/>
      <c r="N944" s="3"/>
      <c r="O944" s="3"/>
      <c r="P944" s="3"/>
      <c r="Q944" s="48"/>
      <c r="R944" s="3"/>
      <c r="S944" s="3"/>
      <c r="T944" s="3"/>
      <c r="U944" s="28"/>
      <c r="V944" s="28"/>
      <c r="W944" s="77"/>
      <c r="X944" s="77"/>
      <c r="Y944" s="77"/>
      <c r="Z944" s="3"/>
      <c r="AA944" s="3"/>
      <c r="AB944" s="3"/>
    </row>
    <row r="945" spans="1:28" ht="14">
      <c r="A945" s="3"/>
      <c r="B945" s="3"/>
      <c r="C945" s="3"/>
      <c r="D945" s="3"/>
      <c r="E945" s="3"/>
      <c r="F945" s="3"/>
      <c r="G945" s="3"/>
      <c r="H945" s="3"/>
      <c r="I945" s="3"/>
      <c r="J945" s="3"/>
      <c r="K945" s="3"/>
      <c r="L945" s="3"/>
      <c r="M945" s="3"/>
      <c r="N945" s="3"/>
      <c r="O945" s="3"/>
      <c r="P945" s="3"/>
      <c r="Q945" s="48"/>
      <c r="R945" s="3"/>
      <c r="S945" s="3"/>
      <c r="T945" s="3"/>
      <c r="U945" s="28"/>
      <c r="V945" s="28"/>
      <c r="W945" s="77"/>
      <c r="X945" s="77"/>
      <c r="Y945" s="77"/>
      <c r="Z945" s="3"/>
      <c r="AA945" s="3"/>
      <c r="AB945" s="3"/>
    </row>
    <row r="946" spans="1:28" ht="14">
      <c r="A946" s="3"/>
      <c r="B946" s="3"/>
      <c r="C946" s="3"/>
      <c r="D946" s="3"/>
      <c r="E946" s="3"/>
      <c r="F946" s="3"/>
      <c r="G946" s="3"/>
      <c r="H946" s="3"/>
      <c r="I946" s="3"/>
      <c r="J946" s="3"/>
      <c r="K946" s="3"/>
      <c r="L946" s="3"/>
      <c r="M946" s="3"/>
      <c r="N946" s="3"/>
      <c r="O946" s="3"/>
      <c r="P946" s="3"/>
      <c r="Q946" s="48"/>
      <c r="R946" s="3"/>
      <c r="S946" s="3"/>
      <c r="T946" s="3"/>
      <c r="U946" s="28"/>
      <c r="V946" s="28"/>
      <c r="W946" s="77"/>
      <c r="X946" s="77"/>
      <c r="Y946" s="77"/>
      <c r="Z946" s="3"/>
      <c r="AA946" s="3"/>
      <c r="AB946" s="3"/>
    </row>
    <row r="947" spans="1:28" ht="14">
      <c r="A947" s="3"/>
      <c r="B947" s="3"/>
      <c r="C947" s="3"/>
      <c r="D947" s="3"/>
      <c r="E947" s="3"/>
      <c r="F947" s="3"/>
      <c r="G947" s="3"/>
      <c r="H947" s="3"/>
      <c r="I947" s="3"/>
      <c r="J947" s="3"/>
      <c r="K947" s="3"/>
      <c r="L947" s="3"/>
      <c r="M947" s="3"/>
      <c r="N947" s="3"/>
      <c r="O947" s="3"/>
      <c r="P947" s="3"/>
      <c r="Q947" s="48"/>
      <c r="R947" s="3"/>
      <c r="S947" s="3"/>
      <c r="T947" s="3"/>
      <c r="U947" s="28"/>
      <c r="V947" s="28"/>
      <c r="W947" s="77"/>
      <c r="X947" s="77"/>
      <c r="Y947" s="77"/>
      <c r="Z947" s="3"/>
      <c r="AA947" s="3"/>
      <c r="AB947" s="3"/>
    </row>
    <row r="948" spans="1:28" ht="14">
      <c r="A948" s="3"/>
      <c r="B948" s="3"/>
      <c r="C948" s="3"/>
      <c r="D948" s="3"/>
      <c r="E948" s="3"/>
      <c r="F948" s="3"/>
      <c r="G948" s="3"/>
      <c r="H948" s="3"/>
      <c r="I948" s="3"/>
      <c r="J948" s="3"/>
      <c r="K948" s="3"/>
      <c r="L948" s="3"/>
      <c r="M948" s="3"/>
      <c r="N948" s="3"/>
      <c r="O948" s="3"/>
      <c r="P948" s="3"/>
      <c r="Q948" s="48"/>
      <c r="R948" s="3"/>
      <c r="S948" s="3"/>
      <c r="T948" s="3"/>
      <c r="U948" s="28"/>
      <c r="V948" s="28"/>
      <c r="W948" s="77"/>
      <c r="X948" s="77"/>
      <c r="Y948" s="77"/>
      <c r="Z948" s="3"/>
      <c r="AA948" s="3"/>
      <c r="AB948" s="3"/>
    </row>
    <row r="949" spans="1:28" ht="14">
      <c r="A949" s="3"/>
      <c r="B949" s="3"/>
      <c r="C949" s="3"/>
      <c r="D949" s="3"/>
      <c r="E949" s="3"/>
      <c r="F949" s="3"/>
      <c r="G949" s="3"/>
      <c r="H949" s="3"/>
      <c r="I949" s="3"/>
      <c r="J949" s="3"/>
      <c r="K949" s="3"/>
      <c r="L949" s="3"/>
      <c r="M949" s="3"/>
      <c r="N949" s="3"/>
      <c r="O949" s="3"/>
      <c r="P949" s="3"/>
      <c r="Q949" s="48"/>
      <c r="R949" s="3"/>
      <c r="S949" s="3"/>
      <c r="T949" s="3"/>
      <c r="U949" s="28"/>
      <c r="V949" s="28"/>
      <c r="W949" s="77"/>
      <c r="X949" s="77"/>
      <c r="Y949" s="77"/>
      <c r="Z949" s="3"/>
      <c r="AA949" s="3"/>
      <c r="AB949" s="3"/>
    </row>
    <row r="950" spans="1:28" ht="14">
      <c r="A950" s="3"/>
      <c r="B950" s="3"/>
      <c r="C950" s="3"/>
      <c r="D950" s="3"/>
      <c r="E950" s="3"/>
      <c r="F950" s="3"/>
      <c r="G950" s="3"/>
      <c r="H950" s="3"/>
      <c r="I950" s="3"/>
      <c r="J950" s="3"/>
      <c r="K950" s="3"/>
      <c r="L950" s="3"/>
      <c r="M950" s="3"/>
      <c r="N950" s="3"/>
      <c r="O950" s="3"/>
      <c r="P950" s="3"/>
      <c r="Q950" s="48"/>
      <c r="R950" s="3"/>
      <c r="S950" s="3"/>
      <c r="T950" s="3"/>
      <c r="U950" s="28"/>
      <c r="V950" s="28"/>
      <c r="W950" s="77"/>
      <c r="X950" s="77"/>
      <c r="Y950" s="77"/>
      <c r="Z950" s="3"/>
      <c r="AA950" s="3"/>
      <c r="AB950" s="3"/>
    </row>
    <row r="951" spans="1:28" ht="14">
      <c r="A951" s="3"/>
      <c r="B951" s="3"/>
      <c r="C951" s="3"/>
      <c r="D951" s="3"/>
      <c r="E951" s="3"/>
      <c r="F951" s="3"/>
      <c r="G951" s="3"/>
      <c r="H951" s="3"/>
      <c r="I951" s="3"/>
      <c r="J951" s="3"/>
      <c r="K951" s="3"/>
      <c r="L951" s="3"/>
      <c r="M951" s="3"/>
      <c r="N951" s="3"/>
      <c r="O951" s="3"/>
      <c r="P951" s="3"/>
      <c r="Q951" s="48"/>
      <c r="R951" s="3"/>
      <c r="S951" s="3"/>
      <c r="T951" s="3"/>
      <c r="U951" s="28"/>
      <c r="V951" s="28"/>
      <c r="W951" s="77"/>
      <c r="X951" s="77"/>
      <c r="Y951" s="77"/>
      <c r="Z951" s="3"/>
      <c r="AA951" s="3"/>
      <c r="AB951" s="3"/>
    </row>
    <row r="952" spans="1:28" ht="14">
      <c r="A952" s="3"/>
      <c r="B952" s="3"/>
      <c r="C952" s="3"/>
      <c r="D952" s="3"/>
      <c r="E952" s="3"/>
      <c r="F952" s="3"/>
      <c r="G952" s="3"/>
      <c r="H952" s="3"/>
      <c r="I952" s="3"/>
      <c r="J952" s="3"/>
      <c r="K952" s="3"/>
      <c r="L952" s="3"/>
      <c r="M952" s="3"/>
      <c r="N952" s="3"/>
      <c r="O952" s="3"/>
      <c r="P952" s="3"/>
      <c r="Q952" s="48"/>
      <c r="R952" s="3"/>
      <c r="S952" s="3"/>
      <c r="T952" s="3"/>
      <c r="U952" s="28"/>
      <c r="V952" s="28"/>
      <c r="W952" s="77"/>
      <c r="X952" s="77"/>
      <c r="Y952" s="77"/>
      <c r="Z952" s="3"/>
      <c r="AA952" s="3"/>
      <c r="AB952" s="3"/>
    </row>
    <row r="953" spans="1:28" ht="14">
      <c r="A953" s="3"/>
      <c r="B953" s="3"/>
      <c r="C953" s="3"/>
      <c r="D953" s="3"/>
      <c r="E953" s="3"/>
      <c r="F953" s="3"/>
      <c r="G953" s="3"/>
      <c r="H953" s="3"/>
      <c r="I953" s="3"/>
      <c r="J953" s="3"/>
      <c r="K953" s="3"/>
      <c r="L953" s="3"/>
      <c r="M953" s="3"/>
      <c r="N953" s="3"/>
      <c r="O953" s="3"/>
      <c r="P953" s="3"/>
      <c r="Q953" s="48"/>
      <c r="R953" s="3"/>
      <c r="S953" s="3"/>
      <c r="T953" s="3"/>
      <c r="U953" s="28"/>
      <c r="V953" s="28"/>
      <c r="W953" s="77"/>
      <c r="X953" s="77"/>
      <c r="Y953" s="77"/>
      <c r="Z953" s="3"/>
      <c r="AA953" s="3"/>
      <c r="AB953" s="3"/>
    </row>
    <row r="954" spans="1:28" ht="14">
      <c r="A954" s="3"/>
      <c r="B954" s="3"/>
      <c r="C954" s="3"/>
      <c r="D954" s="3"/>
      <c r="E954" s="3"/>
      <c r="F954" s="3"/>
      <c r="G954" s="3"/>
      <c r="H954" s="3"/>
      <c r="I954" s="3"/>
      <c r="J954" s="3"/>
      <c r="K954" s="3"/>
      <c r="L954" s="3"/>
      <c r="M954" s="3"/>
      <c r="N954" s="3"/>
      <c r="O954" s="3"/>
      <c r="P954" s="3"/>
      <c r="Q954" s="48"/>
      <c r="R954" s="3"/>
      <c r="S954" s="3"/>
      <c r="T954" s="3"/>
      <c r="U954" s="28"/>
      <c r="V954" s="28"/>
      <c r="W954" s="77"/>
      <c r="X954" s="77"/>
      <c r="Y954" s="77"/>
      <c r="Z954" s="3"/>
      <c r="AA954" s="3"/>
      <c r="AB954" s="3"/>
    </row>
    <row r="955" spans="1:28" ht="14">
      <c r="A955" s="3"/>
      <c r="B955" s="3"/>
      <c r="C955" s="3"/>
      <c r="D955" s="3"/>
      <c r="E955" s="3"/>
      <c r="F955" s="3"/>
      <c r="G955" s="3"/>
      <c r="H955" s="3"/>
      <c r="I955" s="3"/>
      <c r="J955" s="3"/>
      <c r="K955" s="3"/>
      <c r="L955" s="3"/>
      <c r="M955" s="3"/>
      <c r="N955" s="3"/>
      <c r="O955" s="3"/>
      <c r="P955" s="3"/>
      <c r="Q955" s="48"/>
      <c r="R955" s="3"/>
      <c r="S955" s="3"/>
      <c r="T955" s="3"/>
      <c r="U955" s="28"/>
      <c r="V955" s="28"/>
      <c r="W955" s="77"/>
      <c r="X955" s="77"/>
      <c r="Y955" s="77"/>
      <c r="Z955" s="3"/>
      <c r="AA955" s="3"/>
      <c r="AB955" s="3"/>
    </row>
    <row r="956" spans="1:28" ht="14">
      <c r="A956" s="3"/>
      <c r="B956" s="3"/>
      <c r="C956" s="3"/>
      <c r="D956" s="3"/>
      <c r="E956" s="3"/>
      <c r="F956" s="3"/>
      <c r="G956" s="3"/>
      <c r="H956" s="3"/>
      <c r="I956" s="3"/>
      <c r="J956" s="3"/>
      <c r="K956" s="3"/>
      <c r="L956" s="3"/>
      <c r="M956" s="3"/>
      <c r="N956" s="3"/>
      <c r="O956" s="3"/>
      <c r="P956" s="3"/>
      <c r="Q956" s="48"/>
      <c r="R956" s="3"/>
      <c r="S956" s="3"/>
      <c r="T956" s="3"/>
      <c r="U956" s="28"/>
      <c r="V956" s="28"/>
      <c r="W956" s="77"/>
      <c r="X956" s="77"/>
      <c r="Y956" s="77"/>
      <c r="Z956" s="3"/>
      <c r="AA956" s="3"/>
      <c r="AB956" s="3"/>
    </row>
    <row r="957" spans="1:28" ht="14">
      <c r="A957" s="3"/>
      <c r="B957" s="3"/>
      <c r="C957" s="3"/>
      <c r="D957" s="3"/>
      <c r="E957" s="3"/>
      <c r="F957" s="3"/>
      <c r="G957" s="3"/>
      <c r="H957" s="3"/>
      <c r="I957" s="3"/>
      <c r="J957" s="3"/>
      <c r="K957" s="3"/>
      <c r="L957" s="3"/>
      <c r="M957" s="3"/>
      <c r="N957" s="3"/>
      <c r="O957" s="3"/>
      <c r="P957" s="3"/>
      <c r="Q957" s="48"/>
      <c r="R957" s="3"/>
      <c r="S957" s="3"/>
      <c r="T957" s="3"/>
      <c r="U957" s="28"/>
      <c r="V957" s="28"/>
      <c r="W957" s="77"/>
      <c r="X957" s="77"/>
      <c r="Y957" s="77"/>
      <c r="Z957" s="3"/>
      <c r="AA957" s="3"/>
      <c r="AB957" s="3"/>
    </row>
    <row r="958" spans="1:28" ht="14">
      <c r="A958" s="3"/>
      <c r="B958" s="3"/>
      <c r="C958" s="3"/>
      <c r="D958" s="3"/>
      <c r="E958" s="3"/>
      <c r="F958" s="3"/>
      <c r="G958" s="3"/>
      <c r="H958" s="3"/>
      <c r="I958" s="3"/>
      <c r="J958" s="3"/>
      <c r="K958" s="3"/>
      <c r="L958" s="3"/>
      <c r="M958" s="3"/>
      <c r="N958" s="3"/>
      <c r="O958" s="3"/>
      <c r="P958" s="3"/>
      <c r="Q958" s="48"/>
      <c r="R958" s="3"/>
      <c r="S958" s="3"/>
      <c r="T958" s="3"/>
      <c r="U958" s="28"/>
      <c r="V958" s="28"/>
      <c r="W958" s="77"/>
      <c r="X958" s="77"/>
      <c r="Y958" s="77"/>
      <c r="Z958" s="3"/>
      <c r="AA958" s="3"/>
      <c r="AB958" s="3"/>
    </row>
    <row r="959" spans="1:28" ht="14">
      <c r="A959" s="3"/>
      <c r="B959" s="3"/>
      <c r="C959" s="3"/>
      <c r="D959" s="3"/>
      <c r="E959" s="3"/>
      <c r="F959" s="3"/>
      <c r="G959" s="3"/>
      <c r="H959" s="3"/>
      <c r="I959" s="3"/>
      <c r="J959" s="3"/>
      <c r="K959" s="3"/>
      <c r="L959" s="3"/>
      <c r="M959" s="3"/>
      <c r="N959" s="3"/>
      <c r="O959" s="3"/>
      <c r="P959" s="3"/>
      <c r="Q959" s="48"/>
      <c r="R959" s="3"/>
      <c r="S959" s="3"/>
      <c r="T959" s="3"/>
      <c r="U959" s="28"/>
      <c r="V959" s="28"/>
      <c r="W959" s="77"/>
      <c r="X959" s="77"/>
      <c r="Y959" s="77"/>
      <c r="Z959" s="3"/>
      <c r="AA959" s="3"/>
      <c r="AB959" s="3"/>
    </row>
    <row r="960" spans="1:28" ht="14">
      <c r="A960" s="3"/>
      <c r="B960" s="3"/>
      <c r="C960" s="3"/>
      <c r="D960" s="3"/>
      <c r="E960" s="3"/>
      <c r="F960" s="3"/>
      <c r="G960" s="3"/>
      <c r="H960" s="3"/>
      <c r="I960" s="3"/>
      <c r="J960" s="3"/>
      <c r="K960" s="3"/>
      <c r="L960" s="3"/>
      <c r="M960" s="3"/>
      <c r="N960" s="3"/>
      <c r="O960" s="3"/>
      <c r="P960" s="3"/>
      <c r="Q960" s="48"/>
      <c r="R960" s="3"/>
      <c r="S960" s="3"/>
      <c r="T960" s="3"/>
      <c r="U960" s="28"/>
      <c r="V960" s="28"/>
      <c r="W960" s="77"/>
      <c r="X960" s="77"/>
      <c r="Y960" s="77"/>
      <c r="Z960" s="3"/>
      <c r="AA960" s="3"/>
      <c r="AB960" s="3"/>
    </row>
    <row r="961" spans="1:28" ht="14">
      <c r="A961" s="3"/>
      <c r="B961" s="3"/>
      <c r="C961" s="3"/>
      <c r="D961" s="3"/>
      <c r="E961" s="3"/>
      <c r="F961" s="3"/>
      <c r="G961" s="3"/>
      <c r="H961" s="3"/>
      <c r="I961" s="3"/>
      <c r="J961" s="3"/>
      <c r="K961" s="3"/>
      <c r="L961" s="3"/>
      <c r="M961" s="3"/>
      <c r="N961" s="3"/>
      <c r="O961" s="3"/>
      <c r="P961" s="3"/>
      <c r="Q961" s="48"/>
      <c r="R961" s="3"/>
      <c r="S961" s="3"/>
      <c r="T961" s="3"/>
      <c r="U961" s="28"/>
      <c r="V961" s="28"/>
      <c r="W961" s="77"/>
      <c r="X961" s="77"/>
      <c r="Y961" s="77"/>
      <c r="Z961" s="3"/>
      <c r="AA961" s="3"/>
      <c r="AB961" s="3"/>
    </row>
    <row r="962" spans="1:28" ht="14">
      <c r="A962" s="3"/>
      <c r="B962" s="3"/>
      <c r="C962" s="3"/>
      <c r="D962" s="3"/>
      <c r="E962" s="3"/>
      <c r="F962" s="3"/>
      <c r="G962" s="3"/>
      <c r="H962" s="3"/>
      <c r="I962" s="3"/>
      <c r="J962" s="3"/>
      <c r="K962" s="3"/>
      <c r="L962" s="3"/>
      <c r="M962" s="3"/>
      <c r="N962" s="3"/>
      <c r="O962" s="3"/>
      <c r="P962" s="3"/>
      <c r="Q962" s="48"/>
      <c r="R962" s="3"/>
      <c r="S962" s="3"/>
      <c r="T962" s="3"/>
      <c r="U962" s="28"/>
      <c r="V962" s="28"/>
      <c r="W962" s="77"/>
      <c r="X962" s="77"/>
      <c r="Y962" s="77"/>
      <c r="Z962" s="3"/>
      <c r="AA962" s="3"/>
      <c r="AB962" s="3"/>
    </row>
    <row r="963" spans="1:28" ht="14">
      <c r="A963" s="3"/>
      <c r="B963" s="3"/>
      <c r="C963" s="3"/>
      <c r="D963" s="3"/>
      <c r="E963" s="3"/>
      <c r="F963" s="3"/>
      <c r="G963" s="3"/>
      <c r="H963" s="3"/>
      <c r="I963" s="3"/>
      <c r="J963" s="3"/>
      <c r="K963" s="3"/>
      <c r="L963" s="3"/>
      <c r="M963" s="3"/>
      <c r="N963" s="3"/>
      <c r="O963" s="3"/>
      <c r="P963" s="3"/>
      <c r="Q963" s="48"/>
      <c r="R963" s="3"/>
      <c r="S963" s="3"/>
      <c r="T963" s="3"/>
      <c r="U963" s="28"/>
      <c r="V963" s="28"/>
      <c r="W963" s="77"/>
      <c r="X963" s="77"/>
      <c r="Y963" s="77"/>
      <c r="Z963" s="3"/>
      <c r="AA963" s="3"/>
      <c r="AB963" s="3"/>
    </row>
    <row r="964" spans="1:28" ht="14">
      <c r="A964" s="3"/>
      <c r="B964" s="3"/>
      <c r="C964" s="3"/>
      <c r="D964" s="3"/>
      <c r="E964" s="3"/>
      <c r="F964" s="3"/>
      <c r="G964" s="3"/>
      <c r="H964" s="3"/>
      <c r="I964" s="3"/>
      <c r="J964" s="3"/>
      <c r="K964" s="3"/>
      <c r="L964" s="3"/>
      <c r="M964" s="3"/>
      <c r="N964" s="3"/>
      <c r="O964" s="3"/>
      <c r="P964" s="3"/>
      <c r="Q964" s="48"/>
      <c r="R964" s="3"/>
      <c r="S964" s="3"/>
      <c r="T964" s="3"/>
      <c r="U964" s="28"/>
      <c r="V964" s="28"/>
      <c r="W964" s="77"/>
      <c r="X964" s="77"/>
      <c r="Y964" s="77"/>
      <c r="Z964" s="3"/>
      <c r="AA964" s="3"/>
      <c r="AB964" s="3"/>
    </row>
    <row r="965" spans="1:28" ht="14">
      <c r="A965" s="3"/>
      <c r="B965" s="3"/>
      <c r="C965" s="3"/>
      <c r="D965" s="3"/>
      <c r="E965" s="3"/>
      <c r="F965" s="3"/>
      <c r="G965" s="3"/>
      <c r="H965" s="3"/>
      <c r="I965" s="3"/>
      <c r="J965" s="3"/>
      <c r="K965" s="3"/>
      <c r="L965" s="3"/>
      <c r="M965" s="3"/>
      <c r="N965" s="3"/>
      <c r="O965" s="3"/>
      <c r="P965" s="3"/>
      <c r="Q965" s="48"/>
      <c r="R965" s="3"/>
      <c r="S965" s="3"/>
      <c r="T965" s="3"/>
      <c r="U965" s="28"/>
      <c r="V965" s="28"/>
      <c r="W965" s="77"/>
      <c r="X965" s="77"/>
      <c r="Y965" s="77"/>
      <c r="Z965" s="3"/>
      <c r="AA965" s="3"/>
      <c r="AB965" s="3"/>
    </row>
    <row r="966" spans="1:28" ht="14">
      <c r="A966" s="3"/>
      <c r="B966" s="3"/>
      <c r="C966" s="3"/>
      <c r="D966" s="3"/>
      <c r="E966" s="3"/>
      <c r="F966" s="3"/>
      <c r="G966" s="3"/>
      <c r="H966" s="3"/>
      <c r="I966" s="3"/>
      <c r="J966" s="3"/>
      <c r="K966" s="3"/>
      <c r="L966" s="3"/>
      <c r="M966" s="3"/>
      <c r="N966" s="3"/>
      <c r="O966" s="3"/>
      <c r="P966" s="3"/>
      <c r="Q966" s="48"/>
      <c r="R966" s="3"/>
      <c r="S966" s="3"/>
      <c r="T966" s="3"/>
      <c r="U966" s="28"/>
      <c r="V966" s="28"/>
      <c r="W966" s="77"/>
      <c r="X966" s="77"/>
      <c r="Y966" s="77"/>
      <c r="Z966" s="3"/>
      <c r="AA966" s="3"/>
      <c r="AB966" s="3"/>
    </row>
    <row r="967" spans="1:28" ht="14">
      <c r="A967" s="3"/>
      <c r="B967" s="3"/>
      <c r="C967" s="3"/>
      <c r="D967" s="3"/>
      <c r="E967" s="3"/>
      <c r="F967" s="3"/>
      <c r="G967" s="3"/>
      <c r="H967" s="3"/>
      <c r="I967" s="3"/>
      <c r="J967" s="3"/>
      <c r="K967" s="3"/>
      <c r="L967" s="3"/>
      <c r="M967" s="3"/>
      <c r="N967" s="3"/>
      <c r="O967" s="3"/>
      <c r="P967" s="3"/>
      <c r="Q967" s="48"/>
      <c r="R967" s="3"/>
      <c r="S967" s="3"/>
      <c r="T967" s="3"/>
      <c r="U967" s="28"/>
      <c r="V967" s="28"/>
      <c r="W967" s="77"/>
      <c r="X967" s="77"/>
      <c r="Y967" s="77"/>
      <c r="Z967" s="3"/>
      <c r="AA967" s="3"/>
      <c r="AB967" s="3"/>
    </row>
    <row r="968" spans="1:28" ht="14">
      <c r="A968" s="3"/>
      <c r="B968" s="3"/>
      <c r="C968" s="3"/>
      <c r="D968" s="3"/>
      <c r="E968" s="3"/>
      <c r="F968" s="3"/>
      <c r="G968" s="3"/>
      <c r="H968" s="3"/>
      <c r="I968" s="3"/>
      <c r="J968" s="3"/>
      <c r="K968" s="3"/>
      <c r="L968" s="3"/>
      <c r="M968" s="3"/>
      <c r="N968" s="3"/>
      <c r="O968" s="3"/>
      <c r="P968" s="3"/>
      <c r="Q968" s="48"/>
      <c r="R968" s="3"/>
      <c r="S968" s="3"/>
      <c r="T968" s="3"/>
      <c r="U968" s="28"/>
      <c r="V968" s="28"/>
      <c r="W968" s="77"/>
      <c r="X968" s="77"/>
      <c r="Y968" s="77"/>
      <c r="Z968" s="3"/>
      <c r="AA968" s="3"/>
      <c r="AB968" s="3"/>
    </row>
    <row r="969" spans="1:28" ht="14">
      <c r="A969" s="3"/>
      <c r="B969" s="3"/>
      <c r="C969" s="3"/>
      <c r="D969" s="3"/>
      <c r="E969" s="3"/>
      <c r="F969" s="3"/>
      <c r="G969" s="3"/>
      <c r="H969" s="3"/>
      <c r="I969" s="3"/>
      <c r="J969" s="3"/>
      <c r="K969" s="3"/>
      <c r="L969" s="3"/>
      <c r="M969" s="3"/>
      <c r="N969" s="3"/>
      <c r="O969" s="3"/>
      <c r="P969" s="3"/>
      <c r="Q969" s="48"/>
      <c r="R969" s="3"/>
      <c r="S969" s="3"/>
      <c r="T969" s="3"/>
      <c r="U969" s="28"/>
      <c r="V969" s="28"/>
      <c r="W969" s="77"/>
      <c r="X969" s="77"/>
      <c r="Y969" s="77"/>
      <c r="Z969" s="3"/>
      <c r="AA969" s="3"/>
      <c r="AB969" s="3"/>
    </row>
    <row r="970" spans="1:28" ht="14">
      <c r="A970" s="3"/>
      <c r="B970" s="3"/>
      <c r="C970" s="3"/>
      <c r="D970" s="3"/>
      <c r="E970" s="3"/>
      <c r="F970" s="3"/>
      <c r="G970" s="3"/>
      <c r="H970" s="3"/>
      <c r="I970" s="3"/>
      <c r="J970" s="3"/>
      <c r="K970" s="3"/>
      <c r="L970" s="3"/>
      <c r="M970" s="3"/>
      <c r="N970" s="3"/>
      <c r="O970" s="3"/>
      <c r="P970" s="3"/>
      <c r="Q970" s="48"/>
      <c r="R970" s="3"/>
      <c r="S970" s="3"/>
      <c r="T970" s="3"/>
      <c r="U970" s="28"/>
      <c r="V970" s="28"/>
      <c r="W970" s="77"/>
      <c r="X970" s="77"/>
      <c r="Y970" s="77"/>
      <c r="Z970" s="3"/>
      <c r="AA970" s="3"/>
      <c r="AB970" s="3"/>
    </row>
    <row r="971" spans="1:28" ht="14">
      <c r="A971" s="3"/>
      <c r="B971" s="3"/>
      <c r="C971" s="3"/>
      <c r="D971" s="3"/>
      <c r="E971" s="3"/>
      <c r="F971" s="3"/>
      <c r="G971" s="3"/>
      <c r="H971" s="3"/>
      <c r="I971" s="3"/>
      <c r="J971" s="3"/>
      <c r="K971" s="3"/>
      <c r="L971" s="3"/>
      <c r="M971" s="3"/>
      <c r="N971" s="3"/>
      <c r="O971" s="3"/>
      <c r="P971" s="3"/>
      <c r="Q971" s="48"/>
      <c r="R971" s="3"/>
      <c r="S971" s="3"/>
      <c r="T971" s="3"/>
      <c r="U971" s="28"/>
      <c r="V971" s="28"/>
      <c r="W971" s="77"/>
      <c r="X971" s="77"/>
      <c r="Y971" s="77"/>
      <c r="Z971" s="3"/>
      <c r="AA971" s="3"/>
      <c r="AB971" s="3"/>
    </row>
    <row r="972" spans="1:28" ht="14">
      <c r="A972" s="3"/>
      <c r="B972" s="3"/>
      <c r="C972" s="3"/>
      <c r="D972" s="3"/>
      <c r="E972" s="3"/>
      <c r="F972" s="3"/>
      <c r="G972" s="3"/>
      <c r="H972" s="3"/>
      <c r="I972" s="3"/>
      <c r="J972" s="3"/>
      <c r="K972" s="3"/>
      <c r="L972" s="3"/>
      <c r="M972" s="3"/>
      <c r="N972" s="3"/>
      <c r="O972" s="3"/>
      <c r="P972" s="3"/>
      <c r="Q972" s="48"/>
      <c r="R972" s="3"/>
      <c r="S972" s="3"/>
      <c r="T972" s="3"/>
      <c r="U972" s="28"/>
      <c r="V972" s="28"/>
      <c r="W972" s="77"/>
      <c r="X972" s="77"/>
      <c r="Y972" s="77"/>
      <c r="Z972" s="3"/>
      <c r="AA972" s="3"/>
      <c r="AB972" s="3"/>
    </row>
    <row r="973" spans="1:28" ht="14">
      <c r="A973" s="3"/>
      <c r="B973" s="3"/>
      <c r="C973" s="3"/>
      <c r="D973" s="3"/>
      <c r="E973" s="3"/>
      <c r="F973" s="3"/>
      <c r="G973" s="3"/>
      <c r="H973" s="3"/>
      <c r="I973" s="3"/>
      <c r="J973" s="3"/>
      <c r="K973" s="3"/>
      <c r="L973" s="3"/>
      <c r="M973" s="3"/>
      <c r="N973" s="3"/>
      <c r="O973" s="3"/>
      <c r="P973" s="3"/>
      <c r="Q973" s="48"/>
      <c r="R973" s="3"/>
      <c r="S973" s="3"/>
      <c r="T973" s="3"/>
      <c r="U973" s="28"/>
      <c r="V973" s="28"/>
      <c r="W973" s="77"/>
      <c r="X973" s="77"/>
      <c r="Y973" s="77"/>
      <c r="Z973" s="3"/>
      <c r="AA973" s="3"/>
      <c r="AB973" s="3"/>
    </row>
    <row r="974" spans="1:28" ht="14">
      <c r="A974" s="3"/>
      <c r="B974" s="3"/>
      <c r="C974" s="3"/>
      <c r="D974" s="3"/>
      <c r="E974" s="3"/>
      <c r="F974" s="3"/>
      <c r="G974" s="3"/>
      <c r="H974" s="3"/>
      <c r="I974" s="3"/>
      <c r="J974" s="3"/>
      <c r="K974" s="3"/>
      <c r="L974" s="3"/>
      <c r="M974" s="3"/>
      <c r="N974" s="3"/>
      <c r="O974" s="3"/>
      <c r="P974" s="3"/>
      <c r="Q974" s="48"/>
      <c r="R974" s="3"/>
      <c r="S974" s="3"/>
      <c r="T974" s="3"/>
      <c r="U974" s="28"/>
      <c r="V974" s="28"/>
      <c r="W974" s="77"/>
      <c r="X974" s="77"/>
      <c r="Y974" s="77"/>
      <c r="Z974" s="3"/>
      <c r="AA974" s="3"/>
      <c r="AB974" s="3"/>
    </row>
    <row r="975" spans="1:28" ht="14">
      <c r="A975" s="3"/>
      <c r="B975" s="3"/>
      <c r="C975" s="3"/>
      <c r="D975" s="3"/>
      <c r="E975" s="3"/>
      <c r="F975" s="3"/>
      <c r="G975" s="3"/>
      <c r="H975" s="3"/>
      <c r="I975" s="3"/>
      <c r="J975" s="3"/>
      <c r="K975" s="3"/>
      <c r="L975" s="3"/>
      <c r="M975" s="3"/>
      <c r="N975" s="3"/>
      <c r="O975" s="3"/>
      <c r="P975" s="3"/>
      <c r="Q975" s="48"/>
      <c r="R975" s="3"/>
      <c r="S975" s="3"/>
      <c r="T975" s="3"/>
      <c r="U975" s="28"/>
      <c r="V975" s="28"/>
      <c r="W975" s="77"/>
      <c r="X975" s="77"/>
      <c r="Y975" s="77"/>
      <c r="Z975" s="3"/>
      <c r="AA975" s="3"/>
      <c r="AB975" s="3"/>
    </row>
    <row r="976" spans="1:28" ht="14">
      <c r="A976" s="3"/>
      <c r="B976" s="3"/>
      <c r="C976" s="3"/>
      <c r="D976" s="3"/>
      <c r="E976" s="3"/>
      <c r="F976" s="3"/>
      <c r="G976" s="3"/>
      <c r="H976" s="3"/>
      <c r="I976" s="3"/>
      <c r="J976" s="3"/>
      <c r="K976" s="3"/>
      <c r="L976" s="3"/>
      <c r="M976" s="3"/>
      <c r="N976" s="3"/>
      <c r="O976" s="3"/>
      <c r="P976" s="3"/>
      <c r="Q976" s="48"/>
      <c r="R976" s="3"/>
      <c r="S976" s="3"/>
      <c r="T976" s="3"/>
      <c r="U976" s="28"/>
      <c r="V976" s="28"/>
      <c r="W976" s="77"/>
      <c r="X976" s="77"/>
      <c r="Y976" s="77"/>
      <c r="Z976" s="3"/>
      <c r="AA976" s="3"/>
      <c r="AB976" s="3"/>
    </row>
    <row r="977" spans="1:28" ht="14">
      <c r="A977" s="3"/>
      <c r="B977" s="3"/>
      <c r="C977" s="3"/>
      <c r="D977" s="3"/>
      <c r="E977" s="3"/>
      <c r="F977" s="3"/>
      <c r="G977" s="3"/>
      <c r="H977" s="3"/>
      <c r="I977" s="3"/>
      <c r="J977" s="3"/>
      <c r="K977" s="3"/>
      <c r="L977" s="3"/>
      <c r="M977" s="3"/>
      <c r="N977" s="3"/>
      <c r="O977" s="3"/>
      <c r="P977" s="3"/>
      <c r="Q977" s="48"/>
      <c r="R977" s="3"/>
      <c r="S977" s="3"/>
      <c r="T977" s="3"/>
      <c r="U977" s="28"/>
      <c r="V977" s="28"/>
      <c r="W977" s="77"/>
      <c r="X977" s="77"/>
      <c r="Y977" s="77"/>
      <c r="Z977" s="3"/>
      <c r="AA977" s="3"/>
      <c r="AB977" s="3"/>
    </row>
    <row r="978" spans="1:28" ht="14">
      <c r="A978" s="3"/>
      <c r="B978" s="3"/>
      <c r="C978" s="3"/>
      <c r="D978" s="3"/>
      <c r="E978" s="3"/>
      <c r="F978" s="3"/>
      <c r="G978" s="3"/>
      <c r="H978" s="3"/>
      <c r="I978" s="3"/>
      <c r="J978" s="3"/>
      <c r="K978" s="3"/>
      <c r="L978" s="3"/>
      <c r="M978" s="3"/>
      <c r="N978" s="3"/>
      <c r="O978" s="3"/>
      <c r="P978" s="3"/>
      <c r="Q978" s="48"/>
      <c r="R978" s="3"/>
      <c r="S978" s="3"/>
      <c r="T978" s="3"/>
      <c r="U978" s="28"/>
      <c r="V978" s="28"/>
      <c r="W978" s="77"/>
      <c r="X978" s="77"/>
      <c r="Y978" s="77"/>
      <c r="Z978" s="3"/>
      <c r="AA978" s="3"/>
      <c r="AB978" s="3"/>
    </row>
    <row r="979" spans="1:28" ht="14">
      <c r="A979" s="3"/>
      <c r="B979" s="3"/>
      <c r="C979" s="3"/>
      <c r="D979" s="3"/>
      <c r="E979" s="3"/>
      <c r="F979" s="3"/>
      <c r="G979" s="3"/>
      <c r="H979" s="3"/>
      <c r="I979" s="3"/>
      <c r="J979" s="3"/>
      <c r="K979" s="3"/>
      <c r="L979" s="3"/>
      <c r="M979" s="3"/>
      <c r="N979" s="3"/>
      <c r="O979" s="3"/>
      <c r="P979" s="3"/>
      <c r="Q979" s="48"/>
      <c r="R979" s="3"/>
      <c r="S979" s="3"/>
      <c r="T979" s="3"/>
      <c r="U979" s="28"/>
      <c r="V979" s="28"/>
      <c r="W979" s="77"/>
      <c r="X979" s="77"/>
      <c r="Y979" s="77"/>
      <c r="Z979" s="3"/>
      <c r="AA979" s="3"/>
      <c r="AB979" s="3"/>
    </row>
    <row r="980" spans="1:28" ht="14">
      <c r="A980" s="3"/>
      <c r="B980" s="3"/>
      <c r="C980" s="3"/>
      <c r="D980" s="3"/>
      <c r="E980" s="3"/>
      <c r="F980" s="3"/>
      <c r="G980" s="3"/>
      <c r="H980" s="3"/>
      <c r="I980" s="3"/>
      <c r="J980" s="3"/>
      <c r="K980" s="3"/>
      <c r="L980" s="3"/>
      <c r="M980" s="3"/>
      <c r="N980" s="3"/>
      <c r="O980" s="3"/>
      <c r="P980" s="3"/>
      <c r="Q980" s="48"/>
      <c r="R980" s="3"/>
      <c r="S980" s="3"/>
      <c r="T980" s="3"/>
      <c r="U980" s="28"/>
      <c r="V980" s="28"/>
      <c r="W980" s="77"/>
      <c r="X980" s="77"/>
      <c r="Y980" s="77"/>
      <c r="Z980" s="3"/>
      <c r="AA980" s="3"/>
      <c r="AB980" s="3"/>
    </row>
    <row r="981" spans="1:28" ht="14">
      <c r="A981" s="3"/>
      <c r="B981" s="3"/>
      <c r="C981" s="3"/>
      <c r="D981" s="3"/>
      <c r="E981" s="3"/>
      <c r="F981" s="3"/>
      <c r="G981" s="3"/>
      <c r="H981" s="3"/>
      <c r="I981" s="3"/>
      <c r="J981" s="3"/>
      <c r="K981" s="3"/>
      <c r="L981" s="3"/>
      <c r="M981" s="3"/>
      <c r="N981" s="3"/>
      <c r="O981" s="3"/>
      <c r="P981" s="3"/>
      <c r="Q981" s="48"/>
      <c r="R981" s="3"/>
      <c r="S981" s="3"/>
      <c r="T981" s="3"/>
      <c r="U981" s="28"/>
      <c r="V981" s="28"/>
      <c r="W981" s="77"/>
      <c r="X981" s="77"/>
      <c r="Y981" s="77"/>
      <c r="Z981" s="3"/>
      <c r="AA981" s="3"/>
      <c r="AB981" s="3"/>
    </row>
    <row r="982" spans="1:28" ht="14">
      <c r="A982" s="3"/>
      <c r="B982" s="3"/>
      <c r="C982" s="3"/>
      <c r="D982" s="3"/>
      <c r="E982" s="3"/>
      <c r="F982" s="3"/>
      <c r="G982" s="3"/>
      <c r="H982" s="3"/>
      <c r="I982" s="3"/>
      <c r="J982" s="3"/>
      <c r="K982" s="3"/>
      <c r="L982" s="3"/>
      <c r="M982" s="3"/>
      <c r="N982" s="3"/>
      <c r="O982" s="3"/>
      <c r="P982" s="3"/>
      <c r="Q982" s="48"/>
      <c r="R982" s="3"/>
      <c r="S982" s="3"/>
      <c r="T982" s="3"/>
      <c r="U982" s="28"/>
      <c r="V982" s="28"/>
      <c r="W982" s="77"/>
      <c r="X982" s="77"/>
      <c r="Y982" s="77"/>
      <c r="Z982" s="3"/>
      <c r="AA982" s="3"/>
      <c r="AB982" s="3"/>
    </row>
    <row r="983" spans="1:28" ht="14">
      <c r="A983" s="3"/>
      <c r="B983" s="3"/>
      <c r="C983" s="3"/>
      <c r="D983" s="3"/>
      <c r="E983" s="3"/>
      <c r="F983" s="3"/>
      <c r="G983" s="3"/>
      <c r="H983" s="3"/>
      <c r="I983" s="3"/>
      <c r="J983" s="3"/>
      <c r="K983" s="3"/>
      <c r="L983" s="3"/>
      <c r="M983" s="3"/>
      <c r="N983" s="3"/>
      <c r="O983" s="3"/>
      <c r="P983" s="3"/>
      <c r="Q983" s="48"/>
      <c r="R983" s="3"/>
      <c r="S983" s="3"/>
      <c r="T983" s="3"/>
      <c r="U983" s="28"/>
      <c r="V983" s="28"/>
      <c r="W983" s="77"/>
      <c r="X983" s="77"/>
      <c r="Y983" s="77"/>
      <c r="Z983" s="3"/>
      <c r="AA983" s="3"/>
      <c r="AB983" s="3"/>
    </row>
    <row r="984" spans="1:28" ht="14">
      <c r="A984" s="3"/>
      <c r="B984" s="3"/>
      <c r="C984" s="3"/>
      <c r="D984" s="3"/>
      <c r="E984" s="3"/>
      <c r="F984" s="3"/>
      <c r="G984" s="3"/>
      <c r="H984" s="3"/>
      <c r="I984" s="3"/>
      <c r="J984" s="3"/>
      <c r="K984" s="3"/>
      <c r="L984" s="3"/>
      <c r="M984" s="3"/>
      <c r="N984" s="3"/>
      <c r="O984" s="3"/>
      <c r="P984" s="3"/>
      <c r="Q984" s="48"/>
      <c r="R984" s="3"/>
      <c r="S984" s="3"/>
      <c r="T984" s="3"/>
      <c r="U984" s="28"/>
      <c r="V984" s="28"/>
      <c r="W984" s="77"/>
      <c r="X984" s="77"/>
      <c r="Y984" s="77"/>
      <c r="Z984" s="3"/>
      <c r="AA984" s="3"/>
      <c r="AB984" s="3"/>
    </row>
    <row r="985" spans="1:28" ht="14">
      <c r="A985" s="3"/>
      <c r="B985" s="3"/>
      <c r="C985" s="3"/>
      <c r="D985" s="3"/>
      <c r="E985" s="3"/>
      <c r="F985" s="3"/>
      <c r="G985" s="3"/>
      <c r="H985" s="3"/>
      <c r="I985" s="3"/>
      <c r="J985" s="3"/>
      <c r="K985" s="3"/>
      <c r="L985" s="3"/>
      <c r="M985" s="3"/>
      <c r="N985" s="3"/>
      <c r="O985" s="3"/>
      <c r="P985" s="3"/>
      <c r="Q985" s="48"/>
      <c r="R985" s="3"/>
      <c r="S985" s="3"/>
      <c r="T985" s="3"/>
      <c r="U985" s="28"/>
      <c r="V985" s="28"/>
      <c r="W985" s="77"/>
      <c r="X985" s="77"/>
      <c r="Y985" s="77"/>
      <c r="Z985" s="3"/>
      <c r="AA985" s="3"/>
      <c r="AB985" s="3"/>
    </row>
    <row r="986" spans="1:28" ht="14">
      <c r="A986" s="3"/>
      <c r="B986" s="3"/>
      <c r="C986" s="3"/>
      <c r="D986" s="3"/>
      <c r="E986" s="3"/>
      <c r="F986" s="3"/>
      <c r="G986" s="3"/>
      <c r="H986" s="3"/>
      <c r="I986" s="3"/>
      <c r="J986" s="3"/>
      <c r="K986" s="3"/>
      <c r="L986" s="3"/>
      <c r="M986" s="3"/>
      <c r="N986" s="3"/>
      <c r="O986" s="3"/>
      <c r="P986" s="3"/>
      <c r="Q986" s="48"/>
      <c r="R986" s="3"/>
      <c r="S986" s="3"/>
      <c r="T986" s="3"/>
      <c r="U986" s="28"/>
      <c r="V986" s="28"/>
      <c r="W986" s="77"/>
      <c r="X986" s="77"/>
      <c r="Y986" s="77"/>
      <c r="Z986" s="3"/>
      <c r="AA986" s="3"/>
      <c r="AB986" s="3"/>
    </row>
    <row r="987" spans="1:28" ht="14">
      <c r="A987" s="3"/>
      <c r="B987" s="3"/>
      <c r="C987" s="3"/>
      <c r="D987" s="3"/>
      <c r="E987" s="3"/>
      <c r="F987" s="3"/>
      <c r="G987" s="3"/>
      <c r="H987" s="3"/>
      <c r="I987" s="3"/>
      <c r="J987" s="3"/>
      <c r="K987" s="3"/>
      <c r="L987" s="3"/>
      <c r="M987" s="3"/>
      <c r="N987" s="3"/>
      <c r="O987" s="3"/>
      <c r="P987" s="3"/>
      <c r="Q987" s="48"/>
      <c r="R987" s="3"/>
      <c r="S987" s="3"/>
      <c r="T987" s="3"/>
      <c r="U987" s="28"/>
      <c r="V987" s="28"/>
      <c r="W987" s="77"/>
      <c r="X987" s="77"/>
      <c r="Y987" s="77"/>
      <c r="Z987" s="3"/>
      <c r="AA987" s="3"/>
      <c r="AB987" s="3"/>
    </row>
    <row r="988" spans="1:28" ht="14">
      <c r="A988" s="3"/>
      <c r="B988" s="3"/>
      <c r="C988" s="3"/>
      <c r="D988" s="3"/>
      <c r="E988" s="3"/>
      <c r="F988" s="3"/>
      <c r="G988" s="3"/>
      <c r="H988" s="3"/>
      <c r="I988" s="3"/>
      <c r="J988" s="3"/>
      <c r="K988" s="3"/>
      <c r="L988" s="3"/>
      <c r="M988" s="3"/>
      <c r="N988" s="3"/>
      <c r="O988" s="3"/>
      <c r="P988" s="3"/>
      <c r="Q988" s="48"/>
      <c r="R988" s="3"/>
      <c r="S988" s="3"/>
      <c r="T988" s="3"/>
      <c r="U988" s="28"/>
      <c r="V988" s="28"/>
      <c r="W988" s="77"/>
      <c r="X988" s="77"/>
      <c r="Y988" s="77"/>
      <c r="Z988" s="3"/>
      <c r="AA988" s="3"/>
      <c r="AB988" s="3"/>
    </row>
    <row r="989" spans="1:28" ht="14">
      <c r="A989" s="3"/>
      <c r="B989" s="3"/>
      <c r="C989" s="3"/>
      <c r="D989" s="3"/>
      <c r="E989" s="3"/>
      <c r="F989" s="3"/>
      <c r="G989" s="3"/>
      <c r="H989" s="3"/>
      <c r="I989" s="3"/>
      <c r="J989" s="3"/>
      <c r="K989" s="3"/>
      <c r="L989" s="3"/>
      <c r="M989" s="3"/>
      <c r="N989" s="3"/>
      <c r="O989" s="3"/>
      <c r="P989" s="3"/>
      <c r="Q989" s="48"/>
      <c r="R989" s="3"/>
      <c r="S989" s="3"/>
      <c r="T989" s="3"/>
      <c r="U989" s="28"/>
      <c r="V989" s="28"/>
      <c r="W989" s="77"/>
      <c r="X989" s="77"/>
      <c r="Y989" s="77"/>
      <c r="Z989" s="3"/>
      <c r="AA989" s="3"/>
      <c r="AB989" s="3"/>
    </row>
    <row r="990" spans="1:28" ht="14">
      <c r="A990" s="3"/>
      <c r="B990" s="3"/>
      <c r="C990" s="3"/>
      <c r="D990" s="3"/>
      <c r="E990" s="3"/>
      <c r="F990" s="3"/>
      <c r="G990" s="3"/>
      <c r="H990" s="3"/>
      <c r="I990" s="3"/>
      <c r="J990" s="3"/>
      <c r="K990" s="3"/>
      <c r="L990" s="3"/>
      <c r="M990" s="3"/>
      <c r="N990" s="3"/>
      <c r="O990" s="3"/>
      <c r="P990" s="3"/>
      <c r="Q990" s="48"/>
      <c r="R990" s="3"/>
      <c r="S990" s="3"/>
      <c r="T990" s="3"/>
      <c r="U990" s="28"/>
      <c r="V990" s="28"/>
      <c r="W990" s="77"/>
      <c r="X990" s="77"/>
      <c r="Y990" s="77"/>
      <c r="Z990" s="3"/>
      <c r="AA990" s="3"/>
      <c r="AB990" s="3"/>
    </row>
    <row r="991" spans="1:28" ht="14">
      <c r="A991" s="3"/>
      <c r="B991" s="3"/>
      <c r="C991" s="3"/>
      <c r="D991" s="3"/>
      <c r="E991" s="3"/>
      <c r="F991" s="3"/>
      <c r="G991" s="3"/>
      <c r="H991" s="3"/>
      <c r="I991" s="3"/>
      <c r="J991" s="3"/>
      <c r="K991" s="3"/>
      <c r="L991" s="3"/>
      <c r="M991" s="3"/>
      <c r="N991" s="3"/>
      <c r="O991" s="3"/>
      <c r="P991" s="3"/>
      <c r="Q991" s="48"/>
      <c r="R991" s="3"/>
      <c r="S991" s="3"/>
      <c r="T991" s="3"/>
      <c r="U991" s="28"/>
      <c r="V991" s="28"/>
      <c r="W991" s="77"/>
      <c r="X991" s="77"/>
      <c r="Y991" s="77"/>
      <c r="Z991" s="3"/>
      <c r="AA991" s="3"/>
      <c r="AB991" s="3"/>
    </row>
    <row r="992" spans="1:28" ht="14">
      <c r="A992" s="3"/>
      <c r="B992" s="3"/>
      <c r="C992" s="3"/>
      <c r="D992" s="3"/>
      <c r="E992" s="3"/>
      <c r="F992" s="3"/>
      <c r="G992" s="3"/>
      <c r="H992" s="3"/>
      <c r="I992" s="3"/>
      <c r="J992" s="3"/>
      <c r="K992" s="3"/>
      <c r="L992" s="3"/>
      <c r="M992" s="3"/>
      <c r="N992" s="3"/>
      <c r="O992" s="3"/>
      <c r="P992" s="3"/>
      <c r="Q992" s="48"/>
      <c r="R992" s="3"/>
      <c r="S992" s="3"/>
      <c r="T992" s="3"/>
      <c r="U992" s="28"/>
      <c r="V992" s="28"/>
      <c r="W992" s="77"/>
      <c r="X992" s="77"/>
      <c r="Y992" s="77"/>
      <c r="Z992" s="3"/>
      <c r="AA992" s="3"/>
      <c r="AB992" s="3"/>
    </row>
    <row r="993" spans="1:28" ht="14">
      <c r="A993" s="3"/>
      <c r="B993" s="3"/>
      <c r="C993" s="3"/>
      <c r="D993" s="3"/>
      <c r="E993" s="3"/>
      <c r="F993" s="3"/>
      <c r="G993" s="3"/>
      <c r="H993" s="3"/>
      <c r="I993" s="3"/>
      <c r="J993" s="3"/>
      <c r="K993" s="3"/>
      <c r="L993" s="3"/>
      <c r="M993" s="3"/>
      <c r="N993" s="3"/>
      <c r="O993" s="3"/>
      <c r="P993" s="3"/>
      <c r="Q993" s="48"/>
      <c r="R993" s="3"/>
      <c r="S993" s="3"/>
      <c r="T993" s="3"/>
      <c r="U993" s="28"/>
      <c r="V993" s="28"/>
      <c r="W993" s="77"/>
      <c r="X993" s="77"/>
      <c r="Y993" s="77"/>
      <c r="Z993" s="3"/>
      <c r="AA993" s="3"/>
      <c r="AB993" s="3"/>
    </row>
    <row r="994" spans="1:28" ht="14">
      <c r="A994" s="3"/>
      <c r="B994" s="3"/>
      <c r="C994" s="3"/>
      <c r="D994" s="3"/>
      <c r="E994" s="3"/>
      <c r="F994" s="3"/>
      <c r="G994" s="3"/>
      <c r="H994" s="3"/>
      <c r="I994" s="3"/>
      <c r="J994" s="3"/>
      <c r="K994" s="3"/>
      <c r="L994" s="3"/>
      <c r="M994" s="3"/>
      <c r="N994" s="3"/>
      <c r="O994" s="3"/>
      <c r="P994" s="3"/>
      <c r="Q994" s="48"/>
      <c r="R994" s="3"/>
      <c r="S994" s="3"/>
      <c r="T994" s="3"/>
      <c r="U994" s="28"/>
      <c r="V994" s="28"/>
      <c r="W994" s="77"/>
      <c r="X994" s="77"/>
      <c r="Y994" s="77"/>
      <c r="Z994" s="3"/>
      <c r="AA994" s="3"/>
      <c r="AB994" s="3"/>
    </row>
    <row r="995" spans="1:28" ht="14">
      <c r="A995" s="3"/>
      <c r="B995" s="3"/>
      <c r="C995" s="3"/>
      <c r="D995" s="3"/>
      <c r="E995" s="3"/>
      <c r="F995" s="3"/>
      <c r="G995" s="3"/>
      <c r="H995" s="3"/>
      <c r="I995" s="3"/>
      <c r="J995" s="3"/>
      <c r="K995" s="3"/>
      <c r="L995" s="3"/>
      <c r="M995" s="3"/>
      <c r="N995" s="3"/>
      <c r="O995" s="3"/>
      <c r="P995" s="3"/>
      <c r="Q995" s="48"/>
      <c r="R995" s="3"/>
      <c r="S995" s="3"/>
      <c r="T995" s="3"/>
      <c r="U995" s="28"/>
      <c r="V995" s="28"/>
      <c r="W995" s="77"/>
      <c r="X995" s="77"/>
      <c r="Y995" s="77"/>
      <c r="Z995" s="3"/>
      <c r="AA995" s="3"/>
      <c r="AB995" s="3"/>
    </row>
    <row r="996" spans="1:28" ht="14">
      <c r="A996" s="3"/>
      <c r="B996" s="3"/>
      <c r="C996" s="3"/>
      <c r="D996" s="3"/>
      <c r="E996" s="3"/>
      <c r="F996" s="3"/>
      <c r="G996" s="3"/>
      <c r="H996" s="3"/>
      <c r="I996" s="3"/>
      <c r="J996" s="3"/>
      <c r="K996" s="3"/>
      <c r="L996" s="3"/>
      <c r="M996" s="3"/>
      <c r="N996" s="3"/>
      <c r="O996" s="3"/>
      <c r="P996" s="3"/>
      <c r="Q996" s="48"/>
      <c r="R996" s="3"/>
      <c r="S996" s="3"/>
      <c r="T996" s="3"/>
      <c r="U996" s="28"/>
      <c r="V996" s="28"/>
      <c r="W996" s="77"/>
      <c r="X996" s="77"/>
      <c r="Y996" s="77"/>
      <c r="Z996" s="3"/>
      <c r="AA996" s="3"/>
      <c r="AB996" s="3"/>
    </row>
    <row r="997" spans="1:28" ht="14">
      <c r="A997" s="3"/>
      <c r="B997" s="3"/>
      <c r="C997" s="3"/>
      <c r="D997" s="3"/>
      <c r="E997" s="3"/>
      <c r="F997" s="3"/>
      <c r="G997" s="3"/>
      <c r="H997" s="3"/>
      <c r="I997" s="3"/>
      <c r="J997" s="3"/>
      <c r="K997" s="3"/>
      <c r="L997" s="3"/>
      <c r="M997" s="3"/>
      <c r="N997" s="3"/>
      <c r="O997" s="3"/>
      <c r="P997" s="3"/>
      <c r="Q997" s="48"/>
      <c r="R997" s="3"/>
      <c r="S997" s="3"/>
      <c r="T997" s="3"/>
      <c r="U997" s="28"/>
      <c r="V997" s="28"/>
      <c r="W997" s="77"/>
      <c r="X997" s="77"/>
      <c r="Y997" s="77"/>
      <c r="Z997" s="3"/>
      <c r="AA997" s="3"/>
      <c r="AB997" s="3"/>
    </row>
    <row r="998" spans="1:28" ht="14">
      <c r="A998" s="3"/>
      <c r="B998" s="3"/>
      <c r="C998" s="3"/>
      <c r="D998" s="3"/>
      <c r="E998" s="3"/>
      <c r="F998" s="3"/>
      <c r="G998" s="3"/>
      <c r="H998" s="3"/>
      <c r="I998" s="3"/>
      <c r="J998" s="3"/>
      <c r="K998" s="3"/>
      <c r="L998" s="3"/>
      <c r="M998" s="3"/>
      <c r="N998" s="3"/>
      <c r="O998" s="3"/>
      <c r="P998" s="3"/>
      <c r="Q998" s="48"/>
      <c r="R998" s="3"/>
      <c r="S998" s="3"/>
      <c r="T998" s="3"/>
      <c r="U998" s="28"/>
      <c r="V998" s="28"/>
      <c r="W998" s="77"/>
      <c r="X998" s="77"/>
      <c r="Y998" s="77"/>
      <c r="Z998" s="3"/>
      <c r="AA998" s="3"/>
      <c r="AB998" s="3"/>
    </row>
    <row r="999" spans="1:28" ht="14">
      <c r="A999" s="3"/>
      <c r="B999" s="3"/>
      <c r="C999" s="3"/>
      <c r="D999" s="3"/>
      <c r="E999" s="3"/>
      <c r="F999" s="3"/>
      <c r="G999" s="3"/>
      <c r="H999" s="3"/>
      <c r="I999" s="3"/>
      <c r="J999" s="3"/>
      <c r="K999" s="3"/>
      <c r="L999" s="3"/>
      <c r="M999" s="3"/>
      <c r="N999" s="3"/>
      <c r="O999" s="3"/>
      <c r="P999" s="3"/>
      <c r="Q999" s="48"/>
      <c r="R999" s="3"/>
      <c r="S999" s="3"/>
      <c r="T999" s="3"/>
      <c r="U999" s="28"/>
      <c r="V999" s="28"/>
      <c r="W999" s="77"/>
      <c r="X999" s="77"/>
      <c r="Y999" s="77"/>
      <c r="Z999" s="3"/>
      <c r="AA999" s="3"/>
      <c r="AB999" s="3"/>
    </row>
    <row r="1000" spans="1:28" ht="14">
      <c r="A1000" s="3"/>
      <c r="B1000" s="3"/>
      <c r="C1000" s="3"/>
      <c r="D1000" s="3"/>
      <c r="E1000" s="3"/>
      <c r="F1000" s="3"/>
      <c r="G1000" s="3"/>
      <c r="H1000" s="3"/>
      <c r="I1000" s="3"/>
      <c r="J1000" s="3"/>
      <c r="K1000" s="3"/>
      <c r="L1000" s="3"/>
      <c r="M1000" s="3"/>
      <c r="N1000" s="3"/>
      <c r="O1000" s="3"/>
      <c r="P1000" s="3"/>
      <c r="Q1000" s="48"/>
      <c r="R1000" s="3"/>
      <c r="S1000" s="3"/>
      <c r="T1000" s="3"/>
      <c r="U1000" s="28"/>
      <c r="V1000" s="28"/>
      <c r="W1000" s="77"/>
      <c r="X1000" s="77"/>
      <c r="Y1000" s="77"/>
      <c r="Z1000" s="3"/>
      <c r="AA1000" s="3"/>
      <c r="AB1000" s="3"/>
    </row>
    <row r="1001" spans="1:28" ht="14">
      <c r="A1001" s="3"/>
      <c r="B1001" s="3"/>
      <c r="C1001" s="3"/>
      <c r="D1001" s="3"/>
      <c r="E1001" s="3"/>
      <c r="F1001" s="3"/>
      <c r="G1001" s="3"/>
      <c r="H1001" s="3"/>
      <c r="I1001" s="3"/>
      <c r="J1001" s="3"/>
      <c r="K1001" s="3"/>
      <c r="L1001" s="3"/>
      <c r="M1001" s="3"/>
      <c r="N1001" s="3"/>
      <c r="O1001" s="3"/>
      <c r="P1001" s="3"/>
      <c r="Q1001" s="48"/>
      <c r="R1001" s="3"/>
      <c r="S1001" s="3"/>
      <c r="T1001" s="3"/>
      <c r="U1001" s="28"/>
      <c r="V1001" s="28"/>
      <c r="W1001" s="77"/>
      <c r="X1001" s="77"/>
      <c r="Y1001" s="77"/>
      <c r="Z1001" s="3"/>
      <c r="AA1001" s="3"/>
      <c r="AB1001" s="3"/>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945"/>
  <sheetViews>
    <sheetView workbookViewId="0">
      <pane ySplit="1" topLeftCell="A687" activePane="bottomLeft" state="frozen"/>
      <selection pane="bottomLeft" activeCell="E697" sqref="E697"/>
    </sheetView>
  </sheetViews>
  <sheetFormatPr baseColWidth="10" defaultColWidth="14.5" defaultRowHeight="15" customHeight="1" x14ac:dyDescent="0"/>
  <cols>
    <col min="1" max="1" width="9.6640625" customWidth="1"/>
    <col min="2" max="2" width="9.6640625" style="38" customWidth="1"/>
    <col min="3" max="3" width="9.6640625" style="162" customWidth="1"/>
    <col min="4" max="12" width="9.1640625" customWidth="1"/>
    <col min="13" max="13" width="12" bestFit="1" customWidth="1"/>
    <col min="14" max="14" width="9.5" customWidth="1"/>
    <col min="15" max="15" width="18.5" customWidth="1"/>
    <col min="16" max="16" width="12.6640625" customWidth="1"/>
    <col min="17" max="17" width="15.5" style="38" customWidth="1"/>
    <col min="18" max="18" width="16" style="24" customWidth="1"/>
    <col min="19" max="19" width="21.33203125" style="38" customWidth="1"/>
    <col min="20" max="20" width="19.1640625" style="24" customWidth="1"/>
    <col min="21" max="21" width="19.1640625" style="112" customWidth="1"/>
    <col min="22" max="22" width="11.1640625" customWidth="1"/>
    <col min="23" max="23" width="22.6640625" customWidth="1"/>
    <col min="24" max="31" width="9.1640625" customWidth="1"/>
  </cols>
  <sheetData>
    <row r="1" spans="1:31" ht="20.25" customHeight="1">
      <c r="A1" s="3" t="s">
        <v>190</v>
      </c>
      <c r="B1" s="36" t="s">
        <v>131</v>
      </c>
      <c r="C1" s="163" t="s">
        <v>692</v>
      </c>
      <c r="D1" s="3" t="s">
        <v>191</v>
      </c>
      <c r="E1" s="3" t="s">
        <v>192</v>
      </c>
      <c r="F1" s="3" t="s">
        <v>193</v>
      </c>
      <c r="G1" s="3" t="s">
        <v>194</v>
      </c>
      <c r="H1" s="3" t="s">
        <v>195</v>
      </c>
      <c r="I1" s="3" t="s">
        <v>196</v>
      </c>
      <c r="J1" s="3" t="s">
        <v>197</v>
      </c>
      <c r="K1" s="3" t="s">
        <v>198</v>
      </c>
      <c r="L1" s="3" t="s">
        <v>199</v>
      </c>
      <c r="M1" s="3" t="s">
        <v>200</v>
      </c>
      <c r="N1" s="3" t="s">
        <v>201</v>
      </c>
      <c r="O1" s="3" t="s">
        <v>202</v>
      </c>
      <c r="P1" s="3" t="s">
        <v>203</v>
      </c>
      <c r="Q1" s="36" t="s">
        <v>666</v>
      </c>
      <c r="R1" s="8" t="s">
        <v>204</v>
      </c>
      <c r="S1" s="36" t="s">
        <v>613</v>
      </c>
      <c r="T1" s="8" t="s">
        <v>205</v>
      </c>
      <c r="U1" s="109" t="s">
        <v>635</v>
      </c>
      <c r="V1" s="3" t="s">
        <v>206</v>
      </c>
      <c r="W1" s="3" t="s">
        <v>207</v>
      </c>
      <c r="X1" s="3" t="s">
        <v>208</v>
      </c>
      <c r="Y1" s="3"/>
      <c r="Z1" s="3"/>
      <c r="AA1" s="3"/>
      <c r="AB1" s="3"/>
      <c r="AC1" s="3"/>
      <c r="AD1" s="3"/>
      <c r="AE1" s="3"/>
    </row>
    <row r="2" spans="1:31" s="33" customFormat="1" ht="20.25" customHeight="1">
      <c r="A2" s="13">
        <v>41422</v>
      </c>
      <c r="B2" s="35" t="s">
        <v>144</v>
      </c>
      <c r="C2" s="164">
        <v>2013</v>
      </c>
      <c r="D2" s="51">
        <v>8</v>
      </c>
      <c r="E2" s="51" t="s">
        <v>223</v>
      </c>
      <c r="F2" s="51" t="s">
        <v>224</v>
      </c>
      <c r="G2" s="51" t="s">
        <v>225</v>
      </c>
      <c r="H2" s="51" t="s">
        <v>226</v>
      </c>
      <c r="I2" s="51" t="s">
        <v>227</v>
      </c>
      <c r="J2" s="3" t="s">
        <v>228</v>
      </c>
      <c r="K2" s="3"/>
      <c r="L2" s="3">
        <v>7</v>
      </c>
      <c r="M2" s="3" t="s">
        <v>229</v>
      </c>
      <c r="N2" s="3" t="s">
        <v>228</v>
      </c>
      <c r="O2" s="3">
        <v>89</v>
      </c>
      <c r="P2" s="3">
        <f t="shared" ref="P2:P65" si="0">L2/O2*100</f>
        <v>7.8651685393258424</v>
      </c>
      <c r="Q2" s="36">
        <v>8173.4577407373854</v>
      </c>
      <c r="R2" s="8">
        <f t="shared" ref="R2:R65" si="1">(P2/100)*Q2</f>
        <v>642.85622679956964</v>
      </c>
      <c r="S2" s="36">
        <v>8175.5362462554504</v>
      </c>
      <c r="T2" s="8">
        <f t="shared" ref="T2:T65" si="2">R2/S2*100</f>
        <v>7.8631689400681202</v>
      </c>
      <c r="U2" s="109"/>
      <c r="V2" s="3">
        <v>250</v>
      </c>
      <c r="W2" s="3" t="s">
        <v>231</v>
      </c>
      <c r="X2" s="3"/>
      <c r="Y2" s="36"/>
      <c r="Z2" s="32"/>
      <c r="AA2" s="32"/>
      <c r="AB2" s="32"/>
      <c r="AC2" s="32"/>
      <c r="AD2" s="32"/>
      <c r="AE2" s="32"/>
    </row>
    <row r="3" spans="1:31" s="33" customFormat="1" ht="20.25" customHeight="1">
      <c r="A3" s="35">
        <v>41422</v>
      </c>
      <c r="B3" s="35" t="s">
        <v>144</v>
      </c>
      <c r="C3" s="164">
        <v>2013</v>
      </c>
      <c r="D3" s="65">
        <v>8</v>
      </c>
      <c r="E3" s="65" t="s">
        <v>223</v>
      </c>
      <c r="F3" s="65" t="s">
        <v>267</v>
      </c>
      <c r="G3" s="65" t="s">
        <v>268</v>
      </c>
      <c r="H3" s="65" t="s">
        <v>269</v>
      </c>
      <c r="I3" s="65"/>
      <c r="J3" s="36"/>
      <c r="K3" s="36"/>
      <c r="L3" s="36">
        <v>1</v>
      </c>
      <c r="M3" s="36" t="s">
        <v>634</v>
      </c>
      <c r="N3" s="36" t="s">
        <v>270</v>
      </c>
      <c r="O3" s="36">
        <v>19</v>
      </c>
      <c r="P3" s="36">
        <f t="shared" si="0"/>
        <v>5.2631578947368416</v>
      </c>
      <c r="Q3" s="36">
        <v>2.0785055180675185</v>
      </c>
      <c r="R3" s="40">
        <f t="shared" si="1"/>
        <v>0.10939502726671149</v>
      </c>
      <c r="S3" s="36">
        <v>8175.5362462554531</v>
      </c>
      <c r="T3" s="40">
        <f t="shared" si="2"/>
        <v>1.3380776987786756E-3</v>
      </c>
      <c r="U3" s="110">
        <f>SUM(T3+T11+T12+T16+T19)</f>
        <v>31.474085003452938</v>
      </c>
      <c r="V3" s="36">
        <v>1000</v>
      </c>
      <c r="W3" s="36" t="s">
        <v>287</v>
      </c>
      <c r="X3" s="36"/>
      <c r="Y3" s="36"/>
      <c r="Z3" s="32"/>
      <c r="AA3" s="32"/>
      <c r="AB3" s="32"/>
      <c r="AC3" s="32"/>
      <c r="AD3" s="32"/>
      <c r="AE3" s="32"/>
    </row>
    <row r="4" spans="1:31" s="33" customFormat="1" ht="20.25" customHeight="1">
      <c r="A4" s="13">
        <v>41422</v>
      </c>
      <c r="B4" s="72" t="s">
        <v>144</v>
      </c>
      <c r="C4" s="164">
        <v>2013</v>
      </c>
      <c r="D4" s="51">
        <v>8</v>
      </c>
      <c r="E4" s="3" t="s">
        <v>223</v>
      </c>
      <c r="F4" s="3" t="s">
        <v>303</v>
      </c>
      <c r="G4" s="3" t="s">
        <v>304</v>
      </c>
      <c r="H4" s="3" t="s">
        <v>305</v>
      </c>
      <c r="I4" s="3" t="s">
        <v>306</v>
      </c>
      <c r="J4" s="3" t="s">
        <v>307</v>
      </c>
      <c r="K4" s="3"/>
      <c r="L4" s="3">
        <v>4</v>
      </c>
      <c r="M4" s="3" t="s">
        <v>229</v>
      </c>
      <c r="N4" s="3" t="s">
        <v>307</v>
      </c>
      <c r="O4" s="3">
        <v>89</v>
      </c>
      <c r="P4" s="3">
        <f t="shared" si="0"/>
        <v>4.4943820224719104</v>
      </c>
      <c r="Q4" s="36">
        <v>8173.4577407373854</v>
      </c>
      <c r="R4" s="8">
        <f t="shared" si="1"/>
        <v>367.34641531403986</v>
      </c>
      <c r="S4" s="36">
        <v>8175.5362462554504</v>
      </c>
      <c r="T4" s="8">
        <f t="shared" si="2"/>
        <v>4.4932393943246405</v>
      </c>
      <c r="U4" s="109"/>
      <c r="V4" s="3">
        <v>250</v>
      </c>
      <c r="W4" s="36" t="s">
        <v>308</v>
      </c>
      <c r="X4" s="3"/>
      <c r="Y4" s="36"/>
      <c r="Z4" s="32"/>
      <c r="AA4" s="32"/>
      <c r="AB4" s="32"/>
      <c r="AC4" s="32"/>
      <c r="AD4" s="32"/>
      <c r="AE4" s="32"/>
    </row>
    <row r="5" spans="1:31" s="33" customFormat="1" ht="20.25" customHeight="1">
      <c r="A5" s="13">
        <v>41422</v>
      </c>
      <c r="B5" s="35" t="s">
        <v>144</v>
      </c>
      <c r="C5" s="164">
        <v>2013</v>
      </c>
      <c r="D5" s="51">
        <v>8</v>
      </c>
      <c r="E5" s="3" t="s">
        <v>223</v>
      </c>
      <c r="F5" s="3" t="s">
        <v>303</v>
      </c>
      <c r="G5" s="3" t="s">
        <v>304</v>
      </c>
      <c r="H5" s="3" t="s">
        <v>305</v>
      </c>
      <c r="I5" s="3" t="s">
        <v>306</v>
      </c>
      <c r="J5" s="3" t="s">
        <v>307</v>
      </c>
      <c r="K5" s="3"/>
      <c r="L5" s="3">
        <v>2</v>
      </c>
      <c r="M5" s="3" t="s">
        <v>229</v>
      </c>
      <c r="N5" s="3" t="s">
        <v>307</v>
      </c>
      <c r="O5" s="3">
        <v>89</v>
      </c>
      <c r="P5" s="3">
        <f t="shared" si="0"/>
        <v>2.2471910112359552</v>
      </c>
      <c r="Q5" s="36">
        <v>8173.4577407373854</v>
      </c>
      <c r="R5" s="8">
        <f t="shared" si="1"/>
        <v>183.67320765701993</v>
      </c>
      <c r="S5" s="36">
        <v>8175.5362462554504</v>
      </c>
      <c r="T5" s="8">
        <f t="shared" si="2"/>
        <v>2.2466196971623202</v>
      </c>
      <c r="U5" s="109"/>
      <c r="V5" s="3">
        <v>250</v>
      </c>
      <c r="W5" s="36" t="s">
        <v>620</v>
      </c>
      <c r="X5" s="3"/>
      <c r="Y5" s="36"/>
      <c r="Z5" s="32"/>
      <c r="AA5" s="32"/>
      <c r="AB5" s="32"/>
      <c r="AC5" s="32"/>
      <c r="AD5" s="32"/>
      <c r="AE5" s="32"/>
    </row>
    <row r="6" spans="1:31" ht="20.25" customHeight="1">
      <c r="A6" s="35">
        <v>41422</v>
      </c>
      <c r="B6" s="72" t="s">
        <v>144</v>
      </c>
      <c r="C6" s="164">
        <v>2013</v>
      </c>
      <c r="D6" s="65">
        <v>8</v>
      </c>
      <c r="E6" s="65" t="s">
        <v>300</v>
      </c>
      <c r="F6" s="65" t="s">
        <v>320</v>
      </c>
      <c r="G6" s="65"/>
      <c r="H6" s="65"/>
      <c r="I6" s="65"/>
      <c r="J6" s="36"/>
      <c r="K6" s="36"/>
      <c r="L6" s="36">
        <v>1</v>
      </c>
      <c r="M6" s="36" t="s">
        <v>221</v>
      </c>
      <c r="N6" s="36" t="s">
        <v>322</v>
      </c>
      <c r="O6" s="3">
        <v>89</v>
      </c>
      <c r="P6" s="36">
        <f t="shared" si="0"/>
        <v>1.1235955056179776</v>
      </c>
      <c r="Q6" s="36">
        <v>8173.4577407373854</v>
      </c>
      <c r="R6" s="8">
        <f t="shared" si="1"/>
        <v>91.836603828509965</v>
      </c>
      <c r="S6" s="36">
        <v>8175.5362462554504</v>
      </c>
      <c r="T6" s="8">
        <f t="shared" si="2"/>
        <v>1.1233098485811601</v>
      </c>
      <c r="U6" s="109"/>
      <c r="V6" s="36">
        <v>250</v>
      </c>
      <c r="W6" s="36" t="s">
        <v>222</v>
      </c>
      <c r="X6" s="36"/>
      <c r="Y6" s="36"/>
      <c r="Z6" s="3"/>
      <c r="AA6" s="3"/>
      <c r="AB6" s="3"/>
      <c r="AC6" s="3"/>
      <c r="AD6" s="3"/>
      <c r="AE6" s="3"/>
    </row>
    <row r="7" spans="1:31" ht="20.25" customHeight="1">
      <c r="A7" s="13">
        <v>41422</v>
      </c>
      <c r="B7" s="35" t="s">
        <v>144</v>
      </c>
      <c r="C7" s="164">
        <v>2013</v>
      </c>
      <c r="D7" s="51">
        <v>8</v>
      </c>
      <c r="E7" s="3" t="s">
        <v>223</v>
      </c>
      <c r="F7" s="3" t="s">
        <v>224</v>
      </c>
      <c r="G7" s="3" t="s">
        <v>225</v>
      </c>
      <c r="H7" s="3" t="s">
        <v>226</v>
      </c>
      <c r="I7" s="3"/>
      <c r="J7" s="3"/>
      <c r="K7" s="3"/>
      <c r="L7" s="3">
        <v>7</v>
      </c>
      <c r="M7" s="3" t="s">
        <v>508</v>
      </c>
      <c r="N7" s="36" t="s">
        <v>600</v>
      </c>
      <c r="O7" s="3">
        <v>89</v>
      </c>
      <c r="P7" s="3">
        <f t="shared" si="0"/>
        <v>7.8651685393258424</v>
      </c>
      <c r="Q7" s="65">
        <v>8173.4577407373854</v>
      </c>
      <c r="R7" s="8">
        <f t="shared" si="1"/>
        <v>642.85622679956964</v>
      </c>
      <c r="S7" s="36">
        <v>8175.5362462554504</v>
      </c>
      <c r="T7" s="8">
        <f t="shared" si="2"/>
        <v>7.8631689400681202</v>
      </c>
      <c r="U7" s="109"/>
      <c r="V7" s="3">
        <v>250</v>
      </c>
      <c r="W7" s="3" t="s">
        <v>266</v>
      </c>
      <c r="X7" s="3"/>
      <c r="Y7" s="36"/>
      <c r="Z7" s="3"/>
      <c r="AA7" s="3"/>
      <c r="AB7" s="3"/>
      <c r="AC7" s="3"/>
      <c r="AD7" s="3"/>
      <c r="AE7" s="3"/>
    </row>
    <row r="8" spans="1:31" ht="20.25" customHeight="1">
      <c r="A8" s="13">
        <v>41422</v>
      </c>
      <c r="B8" s="35" t="s">
        <v>144</v>
      </c>
      <c r="C8" s="164">
        <v>2013</v>
      </c>
      <c r="D8" s="51">
        <v>8</v>
      </c>
      <c r="E8" s="3" t="s">
        <v>223</v>
      </c>
      <c r="F8" s="3" t="s">
        <v>224</v>
      </c>
      <c r="G8" s="3" t="s">
        <v>225</v>
      </c>
      <c r="H8" s="3" t="s">
        <v>226</v>
      </c>
      <c r="I8" s="3" t="s">
        <v>232</v>
      </c>
      <c r="J8" s="3" t="s">
        <v>233</v>
      </c>
      <c r="K8" s="3" t="s">
        <v>234</v>
      </c>
      <c r="L8" s="3">
        <v>1</v>
      </c>
      <c r="M8" s="3" t="s">
        <v>247</v>
      </c>
      <c r="N8" s="3" t="s">
        <v>233</v>
      </c>
      <c r="O8" s="3">
        <v>89</v>
      </c>
      <c r="P8" s="3">
        <f t="shared" si="0"/>
        <v>1.1235955056179776</v>
      </c>
      <c r="Q8" s="36">
        <v>8173.4577407373854</v>
      </c>
      <c r="R8" s="8">
        <f t="shared" si="1"/>
        <v>91.836603828509965</v>
      </c>
      <c r="S8" s="36">
        <v>8175.5362462554504</v>
      </c>
      <c r="T8" s="8">
        <f t="shared" si="2"/>
        <v>1.1233098485811601</v>
      </c>
      <c r="U8" s="109"/>
      <c r="V8" s="3">
        <v>250</v>
      </c>
      <c r="W8" s="3"/>
      <c r="X8" s="3"/>
      <c r="Y8" s="36"/>
      <c r="Z8" s="3"/>
      <c r="AA8" s="3"/>
      <c r="AB8" s="3"/>
      <c r="AC8" s="3"/>
      <c r="AD8" s="3"/>
      <c r="AE8" s="3"/>
    </row>
    <row r="9" spans="1:31" ht="20.25" customHeight="1">
      <c r="A9" s="13">
        <v>41422</v>
      </c>
      <c r="B9" s="35" t="s">
        <v>144</v>
      </c>
      <c r="C9" s="164">
        <v>2013</v>
      </c>
      <c r="D9" s="51">
        <v>8</v>
      </c>
      <c r="E9" s="3" t="s">
        <v>223</v>
      </c>
      <c r="F9" s="3" t="s">
        <v>224</v>
      </c>
      <c r="G9" s="3" t="s">
        <v>225</v>
      </c>
      <c r="H9" s="3" t="s">
        <v>226</v>
      </c>
      <c r="I9" s="3" t="s">
        <v>235</v>
      </c>
      <c r="J9" s="3" t="s">
        <v>236</v>
      </c>
      <c r="K9" s="3" t="s">
        <v>237</v>
      </c>
      <c r="L9" s="3">
        <v>4</v>
      </c>
      <c r="M9" s="3" t="s">
        <v>247</v>
      </c>
      <c r="N9" s="3" t="s">
        <v>238</v>
      </c>
      <c r="O9" s="3">
        <v>89</v>
      </c>
      <c r="P9" s="3">
        <f t="shared" si="0"/>
        <v>4.4943820224719104</v>
      </c>
      <c r="Q9" s="36">
        <v>8173.4577407373854</v>
      </c>
      <c r="R9" s="8">
        <f t="shared" si="1"/>
        <v>367.34641531403986</v>
      </c>
      <c r="S9" s="36">
        <v>8175.5362462554504</v>
      </c>
      <c r="T9" s="8">
        <f t="shared" si="2"/>
        <v>4.4932393943246405</v>
      </c>
      <c r="U9" s="109"/>
      <c r="V9" s="3">
        <v>250</v>
      </c>
      <c r="W9" s="3"/>
      <c r="X9" s="3"/>
      <c r="Y9" s="36"/>
      <c r="Z9" s="3"/>
      <c r="AA9" s="3"/>
      <c r="AB9" s="3"/>
      <c r="AC9" s="3"/>
      <c r="AD9" s="3"/>
      <c r="AE9" s="3"/>
    </row>
    <row r="10" spans="1:31" ht="20.25" customHeight="1">
      <c r="A10" s="35">
        <v>41422</v>
      </c>
      <c r="B10" s="35" t="s">
        <v>144</v>
      </c>
      <c r="C10" s="164">
        <v>2013</v>
      </c>
      <c r="D10" s="65">
        <v>8</v>
      </c>
      <c r="E10" s="36" t="s">
        <v>223</v>
      </c>
      <c r="F10" s="36" t="s">
        <v>267</v>
      </c>
      <c r="G10" s="36"/>
      <c r="H10" s="36" t="s">
        <v>273</v>
      </c>
      <c r="I10" s="36" t="s">
        <v>274</v>
      </c>
      <c r="J10" s="36" t="s">
        <v>275</v>
      </c>
      <c r="K10" s="36" t="s">
        <v>276</v>
      </c>
      <c r="L10" s="36">
        <v>2</v>
      </c>
      <c r="M10" s="36" t="s">
        <v>247</v>
      </c>
      <c r="N10" s="36" t="s">
        <v>275</v>
      </c>
      <c r="O10" s="36">
        <v>19</v>
      </c>
      <c r="P10" s="36">
        <f t="shared" si="0"/>
        <v>10.526315789473683</v>
      </c>
      <c r="Q10" s="36">
        <v>2.0785055180675185</v>
      </c>
      <c r="R10" s="40">
        <f t="shared" si="1"/>
        <v>0.21879005453342298</v>
      </c>
      <c r="S10" s="36">
        <v>8175.5362462554531</v>
      </c>
      <c r="T10" s="40">
        <f t="shared" si="2"/>
        <v>2.6761553975573511E-3</v>
      </c>
      <c r="U10" s="110"/>
      <c r="V10" s="36">
        <v>1000</v>
      </c>
      <c r="W10" s="36"/>
      <c r="X10" s="36"/>
      <c r="Y10" s="36"/>
      <c r="Z10" s="3"/>
      <c r="AA10" s="3"/>
      <c r="AB10" s="3"/>
      <c r="AC10" s="3"/>
      <c r="AD10" s="3"/>
      <c r="AE10" s="3"/>
    </row>
    <row r="11" spans="1:31" ht="20.25" customHeight="1">
      <c r="A11" s="35">
        <v>41422</v>
      </c>
      <c r="B11" s="72" t="s">
        <v>144</v>
      </c>
      <c r="C11" s="164">
        <v>2013</v>
      </c>
      <c r="D11" s="65">
        <v>8</v>
      </c>
      <c r="E11" s="36" t="s">
        <v>223</v>
      </c>
      <c r="F11" s="36" t="s">
        <v>267</v>
      </c>
      <c r="G11" s="36"/>
      <c r="H11" s="36" t="s">
        <v>273</v>
      </c>
      <c r="I11" s="36" t="s">
        <v>274</v>
      </c>
      <c r="J11" s="36" t="s">
        <v>275</v>
      </c>
      <c r="K11" s="36" t="s">
        <v>276</v>
      </c>
      <c r="L11" s="36">
        <v>1</v>
      </c>
      <c r="M11" s="36" t="s">
        <v>247</v>
      </c>
      <c r="N11" s="36" t="s">
        <v>275</v>
      </c>
      <c r="O11" s="36">
        <v>19</v>
      </c>
      <c r="P11" s="36">
        <f t="shared" si="0"/>
        <v>5.2631578947368416</v>
      </c>
      <c r="Q11" s="65">
        <v>2.0785055180675198</v>
      </c>
      <c r="R11" s="40">
        <f t="shared" si="1"/>
        <v>0.10939502726671156</v>
      </c>
      <c r="S11" s="36">
        <v>8175.5362462554504</v>
      </c>
      <c r="T11" s="40">
        <f t="shared" si="2"/>
        <v>1.3380776987786771E-3</v>
      </c>
      <c r="U11" s="110"/>
      <c r="V11" s="36">
        <v>1000</v>
      </c>
      <c r="W11" s="36" t="s">
        <v>277</v>
      </c>
      <c r="X11" s="36"/>
      <c r="Y11" s="36"/>
      <c r="Z11" s="3"/>
      <c r="AA11" s="3"/>
      <c r="AB11" s="3"/>
      <c r="AC11" s="3"/>
      <c r="AD11" s="3"/>
      <c r="AE11" s="3"/>
    </row>
    <row r="12" spans="1:31" ht="20.25" customHeight="1">
      <c r="A12" s="13">
        <v>41422</v>
      </c>
      <c r="B12" s="72" t="s">
        <v>144</v>
      </c>
      <c r="C12" s="168">
        <v>2013</v>
      </c>
      <c r="D12" s="51">
        <v>8</v>
      </c>
      <c r="E12" s="51" t="s">
        <v>223</v>
      </c>
      <c r="F12" s="51" t="s">
        <v>224</v>
      </c>
      <c r="G12" s="51" t="s">
        <v>225</v>
      </c>
      <c r="H12" s="51" t="s">
        <v>226</v>
      </c>
      <c r="I12" s="51" t="s">
        <v>239</v>
      </c>
      <c r="J12" s="51" t="s">
        <v>240</v>
      </c>
      <c r="K12" s="3"/>
      <c r="L12" s="3">
        <v>26</v>
      </c>
      <c r="M12" s="3" t="s">
        <v>229</v>
      </c>
      <c r="N12" s="3" t="s">
        <v>240</v>
      </c>
      <c r="O12" s="3">
        <v>89</v>
      </c>
      <c r="P12" s="3">
        <f t="shared" si="0"/>
        <v>29.213483146067414</v>
      </c>
      <c r="Q12" s="36">
        <v>8173.4577407373854</v>
      </c>
      <c r="R12" s="8">
        <f t="shared" si="1"/>
        <v>2387.7516995412584</v>
      </c>
      <c r="S12" s="36">
        <v>8175.5362462554504</v>
      </c>
      <c r="T12" s="8">
        <f t="shared" si="2"/>
        <v>29.206056063110157</v>
      </c>
      <c r="U12" s="109"/>
      <c r="V12" s="3">
        <v>250</v>
      </c>
      <c r="W12" s="3" t="s">
        <v>242</v>
      </c>
      <c r="X12" s="3"/>
      <c r="Y12" s="36"/>
      <c r="Z12" s="3"/>
      <c r="AA12" s="3"/>
      <c r="AB12" s="3"/>
      <c r="AC12" s="3"/>
      <c r="AD12" s="3"/>
      <c r="AE12" s="3"/>
    </row>
    <row r="13" spans="1:31" ht="20.25" customHeight="1">
      <c r="A13" s="35">
        <v>41422</v>
      </c>
      <c r="B13" s="72" t="s">
        <v>144</v>
      </c>
      <c r="C13" s="168">
        <v>2013</v>
      </c>
      <c r="D13" s="65">
        <v>8</v>
      </c>
      <c r="E13" s="65" t="s">
        <v>300</v>
      </c>
      <c r="F13" s="65" t="s">
        <v>301</v>
      </c>
      <c r="G13" s="65"/>
      <c r="H13" s="65"/>
      <c r="I13" s="65"/>
      <c r="J13" s="36"/>
      <c r="K13" s="36"/>
      <c r="L13" s="36">
        <v>3</v>
      </c>
      <c r="M13" s="36" t="s">
        <v>221</v>
      </c>
      <c r="N13" s="36" t="s">
        <v>302</v>
      </c>
      <c r="O13" s="3">
        <v>89</v>
      </c>
      <c r="P13" s="36">
        <f t="shared" si="0"/>
        <v>3.3707865168539324</v>
      </c>
      <c r="Q13" s="36">
        <v>8173.4577407373854</v>
      </c>
      <c r="R13" s="8">
        <f t="shared" si="1"/>
        <v>275.50981148552984</v>
      </c>
      <c r="S13" s="36">
        <v>8175.5362462554504</v>
      </c>
      <c r="T13" s="8">
        <f t="shared" si="2"/>
        <v>3.3699295457434797</v>
      </c>
      <c r="U13" s="109"/>
      <c r="V13" s="36">
        <v>250</v>
      </c>
      <c r="W13" s="36" t="s">
        <v>222</v>
      </c>
      <c r="X13" s="36"/>
      <c r="Y13" s="36"/>
      <c r="Z13" s="3"/>
      <c r="AA13" s="3"/>
      <c r="AB13" s="3"/>
      <c r="AC13" s="3"/>
      <c r="AD13" s="3"/>
      <c r="AE13" s="3"/>
    </row>
    <row r="14" spans="1:31" ht="20.25" customHeight="1">
      <c r="A14" s="13">
        <v>41422</v>
      </c>
      <c r="B14" s="35" t="s">
        <v>144</v>
      </c>
      <c r="C14" s="168">
        <v>2013</v>
      </c>
      <c r="D14" s="51">
        <v>8</v>
      </c>
      <c r="E14" s="3" t="s">
        <v>223</v>
      </c>
      <c r="F14" s="3" t="s">
        <v>224</v>
      </c>
      <c r="G14" s="3" t="s">
        <v>225</v>
      </c>
      <c r="H14" s="3" t="s">
        <v>243</v>
      </c>
      <c r="I14" s="3" t="s">
        <v>244</v>
      </c>
      <c r="J14" s="3" t="s">
        <v>245</v>
      </c>
      <c r="K14" s="3" t="s">
        <v>246</v>
      </c>
      <c r="L14" s="3">
        <v>2</v>
      </c>
      <c r="M14" s="3" t="s">
        <v>247</v>
      </c>
      <c r="N14" s="3" t="s">
        <v>673</v>
      </c>
      <c r="O14" s="3">
        <v>89</v>
      </c>
      <c r="P14" s="3">
        <f t="shared" si="0"/>
        <v>2.2471910112359552</v>
      </c>
      <c r="Q14" s="36">
        <v>8173.4577407373854</v>
      </c>
      <c r="R14" s="8">
        <f t="shared" si="1"/>
        <v>183.67320765701993</v>
      </c>
      <c r="S14" s="65">
        <v>8175.5362462554504</v>
      </c>
      <c r="T14" s="8">
        <f t="shared" si="2"/>
        <v>2.2466196971623202</v>
      </c>
      <c r="U14" s="109"/>
      <c r="V14" s="3">
        <v>250</v>
      </c>
      <c r="W14" s="3"/>
      <c r="X14" s="3"/>
      <c r="Y14" s="36"/>
      <c r="Z14" s="3"/>
      <c r="AA14" s="3"/>
      <c r="AB14" s="3"/>
      <c r="AC14" s="3"/>
      <c r="AD14" s="3"/>
      <c r="AE14" s="3"/>
    </row>
    <row r="15" spans="1:31" ht="20.25" customHeight="1">
      <c r="A15" s="35">
        <v>41422</v>
      </c>
      <c r="B15" s="72" t="s">
        <v>144</v>
      </c>
      <c r="C15" s="168">
        <v>2013</v>
      </c>
      <c r="D15" s="65">
        <v>8</v>
      </c>
      <c r="E15" s="36" t="s">
        <v>223</v>
      </c>
      <c r="F15" s="36" t="s">
        <v>267</v>
      </c>
      <c r="G15" s="36" t="s">
        <v>278</v>
      </c>
      <c r="H15" s="36" t="s">
        <v>279</v>
      </c>
      <c r="I15" s="36" t="s">
        <v>280</v>
      </c>
      <c r="J15" s="36" t="s">
        <v>281</v>
      </c>
      <c r="K15" s="36" t="s">
        <v>282</v>
      </c>
      <c r="L15" s="36">
        <v>1</v>
      </c>
      <c r="M15" s="36" t="s">
        <v>247</v>
      </c>
      <c r="N15" s="36" t="s">
        <v>283</v>
      </c>
      <c r="O15" s="36">
        <v>19</v>
      </c>
      <c r="P15" s="36">
        <f t="shared" si="0"/>
        <v>5.2631578947368416</v>
      </c>
      <c r="Q15" s="36">
        <v>2.0785055180675198</v>
      </c>
      <c r="R15" s="40">
        <f t="shared" si="1"/>
        <v>0.10939502726671156</v>
      </c>
      <c r="S15" s="65">
        <v>8175.5362462554504</v>
      </c>
      <c r="T15" s="40">
        <f t="shared" si="2"/>
        <v>1.3380776987786771E-3</v>
      </c>
      <c r="U15" s="110"/>
      <c r="V15" s="36">
        <v>1000</v>
      </c>
      <c r="W15" s="36"/>
      <c r="X15" s="36"/>
      <c r="Y15" s="36"/>
      <c r="Z15" s="3"/>
      <c r="AA15" s="3"/>
      <c r="AB15" s="3"/>
      <c r="AC15" s="3"/>
      <c r="AD15" s="3"/>
      <c r="AE15" s="3"/>
    </row>
    <row r="16" spans="1:31" ht="20.25" customHeight="1">
      <c r="A16" s="35">
        <v>41422</v>
      </c>
      <c r="B16" s="72" t="s">
        <v>144</v>
      </c>
      <c r="C16" s="168">
        <v>2013</v>
      </c>
      <c r="D16" s="65">
        <v>8</v>
      </c>
      <c r="E16" s="36" t="s">
        <v>223</v>
      </c>
      <c r="F16" s="36" t="s">
        <v>267</v>
      </c>
      <c r="G16" s="36" t="s">
        <v>278</v>
      </c>
      <c r="H16" s="36" t="s">
        <v>279</v>
      </c>
      <c r="I16" s="36" t="s">
        <v>280</v>
      </c>
      <c r="J16" s="36" t="s">
        <v>284</v>
      </c>
      <c r="K16" s="36" t="s">
        <v>285</v>
      </c>
      <c r="L16" s="36">
        <v>14</v>
      </c>
      <c r="M16" s="36" t="s">
        <v>247</v>
      </c>
      <c r="N16" s="36" t="s">
        <v>283</v>
      </c>
      <c r="O16" s="36">
        <v>19</v>
      </c>
      <c r="P16" s="36">
        <f t="shared" si="0"/>
        <v>73.68421052631578</v>
      </c>
      <c r="Q16" s="36">
        <v>2.0785055180675198</v>
      </c>
      <c r="R16" s="40">
        <f t="shared" si="1"/>
        <v>1.5315303817339618</v>
      </c>
      <c r="S16" s="65">
        <v>8175.5362462554504</v>
      </c>
      <c r="T16" s="40">
        <f t="shared" si="2"/>
        <v>1.8733087782901479E-2</v>
      </c>
      <c r="U16" s="110"/>
      <c r="V16" s="36">
        <v>1000</v>
      </c>
      <c r="W16" s="36"/>
      <c r="X16" s="36"/>
      <c r="Y16" s="36"/>
      <c r="Z16" s="3"/>
      <c r="AA16" s="3"/>
      <c r="AB16" s="3"/>
      <c r="AC16" s="3"/>
      <c r="AD16" s="3"/>
      <c r="AE16" s="3"/>
    </row>
    <row r="17" spans="1:31" ht="20.25" customHeight="1">
      <c r="A17" s="13">
        <v>41422</v>
      </c>
      <c r="B17" s="72" t="s">
        <v>144</v>
      </c>
      <c r="C17" s="168">
        <v>2013</v>
      </c>
      <c r="D17" s="51">
        <v>8</v>
      </c>
      <c r="E17" s="3" t="s">
        <v>223</v>
      </c>
      <c r="F17" s="3" t="s">
        <v>224</v>
      </c>
      <c r="G17" s="3" t="s">
        <v>225</v>
      </c>
      <c r="H17" s="3" t="s">
        <v>248</v>
      </c>
      <c r="I17" s="3" t="s">
        <v>249</v>
      </c>
      <c r="J17" s="3" t="s">
        <v>250</v>
      </c>
      <c r="K17" s="3" t="s">
        <v>251</v>
      </c>
      <c r="L17" s="3">
        <v>20</v>
      </c>
      <c r="M17" s="3" t="s">
        <v>247</v>
      </c>
      <c r="N17" s="3" t="s">
        <v>250</v>
      </c>
      <c r="O17" s="3">
        <v>89</v>
      </c>
      <c r="P17" s="3">
        <f t="shared" si="0"/>
        <v>22.471910112359549</v>
      </c>
      <c r="Q17" s="65">
        <v>8173.4577407373854</v>
      </c>
      <c r="R17" s="8">
        <f t="shared" si="1"/>
        <v>1836.7320765701988</v>
      </c>
      <c r="S17" s="36">
        <v>8175.5362462554504</v>
      </c>
      <c r="T17" s="8">
        <f t="shared" si="2"/>
        <v>22.466196971623198</v>
      </c>
      <c r="U17" s="109"/>
      <c r="V17" s="3">
        <v>250</v>
      </c>
      <c r="W17" s="3" t="s">
        <v>252</v>
      </c>
      <c r="X17" s="3"/>
      <c r="Y17" s="36"/>
      <c r="Z17" s="3"/>
      <c r="AA17" s="3"/>
      <c r="AB17" s="3"/>
      <c r="AC17" s="3"/>
      <c r="AD17" s="3"/>
      <c r="AE17" s="3"/>
    </row>
    <row r="18" spans="1:31" s="38" customFormat="1" ht="20.25" customHeight="1">
      <c r="A18" s="35">
        <v>41422</v>
      </c>
      <c r="B18" s="72" t="s">
        <v>144</v>
      </c>
      <c r="C18" s="168">
        <v>2013</v>
      </c>
      <c r="D18" s="65">
        <v>8</v>
      </c>
      <c r="E18" s="65" t="s">
        <v>216</v>
      </c>
      <c r="F18" s="65" t="s">
        <v>217</v>
      </c>
      <c r="G18" s="65"/>
      <c r="H18" s="65"/>
      <c r="I18" s="65"/>
      <c r="J18" s="36"/>
      <c r="K18" s="36"/>
      <c r="L18" s="36">
        <v>8</v>
      </c>
      <c r="M18" s="36" t="s">
        <v>533</v>
      </c>
      <c r="N18" s="36" t="s">
        <v>219</v>
      </c>
      <c r="O18" s="36">
        <v>89</v>
      </c>
      <c r="P18" s="36">
        <f t="shared" si="0"/>
        <v>8.9887640449438209</v>
      </c>
      <c r="Q18" s="36">
        <v>8173.4577407373854</v>
      </c>
      <c r="R18" s="53">
        <f t="shared" si="1"/>
        <v>734.69283062807972</v>
      </c>
      <c r="S18" s="36">
        <v>8175.5362462554504</v>
      </c>
      <c r="T18" s="53">
        <f t="shared" si="2"/>
        <v>8.986478788649281</v>
      </c>
      <c r="U18" s="110"/>
      <c r="V18" s="36">
        <v>250</v>
      </c>
      <c r="W18" s="36" t="s">
        <v>222</v>
      </c>
      <c r="X18" s="36"/>
      <c r="Y18" s="36"/>
      <c r="Z18" s="36"/>
      <c r="AA18" s="36"/>
      <c r="AB18" s="36"/>
      <c r="AC18" s="36"/>
      <c r="AD18" s="36"/>
      <c r="AE18" s="36"/>
    </row>
    <row r="19" spans="1:31" ht="20.25" customHeight="1">
      <c r="A19" s="13">
        <v>41422</v>
      </c>
      <c r="B19" s="72" t="s">
        <v>144</v>
      </c>
      <c r="C19" s="168">
        <v>2013</v>
      </c>
      <c r="D19" s="51">
        <v>8</v>
      </c>
      <c r="E19" s="3" t="s">
        <v>223</v>
      </c>
      <c r="F19" s="3" t="s">
        <v>224</v>
      </c>
      <c r="G19" s="3" t="s">
        <v>225</v>
      </c>
      <c r="H19" s="3" t="s">
        <v>226</v>
      </c>
      <c r="I19" s="3" t="s">
        <v>253</v>
      </c>
      <c r="J19" s="3" t="s">
        <v>256</v>
      </c>
      <c r="K19" s="3"/>
      <c r="L19" s="3">
        <v>2</v>
      </c>
      <c r="M19" s="3" t="s">
        <v>229</v>
      </c>
      <c r="N19" s="3" t="s">
        <v>256</v>
      </c>
      <c r="O19" s="3">
        <v>89</v>
      </c>
      <c r="P19" s="3">
        <f t="shared" si="0"/>
        <v>2.2471910112359552</v>
      </c>
      <c r="Q19" s="65">
        <v>8173.4577407373854</v>
      </c>
      <c r="R19" s="8">
        <f t="shared" si="1"/>
        <v>183.67320765701993</v>
      </c>
      <c r="S19" s="36">
        <v>8175.5362462554504</v>
      </c>
      <c r="T19" s="8">
        <f t="shared" si="2"/>
        <v>2.2466196971623202</v>
      </c>
      <c r="U19" s="109"/>
      <c r="V19" s="3">
        <v>250</v>
      </c>
      <c r="W19" s="3" t="s">
        <v>257</v>
      </c>
      <c r="X19" s="3"/>
      <c r="Y19" s="36"/>
      <c r="Z19" s="3"/>
      <c r="AA19" s="3"/>
      <c r="AB19" s="3"/>
      <c r="AC19" s="3"/>
      <c r="AD19" s="3"/>
      <c r="AE19" s="3"/>
    </row>
    <row r="20" spans="1:31" ht="20.25" customHeight="1">
      <c r="A20" s="71">
        <v>41422</v>
      </c>
      <c r="B20" s="35" t="s">
        <v>144</v>
      </c>
      <c r="C20" s="168">
        <v>2013</v>
      </c>
      <c r="D20" s="51">
        <v>8</v>
      </c>
      <c r="E20" s="3" t="s">
        <v>223</v>
      </c>
      <c r="F20" s="3" t="s">
        <v>224</v>
      </c>
      <c r="G20" s="3" t="s">
        <v>225</v>
      </c>
      <c r="H20" s="3" t="s">
        <v>226</v>
      </c>
      <c r="I20" s="3" t="s">
        <v>261</v>
      </c>
      <c r="J20" s="3" t="s">
        <v>262</v>
      </c>
      <c r="K20" s="3" t="s">
        <v>263</v>
      </c>
      <c r="L20" s="3">
        <v>2</v>
      </c>
      <c r="M20" s="3" t="s">
        <v>247</v>
      </c>
      <c r="N20" s="3" t="s">
        <v>264</v>
      </c>
      <c r="O20" s="3">
        <v>89</v>
      </c>
      <c r="P20" s="3">
        <f t="shared" si="0"/>
        <v>2.2471910112359552</v>
      </c>
      <c r="Q20" s="65">
        <v>8173.4577407373854</v>
      </c>
      <c r="R20" s="8">
        <f t="shared" si="1"/>
        <v>183.67320765701993</v>
      </c>
      <c r="S20" s="36">
        <v>8175.5362462554504</v>
      </c>
      <c r="T20" s="8">
        <f t="shared" si="2"/>
        <v>2.2466196971623202</v>
      </c>
      <c r="U20" s="109"/>
      <c r="V20" s="3">
        <v>250</v>
      </c>
      <c r="W20" s="3"/>
      <c r="X20" s="3"/>
      <c r="Y20" s="36"/>
      <c r="Z20" s="3"/>
      <c r="AA20" s="3"/>
      <c r="AB20" s="3"/>
      <c r="AC20" s="3"/>
      <c r="AD20" s="3"/>
      <c r="AE20" s="3"/>
    </row>
    <row r="21" spans="1:31" ht="20.25" customHeight="1">
      <c r="A21" s="13">
        <v>41422</v>
      </c>
      <c r="B21" s="35" t="s">
        <v>144</v>
      </c>
      <c r="C21" s="164">
        <v>2013</v>
      </c>
      <c r="D21" s="51">
        <v>5</v>
      </c>
      <c r="E21" s="3" t="s">
        <v>223</v>
      </c>
      <c r="F21" s="3" t="s">
        <v>224</v>
      </c>
      <c r="G21" s="3" t="s">
        <v>225</v>
      </c>
      <c r="H21" s="3" t="s">
        <v>226</v>
      </c>
      <c r="I21" s="3" t="s">
        <v>227</v>
      </c>
      <c r="J21" s="3" t="s">
        <v>228</v>
      </c>
      <c r="K21" s="3"/>
      <c r="L21" s="3">
        <v>33</v>
      </c>
      <c r="M21" s="3" t="s">
        <v>229</v>
      </c>
      <c r="N21" s="3" t="s">
        <v>228</v>
      </c>
      <c r="O21" s="3">
        <v>120</v>
      </c>
      <c r="P21" s="3">
        <f t="shared" si="0"/>
        <v>27.500000000000004</v>
      </c>
      <c r="Q21" s="36">
        <v>6166.1908760830775</v>
      </c>
      <c r="R21" s="8">
        <f t="shared" si="1"/>
        <v>1695.7024909228464</v>
      </c>
      <c r="S21" s="36">
        <v>6166.1908760830775</v>
      </c>
      <c r="T21" s="8">
        <f t="shared" si="2"/>
        <v>27.500000000000004</v>
      </c>
      <c r="U21" s="109">
        <f>SUM(T24+T25+T30+T34+T35)</f>
        <v>17.068947520507482</v>
      </c>
      <c r="V21" s="3">
        <v>250</v>
      </c>
      <c r="W21" s="3" t="s">
        <v>617</v>
      </c>
      <c r="X21" s="3"/>
      <c r="Y21" s="36"/>
      <c r="Z21" s="3"/>
      <c r="AA21" s="3"/>
      <c r="AB21" s="3"/>
      <c r="AC21" s="3"/>
      <c r="AD21" s="3"/>
      <c r="AE21" s="3"/>
    </row>
    <row r="22" spans="1:31" ht="20.25" customHeight="1">
      <c r="A22" s="13">
        <v>41422</v>
      </c>
      <c r="B22" s="72" t="s">
        <v>144</v>
      </c>
      <c r="C22" s="164">
        <v>2013</v>
      </c>
      <c r="D22" s="51">
        <v>5</v>
      </c>
      <c r="E22" s="3" t="s">
        <v>223</v>
      </c>
      <c r="F22" s="3" t="s">
        <v>303</v>
      </c>
      <c r="G22" s="3" t="s">
        <v>304</v>
      </c>
      <c r="H22" s="3" t="s">
        <v>305</v>
      </c>
      <c r="I22" s="51" t="s">
        <v>306</v>
      </c>
      <c r="J22" s="51" t="s">
        <v>307</v>
      </c>
      <c r="K22" s="3"/>
      <c r="L22" s="3">
        <v>12</v>
      </c>
      <c r="M22" s="3" t="s">
        <v>229</v>
      </c>
      <c r="N22" s="3" t="s">
        <v>307</v>
      </c>
      <c r="O22" s="3">
        <v>120</v>
      </c>
      <c r="P22" s="3">
        <f t="shared" si="0"/>
        <v>10</v>
      </c>
      <c r="Q22" s="36">
        <v>6166.1908760830775</v>
      </c>
      <c r="R22" s="8">
        <f t="shared" si="1"/>
        <v>616.61908760830784</v>
      </c>
      <c r="S22" s="36">
        <v>6166.1908760830775</v>
      </c>
      <c r="T22" s="8">
        <f t="shared" si="2"/>
        <v>10.000000000000002</v>
      </c>
      <c r="U22" s="109"/>
      <c r="V22" s="51">
        <v>250</v>
      </c>
      <c r="W22" s="65" t="s">
        <v>308</v>
      </c>
      <c r="X22" s="51"/>
      <c r="Y22" s="65"/>
      <c r="Z22" s="3"/>
      <c r="AA22" s="3"/>
      <c r="AB22" s="3"/>
      <c r="AC22" s="3"/>
      <c r="AD22" s="3"/>
      <c r="AE22" s="3"/>
    </row>
    <row r="23" spans="1:31" ht="20.25" customHeight="1">
      <c r="A23" s="13">
        <v>41422</v>
      </c>
      <c r="B23" s="35" t="s">
        <v>144</v>
      </c>
      <c r="C23" s="164">
        <v>2013</v>
      </c>
      <c r="D23" s="51">
        <v>5</v>
      </c>
      <c r="E23" s="3" t="s">
        <v>223</v>
      </c>
      <c r="F23" s="3" t="s">
        <v>303</v>
      </c>
      <c r="G23" s="3" t="s">
        <v>304</v>
      </c>
      <c r="H23" s="3" t="s">
        <v>305</v>
      </c>
      <c r="I23" s="51" t="s">
        <v>306</v>
      </c>
      <c r="J23" s="51" t="s">
        <v>307</v>
      </c>
      <c r="K23" s="3"/>
      <c r="L23" s="3">
        <v>5</v>
      </c>
      <c r="M23" s="3" t="s">
        <v>229</v>
      </c>
      <c r="N23" s="3" t="s">
        <v>307</v>
      </c>
      <c r="O23" s="3">
        <v>120</v>
      </c>
      <c r="P23" s="3">
        <f t="shared" si="0"/>
        <v>4.1666666666666661</v>
      </c>
      <c r="Q23" s="36">
        <v>6166.1908760830775</v>
      </c>
      <c r="R23" s="8">
        <f t="shared" si="1"/>
        <v>256.92461983679482</v>
      </c>
      <c r="S23" s="36">
        <v>6166.1908760830775</v>
      </c>
      <c r="T23" s="8">
        <f t="shared" si="2"/>
        <v>4.1666666666666661</v>
      </c>
      <c r="U23" s="109"/>
      <c r="V23" s="51">
        <v>250</v>
      </c>
      <c r="W23" s="65" t="s">
        <v>620</v>
      </c>
      <c r="X23" s="51"/>
      <c r="Y23" s="65"/>
      <c r="Z23" s="3"/>
      <c r="AA23" s="3"/>
      <c r="AB23" s="3"/>
      <c r="AC23" s="3"/>
      <c r="AD23" s="3"/>
      <c r="AE23" s="3"/>
    </row>
    <row r="24" spans="1:31" ht="20.25" customHeight="1">
      <c r="A24" s="72">
        <v>41422</v>
      </c>
      <c r="B24" s="72" t="s">
        <v>144</v>
      </c>
      <c r="C24" s="164">
        <v>2013</v>
      </c>
      <c r="D24" s="65">
        <v>5</v>
      </c>
      <c r="E24" s="36" t="s">
        <v>300</v>
      </c>
      <c r="F24" s="36" t="s">
        <v>320</v>
      </c>
      <c r="G24" s="36"/>
      <c r="H24" s="36"/>
      <c r="I24" s="36"/>
      <c r="J24" s="36"/>
      <c r="K24" s="36"/>
      <c r="L24" s="36">
        <v>2</v>
      </c>
      <c r="M24" s="36" t="s">
        <v>221</v>
      </c>
      <c r="N24" s="36" t="s">
        <v>322</v>
      </c>
      <c r="O24" s="3">
        <v>120</v>
      </c>
      <c r="P24" s="36">
        <f t="shared" si="0"/>
        <v>1.6666666666666667</v>
      </c>
      <c r="Q24" s="65">
        <v>6166.1908760830775</v>
      </c>
      <c r="R24" s="8">
        <f t="shared" si="1"/>
        <v>102.76984793471796</v>
      </c>
      <c r="S24" s="36">
        <v>6166.1908760830775</v>
      </c>
      <c r="T24" s="8">
        <f t="shared" si="2"/>
        <v>1.6666666666666667</v>
      </c>
      <c r="U24" s="109"/>
      <c r="V24" s="36">
        <v>250</v>
      </c>
      <c r="W24" s="36" t="s">
        <v>222</v>
      </c>
      <c r="X24" s="36"/>
      <c r="Y24" s="36"/>
      <c r="Z24" s="3"/>
      <c r="AA24" s="3"/>
      <c r="AB24" s="3"/>
      <c r="AC24" s="3"/>
      <c r="AD24" s="3"/>
      <c r="AE24" s="3"/>
    </row>
    <row r="25" spans="1:31" ht="20.25" customHeight="1">
      <c r="A25" s="71">
        <v>41422</v>
      </c>
      <c r="B25" s="35" t="s">
        <v>144</v>
      </c>
      <c r="C25" s="164">
        <v>2013</v>
      </c>
      <c r="D25" s="51">
        <v>5</v>
      </c>
      <c r="E25" s="3" t="s">
        <v>223</v>
      </c>
      <c r="F25" s="3" t="s">
        <v>224</v>
      </c>
      <c r="G25" s="3" t="s">
        <v>225</v>
      </c>
      <c r="H25" s="3" t="s">
        <v>226</v>
      </c>
      <c r="I25" s="3"/>
      <c r="J25" s="3"/>
      <c r="K25" s="3"/>
      <c r="L25" s="3">
        <v>3</v>
      </c>
      <c r="M25" s="3" t="s">
        <v>508</v>
      </c>
      <c r="N25" s="36" t="s">
        <v>600</v>
      </c>
      <c r="O25" s="3">
        <v>120</v>
      </c>
      <c r="P25" s="3">
        <f t="shared" si="0"/>
        <v>2.5</v>
      </c>
      <c r="Q25" s="65">
        <v>6166.1908760830775</v>
      </c>
      <c r="R25" s="8">
        <f t="shared" si="1"/>
        <v>154.15477190207696</v>
      </c>
      <c r="S25" s="36">
        <v>6166.1908760830775</v>
      </c>
      <c r="T25" s="8">
        <f t="shared" si="2"/>
        <v>2.5000000000000004</v>
      </c>
      <c r="U25" s="109"/>
      <c r="V25" s="3">
        <v>250</v>
      </c>
      <c r="W25" s="3" t="s">
        <v>222</v>
      </c>
      <c r="X25" s="3"/>
      <c r="Y25" s="36"/>
      <c r="Z25" s="3"/>
      <c r="AA25" s="3"/>
      <c r="AB25" s="3"/>
      <c r="AC25" s="3"/>
      <c r="AD25" s="3"/>
      <c r="AE25" s="3"/>
    </row>
    <row r="26" spans="1:31" ht="20.25" customHeight="1">
      <c r="A26" s="71">
        <v>41422</v>
      </c>
      <c r="B26" s="35" t="s">
        <v>144</v>
      </c>
      <c r="C26" s="164">
        <v>2013</v>
      </c>
      <c r="D26" s="51">
        <v>5</v>
      </c>
      <c r="E26" s="3" t="s">
        <v>223</v>
      </c>
      <c r="F26" s="3" t="s">
        <v>224</v>
      </c>
      <c r="G26" s="3" t="s">
        <v>225</v>
      </c>
      <c r="H26" s="3" t="s">
        <v>226</v>
      </c>
      <c r="I26" s="3" t="s">
        <v>235</v>
      </c>
      <c r="J26" s="3" t="s">
        <v>236</v>
      </c>
      <c r="K26" s="3" t="s">
        <v>237</v>
      </c>
      <c r="L26" s="3">
        <v>7</v>
      </c>
      <c r="M26" s="3" t="s">
        <v>247</v>
      </c>
      <c r="N26" s="3" t="s">
        <v>238</v>
      </c>
      <c r="O26" s="3">
        <v>120</v>
      </c>
      <c r="P26" s="3">
        <f t="shared" si="0"/>
        <v>5.833333333333333</v>
      </c>
      <c r="Q26" s="36">
        <v>6166.1908760830775</v>
      </c>
      <c r="R26" s="8">
        <f t="shared" si="1"/>
        <v>359.69446777151279</v>
      </c>
      <c r="S26" s="36">
        <v>6166.1908760830775</v>
      </c>
      <c r="T26" s="8">
        <f t="shared" si="2"/>
        <v>5.8333333333333321</v>
      </c>
      <c r="U26" s="109"/>
      <c r="V26" s="3">
        <v>250</v>
      </c>
      <c r="W26" s="3"/>
      <c r="X26" s="3"/>
      <c r="Y26" s="36"/>
      <c r="Z26" s="3"/>
      <c r="AA26" s="3"/>
      <c r="AB26" s="3"/>
      <c r="AC26" s="3"/>
      <c r="AD26" s="3"/>
      <c r="AE26" s="3"/>
    </row>
    <row r="27" spans="1:31" ht="20.25" customHeight="1">
      <c r="A27" s="71">
        <v>41422</v>
      </c>
      <c r="B27" s="72" t="s">
        <v>144</v>
      </c>
      <c r="C27" s="168">
        <v>2013</v>
      </c>
      <c r="D27" s="51">
        <v>5</v>
      </c>
      <c r="E27" s="51" t="s">
        <v>223</v>
      </c>
      <c r="F27" s="51" t="s">
        <v>224</v>
      </c>
      <c r="G27" s="51" t="s">
        <v>225</v>
      </c>
      <c r="H27" s="51" t="s">
        <v>226</v>
      </c>
      <c r="I27" s="51" t="s">
        <v>239</v>
      </c>
      <c r="J27" s="3" t="s">
        <v>240</v>
      </c>
      <c r="K27" s="3"/>
      <c r="L27" s="3">
        <v>22</v>
      </c>
      <c r="M27" s="3" t="s">
        <v>229</v>
      </c>
      <c r="N27" s="3" t="s">
        <v>240</v>
      </c>
      <c r="O27" s="3">
        <v>120</v>
      </c>
      <c r="P27" s="3">
        <f t="shared" si="0"/>
        <v>18.333333333333332</v>
      </c>
      <c r="Q27" s="36">
        <v>6166.1908760830775</v>
      </c>
      <c r="R27" s="8">
        <f t="shared" si="1"/>
        <v>1130.4683272818975</v>
      </c>
      <c r="S27" s="36">
        <v>6166.1908760830775</v>
      </c>
      <c r="T27" s="8">
        <f t="shared" si="2"/>
        <v>18.333333333333332</v>
      </c>
      <c r="U27" s="109"/>
      <c r="V27" s="3">
        <v>250</v>
      </c>
      <c r="W27" s="3" t="s">
        <v>242</v>
      </c>
      <c r="X27" s="3"/>
      <c r="Y27" s="41"/>
      <c r="Z27" s="3"/>
      <c r="AA27" s="3"/>
      <c r="AB27" s="3"/>
      <c r="AC27" s="3"/>
      <c r="AD27" s="3"/>
      <c r="AE27" s="3"/>
    </row>
    <row r="28" spans="1:31" ht="20.25" customHeight="1">
      <c r="A28" s="71">
        <v>41422</v>
      </c>
      <c r="B28" s="35" t="s">
        <v>144</v>
      </c>
      <c r="C28" s="168">
        <v>2013</v>
      </c>
      <c r="D28" s="51">
        <v>5</v>
      </c>
      <c r="E28" s="3" t="s">
        <v>223</v>
      </c>
      <c r="F28" s="3" t="s">
        <v>224</v>
      </c>
      <c r="G28" s="3" t="s">
        <v>225</v>
      </c>
      <c r="H28" s="3" t="s">
        <v>243</v>
      </c>
      <c r="I28" s="3" t="s">
        <v>244</v>
      </c>
      <c r="J28" s="3" t="s">
        <v>245</v>
      </c>
      <c r="K28" s="3" t="s">
        <v>246</v>
      </c>
      <c r="L28" s="3">
        <v>1</v>
      </c>
      <c r="M28" s="3" t="s">
        <v>247</v>
      </c>
      <c r="N28" s="3" t="s">
        <v>673</v>
      </c>
      <c r="O28" s="3">
        <v>120</v>
      </c>
      <c r="P28" s="3">
        <f t="shared" si="0"/>
        <v>0.83333333333333337</v>
      </c>
      <c r="Q28" s="36">
        <v>6166.1908760830775</v>
      </c>
      <c r="R28" s="8">
        <f t="shared" si="1"/>
        <v>51.384923967358979</v>
      </c>
      <c r="S28" s="65">
        <v>6166.1908760830775</v>
      </c>
      <c r="T28" s="8">
        <f t="shared" si="2"/>
        <v>0.83333333333333337</v>
      </c>
      <c r="U28" s="109"/>
      <c r="V28" s="3">
        <v>250</v>
      </c>
      <c r="W28" s="3"/>
      <c r="X28" s="3"/>
      <c r="Y28" s="36"/>
      <c r="Z28" s="3"/>
      <c r="AA28" s="3"/>
      <c r="AB28" s="3"/>
      <c r="AC28" s="3"/>
      <c r="AD28" s="3"/>
      <c r="AE28" s="3"/>
    </row>
    <row r="29" spans="1:31" ht="20.25" customHeight="1">
      <c r="A29" s="71">
        <v>41422</v>
      </c>
      <c r="B29" s="72" t="s">
        <v>144</v>
      </c>
      <c r="C29" s="168">
        <v>2013</v>
      </c>
      <c r="D29" s="51">
        <v>5</v>
      </c>
      <c r="E29" s="51" t="s">
        <v>223</v>
      </c>
      <c r="F29" s="51" t="s">
        <v>224</v>
      </c>
      <c r="G29" s="51" t="s">
        <v>225</v>
      </c>
      <c r="H29" s="51" t="s">
        <v>248</v>
      </c>
      <c r="I29" s="51" t="s">
        <v>249</v>
      </c>
      <c r="J29" s="3" t="s">
        <v>250</v>
      </c>
      <c r="K29" s="3" t="s">
        <v>251</v>
      </c>
      <c r="L29" s="3">
        <v>15</v>
      </c>
      <c r="M29" s="3" t="s">
        <v>247</v>
      </c>
      <c r="N29" s="3" t="s">
        <v>250</v>
      </c>
      <c r="O29" s="3">
        <v>120</v>
      </c>
      <c r="P29" s="3">
        <f t="shared" si="0"/>
        <v>12.5</v>
      </c>
      <c r="Q29" s="36">
        <v>6166.1908760830775</v>
      </c>
      <c r="R29" s="8">
        <f t="shared" si="1"/>
        <v>770.77385951038468</v>
      </c>
      <c r="S29" s="36">
        <v>6166.1908760830775</v>
      </c>
      <c r="T29" s="8">
        <f t="shared" si="2"/>
        <v>12.5</v>
      </c>
      <c r="U29" s="109"/>
      <c r="V29" s="3">
        <v>250</v>
      </c>
      <c r="W29" s="3"/>
      <c r="X29" s="3"/>
      <c r="Y29" s="36"/>
      <c r="Z29" s="3"/>
      <c r="AA29" s="3"/>
      <c r="AB29" s="3"/>
      <c r="AC29" s="3"/>
      <c r="AD29" s="3"/>
      <c r="AE29" s="3"/>
    </row>
    <row r="30" spans="1:31" s="70" customFormat="1" ht="20.25" customHeight="1">
      <c r="A30" s="71">
        <v>41422</v>
      </c>
      <c r="B30" s="72" t="s">
        <v>144</v>
      </c>
      <c r="C30" s="168">
        <v>2013</v>
      </c>
      <c r="D30" s="51">
        <v>5</v>
      </c>
      <c r="E30" s="3" t="s">
        <v>216</v>
      </c>
      <c r="F30" s="3" t="s">
        <v>217</v>
      </c>
      <c r="G30" s="3"/>
      <c r="H30" s="3"/>
      <c r="I30" s="3"/>
      <c r="J30" s="3" t="s">
        <v>219</v>
      </c>
      <c r="K30" s="3"/>
      <c r="L30" s="3">
        <v>3</v>
      </c>
      <c r="M30" s="36" t="s">
        <v>229</v>
      </c>
      <c r="N30" s="3" t="s">
        <v>219</v>
      </c>
      <c r="O30" s="3">
        <v>120</v>
      </c>
      <c r="P30" s="3">
        <f t="shared" si="0"/>
        <v>2.5</v>
      </c>
      <c r="Q30" s="36">
        <v>6166.1908760830775</v>
      </c>
      <c r="R30" s="8">
        <f t="shared" si="1"/>
        <v>154.15477190207696</v>
      </c>
      <c r="S30" s="36">
        <v>6166.1908760830775</v>
      </c>
      <c r="T30" s="8">
        <f t="shared" si="2"/>
        <v>2.5000000000000004</v>
      </c>
      <c r="U30" s="109"/>
      <c r="V30" s="3">
        <v>250</v>
      </c>
      <c r="W30" s="3"/>
      <c r="X30" s="3"/>
      <c r="Y30" s="36"/>
      <c r="Z30" s="67"/>
      <c r="AA30" s="67"/>
      <c r="AB30" s="67"/>
      <c r="AC30" s="67"/>
      <c r="AD30" s="67"/>
      <c r="AE30" s="67"/>
    </row>
    <row r="31" spans="1:31" ht="20.25" customHeight="1">
      <c r="A31" s="13">
        <v>41422</v>
      </c>
      <c r="B31" s="35" t="s">
        <v>144</v>
      </c>
      <c r="C31" s="168">
        <v>2013</v>
      </c>
      <c r="D31" s="51">
        <v>5</v>
      </c>
      <c r="E31" s="3" t="s">
        <v>223</v>
      </c>
      <c r="F31" s="3" t="s">
        <v>224</v>
      </c>
      <c r="G31" s="3" t="s">
        <v>225</v>
      </c>
      <c r="H31" s="3" t="s">
        <v>226</v>
      </c>
      <c r="I31" s="3" t="s">
        <v>253</v>
      </c>
      <c r="J31" s="3" t="s">
        <v>256</v>
      </c>
      <c r="K31" s="3"/>
      <c r="L31" s="3">
        <v>11</v>
      </c>
      <c r="M31" s="3" t="s">
        <v>229</v>
      </c>
      <c r="N31" s="3" t="s">
        <v>256</v>
      </c>
      <c r="O31" s="3">
        <v>120</v>
      </c>
      <c r="P31" s="3">
        <f t="shared" si="0"/>
        <v>9.1666666666666661</v>
      </c>
      <c r="Q31" s="36">
        <v>6166.1908760830775</v>
      </c>
      <c r="R31" s="8">
        <f t="shared" si="1"/>
        <v>565.23416364094874</v>
      </c>
      <c r="S31" s="36">
        <v>6166.1908760830775</v>
      </c>
      <c r="T31" s="8">
        <f t="shared" si="2"/>
        <v>9.1666666666666661</v>
      </c>
      <c r="U31" s="109"/>
      <c r="V31" s="3">
        <v>250</v>
      </c>
      <c r="W31" s="3" t="s">
        <v>257</v>
      </c>
      <c r="X31" s="3"/>
      <c r="Y31" s="36"/>
      <c r="Z31" s="3"/>
      <c r="AA31" s="3"/>
      <c r="AB31" s="3"/>
      <c r="AC31" s="3"/>
      <c r="AD31" s="3"/>
      <c r="AE31" s="3"/>
    </row>
    <row r="32" spans="1:31" ht="20.25" customHeight="1">
      <c r="A32" s="71">
        <v>41422</v>
      </c>
      <c r="B32" s="35" t="s">
        <v>144</v>
      </c>
      <c r="C32" s="168">
        <v>2013</v>
      </c>
      <c r="D32" s="51">
        <v>5</v>
      </c>
      <c r="E32" s="51" t="s">
        <v>223</v>
      </c>
      <c r="F32" s="51" t="s">
        <v>224</v>
      </c>
      <c r="G32" s="51" t="s">
        <v>225</v>
      </c>
      <c r="H32" s="51" t="s">
        <v>226</v>
      </c>
      <c r="I32" s="51" t="s">
        <v>239</v>
      </c>
      <c r="J32" s="51" t="s">
        <v>258</v>
      </c>
      <c r="K32" s="3" t="s">
        <v>259</v>
      </c>
      <c r="L32" s="3">
        <v>1</v>
      </c>
      <c r="M32" s="3" t="s">
        <v>247</v>
      </c>
      <c r="N32" s="3" t="s">
        <v>260</v>
      </c>
      <c r="O32" s="3">
        <v>120</v>
      </c>
      <c r="P32" s="3">
        <f t="shared" si="0"/>
        <v>0.83333333333333337</v>
      </c>
      <c r="Q32" s="36">
        <v>6166.1908760830775</v>
      </c>
      <c r="R32" s="8">
        <f t="shared" si="1"/>
        <v>51.384923967358979</v>
      </c>
      <c r="S32" s="36">
        <v>6166.1908760830775</v>
      </c>
      <c r="T32" s="8">
        <f t="shared" si="2"/>
        <v>0.83333333333333337</v>
      </c>
      <c r="U32" s="109"/>
      <c r="V32" s="3">
        <v>250</v>
      </c>
      <c r="W32" s="3"/>
      <c r="X32" s="3"/>
      <c r="Y32" s="36"/>
      <c r="Z32" s="3"/>
      <c r="AA32" s="3"/>
      <c r="AB32" s="3"/>
      <c r="AC32" s="3"/>
      <c r="AD32" s="3"/>
      <c r="AE32" s="3"/>
    </row>
    <row r="33" spans="1:31" ht="20.25" customHeight="1">
      <c r="A33" s="71">
        <v>41422</v>
      </c>
      <c r="B33" s="35" t="s">
        <v>144</v>
      </c>
      <c r="C33" s="168">
        <v>2013</v>
      </c>
      <c r="D33" s="51">
        <v>5</v>
      </c>
      <c r="E33" s="51" t="s">
        <v>223</v>
      </c>
      <c r="F33" s="51" t="s">
        <v>224</v>
      </c>
      <c r="G33" s="51" t="s">
        <v>225</v>
      </c>
      <c r="H33" s="51" t="s">
        <v>226</v>
      </c>
      <c r="I33" s="51" t="s">
        <v>261</v>
      </c>
      <c r="J33" s="3" t="s">
        <v>262</v>
      </c>
      <c r="K33" s="3" t="s">
        <v>263</v>
      </c>
      <c r="L33" s="3">
        <v>5</v>
      </c>
      <c r="M33" s="3" t="s">
        <v>247</v>
      </c>
      <c r="N33" s="3" t="s">
        <v>264</v>
      </c>
      <c r="O33" s="3">
        <v>120</v>
      </c>
      <c r="P33" s="3">
        <f t="shared" si="0"/>
        <v>4.1666666666666661</v>
      </c>
      <c r="Q33" s="36">
        <v>6166.1908760830775</v>
      </c>
      <c r="R33" s="8">
        <f t="shared" si="1"/>
        <v>256.92461983679482</v>
      </c>
      <c r="S33" s="36">
        <v>6166.1908760830775</v>
      </c>
      <c r="T33" s="8">
        <f t="shared" si="2"/>
        <v>4.1666666666666661</v>
      </c>
      <c r="U33" s="109"/>
      <c r="V33" s="3">
        <v>250</v>
      </c>
      <c r="W33" s="3"/>
      <c r="X33" s="3"/>
      <c r="Y33" s="36"/>
      <c r="Z33" s="3"/>
      <c r="AA33" s="3"/>
      <c r="AB33" s="3"/>
      <c r="AC33" s="3"/>
      <c r="AD33" s="3"/>
      <c r="AE33" s="3"/>
    </row>
    <row r="34" spans="1:31" ht="20.25" customHeight="1">
      <c r="A34" s="71">
        <v>41422</v>
      </c>
      <c r="B34" s="35" t="s">
        <v>144</v>
      </c>
      <c r="C34" s="168">
        <v>2013</v>
      </c>
      <c r="D34" s="51">
        <v>4</v>
      </c>
      <c r="E34" s="51" t="s">
        <v>223</v>
      </c>
      <c r="F34" s="51" t="s">
        <v>224</v>
      </c>
      <c r="G34" s="51" t="s">
        <v>225</v>
      </c>
      <c r="H34" s="51" t="s">
        <v>226</v>
      </c>
      <c r="I34" s="51" t="s">
        <v>227</v>
      </c>
      <c r="J34" s="3" t="s">
        <v>228</v>
      </c>
      <c r="K34" s="3"/>
      <c r="L34" s="3">
        <v>11</v>
      </c>
      <c r="M34" s="3" t="s">
        <v>229</v>
      </c>
      <c r="N34" s="3" t="s">
        <v>228</v>
      </c>
      <c r="O34" s="3">
        <v>106</v>
      </c>
      <c r="P34" s="3">
        <f t="shared" si="0"/>
        <v>10.377358490566039</v>
      </c>
      <c r="Q34" s="65">
        <v>6895.0344881135716</v>
      </c>
      <c r="R34" s="8">
        <f t="shared" si="1"/>
        <v>715.52244687971029</v>
      </c>
      <c r="S34" s="36">
        <v>6905.2203806524103</v>
      </c>
      <c r="T34" s="8">
        <f t="shared" si="2"/>
        <v>10.362050846118066</v>
      </c>
      <c r="U34" s="109">
        <f>SUM(T36+T38+T45)</f>
        <v>14.130069335615545</v>
      </c>
      <c r="V34" s="3">
        <v>250</v>
      </c>
      <c r="W34" s="3" t="s">
        <v>230</v>
      </c>
      <c r="X34" s="3"/>
      <c r="Y34" s="36"/>
      <c r="Z34" s="3"/>
      <c r="AA34" s="3"/>
      <c r="AB34" s="3"/>
      <c r="AC34" s="3"/>
      <c r="AD34" s="3"/>
      <c r="AE34" s="3"/>
    </row>
    <row r="35" spans="1:31" ht="20.25" customHeight="1">
      <c r="A35" s="35">
        <v>41422</v>
      </c>
      <c r="B35" s="35" t="s">
        <v>144</v>
      </c>
      <c r="C35" s="168">
        <v>2013</v>
      </c>
      <c r="D35" s="65">
        <v>4</v>
      </c>
      <c r="E35" s="65" t="s">
        <v>223</v>
      </c>
      <c r="F35" s="65" t="s">
        <v>267</v>
      </c>
      <c r="G35" s="65" t="s">
        <v>268</v>
      </c>
      <c r="H35" s="65" t="s">
        <v>269</v>
      </c>
      <c r="I35" s="65"/>
      <c r="J35" s="36" t="s">
        <v>270</v>
      </c>
      <c r="K35" s="36"/>
      <c r="L35" s="36">
        <v>24</v>
      </c>
      <c r="M35" s="36" t="s">
        <v>229</v>
      </c>
      <c r="N35" s="36" t="s">
        <v>270</v>
      </c>
      <c r="O35" s="36">
        <v>88</v>
      </c>
      <c r="P35" s="36">
        <f t="shared" si="0"/>
        <v>27.27272727272727</v>
      </c>
      <c r="Q35" s="36">
        <v>10.185892538833855</v>
      </c>
      <c r="R35" s="40">
        <f t="shared" si="1"/>
        <v>2.7779706924092329</v>
      </c>
      <c r="S35" s="65">
        <v>6905.2203806524058</v>
      </c>
      <c r="T35" s="40">
        <f t="shared" si="2"/>
        <v>4.0230007722748019E-2</v>
      </c>
      <c r="U35" s="110"/>
      <c r="V35" s="36">
        <v>1000</v>
      </c>
      <c r="W35" s="36" t="s">
        <v>286</v>
      </c>
      <c r="X35" s="36"/>
      <c r="Y35" s="36"/>
      <c r="Z35" s="3"/>
      <c r="AA35" s="3"/>
      <c r="AB35" s="3"/>
      <c r="AC35" s="3"/>
      <c r="AD35" s="3"/>
      <c r="AE35" s="3"/>
    </row>
    <row r="36" spans="1:31" ht="20.25" customHeight="1">
      <c r="A36" s="71">
        <v>41422</v>
      </c>
      <c r="B36" s="35" t="s">
        <v>144</v>
      </c>
      <c r="C36" s="168">
        <v>2013</v>
      </c>
      <c r="D36" s="51">
        <v>4</v>
      </c>
      <c r="E36" s="51" t="s">
        <v>223</v>
      </c>
      <c r="F36" s="51" t="s">
        <v>303</v>
      </c>
      <c r="G36" s="51" t="s">
        <v>304</v>
      </c>
      <c r="H36" s="51" t="s">
        <v>305</v>
      </c>
      <c r="I36" s="51" t="s">
        <v>306</v>
      </c>
      <c r="J36" s="51" t="s">
        <v>307</v>
      </c>
      <c r="K36" s="51"/>
      <c r="L36" s="51">
        <v>4</v>
      </c>
      <c r="M36" s="51" t="s">
        <v>229</v>
      </c>
      <c r="N36" s="51" t="s">
        <v>307</v>
      </c>
      <c r="O36" s="3">
        <v>106</v>
      </c>
      <c r="P36" s="3">
        <f t="shared" si="0"/>
        <v>3.7735849056603774</v>
      </c>
      <c r="Q36" s="65">
        <v>6895.0344881135716</v>
      </c>
      <c r="R36" s="8">
        <f t="shared" si="1"/>
        <v>260.18998068353102</v>
      </c>
      <c r="S36" s="36">
        <v>6905.2203806524103</v>
      </c>
      <c r="T36" s="8">
        <f t="shared" si="2"/>
        <v>3.7680184894974786</v>
      </c>
      <c r="U36" s="109"/>
      <c r="V36" s="3">
        <v>250</v>
      </c>
      <c r="W36" s="36" t="s">
        <v>308</v>
      </c>
      <c r="X36" s="3"/>
      <c r="Y36" s="36"/>
      <c r="Z36" s="3"/>
      <c r="AA36" s="3"/>
      <c r="AB36" s="3"/>
      <c r="AC36" s="3"/>
      <c r="AD36" s="3"/>
      <c r="AE36" s="3"/>
    </row>
    <row r="37" spans="1:31" ht="20.25" customHeight="1">
      <c r="A37" s="72">
        <v>41422</v>
      </c>
      <c r="B37" s="72" t="s">
        <v>144</v>
      </c>
      <c r="C37" s="168">
        <v>2013</v>
      </c>
      <c r="D37" s="65">
        <v>4</v>
      </c>
      <c r="E37" s="65" t="s">
        <v>300</v>
      </c>
      <c r="F37" s="65" t="s">
        <v>320</v>
      </c>
      <c r="G37" s="65"/>
      <c r="H37" s="65"/>
      <c r="I37" s="65"/>
      <c r="J37" s="36"/>
      <c r="K37" s="36"/>
      <c r="L37" s="36">
        <v>1</v>
      </c>
      <c r="M37" s="36" t="s">
        <v>221</v>
      </c>
      <c r="N37" s="36" t="s">
        <v>322</v>
      </c>
      <c r="O37" s="3">
        <v>106</v>
      </c>
      <c r="P37" s="36">
        <f t="shared" si="0"/>
        <v>0.94339622641509435</v>
      </c>
      <c r="Q37" s="65">
        <v>6895.0344881135716</v>
      </c>
      <c r="R37" s="8">
        <f t="shared" si="1"/>
        <v>65.047495170882755</v>
      </c>
      <c r="S37" s="36">
        <v>6905.2203806524103</v>
      </c>
      <c r="T37" s="8">
        <f t="shared" si="2"/>
        <v>0.94200462237436966</v>
      </c>
      <c r="U37" s="109"/>
      <c r="V37" s="36">
        <v>250</v>
      </c>
      <c r="W37" s="36" t="s">
        <v>222</v>
      </c>
      <c r="X37" s="36"/>
      <c r="Y37" s="36"/>
      <c r="Z37" s="3"/>
      <c r="AA37" s="3"/>
      <c r="AB37" s="3"/>
      <c r="AC37" s="3"/>
      <c r="AD37" s="3"/>
      <c r="AE37" s="3"/>
    </row>
    <row r="38" spans="1:31" ht="20.25" customHeight="1">
      <c r="A38" s="13">
        <v>41422</v>
      </c>
      <c r="B38" s="35" t="s">
        <v>144</v>
      </c>
      <c r="C38" s="168">
        <v>2013</v>
      </c>
      <c r="D38" s="51">
        <v>4</v>
      </c>
      <c r="E38" s="3" t="s">
        <v>295</v>
      </c>
      <c r="F38" s="3" t="s">
        <v>296</v>
      </c>
      <c r="G38" s="3"/>
      <c r="H38" s="3" t="s">
        <v>297</v>
      </c>
      <c r="I38" s="3" t="s">
        <v>298</v>
      </c>
      <c r="J38" s="3" t="s">
        <v>299</v>
      </c>
      <c r="K38" s="3"/>
      <c r="L38" s="3">
        <v>1</v>
      </c>
      <c r="M38" s="3" t="s">
        <v>229</v>
      </c>
      <c r="N38" s="3" t="s">
        <v>479</v>
      </c>
      <c r="O38" s="3">
        <v>106</v>
      </c>
      <c r="P38" s="3">
        <f t="shared" si="0"/>
        <v>0.94339622641509435</v>
      </c>
      <c r="Q38" s="65">
        <v>6895.0344881135716</v>
      </c>
      <c r="R38" s="8">
        <f t="shared" si="1"/>
        <v>65.047495170882755</v>
      </c>
      <c r="S38" s="36">
        <v>6905.2203806524103</v>
      </c>
      <c r="T38" s="8">
        <f t="shared" si="2"/>
        <v>0.94200462237436966</v>
      </c>
      <c r="U38" s="109"/>
      <c r="V38" s="3">
        <v>250</v>
      </c>
      <c r="W38" s="3" t="s">
        <v>222</v>
      </c>
      <c r="X38" s="3"/>
      <c r="Y38" s="36"/>
      <c r="Z38" s="3"/>
      <c r="AA38" s="3"/>
      <c r="AB38" s="3"/>
      <c r="AC38" s="3"/>
      <c r="AD38" s="3"/>
      <c r="AE38" s="3"/>
    </row>
    <row r="39" spans="1:31" ht="20.25" customHeight="1">
      <c r="A39" s="13">
        <v>41422</v>
      </c>
      <c r="B39" s="35" t="s">
        <v>144</v>
      </c>
      <c r="C39" s="168">
        <v>2013</v>
      </c>
      <c r="D39" s="51">
        <v>4</v>
      </c>
      <c r="E39" s="3" t="s">
        <v>223</v>
      </c>
      <c r="F39" s="3" t="s">
        <v>224</v>
      </c>
      <c r="G39" s="3" t="s">
        <v>225</v>
      </c>
      <c r="H39" s="3" t="s">
        <v>226</v>
      </c>
      <c r="I39" s="3"/>
      <c r="J39" s="3"/>
      <c r="K39" s="3"/>
      <c r="L39" s="3">
        <v>11</v>
      </c>
      <c r="M39" s="3" t="s">
        <v>508</v>
      </c>
      <c r="N39" s="36" t="s">
        <v>600</v>
      </c>
      <c r="O39" s="3">
        <v>106</v>
      </c>
      <c r="P39" s="3">
        <f t="shared" si="0"/>
        <v>10.377358490566039</v>
      </c>
      <c r="Q39" s="65">
        <v>6895.0344881135716</v>
      </c>
      <c r="R39" s="8">
        <f t="shared" si="1"/>
        <v>715.52244687971029</v>
      </c>
      <c r="S39" s="36">
        <v>6905.2203806524103</v>
      </c>
      <c r="T39" s="8">
        <f t="shared" si="2"/>
        <v>10.362050846118066</v>
      </c>
      <c r="U39" s="109"/>
      <c r="V39" s="3">
        <v>250</v>
      </c>
      <c r="W39" s="3" t="s">
        <v>265</v>
      </c>
      <c r="X39" s="3"/>
      <c r="Y39" s="36"/>
      <c r="Z39" s="3"/>
      <c r="AA39" s="3"/>
      <c r="AB39" s="3"/>
      <c r="AC39" s="3"/>
      <c r="AD39" s="3"/>
      <c r="AE39" s="3"/>
    </row>
    <row r="40" spans="1:31" ht="20.25" customHeight="1">
      <c r="A40" s="13">
        <v>41422</v>
      </c>
      <c r="B40" s="35" t="s">
        <v>144</v>
      </c>
      <c r="C40" s="168">
        <v>2013</v>
      </c>
      <c r="D40" s="51">
        <v>4</v>
      </c>
      <c r="E40" s="3" t="s">
        <v>223</v>
      </c>
      <c r="F40" s="3" t="s">
        <v>224</v>
      </c>
      <c r="G40" s="3" t="s">
        <v>225</v>
      </c>
      <c r="H40" s="3" t="s">
        <v>226</v>
      </c>
      <c r="I40" s="3" t="s">
        <v>235</v>
      </c>
      <c r="J40" s="3" t="s">
        <v>236</v>
      </c>
      <c r="K40" s="3" t="s">
        <v>237</v>
      </c>
      <c r="L40" s="3">
        <v>1</v>
      </c>
      <c r="M40" s="3" t="s">
        <v>247</v>
      </c>
      <c r="N40" s="3" t="s">
        <v>238</v>
      </c>
      <c r="O40" s="3">
        <v>106</v>
      </c>
      <c r="P40" s="3">
        <f t="shared" si="0"/>
        <v>0.94339622641509435</v>
      </c>
      <c r="Q40" s="65">
        <v>6895.0344881135716</v>
      </c>
      <c r="R40" s="8">
        <f t="shared" si="1"/>
        <v>65.047495170882755</v>
      </c>
      <c r="S40" s="36">
        <v>6905.2203806524103</v>
      </c>
      <c r="T40" s="8">
        <f t="shared" si="2"/>
        <v>0.94200462237436966</v>
      </c>
      <c r="U40" s="109"/>
      <c r="V40" s="3">
        <v>250</v>
      </c>
      <c r="W40" s="3"/>
      <c r="X40" s="3"/>
      <c r="Y40" s="36"/>
      <c r="Z40" s="3"/>
      <c r="AA40" s="3"/>
      <c r="AB40" s="3"/>
      <c r="AC40" s="3"/>
      <c r="AD40" s="3"/>
      <c r="AE40" s="3"/>
    </row>
    <row r="41" spans="1:31" ht="20.25" customHeight="1">
      <c r="A41" s="13">
        <v>41422</v>
      </c>
      <c r="B41" s="35" t="s">
        <v>144</v>
      </c>
      <c r="C41" s="168">
        <v>2013</v>
      </c>
      <c r="D41" s="51">
        <v>4</v>
      </c>
      <c r="E41" s="3" t="s">
        <v>223</v>
      </c>
      <c r="F41" s="3" t="s">
        <v>310</v>
      </c>
      <c r="G41" s="3" t="s">
        <v>314</v>
      </c>
      <c r="H41" s="3" t="s">
        <v>311</v>
      </c>
      <c r="I41" s="3" t="s">
        <v>312</v>
      </c>
      <c r="J41" s="3" t="s">
        <v>313</v>
      </c>
      <c r="K41" s="3"/>
      <c r="L41" s="3">
        <v>4</v>
      </c>
      <c r="M41" s="3" t="s">
        <v>229</v>
      </c>
      <c r="N41" s="3" t="s">
        <v>345</v>
      </c>
      <c r="O41" s="3">
        <v>106</v>
      </c>
      <c r="P41" s="3">
        <f t="shared" si="0"/>
        <v>3.7735849056603774</v>
      </c>
      <c r="Q41" s="65">
        <v>6895.0344881135716</v>
      </c>
      <c r="R41" s="8">
        <f t="shared" si="1"/>
        <v>260.18998068353102</v>
      </c>
      <c r="S41" s="36">
        <v>6905.2203806524103</v>
      </c>
      <c r="T41" s="8">
        <f t="shared" si="2"/>
        <v>3.7680184894974786</v>
      </c>
      <c r="U41" s="109"/>
      <c r="V41" s="3">
        <v>250</v>
      </c>
      <c r="W41" s="3"/>
      <c r="X41" s="3"/>
      <c r="Y41" s="36"/>
      <c r="Z41" s="3"/>
      <c r="AA41" s="3"/>
      <c r="AB41" s="3"/>
      <c r="AC41" s="3"/>
      <c r="AD41" s="3"/>
      <c r="AE41" s="3"/>
    </row>
    <row r="42" spans="1:31" s="38" customFormat="1" ht="20.25" customHeight="1">
      <c r="A42" s="13">
        <v>41422</v>
      </c>
      <c r="B42" s="35" t="s">
        <v>144</v>
      </c>
      <c r="C42" s="168">
        <v>2013</v>
      </c>
      <c r="D42" s="51">
        <v>4</v>
      </c>
      <c r="E42" s="3" t="s">
        <v>223</v>
      </c>
      <c r="F42" s="3" t="s">
        <v>310</v>
      </c>
      <c r="G42" s="3" t="s">
        <v>314</v>
      </c>
      <c r="H42" s="3" t="s">
        <v>311</v>
      </c>
      <c r="I42" s="3" t="s">
        <v>315</v>
      </c>
      <c r="J42" s="3" t="s">
        <v>316</v>
      </c>
      <c r="K42" s="3"/>
      <c r="L42" s="3">
        <v>3</v>
      </c>
      <c r="M42" s="3" t="s">
        <v>229</v>
      </c>
      <c r="N42" s="3" t="s">
        <v>345</v>
      </c>
      <c r="O42" s="3">
        <v>106</v>
      </c>
      <c r="P42" s="3">
        <f t="shared" si="0"/>
        <v>2.8301886792452833</v>
      </c>
      <c r="Q42" s="65">
        <v>6895.0344881135716</v>
      </c>
      <c r="R42" s="8">
        <f t="shared" si="1"/>
        <v>195.14248551264828</v>
      </c>
      <c r="S42" s="36">
        <v>6905.2203806524103</v>
      </c>
      <c r="T42" s="8">
        <f t="shared" si="2"/>
        <v>2.8260138671231094</v>
      </c>
      <c r="U42" s="109"/>
      <c r="V42" s="3">
        <v>250</v>
      </c>
      <c r="W42" s="3"/>
      <c r="X42" s="3"/>
      <c r="Y42" s="36"/>
      <c r="Z42" s="36"/>
      <c r="AA42" s="36"/>
      <c r="AB42" s="36"/>
      <c r="AC42" s="36"/>
      <c r="AD42" s="36"/>
      <c r="AE42" s="36"/>
    </row>
    <row r="43" spans="1:31" s="38" customFormat="1" ht="20.25" customHeight="1">
      <c r="A43" s="13">
        <v>41422</v>
      </c>
      <c r="B43" s="72" t="s">
        <v>144</v>
      </c>
      <c r="C43" s="168">
        <v>2013</v>
      </c>
      <c r="D43" s="51">
        <v>4</v>
      </c>
      <c r="E43" s="51" t="s">
        <v>223</v>
      </c>
      <c r="F43" s="3" t="s">
        <v>224</v>
      </c>
      <c r="G43" s="3" t="s">
        <v>225</v>
      </c>
      <c r="H43" s="51" t="s">
        <v>226</v>
      </c>
      <c r="I43" s="51" t="s">
        <v>239</v>
      </c>
      <c r="J43" s="51" t="s">
        <v>240</v>
      </c>
      <c r="K43" s="3"/>
      <c r="L43" s="3">
        <v>22</v>
      </c>
      <c r="M43" s="3" t="s">
        <v>229</v>
      </c>
      <c r="N43" s="3" t="s">
        <v>240</v>
      </c>
      <c r="O43" s="3">
        <v>106</v>
      </c>
      <c r="P43" s="3">
        <f t="shared" si="0"/>
        <v>20.754716981132077</v>
      </c>
      <c r="Q43" s="65">
        <v>6895.0344881135716</v>
      </c>
      <c r="R43" s="8">
        <f t="shared" si="1"/>
        <v>1431.0448937594206</v>
      </c>
      <c r="S43" s="36">
        <v>6905.2203806524103</v>
      </c>
      <c r="T43" s="8">
        <f t="shared" si="2"/>
        <v>20.724101692236133</v>
      </c>
      <c r="U43" s="109"/>
      <c r="V43" s="3">
        <v>250</v>
      </c>
      <c r="W43" s="3" t="s">
        <v>241</v>
      </c>
      <c r="X43" s="3"/>
      <c r="Y43" s="36"/>
      <c r="Z43" s="36"/>
      <c r="AA43" s="36"/>
      <c r="AB43" s="36"/>
      <c r="AC43" s="36"/>
      <c r="AD43" s="36"/>
      <c r="AE43" s="36"/>
    </row>
    <row r="44" spans="1:31" s="38" customFormat="1" ht="20.25" customHeight="1">
      <c r="A44" s="35">
        <v>41422</v>
      </c>
      <c r="B44" s="35" t="s">
        <v>144</v>
      </c>
      <c r="C44" s="168">
        <v>2013</v>
      </c>
      <c r="D44" s="65">
        <v>4</v>
      </c>
      <c r="E44" s="65" t="s">
        <v>323</v>
      </c>
      <c r="F44" s="65" t="s">
        <v>324</v>
      </c>
      <c r="G44" s="65"/>
      <c r="H44" s="65" t="s">
        <v>325</v>
      </c>
      <c r="I44" s="65" t="s">
        <v>326</v>
      </c>
      <c r="J44" s="36"/>
      <c r="K44" s="36"/>
      <c r="L44" s="36">
        <v>13</v>
      </c>
      <c r="M44" s="36" t="s">
        <v>509</v>
      </c>
      <c r="N44" s="36" t="s">
        <v>327</v>
      </c>
      <c r="O44" s="36">
        <v>88</v>
      </c>
      <c r="P44" s="36">
        <f t="shared" si="0"/>
        <v>14.772727272727273</v>
      </c>
      <c r="Q44" s="36">
        <v>10.185892538833855</v>
      </c>
      <c r="R44" s="40">
        <f t="shared" si="1"/>
        <v>1.5047341250550013</v>
      </c>
      <c r="S44" s="36">
        <v>6905.2203806524058</v>
      </c>
      <c r="T44" s="40">
        <f t="shared" si="2"/>
        <v>2.1791254183155178E-2</v>
      </c>
      <c r="U44" s="110"/>
      <c r="V44" s="36">
        <v>1000</v>
      </c>
      <c r="W44" s="36"/>
      <c r="X44" s="36"/>
      <c r="Y44" s="36"/>
      <c r="Z44" s="36"/>
      <c r="AA44" s="36"/>
      <c r="AB44" s="36"/>
      <c r="AC44" s="36"/>
      <c r="AD44" s="36"/>
      <c r="AE44" s="36"/>
    </row>
    <row r="45" spans="1:31" s="38" customFormat="1" ht="20.25" customHeight="1">
      <c r="A45" s="13">
        <v>41422</v>
      </c>
      <c r="B45" s="35" t="s">
        <v>144</v>
      </c>
      <c r="C45" s="168">
        <v>2013</v>
      </c>
      <c r="D45" s="51">
        <v>4</v>
      </c>
      <c r="E45" s="3" t="s">
        <v>223</v>
      </c>
      <c r="F45" s="3" t="s">
        <v>224</v>
      </c>
      <c r="G45" s="3" t="s">
        <v>225</v>
      </c>
      <c r="H45" s="3" t="s">
        <v>243</v>
      </c>
      <c r="I45" s="3" t="s">
        <v>244</v>
      </c>
      <c r="J45" s="3" t="s">
        <v>245</v>
      </c>
      <c r="K45" s="3" t="s">
        <v>246</v>
      </c>
      <c r="L45" s="3">
        <v>10</v>
      </c>
      <c r="M45" s="3" t="s">
        <v>247</v>
      </c>
      <c r="N45" s="3" t="s">
        <v>673</v>
      </c>
      <c r="O45" s="3">
        <v>106</v>
      </c>
      <c r="P45" s="3">
        <f t="shared" si="0"/>
        <v>9.433962264150944</v>
      </c>
      <c r="Q45" s="65">
        <v>6895.0344881135716</v>
      </c>
      <c r="R45" s="8">
        <f t="shared" si="1"/>
        <v>650.47495170882758</v>
      </c>
      <c r="S45" s="65">
        <v>6905.2203806524103</v>
      </c>
      <c r="T45" s="8">
        <f t="shared" si="2"/>
        <v>9.4200462237436966</v>
      </c>
      <c r="U45" s="109"/>
      <c r="V45" s="3">
        <v>250</v>
      </c>
      <c r="W45" s="3"/>
      <c r="X45" s="3"/>
      <c r="Y45" s="36"/>
      <c r="Z45" s="36"/>
      <c r="AA45" s="36"/>
      <c r="AB45" s="36"/>
      <c r="AC45" s="36"/>
      <c r="AD45" s="36"/>
      <c r="AE45" s="36"/>
    </row>
    <row r="46" spans="1:31" ht="20.25" customHeight="1">
      <c r="A46" s="35">
        <v>41422</v>
      </c>
      <c r="B46" s="72" t="s">
        <v>144</v>
      </c>
      <c r="C46" s="168">
        <v>2013</v>
      </c>
      <c r="D46" s="65">
        <v>4</v>
      </c>
      <c r="E46" s="65" t="s">
        <v>223</v>
      </c>
      <c r="F46" s="65" t="s">
        <v>267</v>
      </c>
      <c r="G46" s="65" t="s">
        <v>278</v>
      </c>
      <c r="H46" s="65" t="s">
        <v>279</v>
      </c>
      <c r="I46" s="65" t="s">
        <v>280</v>
      </c>
      <c r="J46" s="36" t="s">
        <v>284</v>
      </c>
      <c r="K46" s="36" t="s">
        <v>285</v>
      </c>
      <c r="L46" s="36">
        <v>51</v>
      </c>
      <c r="M46" s="36" t="s">
        <v>247</v>
      </c>
      <c r="N46" s="36" t="s">
        <v>283</v>
      </c>
      <c r="O46" s="36">
        <v>88</v>
      </c>
      <c r="P46" s="36">
        <f t="shared" si="0"/>
        <v>57.95454545454546</v>
      </c>
      <c r="Q46" s="36">
        <v>10.185892538833855</v>
      </c>
      <c r="R46" s="40">
        <f t="shared" si="1"/>
        <v>5.9031877213696209</v>
      </c>
      <c r="S46" s="65">
        <v>6905.2203806524103</v>
      </c>
      <c r="T46" s="40">
        <f t="shared" si="2"/>
        <v>8.5488766410839495E-2</v>
      </c>
      <c r="U46" s="110"/>
      <c r="V46" s="36">
        <v>1000</v>
      </c>
      <c r="W46" s="36"/>
      <c r="X46" s="36"/>
      <c r="Y46" s="36"/>
      <c r="Z46" s="3"/>
      <c r="AA46" s="3"/>
      <c r="AB46" s="3"/>
      <c r="AC46" s="3"/>
      <c r="AD46" s="3"/>
      <c r="AE46" s="3"/>
    </row>
    <row r="47" spans="1:31" ht="20.25" customHeight="1">
      <c r="A47" s="71">
        <v>41422</v>
      </c>
      <c r="B47" s="35" t="s">
        <v>144</v>
      </c>
      <c r="C47" s="168">
        <v>2013</v>
      </c>
      <c r="D47" s="51">
        <v>4</v>
      </c>
      <c r="E47" s="51" t="s">
        <v>223</v>
      </c>
      <c r="F47" s="51" t="s">
        <v>224</v>
      </c>
      <c r="G47" s="51" t="s">
        <v>225</v>
      </c>
      <c r="H47" s="51" t="s">
        <v>248</v>
      </c>
      <c r="I47" s="51" t="s">
        <v>249</v>
      </c>
      <c r="J47" s="3" t="s">
        <v>250</v>
      </c>
      <c r="K47" s="3" t="s">
        <v>251</v>
      </c>
      <c r="L47" s="3">
        <v>18</v>
      </c>
      <c r="M47" s="3" t="s">
        <v>247</v>
      </c>
      <c r="N47" s="3" t="s">
        <v>250</v>
      </c>
      <c r="O47" s="3">
        <v>106</v>
      </c>
      <c r="P47" s="3">
        <f t="shared" si="0"/>
        <v>16.981132075471699</v>
      </c>
      <c r="Q47" s="65">
        <v>6895.0344881135716</v>
      </c>
      <c r="R47" s="8">
        <f t="shared" si="1"/>
        <v>1170.8549130758897</v>
      </c>
      <c r="S47" s="36">
        <v>6905.2203806524103</v>
      </c>
      <c r="T47" s="8">
        <f t="shared" si="2"/>
        <v>16.956083202738657</v>
      </c>
      <c r="U47" s="109"/>
      <c r="V47" s="3">
        <v>250</v>
      </c>
      <c r="W47" s="3"/>
      <c r="X47" s="3"/>
      <c r="Y47" s="36"/>
      <c r="Z47" s="3"/>
      <c r="AA47" s="3"/>
      <c r="AB47" s="3"/>
      <c r="AC47" s="3"/>
      <c r="AD47" s="3"/>
      <c r="AE47" s="3"/>
    </row>
    <row r="48" spans="1:31" ht="20.25" customHeight="1">
      <c r="A48" s="71">
        <v>41422</v>
      </c>
      <c r="B48" s="35" t="s">
        <v>144</v>
      </c>
      <c r="C48" s="168">
        <v>2013</v>
      </c>
      <c r="D48" s="51">
        <v>4</v>
      </c>
      <c r="E48" s="3" t="s">
        <v>216</v>
      </c>
      <c r="F48" s="3" t="s">
        <v>217</v>
      </c>
      <c r="G48" s="3"/>
      <c r="H48" s="3"/>
      <c r="I48" s="3"/>
      <c r="J48" s="3" t="s">
        <v>219</v>
      </c>
      <c r="K48" s="3"/>
      <c r="L48" s="3">
        <v>9</v>
      </c>
      <c r="M48" s="36" t="s">
        <v>229</v>
      </c>
      <c r="N48" s="3" t="s">
        <v>219</v>
      </c>
      <c r="O48" s="3">
        <v>106</v>
      </c>
      <c r="P48" s="3">
        <f t="shared" si="0"/>
        <v>8.4905660377358494</v>
      </c>
      <c r="Q48" s="36">
        <v>6895.0344881135716</v>
      </c>
      <c r="R48" s="8">
        <f t="shared" si="1"/>
        <v>585.42745653794486</v>
      </c>
      <c r="S48" s="36">
        <v>6905.2203806524103</v>
      </c>
      <c r="T48" s="8">
        <f t="shared" si="2"/>
        <v>8.4780416013693287</v>
      </c>
      <c r="U48" s="109"/>
      <c r="V48" s="3">
        <v>250</v>
      </c>
      <c r="W48" s="3" t="s">
        <v>222</v>
      </c>
      <c r="X48" s="3"/>
      <c r="Y48" s="36"/>
      <c r="Z48" s="3"/>
      <c r="AA48" s="3"/>
      <c r="AB48" s="3"/>
      <c r="AC48" s="3"/>
      <c r="AD48" s="3"/>
      <c r="AE48" s="3"/>
    </row>
    <row r="49" spans="1:31" ht="20.25" customHeight="1">
      <c r="A49" s="71">
        <v>41422</v>
      </c>
      <c r="B49" s="35" t="s">
        <v>144</v>
      </c>
      <c r="C49" s="168">
        <v>2013</v>
      </c>
      <c r="D49" s="51">
        <v>4</v>
      </c>
      <c r="E49" s="3" t="s">
        <v>223</v>
      </c>
      <c r="F49" s="3" t="s">
        <v>224</v>
      </c>
      <c r="G49" s="3" t="s">
        <v>225</v>
      </c>
      <c r="H49" s="3" t="s">
        <v>226</v>
      </c>
      <c r="I49" s="3" t="s">
        <v>253</v>
      </c>
      <c r="J49" s="3" t="s">
        <v>256</v>
      </c>
      <c r="K49" s="3"/>
      <c r="L49" s="3">
        <v>6</v>
      </c>
      <c r="M49" s="3" t="s">
        <v>229</v>
      </c>
      <c r="N49" s="3" t="s">
        <v>256</v>
      </c>
      <c r="O49" s="3">
        <v>106</v>
      </c>
      <c r="P49" s="3">
        <f t="shared" si="0"/>
        <v>5.6603773584905666</v>
      </c>
      <c r="Q49" s="36">
        <v>6895.0344881135716</v>
      </c>
      <c r="R49" s="8">
        <f t="shared" si="1"/>
        <v>390.28497102529656</v>
      </c>
      <c r="S49" s="36">
        <v>6905.2203806524103</v>
      </c>
      <c r="T49" s="8">
        <f t="shared" si="2"/>
        <v>5.6520277342462188</v>
      </c>
      <c r="U49" s="109"/>
      <c r="V49" s="3">
        <v>250</v>
      </c>
      <c r="W49" s="3" t="s">
        <v>255</v>
      </c>
      <c r="X49" s="3"/>
      <c r="Y49" s="36"/>
      <c r="Z49" s="3"/>
      <c r="AA49" s="3"/>
      <c r="AB49" s="3"/>
      <c r="AC49" s="3"/>
      <c r="AD49" s="3"/>
      <c r="AE49" s="3"/>
    </row>
    <row r="50" spans="1:31" ht="20.25" customHeight="1">
      <c r="A50" s="71">
        <v>41422</v>
      </c>
      <c r="B50" s="35" t="s">
        <v>144</v>
      </c>
      <c r="C50" s="168">
        <v>2013</v>
      </c>
      <c r="D50" s="51">
        <v>4</v>
      </c>
      <c r="E50" s="51" t="s">
        <v>223</v>
      </c>
      <c r="F50" s="3" t="s">
        <v>224</v>
      </c>
      <c r="G50" s="3" t="s">
        <v>225</v>
      </c>
      <c r="H50" s="51" t="s">
        <v>226</v>
      </c>
      <c r="I50" s="51" t="s">
        <v>239</v>
      </c>
      <c r="J50" s="51" t="s">
        <v>258</v>
      </c>
      <c r="K50" s="3" t="s">
        <v>259</v>
      </c>
      <c r="L50" s="3">
        <v>3</v>
      </c>
      <c r="M50" s="3" t="s">
        <v>247</v>
      </c>
      <c r="N50" s="3" t="s">
        <v>260</v>
      </c>
      <c r="O50" s="3">
        <v>106</v>
      </c>
      <c r="P50" s="3">
        <f t="shared" si="0"/>
        <v>2.8301886792452833</v>
      </c>
      <c r="Q50" s="36">
        <v>6895.0344881135716</v>
      </c>
      <c r="R50" s="8">
        <f t="shared" si="1"/>
        <v>195.14248551264828</v>
      </c>
      <c r="S50" s="36">
        <v>6905.2203806524103</v>
      </c>
      <c r="T50" s="8">
        <f t="shared" si="2"/>
        <v>2.8260138671231094</v>
      </c>
      <c r="U50" s="109"/>
      <c r="V50" s="3">
        <v>250</v>
      </c>
      <c r="W50" s="3"/>
      <c r="X50" s="3"/>
      <c r="Y50" s="36"/>
      <c r="Z50" s="3"/>
      <c r="AA50" s="3"/>
      <c r="AB50" s="3"/>
      <c r="AC50" s="3"/>
      <c r="AD50" s="3"/>
      <c r="AE50" s="3"/>
    </row>
    <row r="51" spans="1:31" ht="20.25" customHeight="1">
      <c r="A51" s="71">
        <v>41422</v>
      </c>
      <c r="B51" s="35" t="s">
        <v>144</v>
      </c>
      <c r="C51" s="168">
        <v>2013</v>
      </c>
      <c r="D51" s="51">
        <v>4</v>
      </c>
      <c r="E51" s="3" t="s">
        <v>223</v>
      </c>
      <c r="F51" s="3" t="s">
        <v>224</v>
      </c>
      <c r="G51" s="3" t="s">
        <v>225</v>
      </c>
      <c r="H51" s="3" t="s">
        <v>226</v>
      </c>
      <c r="I51" s="3" t="s">
        <v>261</v>
      </c>
      <c r="J51" s="3" t="s">
        <v>262</v>
      </c>
      <c r="K51" s="3" t="s">
        <v>263</v>
      </c>
      <c r="L51" s="3">
        <v>2</v>
      </c>
      <c r="M51" s="3" t="s">
        <v>247</v>
      </c>
      <c r="N51" s="3" t="s">
        <v>264</v>
      </c>
      <c r="O51" s="3">
        <v>106</v>
      </c>
      <c r="P51" s="3">
        <f t="shared" si="0"/>
        <v>1.8867924528301887</v>
      </c>
      <c r="Q51" s="36">
        <v>6895.0344881135716</v>
      </c>
      <c r="R51" s="8">
        <f t="shared" si="1"/>
        <v>130.09499034176551</v>
      </c>
      <c r="S51" s="36">
        <v>6905.2203806524103</v>
      </c>
      <c r="T51" s="8">
        <f t="shared" si="2"/>
        <v>1.8840092447487393</v>
      </c>
      <c r="U51" s="109"/>
      <c r="V51" s="3">
        <v>250</v>
      </c>
      <c r="W51" s="3"/>
      <c r="X51" s="3"/>
      <c r="Y51" s="36"/>
      <c r="Z51" s="3"/>
      <c r="AA51" s="3"/>
      <c r="AB51" s="3"/>
      <c r="AC51" s="3"/>
      <c r="AD51" s="3"/>
      <c r="AE51" s="3"/>
    </row>
    <row r="52" spans="1:31" ht="20.25" customHeight="1">
      <c r="A52" s="71">
        <v>41422</v>
      </c>
      <c r="B52" s="35" t="s">
        <v>144</v>
      </c>
      <c r="C52" s="168">
        <v>2013</v>
      </c>
      <c r="D52" s="51">
        <v>2</v>
      </c>
      <c r="E52" s="3" t="s">
        <v>223</v>
      </c>
      <c r="F52" s="3" t="s">
        <v>224</v>
      </c>
      <c r="G52" s="3" t="s">
        <v>225</v>
      </c>
      <c r="H52" s="3" t="s">
        <v>226</v>
      </c>
      <c r="I52" s="3" t="s">
        <v>227</v>
      </c>
      <c r="J52" s="3" t="s">
        <v>228</v>
      </c>
      <c r="K52" s="3"/>
      <c r="L52" s="3">
        <v>7</v>
      </c>
      <c r="M52" s="3" t="s">
        <v>229</v>
      </c>
      <c r="N52" s="3" t="s">
        <v>228</v>
      </c>
      <c r="O52" s="3">
        <v>40</v>
      </c>
      <c r="P52" s="3">
        <f t="shared" si="0"/>
        <v>17.5</v>
      </c>
      <c r="Q52" s="36">
        <v>1857.590134975994</v>
      </c>
      <c r="R52" s="8">
        <f t="shared" si="1"/>
        <v>325.07827362079894</v>
      </c>
      <c r="S52" s="36">
        <v>1858.46738887886</v>
      </c>
      <c r="T52" s="8">
        <f t="shared" si="2"/>
        <v>17.491739460486624</v>
      </c>
      <c r="U52" s="109"/>
      <c r="V52" s="3">
        <v>250</v>
      </c>
      <c r="W52" s="3" t="s">
        <v>230</v>
      </c>
      <c r="X52" s="3"/>
      <c r="Y52" s="36"/>
      <c r="Z52" s="3"/>
      <c r="AA52" s="3"/>
      <c r="AB52" s="3"/>
      <c r="AC52" s="3"/>
      <c r="AD52" s="3"/>
      <c r="AE52" s="3"/>
    </row>
    <row r="53" spans="1:31" ht="20.25" customHeight="1">
      <c r="A53" s="35">
        <v>41422</v>
      </c>
      <c r="B53" s="35" t="s">
        <v>144</v>
      </c>
      <c r="C53" s="168">
        <v>2013</v>
      </c>
      <c r="D53" s="65">
        <v>2</v>
      </c>
      <c r="E53" s="65" t="s">
        <v>223</v>
      </c>
      <c r="F53" s="65" t="s">
        <v>267</v>
      </c>
      <c r="G53" s="65" t="s">
        <v>268</v>
      </c>
      <c r="H53" s="65" t="s">
        <v>269</v>
      </c>
      <c r="I53" s="65"/>
      <c r="J53" s="36" t="s">
        <v>270</v>
      </c>
      <c r="K53" s="36"/>
      <c r="L53" s="36">
        <v>1</v>
      </c>
      <c r="M53" s="36" t="s">
        <v>229</v>
      </c>
      <c r="N53" s="36" t="s">
        <v>270</v>
      </c>
      <c r="O53" s="36">
        <v>40</v>
      </c>
      <c r="P53" s="36">
        <f t="shared" si="0"/>
        <v>2.5</v>
      </c>
      <c r="Q53" s="36">
        <v>1857.590134975994</v>
      </c>
      <c r="R53" s="53">
        <f t="shared" si="1"/>
        <v>46.439753374399857</v>
      </c>
      <c r="S53" s="36">
        <v>1858.46738887886</v>
      </c>
      <c r="T53" s="53">
        <f t="shared" si="2"/>
        <v>2.498819922926661</v>
      </c>
      <c r="U53" s="110"/>
      <c r="V53" s="36">
        <v>250</v>
      </c>
      <c r="W53" s="36" t="s">
        <v>271</v>
      </c>
      <c r="X53" s="36"/>
      <c r="Y53" s="36"/>
      <c r="Z53" s="3"/>
      <c r="AA53" s="3"/>
      <c r="AB53" s="3"/>
      <c r="AC53" s="3"/>
      <c r="AD53" s="3"/>
      <c r="AE53" s="3"/>
    </row>
    <row r="54" spans="1:31" s="38" customFormat="1" ht="20.25" customHeight="1">
      <c r="A54" s="35">
        <v>41422</v>
      </c>
      <c r="B54" s="72" t="s">
        <v>144</v>
      </c>
      <c r="C54" s="168">
        <v>2013</v>
      </c>
      <c r="D54" s="65">
        <v>2</v>
      </c>
      <c r="E54" s="65" t="s">
        <v>223</v>
      </c>
      <c r="F54" s="65" t="s">
        <v>303</v>
      </c>
      <c r="G54" s="65" t="s">
        <v>304</v>
      </c>
      <c r="H54" s="65" t="s">
        <v>305</v>
      </c>
      <c r="I54" s="65" t="s">
        <v>306</v>
      </c>
      <c r="J54" s="36" t="s">
        <v>307</v>
      </c>
      <c r="K54" s="36"/>
      <c r="L54" s="36">
        <v>3</v>
      </c>
      <c r="M54" s="36" t="s">
        <v>229</v>
      </c>
      <c r="N54" s="36" t="s">
        <v>307</v>
      </c>
      <c r="O54" s="36">
        <v>40</v>
      </c>
      <c r="P54" s="36">
        <f t="shared" si="0"/>
        <v>7.5</v>
      </c>
      <c r="Q54" s="36">
        <v>1857.590134975994</v>
      </c>
      <c r="R54" s="53">
        <f t="shared" si="1"/>
        <v>139.31926012319954</v>
      </c>
      <c r="S54" s="36">
        <v>1858.46738887886</v>
      </c>
      <c r="T54" s="53">
        <f t="shared" si="2"/>
        <v>7.4964597687799808</v>
      </c>
      <c r="U54" s="110"/>
      <c r="V54" s="36">
        <v>250</v>
      </c>
      <c r="W54" s="36" t="s">
        <v>308</v>
      </c>
      <c r="X54" s="36"/>
      <c r="Y54" s="36"/>
      <c r="Z54" s="36"/>
      <c r="AA54" s="36"/>
      <c r="AB54" s="36"/>
      <c r="AC54" s="36"/>
      <c r="AD54" s="36"/>
      <c r="AE54" s="36"/>
    </row>
    <row r="55" spans="1:31" s="38" customFormat="1" ht="20.25" customHeight="1">
      <c r="A55" s="72">
        <v>41422</v>
      </c>
      <c r="B55" s="72" t="s">
        <v>144</v>
      </c>
      <c r="C55" s="168">
        <v>2013</v>
      </c>
      <c r="D55" s="65">
        <v>2</v>
      </c>
      <c r="E55" s="36" t="s">
        <v>300</v>
      </c>
      <c r="F55" s="36" t="s">
        <v>320</v>
      </c>
      <c r="G55" s="36"/>
      <c r="H55" s="36"/>
      <c r="I55" s="36"/>
      <c r="J55" s="36" t="s">
        <v>321</v>
      </c>
      <c r="K55" s="36"/>
      <c r="L55" s="36">
        <v>2</v>
      </c>
      <c r="M55" s="36" t="s">
        <v>221</v>
      </c>
      <c r="N55" s="36" t="s">
        <v>322</v>
      </c>
      <c r="O55" s="36">
        <v>40</v>
      </c>
      <c r="P55" s="36">
        <f t="shared" si="0"/>
        <v>5</v>
      </c>
      <c r="Q55" s="36">
        <v>1857.590134975994</v>
      </c>
      <c r="R55" s="53">
        <f t="shared" si="1"/>
        <v>92.879506748799713</v>
      </c>
      <c r="S55" s="36">
        <v>1858.46738887886</v>
      </c>
      <c r="T55" s="53">
        <f t="shared" si="2"/>
        <v>4.997639845853322</v>
      </c>
      <c r="U55" s="110"/>
      <c r="V55" s="36">
        <v>250</v>
      </c>
      <c r="W55" s="36" t="s">
        <v>222</v>
      </c>
      <c r="X55" s="36"/>
      <c r="Y55" s="36"/>
      <c r="Z55" s="36"/>
      <c r="AA55" s="36"/>
      <c r="AB55" s="36"/>
      <c r="AC55" s="36"/>
      <c r="AD55" s="36"/>
      <c r="AE55" s="36"/>
    </row>
    <row r="56" spans="1:31" s="38" customFormat="1" ht="20.25" customHeight="1">
      <c r="A56" s="72">
        <v>41422</v>
      </c>
      <c r="B56" s="35" t="s">
        <v>144</v>
      </c>
      <c r="C56" s="168">
        <v>2013</v>
      </c>
      <c r="D56" s="65">
        <v>2</v>
      </c>
      <c r="E56" s="36" t="s">
        <v>223</v>
      </c>
      <c r="F56" s="36" t="s">
        <v>317</v>
      </c>
      <c r="G56" s="36"/>
      <c r="H56" s="36" t="s">
        <v>311</v>
      </c>
      <c r="I56" s="36" t="s">
        <v>318</v>
      </c>
      <c r="J56" s="36" t="s">
        <v>319</v>
      </c>
      <c r="K56" s="36"/>
      <c r="L56" s="36">
        <v>11</v>
      </c>
      <c r="M56" s="36" t="s">
        <v>229</v>
      </c>
      <c r="N56" s="36" t="s">
        <v>345</v>
      </c>
      <c r="O56" s="36">
        <v>40</v>
      </c>
      <c r="P56" s="36">
        <f t="shared" si="0"/>
        <v>27.500000000000004</v>
      </c>
      <c r="Q56" s="36">
        <v>1857.590134975994</v>
      </c>
      <c r="R56" s="53">
        <f t="shared" si="1"/>
        <v>510.83728711839842</v>
      </c>
      <c r="S56" s="36">
        <v>1858.46738887886</v>
      </c>
      <c r="T56" s="53">
        <f t="shared" si="2"/>
        <v>27.48701915219327</v>
      </c>
      <c r="U56" s="110"/>
      <c r="V56" s="36">
        <v>250</v>
      </c>
      <c r="W56" s="36" t="s">
        <v>271</v>
      </c>
      <c r="X56" s="36"/>
      <c r="Y56" s="36"/>
      <c r="Z56" s="36"/>
      <c r="AA56" s="36"/>
      <c r="AB56" s="36"/>
      <c r="AC56" s="36"/>
      <c r="AD56" s="36"/>
      <c r="AE56" s="36"/>
    </row>
    <row r="57" spans="1:31" s="38" customFormat="1" ht="20.25" customHeight="1">
      <c r="A57" s="71">
        <v>41422</v>
      </c>
      <c r="B57" s="35" t="s">
        <v>144</v>
      </c>
      <c r="C57" s="168">
        <v>2013</v>
      </c>
      <c r="D57" s="51">
        <v>2</v>
      </c>
      <c r="E57" s="3" t="s">
        <v>223</v>
      </c>
      <c r="F57" s="3" t="s">
        <v>310</v>
      </c>
      <c r="G57" s="3"/>
      <c r="H57" s="3" t="s">
        <v>311</v>
      </c>
      <c r="I57" s="3" t="s">
        <v>312</v>
      </c>
      <c r="J57" s="3" t="s">
        <v>313</v>
      </c>
      <c r="K57" s="3"/>
      <c r="L57" s="3">
        <v>2</v>
      </c>
      <c r="M57" s="3" t="s">
        <v>229</v>
      </c>
      <c r="N57" s="3" t="s">
        <v>345</v>
      </c>
      <c r="O57" s="3">
        <v>40</v>
      </c>
      <c r="P57" s="3">
        <f t="shared" si="0"/>
        <v>5</v>
      </c>
      <c r="Q57" s="65">
        <v>1857.590134975994</v>
      </c>
      <c r="R57" s="8">
        <f t="shared" si="1"/>
        <v>92.879506748799713</v>
      </c>
      <c r="S57" s="36">
        <v>1858.46738887886</v>
      </c>
      <c r="T57" s="8">
        <f t="shared" si="2"/>
        <v>4.997639845853322</v>
      </c>
      <c r="U57" s="109"/>
      <c r="V57" s="3">
        <v>250</v>
      </c>
      <c r="W57" s="3"/>
      <c r="X57" s="3"/>
      <c r="Y57" s="36"/>
      <c r="Z57" s="36"/>
      <c r="AA57" s="36"/>
      <c r="AB57" s="36"/>
      <c r="AC57" s="36"/>
      <c r="AD57" s="36"/>
      <c r="AE57" s="36"/>
    </row>
    <row r="58" spans="1:31" s="38" customFormat="1" ht="20.25" customHeight="1">
      <c r="A58" s="71">
        <v>41422</v>
      </c>
      <c r="B58" s="72" t="s">
        <v>144</v>
      </c>
      <c r="C58" s="168">
        <v>2013</v>
      </c>
      <c r="D58" s="51">
        <v>2</v>
      </c>
      <c r="E58" s="3" t="s">
        <v>223</v>
      </c>
      <c r="F58" s="3" t="s">
        <v>224</v>
      </c>
      <c r="G58" s="3" t="s">
        <v>225</v>
      </c>
      <c r="H58" s="3" t="s">
        <v>226</v>
      </c>
      <c r="I58" s="3" t="s">
        <v>239</v>
      </c>
      <c r="J58" s="3" t="s">
        <v>240</v>
      </c>
      <c r="K58" s="3"/>
      <c r="L58" s="3">
        <v>3</v>
      </c>
      <c r="M58" s="3" t="s">
        <v>229</v>
      </c>
      <c r="N58" s="3" t="s">
        <v>240</v>
      </c>
      <c r="O58" s="3">
        <v>40</v>
      </c>
      <c r="P58" s="3">
        <f t="shared" si="0"/>
        <v>7.5</v>
      </c>
      <c r="Q58" s="65">
        <v>1857.590134975994</v>
      </c>
      <c r="R58" s="8">
        <f t="shared" si="1"/>
        <v>139.31926012319954</v>
      </c>
      <c r="S58" s="36">
        <v>1858.46738887886</v>
      </c>
      <c r="T58" s="8">
        <f t="shared" si="2"/>
        <v>7.4964597687799808</v>
      </c>
      <c r="U58" s="109"/>
      <c r="V58" s="3">
        <v>250</v>
      </c>
      <c r="W58" s="3" t="s">
        <v>241</v>
      </c>
      <c r="X58" s="3"/>
      <c r="Y58" s="36"/>
      <c r="Z58" s="36"/>
      <c r="AA58" s="36"/>
      <c r="AB58" s="36"/>
      <c r="AC58" s="36"/>
      <c r="AD58" s="36"/>
      <c r="AE58" s="36"/>
    </row>
    <row r="59" spans="1:31" s="38" customFormat="1" ht="20.25" customHeight="1">
      <c r="A59" s="35">
        <v>41422</v>
      </c>
      <c r="B59" s="35" t="s">
        <v>144</v>
      </c>
      <c r="C59" s="168">
        <v>2013</v>
      </c>
      <c r="D59" s="65">
        <v>2</v>
      </c>
      <c r="E59" s="36" t="s">
        <v>323</v>
      </c>
      <c r="F59" s="36" t="s">
        <v>324</v>
      </c>
      <c r="G59" s="36"/>
      <c r="H59" s="36" t="s">
        <v>325</v>
      </c>
      <c r="I59" s="36" t="s">
        <v>326</v>
      </c>
      <c r="J59" s="36" t="s">
        <v>327</v>
      </c>
      <c r="K59" s="36"/>
      <c r="L59" s="36">
        <v>4</v>
      </c>
      <c r="M59" s="36" t="s">
        <v>229</v>
      </c>
      <c r="N59" s="36" t="s">
        <v>327</v>
      </c>
      <c r="O59" s="36">
        <v>8</v>
      </c>
      <c r="P59" s="36">
        <f t="shared" si="0"/>
        <v>50</v>
      </c>
      <c r="Q59" s="65">
        <v>0.87725390286607707</v>
      </c>
      <c r="R59" s="40">
        <f t="shared" si="1"/>
        <v>0.43862695143303854</v>
      </c>
      <c r="S59" s="36">
        <v>1858.4673888788602</v>
      </c>
      <c r="T59" s="40">
        <f t="shared" si="2"/>
        <v>2.3601541466791342E-2</v>
      </c>
      <c r="U59" s="110">
        <f>SUM(T59+T60+T62+T70)</f>
        <v>23.708146809890664</v>
      </c>
      <c r="V59" s="36">
        <v>1000</v>
      </c>
      <c r="W59" s="36"/>
      <c r="X59" s="36"/>
      <c r="Y59" s="36"/>
      <c r="Z59" s="36"/>
      <c r="AA59" s="36"/>
      <c r="AB59" s="36"/>
      <c r="AC59" s="36"/>
      <c r="AD59" s="36"/>
      <c r="AE59" s="36"/>
    </row>
    <row r="60" spans="1:31" s="38" customFormat="1" ht="20.25" customHeight="1">
      <c r="A60" s="71">
        <v>41422</v>
      </c>
      <c r="B60" s="35" t="s">
        <v>144</v>
      </c>
      <c r="C60" s="168">
        <v>2013</v>
      </c>
      <c r="D60" s="51">
        <v>2</v>
      </c>
      <c r="E60" s="3" t="s">
        <v>223</v>
      </c>
      <c r="F60" s="3" t="s">
        <v>224</v>
      </c>
      <c r="G60" s="3" t="s">
        <v>225</v>
      </c>
      <c r="H60" s="3" t="s">
        <v>243</v>
      </c>
      <c r="I60" s="3" t="s">
        <v>244</v>
      </c>
      <c r="J60" s="3" t="s">
        <v>245</v>
      </c>
      <c r="K60" s="3" t="s">
        <v>246</v>
      </c>
      <c r="L60" s="3">
        <v>4</v>
      </c>
      <c r="M60" s="3" t="s">
        <v>247</v>
      </c>
      <c r="N60" s="3" t="s">
        <v>673</v>
      </c>
      <c r="O60" s="3">
        <v>40</v>
      </c>
      <c r="P60" s="3">
        <f t="shared" si="0"/>
        <v>10</v>
      </c>
      <c r="Q60" s="65">
        <v>1857.590134975994</v>
      </c>
      <c r="R60" s="8">
        <f t="shared" si="1"/>
        <v>185.75901349759943</v>
      </c>
      <c r="S60" s="65">
        <v>1858.46738887886</v>
      </c>
      <c r="T60" s="8">
        <f t="shared" si="2"/>
        <v>9.995279691706644</v>
      </c>
      <c r="U60" s="109"/>
      <c r="V60" s="3">
        <v>250</v>
      </c>
      <c r="W60" s="3"/>
      <c r="X60" s="3"/>
      <c r="Y60" s="36"/>
      <c r="Z60" s="36"/>
      <c r="AA60" s="36"/>
      <c r="AB60" s="36"/>
      <c r="AC60" s="36"/>
      <c r="AD60" s="36"/>
      <c r="AE60" s="36"/>
    </row>
    <row r="61" spans="1:31" s="38" customFormat="1" ht="20.25" customHeight="1">
      <c r="A61" s="71">
        <v>41422</v>
      </c>
      <c r="B61" s="35" t="s">
        <v>144</v>
      </c>
      <c r="C61" s="168">
        <v>2013</v>
      </c>
      <c r="D61" s="51">
        <v>2</v>
      </c>
      <c r="E61" s="51" t="s">
        <v>223</v>
      </c>
      <c r="F61" s="51" t="s">
        <v>224</v>
      </c>
      <c r="G61" s="51" t="s">
        <v>225</v>
      </c>
      <c r="H61" s="51" t="s">
        <v>226</v>
      </c>
      <c r="I61" s="51" t="s">
        <v>253</v>
      </c>
      <c r="J61" s="3" t="s">
        <v>254</v>
      </c>
      <c r="K61" s="3"/>
      <c r="L61" s="3">
        <v>1</v>
      </c>
      <c r="M61" s="3" t="s">
        <v>229</v>
      </c>
      <c r="N61" s="3" t="s">
        <v>254</v>
      </c>
      <c r="O61" s="3">
        <v>40</v>
      </c>
      <c r="P61" s="3">
        <f t="shared" si="0"/>
        <v>2.5</v>
      </c>
      <c r="Q61" s="65">
        <v>1857.590134975994</v>
      </c>
      <c r="R61" s="8">
        <f t="shared" si="1"/>
        <v>46.439753374399857</v>
      </c>
      <c r="S61" s="36">
        <v>1858.46738887886</v>
      </c>
      <c r="T61" s="8">
        <f t="shared" si="2"/>
        <v>2.498819922926661</v>
      </c>
      <c r="U61" s="109"/>
      <c r="V61" s="3">
        <v>250</v>
      </c>
      <c r="W61" s="3" t="s">
        <v>255</v>
      </c>
      <c r="X61" s="3"/>
      <c r="Y61" s="36"/>
      <c r="Z61" s="36"/>
      <c r="AA61" s="36"/>
      <c r="AB61" s="36"/>
      <c r="AC61" s="36"/>
      <c r="AD61" s="36"/>
      <c r="AE61" s="36"/>
    </row>
    <row r="62" spans="1:31" s="90" customFormat="1" ht="20.25" customHeight="1">
      <c r="A62" s="13">
        <v>41422</v>
      </c>
      <c r="B62" s="35" t="s">
        <v>144</v>
      </c>
      <c r="C62" s="168">
        <v>2013</v>
      </c>
      <c r="D62" s="51">
        <v>2</v>
      </c>
      <c r="E62" s="34" t="s">
        <v>216</v>
      </c>
      <c r="F62" s="34" t="s">
        <v>217</v>
      </c>
      <c r="G62" s="34"/>
      <c r="H62" s="34"/>
      <c r="I62" s="34"/>
      <c r="J62" s="3" t="s">
        <v>220</v>
      </c>
      <c r="K62" s="3"/>
      <c r="L62" s="3">
        <v>5</v>
      </c>
      <c r="M62" s="36" t="s">
        <v>229</v>
      </c>
      <c r="N62" s="3" t="s">
        <v>219</v>
      </c>
      <c r="O62" s="3">
        <v>40</v>
      </c>
      <c r="P62" s="3">
        <f t="shared" si="0"/>
        <v>12.5</v>
      </c>
      <c r="Q62" s="65">
        <v>1857.590134975994</v>
      </c>
      <c r="R62" s="8">
        <f t="shared" si="1"/>
        <v>232.19876687199925</v>
      </c>
      <c r="S62" s="36">
        <v>1858.46738887886</v>
      </c>
      <c r="T62" s="8">
        <f t="shared" si="2"/>
        <v>12.494099614633303</v>
      </c>
      <c r="U62" s="109"/>
      <c r="V62" s="3">
        <v>250</v>
      </c>
      <c r="W62" s="3" t="s">
        <v>222</v>
      </c>
      <c r="X62" s="3"/>
      <c r="Y62" s="36"/>
      <c r="Z62" s="59"/>
      <c r="AA62" s="59"/>
      <c r="AB62" s="59"/>
      <c r="AC62" s="59"/>
      <c r="AD62" s="59"/>
      <c r="AE62" s="59"/>
    </row>
    <row r="63" spans="1:31" s="90" customFormat="1" ht="20.25" customHeight="1">
      <c r="A63" s="71">
        <v>41422</v>
      </c>
      <c r="B63" s="35" t="s">
        <v>144</v>
      </c>
      <c r="C63" s="168">
        <v>2013</v>
      </c>
      <c r="D63" s="51">
        <v>2</v>
      </c>
      <c r="E63" s="3" t="s">
        <v>223</v>
      </c>
      <c r="F63" s="3" t="s">
        <v>224</v>
      </c>
      <c r="G63" s="3" t="s">
        <v>225</v>
      </c>
      <c r="H63" s="3" t="s">
        <v>226</v>
      </c>
      <c r="I63" s="3" t="s">
        <v>239</v>
      </c>
      <c r="J63" s="3" t="s">
        <v>258</v>
      </c>
      <c r="K63" s="3" t="s">
        <v>259</v>
      </c>
      <c r="L63" s="3">
        <v>1</v>
      </c>
      <c r="M63" s="3" t="s">
        <v>247</v>
      </c>
      <c r="N63" s="3" t="s">
        <v>260</v>
      </c>
      <c r="O63" s="3">
        <v>40</v>
      </c>
      <c r="P63" s="3">
        <f t="shared" si="0"/>
        <v>2.5</v>
      </c>
      <c r="Q63" s="65">
        <v>1857.590134975994</v>
      </c>
      <c r="R63" s="8">
        <f t="shared" si="1"/>
        <v>46.439753374399857</v>
      </c>
      <c r="S63" s="36">
        <v>1858.46738887886</v>
      </c>
      <c r="T63" s="8">
        <f t="shared" si="2"/>
        <v>2.498819922926661</v>
      </c>
      <c r="U63" s="109"/>
      <c r="V63" s="3">
        <v>250</v>
      </c>
      <c r="W63" s="3"/>
      <c r="X63" s="3"/>
      <c r="Y63" s="36"/>
      <c r="Z63" s="59"/>
      <c r="AA63" s="59"/>
      <c r="AB63" s="59"/>
      <c r="AC63" s="59"/>
      <c r="AD63" s="59"/>
      <c r="AE63" s="59"/>
    </row>
    <row r="64" spans="1:31" s="90" customFormat="1" ht="20.25" customHeight="1">
      <c r="A64" s="35">
        <v>41422</v>
      </c>
      <c r="B64" s="35" t="s">
        <v>144</v>
      </c>
      <c r="C64" s="168">
        <v>2013</v>
      </c>
      <c r="D64" s="65">
        <v>2</v>
      </c>
      <c r="E64" s="65" t="s">
        <v>328</v>
      </c>
      <c r="F64" s="65"/>
      <c r="G64" s="65"/>
      <c r="H64" s="65"/>
      <c r="I64" s="65"/>
      <c r="J64" s="36" t="s">
        <v>328</v>
      </c>
      <c r="K64" s="36"/>
      <c r="L64" s="36">
        <v>4</v>
      </c>
      <c r="M64" s="36" t="s">
        <v>328</v>
      </c>
      <c r="N64" s="36" t="s">
        <v>328</v>
      </c>
      <c r="O64" s="36">
        <v>8</v>
      </c>
      <c r="P64" s="36">
        <f t="shared" si="0"/>
        <v>50</v>
      </c>
      <c r="Q64" s="36">
        <v>0.87725390286607707</v>
      </c>
      <c r="R64" s="40">
        <f t="shared" si="1"/>
        <v>0.43862695143303854</v>
      </c>
      <c r="S64" s="36">
        <v>1858.4673888788602</v>
      </c>
      <c r="T64" s="40">
        <f t="shared" si="2"/>
        <v>2.3601541466791342E-2</v>
      </c>
      <c r="U64" s="110"/>
      <c r="V64" s="36">
        <v>1000</v>
      </c>
      <c r="W64" s="36" t="s">
        <v>328</v>
      </c>
      <c r="X64" s="36"/>
      <c r="Y64" s="36"/>
      <c r="Z64" s="59"/>
      <c r="AA64" s="59"/>
      <c r="AB64" s="59"/>
      <c r="AC64" s="59"/>
      <c r="AD64" s="59"/>
      <c r="AE64" s="59"/>
    </row>
    <row r="65" spans="1:31" s="90" customFormat="1" ht="20.25" customHeight="1">
      <c r="A65" s="13">
        <v>41480</v>
      </c>
      <c r="B65" s="72" t="s">
        <v>154</v>
      </c>
      <c r="C65" s="164">
        <v>2013</v>
      </c>
      <c r="D65" s="51">
        <v>8</v>
      </c>
      <c r="E65" s="3" t="s">
        <v>223</v>
      </c>
      <c r="F65" s="3" t="s">
        <v>224</v>
      </c>
      <c r="G65" s="3" t="s">
        <v>225</v>
      </c>
      <c r="H65" s="3" t="s">
        <v>226</v>
      </c>
      <c r="I65" s="3" t="s">
        <v>227</v>
      </c>
      <c r="J65" s="3" t="s">
        <v>228</v>
      </c>
      <c r="K65" s="3"/>
      <c r="L65" s="3">
        <v>121</v>
      </c>
      <c r="M65" s="3" t="s">
        <v>229</v>
      </c>
      <c r="N65" s="3" t="s">
        <v>228</v>
      </c>
      <c r="O65" s="3">
        <v>251</v>
      </c>
      <c r="P65" s="3">
        <f t="shared" si="0"/>
        <v>48.207171314741039</v>
      </c>
      <c r="Q65" s="65">
        <v>34426.12555485098</v>
      </c>
      <c r="R65" s="8">
        <f t="shared" si="1"/>
        <v>16595.861323254856</v>
      </c>
      <c r="S65" s="36">
        <v>34427.656841591197</v>
      </c>
      <c r="T65" s="8">
        <f t="shared" si="2"/>
        <v>48.205027137385102</v>
      </c>
      <c r="U65" s="109"/>
      <c r="V65" s="3">
        <v>250</v>
      </c>
      <c r="W65" s="3"/>
      <c r="X65" s="3"/>
      <c r="Y65" s="36"/>
      <c r="Z65" s="59"/>
      <c r="AA65" s="59"/>
      <c r="AB65" s="59"/>
      <c r="AC65" s="59"/>
      <c r="AD65" s="59"/>
      <c r="AE65" s="59"/>
    </row>
    <row r="66" spans="1:31" s="90" customFormat="1" ht="20.25" customHeight="1">
      <c r="A66" s="13">
        <v>41480</v>
      </c>
      <c r="B66" s="64" t="s">
        <v>154</v>
      </c>
      <c r="C66" s="164">
        <v>2013</v>
      </c>
      <c r="D66" s="51">
        <v>8</v>
      </c>
      <c r="E66" s="3" t="s">
        <v>223</v>
      </c>
      <c r="F66" s="3" t="s">
        <v>303</v>
      </c>
      <c r="G66" s="3" t="s">
        <v>304</v>
      </c>
      <c r="H66" s="3" t="s">
        <v>305</v>
      </c>
      <c r="I66" s="3" t="s">
        <v>306</v>
      </c>
      <c r="J66" s="3" t="s">
        <v>307</v>
      </c>
      <c r="K66" s="3"/>
      <c r="L66" s="3">
        <v>2</v>
      </c>
      <c r="M66" s="3" t="s">
        <v>229</v>
      </c>
      <c r="N66" s="3" t="s">
        <v>307</v>
      </c>
      <c r="O66" s="3">
        <v>251</v>
      </c>
      <c r="P66" s="3">
        <f t="shared" ref="P66:P129" si="3">L66/O66*100</f>
        <v>0.79681274900398402</v>
      </c>
      <c r="Q66" s="65">
        <v>34426.12555485098</v>
      </c>
      <c r="R66" s="8">
        <f t="shared" ref="R66:R129" si="4">(P66/100)*Q66</f>
        <v>274.31175740917115</v>
      </c>
      <c r="S66" s="36">
        <v>34427.656841591197</v>
      </c>
      <c r="T66" s="8">
        <f t="shared" ref="T66:T129" si="5">R66/S66*100</f>
        <v>0.79677730805595204</v>
      </c>
      <c r="U66" s="109"/>
      <c r="V66" s="3">
        <v>250</v>
      </c>
      <c r="W66" s="3" t="s">
        <v>222</v>
      </c>
      <c r="X66" s="3"/>
      <c r="Y66" s="36"/>
      <c r="Z66" s="59"/>
      <c r="AA66" s="59"/>
      <c r="AB66" s="59"/>
      <c r="AC66" s="59"/>
      <c r="AD66" s="59"/>
      <c r="AE66" s="59"/>
    </row>
    <row r="67" spans="1:31" s="90" customFormat="1" ht="20.25" customHeight="1">
      <c r="A67" s="13">
        <v>41480</v>
      </c>
      <c r="B67" s="72" t="s">
        <v>154</v>
      </c>
      <c r="C67" s="164">
        <v>2013</v>
      </c>
      <c r="D67" s="51">
        <v>8</v>
      </c>
      <c r="E67" s="51" t="s">
        <v>223</v>
      </c>
      <c r="F67" s="51" t="s">
        <v>303</v>
      </c>
      <c r="G67" s="51" t="s">
        <v>304</v>
      </c>
      <c r="H67" s="51" t="s">
        <v>305</v>
      </c>
      <c r="I67" s="51" t="s">
        <v>306</v>
      </c>
      <c r="J67" s="3" t="s">
        <v>307</v>
      </c>
      <c r="K67" s="3"/>
      <c r="L67" s="3">
        <v>21</v>
      </c>
      <c r="M67" s="3" t="s">
        <v>229</v>
      </c>
      <c r="N67" s="3" t="s">
        <v>307</v>
      </c>
      <c r="O67" s="3">
        <v>251</v>
      </c>
      <c r="P67" s="3">
        <f t="shared" si="3"/>
        <v>8.3665338645418323</v>
      </c>
      <c r="Q67" s="65">
        <v>34426.12555485098</v>
      </c>
      <c r="R67" s="8">
        <f t="shared" si="4"/>
        <v>2880.2734527962971</v>
      </c>
      <c r="S67" s="36">
        <v>34427.656841591197</v>
      </c>
      <c r="T67" s="8">
        <f t="shared" si="5"/>
        <v>8.3661617345874966</v>
      </c>
      <c r="U67" s="109"/>
      <c r="V67" s="3">
        <v>250</v>
      </c>
      <c r="W67" s="36" t="s">
        <v>308</v>
      </c>
      <c r="X67" s="3"/>
      <c r="Y67" s="36"/>
      <c r="Z67" s="59"/>
      <c r="AA67" s="59"/>
      <c r="AB67" s="59"/>
      <c r="AC67" s="59"/>
      <c r="AD67" s="59"/>
      <c r="AE67" s="59"/>
    </row>
    <row r="68" spans="1:31" s="90" customFormat="1" ht="20.25" customHeight="1">
      <c r="A68" s="13">
        <v>41480</v>
      </c>
      <c r="B68" s="64" t="s">
        <v>154</v>
      </c>
      <c r="C68" s="164">
        <v>2013</v>
      </c>
      <c r="D68" s="51">
        <v>8</v>
      </c>
      <c r="E68" s="51" t="s">
        <v>223</v>
      </c>
      <c r="F68" s="51" t="s">
        <v>224</v>
      </c>
      <c r="G68" s="51" t="s">
        <v>225</v>
      </c>
      <c r="H68" s="51" t="s">
        <v>226</v>
      </c>
      <c r="I68" s="51"/>
      <c r="J68" s="3"/>
      <c r="K68" s="3"/>
      <c r="L68" s="3">
        <v>4</v>
      </c>
      <c r="M68" s="3" t="s">
        <v>508</v>
      </c>
      <c r="N68" s="36" t="s">
        <v>600</v>
      </c>
      <c r="O68" s="3">
        <v>251</v>
      </c>
      <c r="P68" s="3">
        <f t="shared" si="3"/>
        <v>1.593625498007968</v>
      </c>
      <c r="Q68" s="65">
        <v>34426.12555485098</v>
      </c>
      <c r="R68" s="8">
        <f t="shared" si="4"/>
        <v>548.6235148183423</v>
      </c>
      <c r="S68" s="36">
        <v>34427.656841591197</v>
      </c>
      <c r="T68" s="8">
        <f t="shared" si="5"/>
        <v>1.5935546161119041</v>
      </c>
      <c r="U68" s="109"/>
      <c r="V68" s="3">
        <v>250</v>
      </c>
      <c r="W68" s="3" t="s">
        <v>332</v>
      </c>
      <c r="X68" s="3"/>
      <c r="Y68" s="36"/>
      <c r="Z68" s="59"/>
      <c r="AA68" s="59"/>
      <c r="AB68" s="59"/>
      <c r="AC68" s="59"/>
      <c r="AD68" s="59"/>
      <c r="AE68" s="59"/>
    </row>
    <row r="69" spans="1:31" s="90" customFormat="1" ht="20.25" customHeight="1">
      <c r="A69" s="13">
        <v>41480</v>
      </c>
      <c r="B69" s="72" t="s">
        <v>154</v>
      </c>
      <c r="C69" s="164">
        <v>2013</v>
      </c>
      <c r="D69" s="51">
        <v>8</v>
      </c>
      <c r="E69" s="51" t="s">
        <v>223</v>
      </c>
      <c r="F69" s="51" t="s">
        <v>224</v>
      </c>
      <c r="G69" s="51" t="s">
        <v>225</v>
      </c>
      <c r="H69" s="51" t="s">
        <v>226</v>
      </c>
      <c r="I69" s="51" t="s">
        <v>235</v>
      </c>
      <c r="J69" s="3" t="s">
        <v>236</v>
      </c>
      <c r="K69" s="3" t="s">
        <v>237</v>
      </c>
      <c r="L69" s="3">
        <v>3</v>
      </c>
      <c r="M69" s="3" t="s">
        <v>247</v>
      </c>
      <c r="N69" s="3" t="s">
        <v>238</v>
      </c>
      <c r="O69" s="3">
        <v>251</v>
      </c>
      <c r="P69" s="3">
        <f t="shared" si="3"/>
        <v>1.1952191235059761</v>
      </c>
      <c r="Q69" s="65">
        <v>34426.12555485098</v>
      </c>
      <c r="R69" s="8">
        <f t="shared" si="4"/>
        <v>411.46763611375673</v>
      </c>
      <c r="S69" s="36">
        <v>34427.656841591197</v>
      </c>
      <c r="T69" s="8">
        <f t="shared" si="5"/>
        <v>1.1951659620839281</v>
      </c>
      <c r="U69" s="109"/>
      <c r="V69" s="3">
        <v>250</v>
      </c>
      <c r="W69" s="3"/>
      <c r="X69" s="3"/>
      <c r="Y69" s="36"/>
      <c r="Z69" s="59"/>
      <c r="AA69" s="59"/>
      <c r="AB69" s="59"/>
      <c r="AC69" s="59"/>
      <c r="AD69" s="59"/>
      <c r="AE69" s="59"/>
    </row>
    <row r="70" spans="1:31" s="90" customFormat="1" ht="20.25" customHeight="1">
      <c r="A70" s="13">
        <v>41480</v>
      </c>
      <c r="B70" s="64" t="s">
        <v>154</v>
      </c>
      <c r="C70" s="164">
        <v>2013</v>
      </c>
      <c r="D70" s="51">
        <v>8</v>
      </c>
      <c r="E70" s="3" t="s">
        <v>223</v>
      </c>
      <c r="F70" s="3" t="s">
        <v>310</v>
      </c>
      <c r="G70" s="3" t="s">
        <v>314</v>
      </c>
      <c r="H70" s="3" t="s">
        <v>311</v>
      </c>
      <c r="I70" s="3" t="s">
        <v>315</v>
      </c>
      <c r="J70" s="3" t="s">
        <v>343</v>
      </c>
      <c r="K70" s="3" t="s">
        <v>344</v>
      </c>
      <c r="L70" s="3">
        <v>3</v>
      </c>
      <c r="M70" s="3" t="s">
        <v>247</v>
      </c>
      <c r="N70" s="3" t="s">
        <v>345</v>
      </c>
      <c r="O70" s="3">
        <v>251</v>
      </c>
      <c r="P70" s="3">
        <f t="shared" si="3"/>
        <v>1.1952191235059761</v>
      </c>
      <c r="Q70" s="65">
        <v>34426.12555485098</v>
      </c>
      <c r="R70" s="8">
        <f t="shared" si="4"/>
        <v>411.46763611375673</v>
      </c>
      <c r="S70" s="36">
        <v>34427.656841591197</v>
      </c>
      <c r="T70" s="8">
        <f t="shared" si="5"/>
        <v>1.1951659620839281</v>
      </c>
      <c r="U70" s="109"/>
      <c r="V70" s="3">
        <v>250</v>
      </c>
      <c r="W70" s="3"/>
      <c r="X70" s="3"/>
      <c r="Y70" s="36"/>
      <c r="Z70" s="59"/>
      <c r="AA70" s="59"/>
      <c r="AB70" s="59"/>
      <c r="AC70" s="59"/>
      <c r="AD70" s="59"/>
      <c r="AE70" s="59"/>
    </row>
    <row r="71" spans="1:31" s="90" customFormat="1" ht="20.25" customHeight="1">
      <c r="A71" s="13">
        <v>41480</v>
      </c>
      <c r="B71" s="35" t="s">
        <v>154</v>
      </c>
      <c r="C71" s="164">
        <v>2013</v>
      </c>
      <c r="D71" s="51">
        <v>8</v>
      </c>
      <c r="E71" s="51" t="s">
        <v>223</v>
      </c>
      <c r="F71" s="51" t="s">
        <v>310</v>
      </c>
      <c r="G71" s="51" t="s">
        <v>314</v>
      </c>
      <c r="H71" s="51" t="s">
        <v>311</v>
      </c>
      <c r="I71" s="51" t="s">
        <v>315</v>
      </c>
      <c r="J71" s="3" t="s">
        <v>316</v>
      </c>
      <c r="K71" s="3" t="s">
        <v>342</v>
      </c>
      <c r="L71" s="3">
        <v>4</v>
      </c>
      <c r="M71" s="3" t="s">
        <v>247</v>
      </c>
      <c r="N71" s="3" t="s">
        <v>345</v>
      </c>
      <c r="O71" s="3">
        <v>251</v>
      </c>
      <c r="P71" s="3">
        <f t="shared" si="3"/>
        <v>1.593625498007968</v>
      </c>
      <c r="Q71" s="65">
        <v>34426.12555485098</v>
      </c>
      <c r="R71" s="8">
        <f t="shared" si="4"/>
        <v>548.6235148183423</v>
      </c>
      <c r="S71" s="36">
        <v>34427.656841591197</v>
      </c>
      <c r="T71" s="8">
        <f t="shared" si="5"/>
        <v>1.5935546161119041</v>
      </c>
      <c r="U71" s="109"/>
      <c r="V71" s="3">
        <v>250</v>
      </c>
      <c r="W71" s="3"/>
      <c r="X71" s="3"/>
      <c r="Y71" s="36"/>
      <c r="Z71" s="59"/>
      <c r="AA71" s="59"/>
      <c r="AB71" s="59"/>
      <c r="AC71" s="59"/>
      <c r="AD71" s="59"/>
      <c r="AE71" s="59"/>
    </row>
    <row r="72" spans="1:31" s="90" customFormat="1" ht="20.25" customHeight="1">
      <c r="A72" s="72">
        <v>41480</v>
      </c>
      <c r="B72" s="64" t="s">
        <v>154</v>
      </c>
      <c r="C72" s="164">
        <v>2013</v>
      </c>
      <c r="D72" s="65">
        <v>8</v>
      </c>
      <c r="E72" s="36" t="s">
        <v>223</v>
      </c>
      <c r="F72" s="36" t="s">
        <v>267</v>
      </c>
      <c r="G72" s="36"/>
      <c r="H72" s="36" t="s">
        <v>273</v>
      </c>
      <c r="I72" s="36" t="s">
        <v>274</v>
      </c>
      <c r="J72" s="36" t="s">
        <v>275</v>
      </c>
      <c r="K72" s="36" t="s">
        <v>276</v>
      </c>
      <c r="L72" s="36">
        <v>1</v>
      </c>
      <c r="M72" s="36" t="s">
        <v>247</v>
      </c>
      <c r="N72" s="36" t="s">
        <v>275</v>
      </c>
      <c r="O72" s="36">
        <v>15</v>
      </c>
      <c r="P72" s="36">
        <f t="shared" si="3"/>
        <v>6.666666666666667</v>
      </c>
      <c r="Q72" s="65">
        <v>1.5312867402479047</v>
      </c>
      <c r="R72" s="40">
        <f t="shared" si="4"/>
        <v>0.10208578268319364</v>
      </c>
      <c r="S72" s="36">
        <v>34427.656841591226</v>
      </c>
      <c r="T72" s="40">
        <f t="shared" si="5"/>
        <v>2.9652259854021275E-4</v>
      </c>
      <c r="U72" s="110">
        <f>SUM(T73+T75+T76+T77+T78+T82+T87+T92)</f>
        <v>16.338847338579924</v>
      </c>
      <c r="V72" s="36">
        <v>1000</v>
      </c>
      <c r="W72" s="36" t="s">
        <v>222</v>
      </c>
      <c r="X72" s="36"/>
      <c r="Y72" s="36"/>
      <c r="Z72" s="59"/>
      <c r="AA72" s="59"/>
      <c r="AB72" s="59"/>
      <c r="AC72" s="59"/>
      <c r="AD72" s="59"/>
      <c r="AE72" s="59"/>
    </row>
    <row r="73" spans="1:31" ht="20.25" customHeight="1">
      <c r="A73" s="35">
        <v>41480</v>
      </c>
      <c r="B73" s="72" t="s">
        <v>154</v>
      </c>
      <c r="C73" s="164">
        <v>2013</v>
      </c>
      <c r="D73" s="65">
        <v>8</v>
      </c>
      <c r="E73" s="36" t="s">
        <v>351</v>
      </c>
      <c r="F73" s="36"/>
      <c r="G73" s="36"/>
      <c r="H73" s="36"/>
      <c r="I73" s="36"/>
      <c r="J73" s="36"/>
      <c r="K73" s="36"/>
      <c r="L73" s="36">
        <v>3</v>
      </c>
      <c r="M73" s="36" t="s">
        <v>474</v>
      </c>
      <c r="N73" s="36" t="s">
        <v>352</v>
      </c>
      <c r="O73" s="36">
        <v>15</v>
      </c>
      <c r="P73" s="36">
        <f t="shared" si="3"/>
        <v>20</v>
      </c>
      <c r="Q73" s="65">
        <v>1.5312867402479047</v>
      </c>
      <c r="R73" s="40">
        <f t="shared" si="4"/>
        <v>0.30625734804958094</v>
      </c>
      <c r="S73" s="36">
        <v>34427.656841591226</v>
      </c>
      <c r="T73" s="40">
        <f t="shared" si="5"/>
        <v>8.8956779562063824E-4</v>
      </c>
      <c r="U73" s="110"/>
      <c r="V73" s="36">
        <v>1000</v>
      </c>
      <c r="W73" s="36" t="s">
        <v>222</v>
      </c>
      <c r="X73" s="36"/>
      <c r="Y73" s="36"/>
      <c r="Z73" s="3"/>
      <c r="AA73" s="3"/>
      <c r="AB73" s="3"/>
      <c r="AC73" s="3"/>
      <c r="AD73" s="3"/>
      <c r="AE73" s="3"/>
    </row>
    <row r="74" spans="1:31" ht="20.25" customHeight="1">
      <c r="A74" s="35">
        <v>41480</v>
      </c>
      <c r="B74" s="64" t="s">
        <v>154</v>
      </c>
      <c r="C74" s="168">
        <v>2013</v>
      </c>
      <c r="D74" s="65">
        <v>8</v>
      </c>
      <c r="E74" s="36" t="s">
        <v>223</v>
      </c>
      <c r="F74" s="36" t="s">
        <v>267</v>
      </c>
      <c r="G74" s="36"/>
      <c r="H74" s="36" t="s">
        <v>273</v>
      </c>
      <c r="I74" s="36"/>
      <c r="J74" s="36"/>
      <c r="K74" s="36"/>
      <c r="L74" s="36">
        <v>1</v>
      </c>
      <c r="M74" s="36" t="s">
        <v>508</v>
      </c>
      <c r="N74" s="36" t="s">
        <v>335</v>
      </c>
      <c r="O74" s="36">
        <v>15</v>
      </c>
      <c r="P74" s="36">
        <f t="shared" si="3"/>
        <v>6.666666666666667</v>
      </c>
      <c r="Q74" s="36">
        <v>1.5312867402479047</v>
      </c>
      <c r="R74" s="40">
        <f t="shared" si="4"/>
        <v>0.10208578268319364</v>
      </c>
      <c r="S74" s="36">
        <v>34427.656841591197</v>
      </c>
      <c r="T74" s="40">
        <f t="shared" si="5"/>
        <v>2.9652259854021296E-4</v>
      </c>
      <c r="U74" s="110"/>
      <c r="V74" s="36">
        <v>1000</v>
      </c>
      <c r="W74" s="36" t="s">
        <v>336</v>
      </c>
      <c r="X74" s="36"/>
      <c r="Y74" s="36"/>
      <c r="Z74" s="3"/>
      <c r="AA74" s="3"/>
      <c r="AB74" s="3"/>
      <c r="AC74" s="3"/>
      <c r="AD74" s="3"/>
      <c r="AE74" s="3"/>
    </row>
    <row r="75" spans="1:31" ht="20.25" customHeight="1">
      <c r="A75" s="35">
        <v>41480</v>
      </c>
      <c r="B75" s="72" t="s">
        <v>154</v>
      </c>
      <c r="C75" s="168">
        <v>2013</v>
      </c>
      <c r="D75" s="65">
        <v>8</v>
      </c>
      <c r="E75" s="36" t="s">
        <v>223</v>
      </c>
      <c r="F75" s="36" t="s">
        <v>267</v>
      </c>
      <c r="G75" s="36"/>
      <c r="H75" s="36" t="s">
        <v>273</v>
      </c>
      <c r="I75" s="36"/>
      <c r="J75" s="36"/>
      <c r="K75" s="36"/>
      <c r="L75" s="36">
        <v>1</v>
      </c>
      <c r="M75" s="36" t="s">
        <v>508</v>
      </c>
      <c r="N75" s="36" t="s">
        <v>335</v>
      </c>
      <c r="O75" s="36">
        <v>15</v>
      </c>
      <c r="P75" s="36">
        <f t="shared" si="3"/>
        <v>6.666666666666667</v>
      </c>
      <c r="Q75" s="36">
        <v>1.5312867402479047</v>
      </c>
      <c r="R75" s="40">
        <f t="shared" si="4"/>
        <v>0.10208578268319364</v>
      </c>
      <c r="S75" s="36">
        <v>34427.656841591197</v>
      </c>
      <c r="T75" s="40">
        <f t="shared" si="5"/>
        <v>2.9652259854021296E-4</v>
      </c>
      <c r="U75" s="110"/>
      <c r="V75" s="36">
        <v>1000</v>
      </c>
      <c r="W75" s="36" t="s">
        <v>337</v>
      </c>
      <c r="X75" s="36"/>
      <c r="Y75" s="36"/>
      <c r="Z75" s="3"/>
      <c r="AA75" s="3"/>
      <c r="AB75" s="3"/>
      <c r="AC75" s="3"/>
      <c r="AD75" s="3"/>
      <c r="AE75" s="3"/>
    </row>
    <row r="76" spans="1:31" ht="20.25" customHeight="1">
      <c r="A76" s="35">
        <v>41480</v>
      </c>
      <c r="B76" s="64" t="s">
        <v>154</v>
      </c>
      <c r="C76" s="168">
        <v>2013</v>
      </c>
      <c r="D76" s="65">
        <v>8</v>
      </c>
      <c r="E76" s="36" t="s">
        <v>223</v>
      </c>
      <c r="F76" s="36" t="s">
        <v>267</v>
      </c>
      <c r="G76" s="36"/>
      <c r="H76" s="36" t="s">
        <v>273</v>
      </c>
      <c r="I76" s="36"/>
      <c r="J76" s="36"/>
      <c r="K76" s="36"/>
      <c r="L76" s="36">
        <v>1</v>
      </c>
      <c r="M76" s="36" t="s">
        <v>508</v>
      </c>
      <c r="N76" s="36" t="s">
        <v>335</v>
      </c>
      <c r="O76" s="36">
        <v>15</v>
      </c>
      <c r="P76" s="36">
        <f t="shared" si="3"/>
        <v>6.666666666666667</v>
      </c>
      <c r="Q76" s="36">
        <v>1.5312867402479047</v>
      </c>
      <c r="R76" s="40">
        <f t="shared" si="4"/>
        <v>0.10208578268319364</v>
      </c>
      <c r="S76" s="36">
        <v>34427.656841591197</v>
      </c>
      <c r="T76" s="40">
        <f t="shared" si="5"/>
        <v>2.9652259854021296E-4</v>
      </c>
      <c r="U76" s="110"/>
      <c r="V76" s="36">
        <v>1000</v>
      </c>
      <c r="W76" s="36" t="s">
        <v>338</v>
      </c>
      <c r="X76" s="36"/>
      <c r="Y76" s="36"/>
      <c r="Z76" s="3"/>
      <c r="AA76" s="3"/>
      <c r="AB76" s="3"/>
      <c r="AC76" s="3"/>
      <c r="AD76" s="3"/>
      <c r="AE76" s="3"/>
    </row>
    <row r="77" spans="1:31" ht="20.25" customHeight="1">
      <c r="A77" s="13">
        <v>41480</v>
      </c>
      <c r="B77" s="72" t="s">
        <v>154</v>
      </c>
      <c r="C77" s="168">
        <v>2013</v>
      </c>
      <c r="D77" s="51">
        <v>8</v>
      </c>
      <c r="E77" s="51" t="s">
        <v>223</v>
      </c>
      <c r="F77" s="51" t="s">
        <v>224</v>
      </c>
      <c r="G77" s="51" t="s">
        <v>225</v>
      </c>
      <c r="H77" s="51" t="s">
        <v>226</v>
      </c>
      <c r="I77" s="51" t="s">
        <v>239</v>
      </c>
      <c r="J77" s="3" t="s">
        <v>240</v>
      </c>
      <c r="K77" s="3"/>
      <c r="L77" s="3">
        <v>16</v>
      </c>
      <c r="M77" s="3" t="s">
        <v>229</v>
      </c>
      <c r="N77" s="3" t="s">
        <v>240</v>
      </c>
      <c r="O77" s="3">
        <v>251</v>
      </c>
      <c r="P77" s="3">
        <f t="shared" si="3"/>
        <v>6.3745019920318722</v>
      </c>
      <c r="Q77" s="65">
        <v>34426.12555485098</v>
      </c>
      <c r="R77" s="8">
        <f t="shared" si="4"/>
        <v>2194.4940592733692</v>
      </c>
      <c r="S77" s="36">
        <v>34427.656841591197</v>
      </c>
      <c r="T77" s="8">
        <f t="shared" si="5"/>
        <v>6.3742184644476163</v>
      </c>
      <c r="U77" s="109"/>
      <c r="V77" s="3">
        <v>250</v>
      </c>
      <c r="W77" s="3"/>
      <c r="X77" s="3"/>
      <c r="Y77" s="36"/>
      <c r="Z77" s="3"/>
      <c r="AA77" s="3"/>
      <c r="AB77" s="3"/>
      <c r="AC77" s="3"/>
      <c r="AD77" s="3"/>
      <c r="AE77" s="3"/>
    </row>
    <row r="78" spans="1:31" ht="20.25" customHeight="1">
      <c r="A78" s="35">
        <v>41480</v>
      </c>
      <c r="B78" s="64" t="s">
        <v>154</v>
      </c>
      <c r="C78" s="168">
        <v>2013</v>
      </c>
      <c r="D78" s="65">
        <v>8</v>
      </c>
      <c r="E78" s="36" t="s">
        <v>323</v>
      </c>
      <c r="F78" s="36" t="s">
        <v>324</v>
      </c>
      <c r="G78" s="36"/>
      <c r="H78" s="36" t="s">
        <v>325</v>
      </c>
      <c r="I78" s="36" t="s">
        <v>326</v>
      </c>
      <c r="J78" s="36"/>
      <c r="K78" s="36"/>
      <c r="L78" s="36">
        <v>1</v>
      </c>
      <c r="M78" s="36" t="s">
        <v>509</v>
      </c>
      <c r="N78" s="36" t="s">
        <v>327</v>
      </c>
      <c r="O78" s="36">
        <v>15</v>
      </c>
      <c r="P78" s="36">
        <f t="shared" si="3"/>
        <v>6.666666666666667</v>
      </c>
      <c r="Q78" s="36">
        <v>1.5312867402479047</v>
      </c>
      <c r="R78" s="40">
        <f t="shared" si="4"/>
        <v>0.10208578268319364</v>
      </c>
      <c r="S78" s="36">
        <v>34427.656841591197</v>
      </c>
      <c r="T78" s="40">
        <f t="shared" si="5"/>
        <v>2.9652259854021296E-4</v>
      </c>
      <c r="U78" s="110"/>
      <c r="V78" s="36">
        <v>1000</v>
      </c>
      <c r="W78" s="36"/>
      <c r="X78" s="36"/>
      <c r="Y78" s="36"/>
      <c r="Z78" s="3"/>
      <c r="AA78" s="3"/>
      <c r="AB78" s="3"/>
      <c r="AC78" s="3"/>
      <c r="AD78" s="3"/>
      <c r="AE78" s="3"/>
    </row>
    <row r="79" spans="1:31" ht="20.25" customHeight="1">
      <c r="A79" s="35">
        <v>41480</v>
      </c>
      <c r="B79" s="72" t="s">
        <v>154</v>
      </c>
      <c r="C79" s="168">
        <v>2013</v>
      </c>
      <c r="D79" s="65">
        <v>8</v>
      </c>
      <c r="E79" s="65" t="s">
        <v>300</v>
      </c>
      <c r="F79" s="36" t="s">
        <v>301</v>
      </c>
      <c r="G79" s="36"/>
      <c r="H79" s="65"/>
      <c r="I79" s="65"/>
      <c r="J79" s="65"/>
      <c r="K79" s="65"/>
      <c r="L79" s="65">
        <v>2</v>
      </c>
      <c r="M79" s="65" t="s">
        <v>221</v>
      </c>
      <c r="N79" s="65" t="s">
        <v>302</v>
      </c>
      <c r="O79" s="36">
        <v>251</v>
      </c>
      <c r="P79" s="36">
        <f t="shared" si="3"/>
        <v>0.79681274900398402</v>
      </c>
      <c r="Q79" s="36">
        <v>34426.12555485098</v>
      </c>
      <c r="R79" s="8">
        <f t="shared" si="4"/>
        <v>274.31175740917115</v>
      </c>
      <c r="S79" s="36">
        <v>34427.656841591197</v>
      </c>
      <c r="T79" s="8">
        <f t="shared" si="5"/>
        <v>0.79677730805595204</v>
      </c>
      <c r="U79" s="109"/>
      <c r="V79" s="36">
        <v>250</v>
      </c>
      <c r="W79" s="36"/>
      <c r="X79" s="36"/>
      <c r="Y79" s="36"/>
      <c r="Z79" s="3"/>
      <c r="AA79" s="3"/>
      <c r="AB79" s="3"/>
      <c r="AC79" s="3"/>
      <c r="AD79" s="3"/>
      <c r="AE79" s="3"/>
    </row>
    <row r="80" spans="1:31" ht="20.25" customHeight="1">
      <c r="A80" s="13">
        <v>41480</v>
      </c>
      <c r="B80" s="64" t="s">
        <v>154</v>
      </c>
      <c r="C80" s="168">
        <v>2013</v>
      </c>
      <c r="D80" s="51">
        <v>8</v>
      </c>
      <c r="E80" s="3" t="s">
        <v>223</v>
      </c>
      <c r="F80" s="3" t="s">
        <v>224</v>
      </c>
      <c r="G80" s="3" t="s">
        <v>225</v>
      </c>
      <c r="H80" s="3" t="s">
        <v>243</v>
      </c>
      <c r="I80" s="3" t="s">
        <v>244</v>
      </c>
      <c r="J80" s="3" t="s">
        <v>245</v>
      </c>
      <c r="K80" s="3" t="s">
        <v>246</v>
      </c>
      <c r="L80" s="3">
        <v>1</v>
      </c>
      <c r="M80" s="3" t="s">
        <v>247</v>
      </c>
      <c r="N80" s="3" t="s">
        <v>673</v>
      </c>
      <c r="O80" s="3">
        <v>251</v>
      </c>
      <c r="P80" s="3">
        <f t="shared" si="3"/>
        <v>0.39840637450199201</v>
      </c>
      <c r="Q80" s="36">
        <v>34426.12555485098</v>
      </c>
      <c r="R80" s="8">
        <f t="shared" si="4"/>
        <v>137.15587870458558</v>
      </c>
      <c r="S80" s="65">
        <v>34427.656841591197</v>
      </c>
      <c r="T80" s="8">
        <f t="shared" si="5"/>
        <v>0.39838865402797602</v>
      </c>
      <c r="U80" s="109"/>
      <c r="V80" s="3">
        <v>250</v>
      </c>
      <c r="W80" s="3"/>
      <c r="X80" s="3"/>
      <c r="Y80" s="36"/>
      <c r="Z80" s="3"/>
      <c r="AA80" s="3"/>
      <c r="AB80" s="3"/>
      <c r="AC80" s="3"/>
      <c r="AD80" s="3"/>
      <c r="AE80" s="3"/>
    </row>
    <row r="81" spans="1:31" s="38" customFormat="1" ht="20.25" customHeight="1">
      <c r="A81" s="35">
        <v>41480</v>
      </c>
      <c r="B81" s="35" t="s">
        <v>154</v>
      </c>
      <c r="C81" s="168">
        <v>2013</v>
      </c>
      <c r="D81" s="65">
        <v>8</v>
      </c>
      <c r="E81" s="36" t="s">
        <v>288</v>
      </c>
      <c r="F81" s="36" t="s">
        <v>289</v>
      </c>
      <c r="G81" s="36" t="s">
        <v>290</v>
      </c>
      <c r="H81" s="36" t="s">
        <v>339</v>
      </c>
      <c r="I81" s="36" t="s">
        <v>340</v>
      </c>
      <c r="J81" s="36" t="s">
        <v>341</v>
      </c>
      <c r="K81" s="36"/>
      <c r="L81" s="36">
        <v>7</v>
      </c>
      <c r="M81" s="36" t="s">
        <v>229</v>
      </c>
      <c r="N81" s="36" t="s">
        <v>294</v>
      </c>
      <c r="O81" s="36">
        <v>15</v>
      </c>
      <c r="P81" s="36">
        <f t="shared" si="3"/>
        <v>46.666666666666664</v>
      </c>
      <c r="Q81" s="36">
        <v>1.5312867402479047</v>
      </c>
      <c r="R81" s="40">
        <f t="shared" si="4"/>
        <v>0.71460047878235544</v>
      </c>
      <c r="S81" s="36">
        <v>34427.656841591197</v>
      </c>
      <c r="T81" s="40">
        <f t="shared" si="5"/>
        <v>2.0756581897814911E-3</v>
      </c>
      <c r="U81" s="110"/>
      <c r="V81" s="36">
        <v>1000</v>
      </c>
      <c r="W81" s="36"/>
      <c r="X81" s="36"/>
      <c r="Y81" s="36"/>
      <c r="Z81" s="36"/>
      <c r="AA81" s="36"/>
      <c r="AB81" s="36"/>
      <c r="AC81" s="36"/>
      <c r="AD81" s="36"/>
      <c r="AE81" s="36"/>
    </row>
    <row r="82" spans="1:31" s="38" customFormat="1" ht="20.25" customHeight="1">
      <c r="A82" s="13">
        <v>41480</v>
      </c>
      <c r="B82" s="64" t="s">
        <v>154</v>
      </c>
      <c r="C82" s="168">
        <v>2013</v>
      </c>
      <c r="D82" s="51">
        <v>8</v>
      </c>
      <c r="E82" s="51" t="s">
        <v>223</v>
      </c>
      <c r="F82" s="51" t="s">
        <v>224</v>
      </c>
      <c r="G82" s="51" t="s">
        <v>225</v>
      </c>
      <c r="H82" s="51" t="s">
        <v>248</v>
      </c>
      <c r="I82" s="51" t="s">
        <v>249</v>
      </c>
      <c r="J82" s="3" t="s">
        <v>250</v>
      </c>
      <c r="K82" s="3" t="s">
        <v>251</v>
      </c>
      <c r="L82" s="3">
        <v>25</v>
      </c>
      <c r="M82" s="3" t="s">
        <v>247</v>
      </c>
      <c r="N82" s="3" t="s">
        <v>250</v>
      </c>
      <c r="O82" s="3">
        <v>251</v>
      </c>
      <c r="P82" s="3">
        <f t="shared" si="3"/>
        <v>9.9601593625498008</v>
      </c>
      <c r="Q82" s="36">
        <v>34426.12555485098</v>
      </c>
      <c r="R82" s="8">
        <f t="shared" si="4"/>
        <v>3428.8969676146394</v>
      </c>
      <c r="S82" s="36">
        <v>34427.656841591197</v>
      </c>
      <c r="T82" s="8">
        <f t="shared" si="5"/>
        <v>9.9597163506994004</v>
      </c>
      <c r="U82" s="109"/>
      <c r="V82" s="3">
        <v>250</v>
      </c>
      <c r="W82" s="3"/>
      <c r="X82" s="3"/>
      <c r="Y82" s="36"/>
      <c r="Z82" s="36"/>
      <c r="AA82" s="36"/>
      <c r="AB82" s="36"/>
      <c r="AC82" s="36"/>
      <c r="AD82" s="36"/>
      <c r="AE82" s="36"/>
    </row>
    <row r="83" spans="1:31" s="38" customFormat="1" ht="20.25" customHeight="1">
      <c r="A83" s="13">
        <v>41480</v>
      </c>
      <c r="B83" s="72" t="s">
        <v>154</v>
      </c>
      <c r="C83" s="168">
        <v>2013</v>
      </c>
      <c r="D83" s="51">
        <v>8</v>
      </c>
      <c r="E83" s="3" t="s">
        <v>223</v>
      </c>
      <c r="F83" s="3" t="s">
        <v>224</v>
      </c>
      <c r="G83" s="3" t="s">
        <v>225</v>
      </c>
      <c r="H83" s="3" t="s">
        <v>226</v>
      </c>
      <c r="I83" s="3" t="s">
        <v>253</v>
      </c>
      <c r="J83" s="3" t="s">
        <v>256</v>
      </c>
      <c r="K83" s="3"/>
      <c r="L83" s="3">
        <v>25</v>
      </c>
      <c r="M83" s="3" t="s">
        <v>229</v>
      </c>
      <c r="N83" s="3" t="s">
        <v>256</v>
      </c>
      <c r="O83" s="3">
        <v>251</v>
      </c>
      <c r="P83" s="3">
        <f t="shared" si="3"/>
        <v>9.9601593625498008</v>
      </c>
      <c r="Q83" s="36">
        <v>34426.12555485098</v>
      </c>
      <c r="R83" s="8">
        <f t="shared" si="4"/>
        <v>3428.8969676146394</v>
      </c>
      <c r="S83" s="36">
        <v>34427.656841591197</v>
      </c>
      <c r="T83" s="8">
        <f t="shared" si="5"/>
        <v>9.9597163506994004</v>
      </c>
      <c r="U83" s="109"/>
      <c r="V83" s="3">
        <v>250</v>
      </c>
      <c r="W83" s="3"/>
      <c r="X83" s="3"/>
      <c r="Y83" s="36"/>
      <c r="Z83" s="36"/>
      <c r="AA83" s="36"/>
      <c r="AB83" s="36"/>
      <c r="AC83" s="36"/>
      <c r="AD83" s="36"/>
      <c r="AE83" s="36"/>
    </row>
    <row r="84" spans="1:31" s="38" customFormat="1" ht="20.25" customHeight="1">
      <c r="A84" s="13">
        <v>41480</v>
      </c>
      <c r="B84" s="64" t="s">
        <v>154</v>
      </c>
      <c r="C84" s="168">
        <v>2013</v>
      </c>
      <c r="D84" s="51">
        <v>8</v>
      </c>
      <c r="E84" s="3" t="s">
        <v>223</v>
      </c>
      <c r="F84" s="3" t="s">
        <v>224</v>
      </c>
      <c r="G84" s="3" t="s">
        <v>225</v>
      </c>
      <c r="H84" s="3" t="s">
        <v>226</v>
      </c>
      <c r="I84" s="3" t="s">
        <v>239</v>
      </c>
      <c r="J84" s="3" t="s">
        <v>258</v>
      </c>
      <c r="K84" s="3" t="s">
        <v>259</v>
      </c>
      <c r="L84" s="3">
        <v>22</v>
      </c>
      <c r="M84" s="3" t="s">
        <v>247</v>
      </c>
      <c r="N84" s="3" t="s">
        <v>260</v>
      </c>
      <c r="O84" s="3">
        <v>251</v>
      </c>
      <c r="P84" s="3">
        <f t="shared" si="3"/>
        <v>8.7649402390438258</v>
      </c>
      <c r="Q84" s="36">
        <v>34426.12555485098</v>
      </c>
      <c r="R84" s="8">
        <f t="shared" si="4"/>
        <v>3017.4293315008827</v>
      </c>
      <c r="S84" s="36">
        <v>34427.656841591197</v>
      </c>
      <c r="T84" s="8">
        <f t="shared" si="5"/>
        <v>8.7645503886154739</v>
      </c>
      <c r="U84" s="109"/>
      <c r="V84" s="3">
        <v>250</v>
      </c>
      <c r="W84" s="3"/>
      <c r="X84" s="3"/>
      <c r="Y84" s="36"/>
      <c r="Z84" s="36"/>
      <c r="AA84" s="36"/>
      <c r="AB84" s="36"/>
      <c r="AC84" s="36"/>
      <c r="AD84" s="36"/>
      <c r="AE84" s="36"/>
    </row>
    <row r="85" spans="1:31" s="38" customFormat="1" ht="20.25" customHeight="1">
      <c r="A85" s="13">
        <v>41480</v>
      </c>
      <c r="B85" s="35" t="s">
        <v>154</v>
      </c>
      <c r="C85" s="168">
        <v>2013</v>
      </c>
      <c r="D85" s="51">
        <v>8</v>
      </c>
      <c r="E85" s="3" t="s">
        <v>328</v>
      </c>
      <c r="F85" s="3"/>
      <c r="G85" s="3"/>
      <c r="H85" s="3"/>
      <c r="I85" s="3"/>
      <c r="J85" s="3"/>
      <c r="K85" s="3"/>
      <c r="L85" s="3">
        <v>2</v>
      </c>
      <c r="M85" s="3" t="s">
        <v>328</v>
      </c>
      <c r="N85" s="3" t="s">
        <v>328</v>
      </c>
      <c r="O85" s="3">
        <v>251</v>
      </c>
      <c r="P85" s="3">
        <f t="shared" si="3"/>
        <v>0.79681274900398402</v>
      </c>
      <c r="Q85" s="36">
        <v>34426.12555485098</v>
      </c>
      <c r="R85" s="8">
        <f t="shared" si="4"/>
        <v>274.31175740917115</v>
      </c>
      <c r="S85" s="36">
        <v>34427.656841591197</v>
      </c>
      <c r="T85" s="8">
        <f t="shared" si="5"/>
        <v>0.79677730805595204</v>
      </c>
      <c r="U85" s="109"/>
      <c r="V85" s="3">
        <v>250</v>
      </c>
      <c r="W85" s="3" t="s">
        <v>353</v>
      </c>
      <c r="X85" s="3"/>
      <c r="Y85" s="36"/>
      <c r="Z85" s="36"/>
      <c r="AA85" s="36"/>
      <c r="AB85" s="36"/>
      <c r="AC85" s="36"/>
      <c r="AD85" s="36"/>
      <c r="AE85" s="36"/>
    </row>
    <row r="86" spans="1:31" s="38" customFormat="1" ht="20.25" customHeight="1">
      <c r="A86" s="13">
        <v>41480</v>
      </c>
      <c r="B86" s="64" t="s">
        <v>154</v>
      </c>
      <c r="C86" s="164">
        <v>2013</v>
      </c>
      <c r="D86" s="51">
        <v>5</v>
      </c>
      <c r="E86" s="3" t="s">
        <v>223</v>
      </c>
      <c r="F86" s="3" t="s">
        <v>224</v>
      </c>
      <c r="G86" s="3" t="s">
        <v>225</v>
      </c>
      <c r="H86" s="3" t="s">
        <v>226</v>
      </c>
      <c r="I86" s="3" t="s">
        <v>227</v>
      </c>
      <c r="J86" s="3" t="s">
        <v>228</v>
      </c>
      <c r="K86" s="3"/>
      <c r="L86" s="3">
        <v>102</v>
      </c>
      <c r="M86" s="3" t="s">
        <v>229</v>
      </c>
      <c r="N86" s="3" t="s">
        <v>228</v>
      </c>
      <c r="O86" s="3">
        <v>155</v>
      </c>
      <c r="P86" s="3">
        <f t="shared" si="3"/>
        <v>65.806451612903231</v>
      </c>
      <c r="Q86" s="36">
        <v>16889.559274172134</v>
      </c>
      <c r="R86" s="8">
        <f t="shared" si="4"/>
        <v>11114.419651390695</v>
      </c>
      <c r="S86" s="36">
        <v>16891.9410792981</v>
      </c>
      <c r="T86" s="8">
        <f t="shared" si="5"/>
        <v>65.797172741810954</v>
      </c>
      <c r="U86" s="109"/>
      <c r="V86" s="3">
        <v>250</v>
      </c>
      <c r="W86" s="3"/>
      <c r="X86" s="3"/>
      <c r="Y86" s="36"/>
      <c r="Z86" s="36"/>
      <c r="AA86" s="36"/>
      <c r="AB86" s="36"/>
      <c r="AC86" s="36"/>
      <c r="AD86" s="36"/>
      <c r="AE86" s="36"/>
    </row>
    <row r="87" spans="1:31" s="38" customFormat="1" ht="20.25" customHeight="1">
      <c r="A87" s="72">
        <v>41480</v>
      </c>
      <c r="B87" s="72" t="s">
        <v>154</v>
      </c>
      <c r="C87" s="164">
        <v>2013</v>
      </c>
      <c r="D87" s="65">
        <v>5</v>
      </c>
      <c r="E87" s="65" t="s">
        <v>209</v>
      </c>
      <c r="F87" s="65" t="s">
        <v>210</v>
      </c>
      <c r="G87" s="65"/>
      <c r="H87" s="65" t="s">
        <v>211</v>
      </c>
      <c r="I87" s="65" t="s">
        <v>212</v>
      </c>
      <c r="J87" s="36" t="s">
        <v>213</v>
      </c>
      <c r="K87" s="36" t="s">
        <v>214</v>
      </c>
      <c r="L87" s="36">
        <v>1</v>
      </c>
      <c r="M87" s="36" t="s">
        <v>247</v>
      </c>
      <c r="N87" s="36" t="s">
        <v>215</v>
      </c>
      <c r="O87" s="36">
        <v>45</v>
      </c>
      <c r="P87" s="36">
        <f t="shared" si="3"/>
        <v>2.2222222222222223</v>
      </c>
      <c r="Q87" s="36">
        <v>2.3818051259975315</v>
      </c>
      <c r="R87" s="40">
        <f t="shared" si="4"/>
        <v>5.2929002799945148E-2</v>
      </c>
      <c r="S87" s="36">
        <v>16891.941079298133</v>
      </c>
      <c r="T87" s="40">
        <f t="shared" si="5"/>
        <v>3.1333878416620888E-4</v>
      </c>
      <c r="U87" s="110">
        <f>SUM(T88+T89+T90+T91+T93+T98+T101)</f>
        <v>11.612519133103302</v>
      </c>
      <c r="V87" s="36">
        <v>1000</v>
      </c>
      <c r="W87" s="36"/>
      <c r="X87" s="36"/>
      <c r="Y87" s="36"/>
      <c r="Z87" s="36"/>
      <c r="AA87" s="36"/>
      <c r="AB87" s="36"/>
      <c r="AC87" s="36"/>
      <c r="AD87" s="36"/>
      <c r="AE87" s="36"/>
    </row>
    <row r="88" spans="1:31" s="38" customFormat="1" ht="20.25" customHeight="1">
      <c r="A88" s="13">
        <v>41480</v>
      </c>
      <c r="B88" s="64" t="s">
        <v>154</v>
      </c>
      <c r="C88" s="164">
        <v>2013</v>
      </c>
      <c r="D88" s="51">
        <v>5</v>
      </c>
      <c r="E88" s="3" t="s">
        <v>223</v>
      </c>
      <c r="F88" s="3" t="s">
        <v>303</v>
      </c>
      <c r="G88" s="3" t="s">
        <v>304</v>
      </c>
      <c r="H88" s="3" t="s">
        <v>305</v>
      </c>
      <c r="I88" s="51" t="s">
        <v>306</v>
      </c>
      <c r="J88" s="51" t="s">
        <v>307</v>
      </c>
      <c r="K88" s="3"/>
      <c r="L88" s="3">
        <v>5</v>
      </c>
      <c r="M88" s="3" t="s">
        <v>229</v>
      </c>
      <c r="N88" s="3" t="s">
        <v>307</v>
      </c>
      <c r="O88" s="3">
        <v>155</v>
      </c>
      <c r="P88" s="3">
        <f t="shared" si="3"/>
        <v>3.225806451612903</v>
      </c>
      <c r="Q88" s="36">
        <v>16889.559274172134</v>
      </c>
      <c r="R88" s="8">
        <f t="shared" si="4"/>
        <v>544.82449271523012</v>
      </c>
      <c r="S88" s="36">
        <v>16891.9410792981</v>
      </c>
      <c r="T88" s="8">
        <f t="shared" si="5"/>
        <v>3.2253516049907325</v>
      </c>
      <c r="U88" s="109"/>
      <c r="V88" s="51">
        <v>250</v>
      </c>
      <c r="W88" s="65" t="s">
        <v>308</v>
      </c>
      <c r="X88" s="51"/>
      <c r="Y88" s="65"/>
      <c r="Z88" s="36"/>
      <c r="AA88" s="36"/>
      <c r="AB88" s="36"/>
      <c r="AC88" s="36"/>
      <c r="AD88" s="36"/>
      <c r="AE88" s="36"/>
    </row>
    <row r="89" spans="1:31" ht="20.25" customHeight="1">
      <c r="A89" s="35">
        <v>41480</v>
      </c>
      <c r="B89" s="72" t="s">
        <v>154</v>
      </c>
      <c r="C89" s="164">
        <v>2013</v>
      </c>
      <c r="D89" s="65">
        <v>5</v>
      </c>
      <c r="E89" s="36" t="s">
        <v>300</v>
      </c>
      <c r="F89" s="36" t="s">
        <v>320</v>
      </c>
      <c r="G89" s="36"/>
      <c r="H89" s="36"/>
      <c r="I89" s="36"/>
      <c r="J89" s="36"/>
      <c r="K89" s="36"/>
      <c r="L89" s="36">
        <v>8</v>
      </c>
      <c r="M89" s="36" t="s">
        <v>221</v>
      </c>
      <c r="N89" s="36" t="s">
        <v>322</v>
      </c>
      <c r="O89" s="3">
        <v>155</v>
      </c>
      <c r="P89" s="36">
        <f t="shared" si="3"/>
        <v>5.161290322580645</v>
      </c>
      <c r="Q89" s="65">
        <v>16889.559274172134</v>
      </c>
      <c r="R89" s="8">
        <f t="shared" si="4"/>
        <v>871.71918834436815</v>
      </c>
      <c r="S89" s="36">
        <v>16891.9410792981</v>
      </c>
      <c r="T89" s="8">
        <f t="shared" si="5"/>
        <v>5.1605625679851723</v>
      </c>
      <c r="U89" s="109"/>
      <c r="V89" s="36">
        <v>250</v>
      </c>
      <c r="W89" s="36" t="s">
        <v>222</v>
      </c>
      <c r="X89" s="36"/>
      <c r="Y89" s="36"/>
      <c r="Z89" s="3"/>
      <c r="AA89" s="3"/>
      <c r="AB89" s="3"/>
      <c r="AC89" s="3"/>
      <c r="AD89" s="3"/>
      <c r="AE89" s="3"/>
    </row>
    <row r="90" spans="1:31" ht="20.25" customHeight="1">
      <c r="A90" s="13">
        <v>41480</v>
      </c>
      <c r="B90" s="64" t="s">
        <v>154</v>
      </c>
      <c r="C90" s="164">
        <v>2013</v>
      </c>
      <c r="D90" s="51">
        <v>5</v>
      </c>
      <c r="E90" s="51" t="s">
        <v>223</v>
      </c>
      <c r="F90" s="51" t="s">
        <v>317</v>
      </c>
      <c r="G90" s="51" t="s">
        <v>314</v>
      </c>
      <c r="H90" s="51" t="s">
        <v>346</v>
      </c>
      <c r="I90" s="51" t="s">
        <v>315</v>
      </c>
      <c r="J90" s="3" t="s">
        <v>347</v>
      </c>
      <c r="K90" s="3" t="s">
        <v>348</v>
      </c>
      <c r="L90" s="3">
        <v>1</v>
      </c>
      <c r="M90" s="3" t="s">
        <v>247</v>
      </c>
      <c r="N90" s="3" t="s">
        <v>345</v>
      </c>
      <c r="O90" s="3">
        <v>155</v>
      </c>
      <c r="P90" s="3">
        <f t="shared" si="3"/>
        <v>0.64516129032258063</v>
      </c>
      <c r="Q90" s="65">
        <v>16889.559274172134</v>
      </c>
      <c r="R90" s="8">
        <f t="shared" si="4"/>
        <v>108.96489854304602</v>
      </c>
      <c r="S90" s="36">
        <v>16891.9410792981</v>
      </c>
      <c r="T90" s="8">
        <f t="shared" si="5"/>
        <v>0.64507032099814654</v>
      </c>
      <c r="U90" s="109"/>
      <c r="V90" s="3">
        <v>250</v>
      </c>
      <c r="W90" s="3"/>
      <c r="X90" s="3"/>
      <c r="Y90" s="36"/>
      <c r="Z90" s="3"/>
      <c r="AA90" s="3"/>
      <c r="AB90" s="3"/>
      <c r="AC90" s="3"/>
      <c r="AD90" s="3"/>
      <c r="AE90" s="3"/>
    </row>
    <row r="91" spans="1:31" ht="20.25" customHeight="1">
      <c r="A91" s="72">
        <v>41480</v>
      </c>
      <c r="B91" s="35" t="s">
        <v>154</v>
      </c>
      <c r="C91" s="164">
        <v>2013</v>
      </c>
      <c r="D91" s="65">
        <v>5</v>
      </c>
      <c r="E91" s="36" t="s">
        <v>351</v>
      </c>
      <c r="F91" s="36"/>
      <c r="G91" s="36"/>
      <c r="H91" s="36"/>
      <c r="I91" s="36"/>
      <c r="J91" s="36"/>
      <c r="K91" s="36"/>
      <c r="L91" s="36">
        <v>2</v>
      </c>
      <c r="M91" s="36" t="s">
        <v>474</v>
      </c>
      <c r="N91" s="36" t="s">
        <v>352</v>
      </c>
      <c r="O91" s="36">
        <v>45</v>
      </c>
      <c r="P91" s="36">
        <f t="shared" si="3"/>
        <v>4.4444444444444446</v>
      </c>
      <c r="Q91" s="65">
        <v>2.3818051259975315</v>
      </c>
      <c r="R91" s="40">
        <f t="shared" si="4"/>
        <v>0.1058580055998903</v>
      </c>
      <c r="S91" s="36">
        <v>16891.941079298133</v>
      </c>
      <c r="T91" s="40">
        <f t="shared" si="5"/>
        <v>6.2667756833241777E-4</v>
      </c>
      <c r="U91" s="110"/>
      <c r="V91" s="36">
        <v>1000</v>
      </c>
      <c r="W91" s="36" t="s">
        <v>222</v>
      </c>
      <c r="X91" s="36"/>
      <c r="Y91" s="36"/>
      <c r="Z91" s="3"/>
      <c r="AA91" s="3"/>
      <c r="AB91" s="3"/>
      <c r="AC91" s="3"/>
      <c r="AD91" s="3"/>
      <c r="AE91" s="3"/>
    </row>
    <row r="92" spans="1:31" ht="20.25" customHeight="1">
      <c r="A92" s="72">
        <v>41480</v>
      </c>
      <c r="B92" s="64" t="s">
        <v>154</v>
      </c>
      <c r="C92" s="168">
        <v>2013</v>
      </c>
      <c r="D92" s="65">
        <v>5</v>
      </c>
      <c r="E92" s="65" t="s">
        <v>223</v>
      </c>
      <c r="F92" s="65" t="s">
        <v>267</v>
      </c>
      <c r="G92" s="65"/>
      <c r="H92" s="65" t="s">
        <v>273</v>
      </c>
      <c r="I92" s="65"/>
      <c r="J92" s="36"/>
      <c r="K92" s="36"/>
      <c r="L92" s="36">
        <v>9</v>
      </c>
      <c r="M92" s="36" t="s">
        <v>508</v>
      </c>
      <c r="N92" s="36" t="s">
        <v>335</v>
      </c>
      <c r="O92" s="36">
        <v>45</v>
      </c>
      <c r="P92" s="36">
        <f t="shared" si="3"/>
        <v>20</v>
      </c>
      <c r="Q92" s="36">
        <v>2.3818051259975315</v>
      </c>
      <c r="R92" s="40">
        <f t="shared" si="4"/>
        <v>0.47636102519950629</v>
      </c>
      <c r="S92" s="36">
        <v>16891.9410792981</v>
      </c>
      <c r="T92" s="40">
        <f t="shared" si="5"/>
        <v>2.820049057495885E-3</v>
      </c>
      <c r="U92" s="110"/>
      <c r="V92" s="36">
        <v>1000</v>
      </c>
      <c r="W92" s="36" t="s">
        <v>336</v>
      </c>
      <c r="X92" s="36"/>
      <c r="Y92" s="36"/>
      <c r="Z92" s="3"/>
      <c r="AA92" s="3"/>
      <c r="AB92" s="3"/>
      <c r="AC92" s="3"/>
      <c r="AD92" s="3"/>
      <c r="AE92" s="3"/>
    </row>
    <row r="93" spans="1:31" ht="20.25" customHeight="1">
      <c r="A93" s="72">
        <v>41480</v>
      </c>
      <c r="B93" s="72" t="s">
        <v>154</v>
      </c>
      <c r="C93" s="168">
        <v>2013</v>
      </c>
      <c r="D93" s="65">
        <v>5</v>
      </c>
      <c r="E93" s="36" t="s">
        <v>223</v>
      </c>
      <c r="F93" s="36" t="s">
        <v>267</v>
      </c>
      <c r="G93" s="36"/>
      <c r="H93" s="36" t="s">
        <v>273</v>
      </c>
      <c r="I93" s="36"/>
      <c r="J93" s="36"/>
      <c r="K93" s="36"/>
      <c r="L93" s="36">
        <v>1</v>
      </c>
      <c r="M93" s="36" t="s">
        <v>508</v>
      </c>
      <c r="N93" s="36" t="s">
        <v>335</v>
      </c>
      <c r="O93" s="36">
        <v>45</v>
      </c>
      <c r="P93" s="36">
        <f t="shared" si="3"/>
        <v>2.2222222222222223</v>
      </c>
      <c r="Q93" s="36">
        <v>2.3818051259975315</v>
      </c>
      <c r="R93" s="40">
        <f t="shared" si="4"/>
        <v>5.2929002799945148E-2</v>
      </c>
      <c r="S93" s="36">
        <v>16891.9410792981</v>
      </c>
      <c r="T93" s="40">
        <f t="shared" si="5"/>
        <v>3.1333878416620943E-4</v>
      </c>
      <c r="U93" s="110"/>
      <c r="V93" s="36">
        <v>1000</v>
      </c>
      <c r="W93" s="36" t="s">
        <v>337</v>
      </c>
      <c r="X93" s="36"/>
      <c r="Y93" s="36"/>
      <c r="Z93" s="3"/>
      <c r="AA93" s="3"/>
      <c r="AB93" s="3"/>
      <c r="AC93" s="3"/>
      <c r="AD93" s="3"/>
      <c r="AE93" s="3"/>
    </row>
    <row r="94" spans="1:31" ht="20.25" customHeight="1">
      <c r="A94" s="71">
        <v>41480</v>
      </c>
      <c r="B94" s="64" t="s">
        <v>154</v>
      </c>
      <c r="C94" s="168">
        <v>2013</v>
      </c>
      <c r="D94" s="51">
        <v>5</v>
      </c>
      <c r="E94" s="3" t="s">
        <v>223</v>
      </c>
      <c r="F94" s="3" t="s">
        <v>224</v>
      </c>
      <c r="G94" s="3" t="s">
        <v>225</v>
      </c>
      <c r="H94" s="3" t="s">
        <v>226</v>
      </c>
      <c r="I94" s="3" t="s">
        <v>239</v>
      </c>
      <c r="J94" s="3" t="s">
        <v>240</v>
      </c>
      <c r="K94" s="3"/>
      <c r="L94" s="3">
        <v>12</v>
      </c>
      <c r="M94" s="3" t="s">
        <v>229</v>
      </c>
      <c r="N94" s="3" t="s">
        <v>240</v>
      </c>
      <c r="O94" s="3">
        <v>155</v>
      </c>
      <c r="P94" s="3">
        <f t="shared" si="3"/>
        <v>7.741935483870968</v>
      </c>
      <c r="Q94" s="65">
        <v>16889.559274172134</v>
      </c>
      <c r="R94" s="8">
        <f t="shared" si="4"/>
        <v>1307.5787825165523</v>
      </c>
      <c r="S94" s="36">
        <v>16891.9410792981</v>
      </c>
      <c r="T94" s="8">
        <f t="shared" si="5"/>
        <v>7.7408438519777576</v>
      </c>
      <c r="U94" s="109"/>
      <c r="V94" s="3">
        <v>250</v>
      </c>
      <c r="W94" s="3"/>
      <c r="X94" s="3"/>
      <c r="Y94" s="36"/>
      <c r="Z94" s="3"/>
      <c r="AA94" s="3"/>
      <c r="AB94" s="3"/>
      <c r="AC94" s="3"/>
      <c r="AD94" s="3"/>
      <c r="AE94" s="3"/>
    </row>
    <row r="95" spans="1:31" ht="20.25" customHeight="1">
      <c r="A95" s="72">
        <v>41480</v>
      </c>
      <c r="B95" s="72" t="s">
        <v>154</v>
      </c>
      <c r="C95" s="168">
        <v>2013</v>
      </c>
      <c r="D95" s="65">
        <v>5</v>
      </c>
      <c r="E95" s="36" t="s">
        <v>323</v>
      </c>
      <c r="F95" s="36" t="s">
        <v>324</v>
      </c>
      <c r="G95" s="36"/>
      <c r="H95" s="36" t="s">
        <v>325</v>
      </c>
      <c r="I95" s="36" t="s">
        <v>326</v>
      </c>
      <c r="J95" s="36"/>
      <c r="K95" s="36"/>
      <c r="L95" s="36">
        <v>4</v>
      </c>
      <c r="M95" s="36" t="s">
        <v>509</v>
      </c>
      <c r="N95" s="36" t="s">
        <v>327</v>
      </c>
      <c r="O95" s="36">
        <v>45</v>
      </c>
      <c r="P95" s="36">
        <f t="shared" si="3"/>
        <v>8.8888888888888893</v>
      </c>
      <c r="Q95" s="65">
        <v>2.3818051259975315</v>
      </c>
      <c r="R95" s="40">
        <f t="shared" si="4"/>
        <v>0.21171601119978059</v>
      </c>
      <c r="S95" s="36">
        <v>16891.9410792981</v>
      </c>
      <c r="T95" s="40">
        <f t="shared" si="5"/>
        <v>1.2533551366648377E-3</v>
      </c>
      <c r="U95" s="110"/>
      <c r="V95" s="36">
        <v>1000</v>
      </c>
      <c r="W95" s="36"/>
      <c r="X95" s="36"/>
      <c r="Y95" s="36"/>
      <c r="Z95" s="3"/>
      <c r="AA95" s="3"/>
      <c r="AB95" s="3"/>
      <c r="AC95" s="3"/>
      <c r="AD95" s="3"/>
      <c r="AE95" s="3"/>
    </row>
    <row r="96" spans="1:31" s="70" customFormat="1" ht="20.25" customHeight="1">
      <c r="A96" s="72">
        <v>41480</v>
      </c>
      <c r="B96" s="64" t="s">
        <v>154</v>
      </c>
      <c r="C96" s="168">
        <v>2013</v>
      </c>
      <c r="D96" s="65">
        <v>5</v>
      </c>
      <c r="E96" s="65" t="s">
        <v>300</v>
      </c>
      <c r="F96" s="65" t="s">
        <v>301</v>
      </c>
      <c r="G96" s="65"/>
      <c r="H96" s="65"/>
      <c r="I96" s="65"/>
      <c r="J96" s="36"/>
      <c r="K96" s="36"/>
      <c r="L96" s="36">
        <v>9</v>
      </c>
      <c r="M96" s="36" t="s">
        <v>221</v>
      </c>
      <c r="N96" s="36" t="s">
        <v>302</v>
      </c>
      <c r="O96" s="3">
        <v>155</v>
      </c>
      <c r="P96" s="36">
        <f t="shared" si="3"/>
        <v>5.806451612903226</v>
      </c>
      <c r="Q96" s="65">
        <v>16889.559274172134</v>
      </c>
      <c r="R96" s="8">
        <f t="shared" si="4"/>
        <v>980.68408688741431</v>
      </c>
      <c r="S96" s="36">
        <v>16891.9410792981</v>
      </c>
      <c r="T96" s="8">
        <f t="shared" si="5"/>
        <v>5.8056328889833191</v>
      </c>
      <c r="U96" s="109"/>
      <c r="V96" s="36">
        <v>250</v>
      </c>
      <c r="W96" s="36" t="s">
        <v>222</v>
      </c>
      <c r="X96" s="36"/>
      <c r="Y96" s="36"/>
      <c r="Z96" s="67"/>
      <c r="AA96" s="67"/>
      <c r="AB96" s="67"/>
      <c r="AC96" s="67"/>
      <c r="AD96" s="67"/>
      <c r="AE96" s="67"/>
    </row>
    <row r="97" spans="1:31" ht="20.25" customHeight="1">
      <c r="A97" s="72">
        <v>41480</v>
      </c>
      <c r="B97" s="35" t="s">
        <v>154</v>
      </c>
      <c r="C97" s="168">
        <v>2013</v>
      </c>
      <c r="D97" s="65">
        <v>5</v>
      </c>
      <c r="E97" s="65" t="s">
        <v>288</v>
      </c>
      <c r="F97" s="65" t="s">
        <v>289</v>
      </c>
      <c r="G97" s="65" t="s">
        <v>290</v>
      </c>
      <c r="H97" s="65" t="s">
        <v>291</v>
      </c>
      <c r="I97" s="65" t="s">
        <v>292</v>
      </c>
      <c r="J97" s="36" t="s">
        <v>293</v>
      </c>
      <c r="K97" s="36"/>
      <c r="L97" s="36">
        <v>1</v>
      </c>
      <c r="M97" s="36" t="s">
        <v>229</v>
      </c>
      <c r="N97" s="36" t="s">
        <v>294</v>
      </c>
      <c r="O97" s="36">
        <v>45</v>
      </c>
      <c r="P97" s="36">
        <f t="shared" si="3"/>
        <v>2.2222222222222223</v>
      </c>
      <c r="Q97" s="36">
        <v>2.3818051259975315</v>
      </c>
      <c r="R97" s="40">
        <f t="shared" si="4"/>
        <v>5.2929002799945148E-2</v>
      </c>
      <c r="S97" s="36">
        <v>16891.9410792981</v>
      </c>
      <c r="T97" s="40">
        <f t="shared" si="5"/>
        <v>3.1333878416620943E-4</v>
      </c>
      <c r="U97" s="110"/>
      <c r="V97" s="36">
        <v>1000</v>
      </c>
      <c r="W97" s="36"/>
      <c r="X97" s="36"/>
      <c r="Y97" s="36"/>
      <c r="Z97" s="3"/>
      <c r="AA97" s="3"/>
      <c r="AB97" s="3"/>
      <c r="AC97" s="3"/>
      <c r="AD97" s="3"/>
      <c r="AE97" s="3"/>
    </row>
    <row r="98" spans="1:31" ht="20.25" customHeight="1">
      <c r="A98" s="72">
        <v>41480</v>
      </c>
      <c r="B98" s="64" t="s">
        <v>154</v>
      </c>
      <c r="C98" s="168">
        <v>2013</v>
      </c>
      <c r="D98" s="65">
        <v>5</v>
      </c>
      <c r="E98" s="36" t="s">
        <v>288</v>
      </c>
      <c r="F98" s="36"/>
      <c r="G98" s="36"/>
      <c r="H98" s="36"/>
      <c r="I98" s="36"/>
      <c r="J98" s="36"/>
      <c r="K98" s="36"/>
      <c r="L98" s="36">
        <v>1</v>
      </c>
      <c r="M98" s="36" t="s">
        <v>474</v>
      </c>
      <c r="N98" s="36" t="s">
        <v>294</v>
      </c>
      <c r="O98" s="36">
        <v>45</v>
      </c>
      <c r="P98" s="36">
        <f t="shared" si="3"/>
        <v>2.2222222222222223</v>
      </c>
      <c r="Q98" s="36">
        <v>2.3818051259975315</v>
      </c>
      <c r="R98" s="40">
        <f t="shared" si="4"/>
        <v>5.2929002799945148E-2</v>
      </c>
      <c r="S98" s="36">
        <v>16891.9410792981</v>
      </c>
      <c r="T98" s="40">
        <f t="shared" si="5"/>
        <v>3.1333878416620943E-4</v>
      </c>
      <c r="U98" s="110"/>
      <c r="V98" s="36">
        <v>1000</v>
      </c>
      <c r="W98" s="36" t="s">
        <v>350</v>
      </c>
      <c r="X98" s="36"/>
      <c r="Y98" s="36"/>
      <c r="Z98" s="3"/>
      <c r="AA98" s="3"/>
      <c r="AB98" s="3"/>
      <c r="AC98" s="3"/>
      <c r="AD98" s="3"/>
      <c r="AE98" s="3"/>
    </row>
    <row r="99" spans="1:31" ht="20.25" customHeight="1">
      <c r="A99" s="35">
        <v>41480</v>
      </c>
      <c r="B99" s="35" t="s">
        <v>154</v>
      </c>
      <c r="C99" s="168">
        <v>2013</v>
      </c>
      <c r="D99" s="65">
        <v>5</v>
      </c>
      <c r="E99" s="36" t="s">
        <v>223</v>
      </c>
      <c r="F99" s="36" t="s">
        <v>267</v>
      </c>
      <c r="G99" s="36" t="s">
        <v>278</v>
      </c>
      <c r="H99" s="36" t="s">
        <v>279</v>
      </c>
      <c r="I99" s="36" t="s">
        <v>280</v>
      </c>
      <c r="J99" s="36" t="s">
        <v>281</v>
      </c>
      <c r="K99" s="36" t="s">
        <v>282</v>
      </c>
      <c r="L99" s="36">
        <v>3</v>
      </c>
      <c r="M99" s="36" t="s">
        <v>247</v>
      </c>
      <c r="N99" s="36" t="s">
        <v>283</v>
      </c>
      <c r="O99" s="36">
        <v>45</v>
      </c>
      <c r="P99" s="36">
        <f t="shared" si="3"/>
        <v>6.666666666666667</v>
      </c>
      <c r="Q99" s="36">
        <v>2.3818051259975315</v>
      </c>
      <c r="R99" s="40">
        <f t="shared" si="4"/>
        <v>0.15878700839983542</v>
      </c>
      <c r="S99" s="36">
        <v>16891.9410792981</v>
      </c>
      <c r="T99" s="40">
        <f t="shared" si="5"/>
        <v>9.4001635249862828E-4</v>
      </c>
      <c r="U99" s="110"/>
      <c r="V99" s="36">
        <v>1000</v>
      </c>
      <c r="W99" s="36"/>
      <c r="X99" s="36"/>
      <c r="Y99" s="36"/>
      <c r="Z99" s="3"/>
      <c r="AA99" s="3"/>
      <c r="AB99" s="3"/>
      <c r="AC99" s="3"/>
      <c r="AD99" s="3"/>
      <c r="AE99" s="3"/>
    </row>
    <row r="100" spans="1:31" ht="20.25" customHeight="1">
      <c r="A100" s="35">
        <v>41480</v>
      </c>
      <c r="B100" s="64" t="s">
        <v>154</v>
      </c>
      <c r="C100" s="168">
        <v>2013</v>
      </c>
      <c r="D100" s="65">
        <v>5</v>
      </c>
      <c r="E100" s="65" t="s">
        <v>223</v>
      </c>
      <c r="F100" s="65" t="s">
        <v>267</v>
      </c>
      <c r="G100" s="65" t="s">
        <v>278</v>
      </c>
      <c r="H100" s="65" t="s">
        <v>279</v>
      </c>
      <c r="I100" s="65" t="s">
        <v>280</v>
      </c>
      <c r="J100" s="36" t="s">
        <v>284</v>
      </c>
      <c r="K100" s="36" t="s">
        <v>285</v>
      </c>
      <c r="L100" s="36">
        <v>23</v>
      </c>
      <c r="M100" s="36" t="s">
        <v>247</v>
      </c>
      <c r="N100" s="36" t="s">
        <v>283</v>
      </c>
      <c r="O100" s="36">
        <v>45</v>
      </c>
      <c r="P100" s="36">
        <f t="shared" si="3"/>
        <v>51.111111111111107</v>
      </c>
      <c r="Q100" s="36">
        <v>2.3818051259975315</v>
      </c>
      <c r="R100" s="40">
        <f t="shared" si="4"/>
        <v>1.2173670643987382</v>
      </c>
      <c r="S100" s="65">
        <v>16891.9410792981</v>
      </c>
      <c r="T100" s="40">
        <f t="shared" si="5"/>
        <v>7.206792035822817E-3</v>
      </c>
      <c r="U100" s="110"/>
      <c r="V100" s="36">
        <v>1000</v>
      </c>
      <c r="W100" s="36"/>
      <c r="X100" s="36"/>
      <c r="Y100" s="36"/>
      <c r="Z100" s="3"/>
      <c r="AA100" s="3"/>
      <c r="AB100" s="3"/>
      <c r="AC100" s="3"/>
      <c r="AD100" s="3"/>
      <c r="AE100" s="3"/>
    </row>
    <row r="101" spans="1:31" ht="20.25" customHeight="1">
      <c r="A101" s="71">
        <v>41480</v>
      </c>
      <c r="B101" s="72" t="s">
        <v>154</v>
      </c>
      <c r="C101" s="168">
        <v>2013</v>
      </c>
      <c r="D101" s="51">
        <v>5</v>
      </c>
      <c r="E101" s="51" t="s">
        <v>223</v>
      </c>
      <c r="F101" s="51" t="s">
        <v>224</v>
      </c>
      <c r="G101" s="51" t="s">
        <v>225</v>
      </c>
      <c r="H101" s="51" t="s">
        <v>248</v>
      </c>
      <c r="I101" s="51" t="s">
        <v>249</v>
      </c>
      <c r="J101" s="3" t="s">
        <v>250</v>
      </c>
      <c r="K101" s="3" t="s">
        <v>251</v>
      </c>
      <c r="L101" s="3">
        <v>4</v>
      </c>
      <c r="M101" s="3" t="s">
        <v>247</v>
      </c>
      <c r="N101" s="3" t="s">
        <v>250</v>
      </c>
      <c r="O101" s="3">
        <v>155</v>
      </c>
      <c r="P101" s="3">
        <f t="shared" si="3"/>
        <v>2.5806451612903225</v>
      </c>
      <c r="Q101" s="65">
        <v>16889.559274172134</v>
      </c>
      <c r="R101" s="8">
        <f t="shared" si="4"/>
        <v>435.85959417218407</v>
      </c>
      <c r="S101" s="36">
        <v>16891.9410792981</v>
      </c>
      <c r="T101" s="8">
        <f t="shared" si="5"/>
        <v>2.5802812839925862</v>
      </c>
      <c r="U101" s="109"/>
      <c r="V101" s="3">
        <v>250</v>
      </c>
      <c r="W101" s="3"/>
      <c r="X101" s="3"/>
      <c r="Y101" s="36"/>
      <c r="Z101" s="3"/>
      <c r="AA101" s="3"/>
      <c r="AB101" s="3"/>
      <c r="AC101" s="3"/>
      <c r="AD101" s="3"/>
      <c r="AE101" s="3"/>
    </row>
    <row r="102" spans="1:31" ht="20.25" customHeight="1">
      <c r="A102" s="71">
        <v>41480</v>
      </c>
      <c r="B102" s="64" t="s">
        <v>154</v>
      </c>
      <c r="C102" s="168">
        <v>2013</v>
      </c>
      <c r="D102" s="51">
        <v>5</v>
      </c>
      <c r="E102" s="51" t="s">
        <v>223</v>
      </c>
      <c r="F102" s="51" t="s">
        <v>224</v>
      </c>
      <c r="G102" s="51" t="s">
        <v>225</v>
      </c>
      <c r="H102" s="51" t="s">
        <v>226</v>
      </c>
      <c r="I102" s="51" t="s">
        <v>253</v>
      </c>
      <c r="J102" s="51" t="s">
        <v>256</v>
      </c>
      <c r="K102" s="3"/>
      <c r="L102" s="3">
        <v>7</v>
      </c>
      <c r="M102" s="3" t="s">
        <v>229</v>
      </c>
      <c r="N102" s="3" t="s">
        <v>256</v>
      </c>
      <c r="O102" s="3">
        <v>155</v>
      </c>
      <c r="P102" s="3">
        <f t="shared" si="3"/>
        <v>4.5161290322580641</v>
      </c>
      <c r="Q102" s="65">
        <v>16889.559274172134</v>
      </c>
      <c r="R102" s="8">
        <f t="shared" si="4"/>
        <v>762.7542898013221</v>
      </c>
      <c r="S102" s="36">
        <v>16891.9410792981</v>
      </c>
      <c r="T102" s="8">
        <f t="shared" si="5"/>
        <v>4.5154922469870256</v>
      </c>
      <c r="U102" s="109"/>
      <c r="V102" s="3">
        <v>250</v>
      </c>
      <c r="W102" s="3"/>
      <c r="X102" s="3"/>
      <c r="Y102" s="36"/>
      <c r="Z102" s="3"/>
      <c r="AA102" s="3"/>
      <c r="AB102" s="3"/>
      <c r="AC102" s="3"/>
      <c r="AD102" s="3"/>
      <c r="AE102" s="3"/>
    </row>
    <row r="103" spans="1:31" ht="20.25" customHeight="1">
      <c r="A103" s="71">
        <v>41480</v>
      </c>
      <c r="B103" s="35" t="s">
        <v>154</v>
      </c>
      <c r="C103" s="168">
        <v>2013</v>
      </c>
      <c r="D103" s="51">
        <v>5</v>
      </c>
      <c r="E103" s="3" t="s">
        <v>223</v>
      </c>
      <c r="F103" s="3" t="s">
        <v>224</v>
      </c>
      <c r="G103" s="3" t="s">
        <v>225</v>
      </c>
      <c r="H103" s="3" t="s">
        <v>226</v>
      </c>
      <c r="I103" s="3" t="s">
        <v>239</v>
      </c>
      <c r="J103" s="3" t="s">
        <v>258</v>
      </c>
      <c r="K103" s="3" t="s">
        <v>259</v>
      </c>
      <c r="L103" s="3">
        <v>5</v>
      </c>
      <c r="M103" s="3" t="s">
        <v>247</v>
      </c>
      <c r="N103" s="3" t="s">
        <v>260</v>
      </c>
      <c r="O103" s="3">
        <v>155</v>
      </c>
      <c r="P103" s="3">
        <f t="shared" si="3"/>
        <v>3.225806451612903</v>
      </c>
      <c r="Q103" s="65">
        <v>16889.559274172134</v>
      </c>
      <c r="R103" s="8">
        <f t="shared" si="4"/>
        <v>544.82449271523012</v>
      </c>
      <c r="S103" s="36">
        <v>16891.9410792981</v>
      </c>
      <c r="T103" s="8">
        <f t="shared" si="5"/>
        <v>3.2253516049907325</v>
      </c>
      <c r="U103" s="109"/>
      <c r="V103" s="3">
        <v>250</v>
      </c>
      <c r="W103" s="3"/>
      <c r="X103" s="3"/>
      <c r="Y103" s="36"/>
      <c r="Z103" s="3"/>
      <c r="AA103" s="3"/>
      <c r="AB103" s="3"/>
      <c r="AC103" s="3"/>
      <c r="AD103" s="3"/>
      <c r="AE103" s="3"/>
    </row>
    <row r="104" spans="1:31" ht="20.25" customHeight="1">
      <c r="A104" s="71">
        <v>41480</v>
      </c>
      <c r="B104" s="64" t="s">
        <v>154</v>
      </c>
      <c r="C104" s="168">
        <v>2013</v>
      </c>
      <c r="D104" s="51">
        <v>5</v>
      </c>
      <c r="E104" s="3" t="s">
        <v>223</v>
      </c>
      <c r="F104" s="3" t="s">
        <v>224</v>
      </c>
      <c r="G104" s="3" t="s">
        <v>225</v>
      </c>
      <c r="H104" s="3" t="s">
        <v>226</v>
      </c>
      <c r="I104" s="3" t="s">
        <v>261</v>
      </c>
      <c r="J104" s="3" t="s">
        <v>262</v>
      </c>
      <c r="K104" s="3" t="s">
        <v>263</v>
      </c>
      <c r="L104" s="3">
        <v>2</v>
      </c>
      <c r="M104" s="3" t="s">
        <v>247</v>
      </c>
      <c r="N104" s="3" t="s">
        <v>264</v>
      </c>
      <c r="O104" s="3">
        <v>155</v>
      </c>
      <c r="P104" s="3">
        <f t="shared" si="3"/>
        <v>1.2903225806451613</v>
      </c>
      <c r="Q104" s="65">
        <v>16889.559274172134</v>
      </c>
      <c r="R104" s="8">
        <f t="shared" si="4"/>
        <v>217.92979708609204</v>
      </c>
      <c r="S104" s="36">
        <v>16891.9410792981</v>
      </c>
      <c r="T104" s="8">
        <f t="shared" si="5"/>
        <v>1.2901406419962931</v>
      </c>
      <c r="U104" s="109"/>
      <c r="V104" s="3">
        <v>250</v>
      </c>
      <c r="W104" s="3"/>
      <c r="X104" s="3"/>
      <c r="Y104" s="36"/>
      <c r="Z104" s="3"/>
      <c r="AA104" s="3"/>
      <c r="AB104" s="3"/>
      <c r="AC104" s="3"/>
      <c r="AD104" s="3"/>
      <c r="AE104" s="3"/>
    </row>
    <row r="105" spans="1:31" ht="20.25" customHeight="1">
      <c r="A105" s="13">
        <v>41480</v>
      </c>
      <c r="B105" s="35" t="s">
        <v>154</v>
      </c>
      <c r="C105" s="168">
        <v>2013</v>
      </c>
      <c r="D105" s="51">
        <v>4</v>
      </c>
      <c r="E105" s="3" t="s">
        <v>223</v>
      </c>
      <c r="F105" s="3" t="s">
        <v>224</v>
      </c>
      <c r="G105" s="3" t="s">
        <v>225</v>
      </c>
      <c r="H105" s="3" t="s">
        <v>226</v>
      </c>
      <c r="I105" s="3" t="s">
        <v>227</v>
      </c>
      <c r="J105" s="3" t="s">
        <v>228</v>
      </c>
      <c r="K105" s="3"/>
      <c r="L105" s="3">
        <v>52</v>
      </c>
      <c r="M105" s="3" t="s">
        <v>229</v>
      </c>
      <c r="N105" s="3" t="s">
        <v>228</v>
      </c>
      <c r="O105" s="3">
        <v>124</v>
      </c>
      <c r="P105" s="3">
        <f t="shared" si="3"/>
        <v>41.935483870967744</v>
      </c>
      <c r="Q105" s="65">
        <v>6370.9575142675976</v>
      </c>
      <c r="R105" s="8">
        <f t="shared" si="4"/>
        <v>2671.6918608218957</v>
      </c>
      <c r="S105" s="36">
        <v>6388.5152307285998</v>
      </c>
      <c r="T105" s="8">
        <f t="shared" si="5"/>
        <v>41.820231530029453</v>
      </c>
      <c r="U105" s="109"/>
      <c r="V105" s="3">
        <v>250</v>
      </c>
      <c r="W105" s="3"/>
      <c r="X105" s="3"/>
      <c r="Y105" s="36"/>
      <c r="Z105" s="3"/>
      <c r="AA105" s="3"/>
      <c r="AB105" s="3"/>
      <c r="AC105" s="3"/>
      <c r="AD105" s="3"/>
      <c r="AE105" s="3"/>
    </row>
    <row r="106" spans="1:31" ht="20.25" customHeight="1">
      <c r="A106" s="35">
        <v>41480</v>
      </c>
      <c r="B106" s="64" t="s">
        <v>154</v>
      </c>
      <c r="C106" s="168">
        <v>2013</v>
      </c>
      <c r="D106" s="65">
        <v>4</v>
      </c>
      <c r="E106" s="65" t="s">
        <v>223</v>
      </c>
      <c r="F106" s="36" t="s">
        <v>267</v>
      </c>
      <c r="G106" s="36" t="s">
        <v>278</v>
      </c>
      <c r="H106" s="65" t="s">
        <v>269</v>
      </c>
      <c r="I106" s="65" t="s">
        <v>333</v>
      </c>
      <c r="J106" s="65" t="s">
        <v>334</v>
      </c>
      <c r="K106" s="36"/>
      <c r="L106" s="36">
        <v>1</v>
      </c>
      <c r="M106" s="36" t="s">
        <v>229</v>
      </c>
      <c r="N106" s="36" t="s">
        <v>270</v>
      </c>
      <c r="O106" s="36">
        <v>113</v>
      </c>
      <c r="P106" s="36">
        <f t="shared" si="3"/>
        <v>0.88495575221238942</v>
      </c>
      <c r="Q106" s="36">
        <v>17.557716461006592</v>
      </c>
      <c r="R106" s="40">
        <f t="shared" si="4"/>
        <v>0.1553780217788194</v>
      </c>
      <c r="S106" s="65">
        <v>6388.5152307285998</v>
      </c>
      <c r="T106" s="40">
        <f t="shared" si="5"/>
        <v>2.4321460647296414E-3</v>
      </c>
      <c r="U106" s="110"/>
      <c r="V106" s="36">
        <v>1000</v>
      </c>
      <c r="W106" s="36"/>
      <c r="X106" s="36"/>
      <c r="Y106" s="36"/>
      <c r="Z106" s="3"/>
      <c r="AA106" s="3"/>
      <c r="AB106" s="3"/>
      <c r="AC106" s="3"/>
      <c r="AD106" s="3"/>
      <c r="AE106" s="3"/>
    </row>
    <row r="107" spans="1:31" ht="20.25" customHeight="1">
      <c r="A107" s="13">
        <v>41480</v>
      </c>
      <c r="B107" s="72" t="s">
        <v>154</v>
      </c>
      <c r="C107" s="168">
        <v>2013</v>
      </c>
      <c r="D107" s="51">
        <v>4</v>
      </c>
      <c r="E107" s="3" t="s">
        <v>223</v>
      </c>
      <c r="F107" s="3" t="s">
        <v>224</v>
      </c>
      <c r="G107" s="3" t="s">
        <v>304</v>
      </c>
      <c r="H107" s="3" t="s">
        <v>329</v>
      </c>
      <c r="I107" s="3" t="s">
        <v>330</v>
      </c>
      <c r="J107" s="3" t="s">
        <v>307</v>
      </c>
      <c r="K107" s="3"/>
      <c r="L107" s="3">
        <v>1</v>
      </c>
      <c r="M107" s="3" t="s">
        <v>229</v>
      </c>
      <c r="N107" s="3" t="s">
        <v>307</v>
      </c>
      <c r="O107" s="3">
        <v>124</v>
      </c>
      <c r="P107" s="3">
        <f t="shared" si="3"/>
        <v>0.80645161290322576</v>
      </c>
      <c r="Q107" s="65">
        <v>6370.9575142675976</v>
      </c>
      <c r="R107" s="8">
        <f t="shared" si="4"/>
        <v>51.378689631190305</v>
      </c>
      <c r="S107" s="36">
        <v>6388.5152307285998</v>
      </c>
      <c r="T107" s="8">
        <f t="shared" si="5"/>
        <v>0.80423522173133577</v>
      </c>
      <c r="U107" s="109"/>
      <c r="V107" s="3">
        <v>250</v>
      </c>
      <c r="W107" s="3"/>
      <c r="X107" s="3"/>
      <c r="Y107" s="41"/>
      <c r="Z107" s="3"/>
      <c r="AA107" s="3"/>
      <c r="AB107" s="3"/>
      <c r="AC107" s="3"/>
      <c r="AD107" s="3"/>
      <c r="AE107" s="3"/>
    </row>
    <row r="108" spans="1:31" s="50" customFormat="1" ht="20.25" customHeight="1">
      <c r="A108" s="13">
        <v>41480</v>
      </c>
      <c r="B108" s="64" t="s">
        <v>154</v>
      </c>
      <c r="C108" s="168">
        <v>2013</v>
      </c>
      <c r="D108" s="51">
        <v>4</v>
      </c>
      <c r="E108" s="3" t="s">
        <v>223</v>
      </c>
      <c r="F108" s="3" t="s">
        <v>224</v>
      </c>
      <c r="G108" s="3" t="s">
        <v>304</v>
      </c>
      <c r="H108" s="3" t="s">
        <v>329</v>
      </c>
      <c r="I108" s="3" t="s">
        <v>330</v>
      </c>
      <c r="J108" s="3" t="s">
        <v>307</v>
      </c>
      <c r="K108" s="3"/>
      <c r="L108" s="3">
        <v>2</v>
      </c>
      <c r="M108" s="3" t="s">
        <v>229</v>
      </c>
      <c r="N108" s="3" t="s">
        <v>307</v>
      </c>
      <c r="O108" s="3">
        <v>124</v>
      </c>
      <c r="P108" s="3">
        <f t="shared" si="3"/>
        <v>1.6129032258064515</v>
      </c>
      <c r="Q108" s="65">
        <v>6370.9575142675976</v>
      </c>
      <c r="R108" s="8">
        <f t="shared" si="4"/>
        <v>102.75737926238061</v>
      </c>
      <c r="S108" s="36">
        <v>6388.5152307285998</v>
      </c>
      <c r="T108" s="8">
        <f t="shared" si="5"/>
        <v>1.6084704434626715</v>
      </c>
      <c r="U108" s="109"/>
      <c r="V108" s="3">
        <v>250</v>
      </c>
      <c r="W108" s="36" t="s">
        <v>308</v>
      </c>
      <c r="X108" s="3"/>
      <c r="Y108" s="41"/>
      <c r="Z108" s="48"/>
      <c r="AA108" s="48"/>
      <c r="AB108" s="48"/>
      <c r="AC108" s="48"/>
      <c r="AD108" s="48"/>
      <c r="AE108" s="48"/>
    </row>
    <row r="109" spans="1:31" ht="20.25" customHeight="1">
      <c r="A109" s="72">
        <v>41480</v>
      </c>
      <c r="B109" s="72" t="s">
        <v>154</v>
      </c>
      <c r="C109" s="168">
        <v>2013</v>
      </c>
      <c r="D109" s="65">
        <v>4</v>
      </c>
      <c r="E109" s="65" t="s">
        <v>300</v>
      </c>
      <c r="F109" s="65" t="s">
        <v>320</v>
      </c>
      <c r="G109" s="65"/>
      <c r="H109" s="65"/>
      <c r="I109" s="65"/>
      <c r="J109" s="36"/>
      <c r="K109" s="36"/>
      <c r="L109" s="36">
        <v>9</v>
      </c>
      <c r="M109" s="36" t="s">
        <v>221</v>
      </c>
      <c r="N109" s="36" t="s">
        <v>322</v>
      </c>
      <c r="O109" s="36">
        <v>124</v>
      </c>
      <c r="P109" s="36">
        <f t="shared" si="3"/>
        <v>7.2580645161290329</v>
      </c>
      <c r="Q109" s="65">
        <v>6370.9575142675976</v>
      </c>
      <c r="R109" s="8">
        <f t="shared" si="4"/>
        <v>462.40820668071274</v>
      </c>
      <c r="S109" s="36">
        <v>6388.5152307285998</v>
      </c>
      <c r="T109" s="8">
        <f t="shared" si="5"/>
        <v>7.238116995582021</v>
      </c>
      <c r="U109" s="109"/>
      <c r="V109" s="36">
        <v>250</v>
      </c>
      <c r="W109" s="36" t="s">
        <v>222</v>
      </c>
      <c r="X109" s="36"/>
      <c r="Y109" s="41"/>
      <c r="Z109" s="3"/>
      <c r="AA109" s="3"/>
      <c r="AB109" s="3"/>
      <c r="AC109" s="3"/>
      <c r="AD109" s="3"/>
      <c r="AE109" s="3"/>
    </row>
    <row r="110" spans="1:31" ht="20.25" customHeight="1">
      <c r="A110" s="13">
        <v>41480</v>
      </c>
      <c r="B110" s="64" t="s">
        <v>154</v>
      </c>
      <c r="C110" s="168">
        <v>2013</v>
      </c>
      <c r="D110" s="51">
        <v>4</v>
      </c>
      <c r="E110" s="3" t="s">
        <v>223</v>
      </c>
      <c r="F110" s="3" t="s">
        <v>224</v>
      </c>
      <c r="G110" s="3" t="s">
        <v>225</v>
      </c>
      <c r="H110" s="3" t="s">
        <v>226</v>
      </c>
      <c r="I110" s="3"/>
      <c r="J110" s="3"/>
      <c r="K110" s="3"/>
      <c r="L110" s="3">
        <v>2</v>
      </c>
      <c r="M110" s="3" t="s">
        <v>508</v>
      </c>
      <c r="N110" s="36" t="s">
        <v>600</v>
      </c>
      <c r="O110" s="3">
        <v>124</v>
      </c>
      <c r="P110" s="3">
        <f t="shared" si="3"/>
        <v>1.6129032258064515</v>
      </c>
      <c r="Q110" s="36">
        <v>6370.9575142675976</v>
      </c>
      <c r="R110" s="8">
        <f t="shared" si="4"/>
        <v>102.75737926238061</v>
      </c>
      <c r="S110" s="36">
        <v>6388.5152307285998</v>
      </c>
      <c r="T110" s="8">
        <f t="shared" si="5"/>
        <v>1.6084704434626715</v>
      </c>
      <c r="U110" s="109"/>
      <c r="V110" s="3">
        <v>250</v>
      </c>
      <c r="W110" s="3" t="s">
        <v>309</v>
      </c>
      <c r="X110" s="3"/>
      <c r="Y110" s="41"/>
      <c r="Z110" s="3"/>
      <c r="AA110" s="3"/>
      <c r="AB110" s="3"/>
      <c r="AC110" s="3"/>
      <c r="AD110" s="3"/>
      <c r="AE110" s="3"/>
    </row>
    <row r="111" spans="1:31" ht="20.25" customHeight="1">
      <c r="A111" s="13">
        <v>41480</v>
      </c>
      <c r="B111" s="72" t="s">
        <v>154</v>
      </c>
      <c r="C111" s="168">
        <v>2013</v>
      </c>
      <c r="D111" s="51">
        <v>4</v>
      </c>
      <c r="E111" s="3" t="s">
        <v>223</v>
      </c>
      <c r="F111" s="3" t="s">
        <v>224</v>
      </c>
      <c r="G111" s="3" t="s">
        <v>225</v>
      </c>
      <c r="H111" s="3" t="s">
        <v>226</v>
      </c>
      <c r="I111" s="3"/>
      <c r="J111" s="3"/>
      <c r="K111" s="3"/>
      <c r="L111" s="3">
        <v>1</v>
      </c>
      <c r="M111" s="3" t="s">
        <v>508</v>
      </c>
      <c r="N111" s="36" t="s">
        <v>600</v>
      </c>
      <c r="O111" s="3">
        <v>124</v>
      </c>
      <c r="P111" s="3">
        <f t="shared" si="3"/>
        <v>0.80645161290322576</v>
      </c>
      <c r="Q111" s="65">
        <v>6370.9575142675976</v>
      </c>
      <c r="R111" s="8">
        <f t="shared" si="4"/>
        <v>51.378689631190305</v>
      </c>
      <c r="S111" s="36">
        <v>6388.5152307285998</v>
      </c>
      <c r="T111" s="8">
        <f t="shared" si="5"/>
        <v>0.80423522173133577</v>
      </c>
      <c r="U111" s="109"/>
      <c r="V111" s="3">
        <v>250</v>
      </c>
      <c r="W111" s="3" t="s">
        <v>331</v>
      </c>
      <c r="X111" s="3"/>
      <c r="Y111" s="41"/>
      <c r="Z111" s="3"/>
      <c r="AA111" s="3"/>
      <c r="AB111" s="3"/>
      <c r="AC111" s="3"/>
      <c r="AD111" s="3"/>
      <c r="AE111" s="3"/>
    </row>
    <row r="112" spans="1:31" ht="20.25" customHeight="1">
      <c r="A112" s="13">
        <v>41480</v>
      </c>
      <c r="B112" s="64" t="s">
        <v>154</v>
      </c>
      <c r="C112" s="168">
        <v>2013</v>
      </c>
      <c r="D112" s="51">
        <v>4</v>
      </c>
      <c r="E112" s="3" t="s">
        <v>223</v>
      </c>
      <c r="F112" s="3" t="s">
        <v>224</v>
      </c>
      <c r="G112" s="3" t="s">
        <v>225</v>
      </c>
      <c r="H112" s="3" t="s">
        <v>226</v>
      </c>
      <c r="I112" s="3" t="s">
        <v>232</v>
      </c>
      <c r="J112" s="3" t="s">
        <v>233</v>
      </c>
      <c r="K112" s="3" t="s">
        <v>234</v>
      </c>
      <c r="L112" s="3">
        <v>4</v>
      </c>
      <c r="M112" s="3" t="s">
        <v>247</v>
      </c>
      <c r="N112" s="3" t="s">
        <v>233</v>
      </c>
      <c r="O112" s="3">
        <v>124</v>
      </c>
      <c r="P112" s="3">
        <f t="shared" si="3"/>
        <v>3.225806451612903</v>
      </c>
      <c r="Q112" s="36">
        <v>6370.9575142675976</v>
      </c>
      <c r="R112" s="8">
        <f t="shared" si="4"/>
        <v>205.51475852476122</v>
      </c>
      <c r="S112" s="36">
        <v>6388.5152307285998</v>
      </c>
      <c r="T112" s="8">
        <f t="shared" si="5"/>
        <v>3.2169408869253431</v>
      </c>
      <c r="U112" s="109"/>
      <c r="V112" s="3">
        <v>250</v>
      </c>
      <c r="W112" s="3"/>
      <c r="X112" s="3"/>
      <c r="Y112" s="41"/>
      <c r="Z112" s="3"/>
      <c r="AA112" s="3"/>
      <c r="AB112" s="3"/>
      <c r="AC112" s="3"/>
      <c r="AD112" s="3"/>
      <c r="AE112" s="3"/>
    </row>
    <row r="113" spans="1:31" ht="20.25" customHeight="1">
      <c r="A113" s="13">
        <v>41480</v>
      </c>
      <c r="B113" s="72" t="s">
        <v>154</v>
      </c>
      <c r="C113" s="168">
        <v>2013</v>
      </c>
      <c r="D113" s="51">
        <v>4</v>
      </c>
      <c r="E113" s="51" t="s">
        <v>223</v>
      </c>
      <c r="F113" s="51" t="s">
        <v>317</v>
      </c>
      <c r="G113" s="51" t="s">
        <v>314</v>
      </c>
      <c r="H113" s="51" t="s">
        <v>346</v>
      </c>
      <c r="I113" s="51" t="s">
        <v>315</v>
      </c>
      <c r="J113" s="3" t="s">
        <v>347</v>
      </c>
      <c r="K113" s="3" t="s">
        <v>348</v>
      </c>
      <c r="L113" s="3">
        <v>1</v>
      </c>
      <c r="M113" s="3" t="s">
        <v>247</v>
      </c>
      <c r="N113" s="3" t="s">
        <v>345</v>
      </c>
      <c r="O113" s="3">
        <v>124</v>
      </c>
      <c r="P113" s="3">
        <f t="shared" si="3"/>
        <v>0.80645161290322576</v>
      </c>
      <c r="Q113" s="36">
        <v>6370.9575142675976</v>
      </c>
      <c r="R113" s="8">
        <f t="shared" si="4"/>
        <v>51.378689631190305</v>
      </c>
      <c r="S113" s="36">
        <v>6388.5152307285998</v>
      </c>
      <c r="T113" s="8">
        <f t="shared" si="5"/>
        <v>0.80423522173133577</v>
      </c>
      <c r="U113" s="109"/>
      <c r="V113" s="3">
        <v>250</v>
      </c>
      <c r="W113" s="3"/>
      <c r="X113" s="3"/>
      <c r="Y113" s="41"/>
      <c r="Z113" s="3"/>
      <c r="AA113" s="3"/>
      <c r="AB113" s="3"/>
      <c r="AC113" s="3"/>
      <c r="AD113" s="3"/>
      <c r="AE113" s="3"/>
    </row>
    <row r="114" spans="1:31" ht="20.25" customHeight="1">
      <c r="A114" s="35">
        <v>41480</v>
      </c>
      <c r="B114" s="64" t="s">
        <v>154</v>
      </c>
      <c r="C114" s="168">
        <v>2013</v>
      </c>
      <c r="D114" s="65">
        <v>4</v>
      </c>
      <c r="E114" s="36" t="s">
        <v>223</v>
      </c>
      <c r="F114" s="36" t="s">
        <v>267</v>
      </c>
      <c r="G114" s="36" t="s">
        <v>273</v>
      </c>
      <c r="H114" s="36"/>
      <c r="I114" s="36"/>
      <c r="J114" s="36"/>
      <c r="K114" s="36"/>
      <c r="L114" s="36">
        <v>2</v>
      </c>
      <c r="M114" s="36" t="s">
        <v>510</v>
      </c>
      <c r="N114" s="36" t="s">
        <v>335</v>
      </c>
      <c r="O114" s="36">
        <v>113</v>
      </c>
      <c r="P114" s="36">
        <f t="shared" si="3"/>
        <v>1.7699115044247788</v>
      </c>
      <c r="Q114" s="36">
        <v>17.557716461006592</v>
      </c>
      <c r="R114" s="40">
        <f t="shared" si="4"/>
        <v>0.31075604355763881</v>
      </c>
      <c r="S114" s="36">
        <v>6388.5152307286044</v>
      </c>
      <c r="T114" s="40">
        <f t="shared" si="5"/>
        <v>4.8642921294592793E-3</v>
      </c>
      <c r="U114" s="110"/>
      <c r="V114" s="36">
        <v>1000</v>
      </c>
      <c r="W114" s="36" t="s">
        <v>336</v>
      </c>
      <c r="X114" s="36"/>
      <c r="Y114" s="36"/>
      <c r="Z114" s="3"/>
      <c r="AA114" s="3"/>
      <c r="AB114" s="3"/>
      <c r="AC114" s="3"/>
      <c r="AD114" s="3"/>
      <c r="AE114" s="3"/>
    </row>
    <row r="115" spans="1:31" ht="20.25" customHeight="1">
      <c r="A115" s="13">
        <v>41480</v>
      </c>
      <c r="B115" s="72" t="s">
        <v>154</v>
      </c>
      <c r="C115" s="168">
        <v>2013</v>
      </c>
      <c r="D115" s="51">
        <v>4</v>
      </c>
      <c r="E115" s="51" t="s">
        <v>223</v>
      </c>
      <c r="F115" s="51" t="s">
        <v>224</v>
      </c>
      <c r="G115" s="51" t="s">
        <v>225</v>
      </c>
      <c r="H115" s="51" t="s">
        <v>226</v>
      </c>
      <c r="I115" s="51" t="s">
        <v>239</v>
      </c>
      <c r="J115" s="3" t="s">
        <v>240</v>
      </c>
      <c r="K115" s="3"/>
      <c r="L115" s="3">
        <v>15</v>
      </c>
      <c r="M115" s="3" t="s">
        <v>229</v>
      </c>
      <c r="N115" s="3" t="s">
        <v>240</v>
      </c>
      <c r="O115" s="3">
        <v>124</v>
      </c>
      <c r="P115" s="3">
        <f t="shared" si="3"/>
        <v>12.096774193548388</v>
      </c>
      <c r="Q115" s="36">
        <v>6370.9575142675976</v>
      </c>
      <c r="R115" s="8">
        <f t="shared" si="4"/>
        <v>770.68034446785452</v>
      </c>
      <c r="S115" s="36">
        <v>6388.5152307285998</v>
      </c>
      <c r="T115" s="8">
        <f t="shared" si="5"/>
        <v>12.063528325970035</v>
      </c>
      <c r="U115" s="109"/>
      <c r="V115" s="3">
        <v>250</v>
      </c>
      <c r="W115" s="3"/>
      <c r="X115" s="3"/>
      <c r="Y115" s="41"/>
      <c r="Z115" s="3"/>
      <c r="AA115" s="3"/>
      <c r="AB115" s="3"/>
      <c r="AC115" s="3"/>
      <c r="AD115" s="3"/>
      <c r="AE115" s="3"/>
    </row>
    <row r="116" spans="1:31" ht="20.25" customHeight="1">
      <c r="A116" s="35">
        <v>41480</v>
      </c>
      <c r="B116" s="64" t="s">
        <v>154</v>
      </c>
      <c r="C116" s="168">
        <v>2013</v>
      </c>
      <c r="D116" s="65">
        <v>4</v>
      </c>
      <c r="E116" s="36" t="s">
        <v>323</v>
      </c>
      <c r="F116" s="36" t="s">
        <v>324</v>
      </c>
      <c r="G116" s="36"/>
      <c r="H116" s="36" t="s">
        <v>325</v>
      </c>
      <c r="I116" s="36" t="s">
        <v>326</v>
      </c>
      <c r="J116" s="36" t="s">
        <v>349</v>
      </c>
      <c r="K116" s="36"/>
      <c r="L116" s="36">
        <v>2</v>
      </c>
      <c r="M116" s="36" t="s">
        <v>229</v>
      </c>
      <c r="N116" s="36" t="s">
        <v>327</v>
      </c>
      <c r="O116" s="36">
        <v>113</v>
      </c>
      <c r="P116" s="36">
        <f t="shared" si="3"/>
        <v>1.7699115044247788</v>
      </c>
      <c r="Q116" s="36">
        <v>17.557716461006592</v>
      </c>
      <c r="R116" s="40">
        <f t="shared" si="4"/>
        <v>0.31075604355763881</v>
      </c>
      <c r="S116" s="36">
        <v>6388.5152307286044</v>
      </c>
      <c r="T116" s="40">
        <f t="shared" si="5"/>
        <v>4.8642921294592793E-3</v>
      </c>
      <c r="U116" s="110">
        <f>SUM(T117+T124+T125+T126+T130)</f>
        <v>3.2212339839337676</v>
      </c>
      <c r="V116" s="36">
        <v>1000</v>
      </c>
      <c r="W116" s="36"/>
      <c r="X116" s="36"/>
      <c r="Y116" s="36"/>
      <c r="Z116" s="3"/>
      <c r="AA116" s="3"/>
      <c r="AB116" s="3"/>
      <c r="AC116" s="3"/>
      <c r="AD116" s="3"/>
      <c r="AE116" s="3"/>
    </row>
    <row r="117" spans="1:31" s="70" customFormat="1" ht="20.25" customHeight="1">
      <c r="A117" s="35">
        <v>41480</v>
      </c>
      <c r="B117" s="72" t="s">
        <v>154</v>
      </c>
      <c r="C117" s="168">
        <v>2013</v>
      </c>
      <c r="D117" s="65">
        <v>4</v>
      </c>
      <c r="E117" s="36" t="s">
        <v>300</v>
      </c>
      <c r="F117" s="36" t="s">
        <v>301</v>
      </c>
      <c r="G117" s="36"/>
      <c r="H117" s="36"/>
      <c r="I117" s="36"/>
      <c r="J117" s="36"/>
      <c r="K117" s="36"/>
      <c r="L117" s="36">
        <v>1</v>
      </c>
      <c r="M117" s="36" t="s">
        <v>221</v>
      </c>
      <c r="N117" s="36" t="s">
        <v>302</v>
      </c>
      <c r="O117" s="36">
        <v>124</v>
      </c>
      <c r="P117" s="36">
        <f t="shared" si="3"/>
        <v>0.80645161290322576</v>
      </c>
      <c r="Q117" s="65">
        <v>6370.9575142675976</v>
      </c>
      <c r="R117" s="8">
        <f t="shared" si="4"/>
        <v>51.378689631190305</v>
      </c>
      <c r="S117" s="65">
        <v>6388.5152307285998</v>
      </c>
      <c r="T117" s="8">
        <f t="shared" si="5"/>
        <v>0.80423522173133577</v>
      </c>
      <c r="U117" s="109"/>
      <c r="V117" s="36">
        <v>250</v>
      </c>
      <c r="W117" s="36" t="s">
        <v>222</v>
      </c>
      <c r="X117" s="36"/>
      <c r="Y117" s="41"/>
      <c r="Z117" s="67"/>
      <c r="AA117" s="67"/>
      <c r="AB117" s="67"/>
      <c r="AC117" s="67"/>
      <c r="AD117" s="67"/>
      <c r="AE117" s="67"/>
    </row>
    <row r="118" spans="1:31" ht="20.25" customHeight="1">
      <c r="A118" s="13">
        <v>41480</v>
      </c>
      <c r="B118" s="64" t="s">
        <v>154</v>
      </c>
      <c r="C118" s="168">
        <v>2013</v>
      </c>
      <c r="D118" s="51">
        <v>4</v>
      </c>
      <c r="E118" s="3" t="s">
        <v>223</v>
      </c>
      <c r="F118" s="3" t="s">
        <v>224</v>
      </c>
      <c r="G118" s="3" t="s">
        <v>225</v>
      </c>
      <c r="H118" s="3" t="s">
        <v>243</v>
      </c>
      <c r="I118" s="3" t="s">
        <v>244</v>
      </c>
      <c r="J118" s="3" t="s">
        <v>245</v>
      </c>
      <c r="K118" s="3" t="s">
        <v>246</v>
      </c>
      <c r="L118" s="3">
        <v>4</v>
      </c>
      <c r="M118" s="3" t="s">
        <v>247</v>
      </c>
      <c r="N118" s="3" t="s">
        <v>673</v>
      </c>
      <c r="O118" s="3">
        <v>124</v>
      </c>
      <c r="P118" s="3">
        <f t="shared" si="3"/>
        <v>3.225806451612903</v>
      </c>
      <c r="Q118" s="65">
        <v>6370.9575142675976</v>
      </c>
      <c r="R118" s="8">
        <f t="shared" si="4"/>
        <v>205.51475852476122</v>
      </c>
      <c r="S118" s="65">
        <v>6388.5152307285998</v>
      </c>
      <c r="T118" s="8">
        <f t="shared" si="5"/>
        <v>3.2169408869253431</v>
      </c>
      <c r="U118" s="109"/>
      <c r="V118" s="3">
        <v>250</v>
      </c>
      <c r="W118" s="3"/>
      <c r="X118" s="3"/>
      <c r="Y118" s="41"/>
      <c r="Z118" s="3"/>
      <c r="AA118" s="3"/>
      <c r="AB118" s="3"/>
      <c r="AC118" s="3"/>
      <c r="AD118" s="3"/>
      <c r="AE118" s="3"/>
    </row>
    <row r="119" spans="1:31" ht="20.25" customHeight="1">
      <c r="A119" s="35">
        <v>41480</v>
      </c>
      <c r="B119" s="35" t="s">
        <v>154</v>
      </c>
      <c r="C119" s="168">
        <v>2013</v>
      </c>
      <c r="D119" s="65">
        <v>4</v>
      </c>
      <c r="E119" s="36" t="s">
        <v>223</v>
      </c>
      <c r="F119" s="36" t="s">
        <v>267</v>
      </c>
      <c r="G119" s="36" t="s">
        <v>278</v>
      </c>
      <c r="H119" s="36" t="s">
        <v>279</v>
      </c>
      <c r="I119" s="36" t="s">
        <v>280</v>
      </c>
      <c r="J119" s="36" t="s">
        <v>281</v>
      </c>
      <c r="K119" s="36" t="s">
        <v>282</v>
      </c>
      <c r="L119" s="36">
        <v>1</v>
      </c>
      <c r="M119" s="36" t="s">
        <v>247</v>
      </c>
      <c r="N119" s="36" t="s">
        <v>283</v>
      </c>
      <c r="O119" s="36">
        <v>113</v>
      </c>
      <c r="P119" s="36">
        <f t="shared" si="3"/>
        <v>0.88495575221238942</v>
      </c>
      <c r="Q119" s="36">
        <v>17.557716461006592</v>
      </c>
      <c r="R119" s="40">
        <f t="shared" si="4"/>
        <v>0.1553780217788194</v>
      </c>
      <c r="S119" s="36">
        <v>6388.5152307285998</v>
      </c>
      <c r="T119" s="40">
        <f t="shared" si="5"/>
        <v>2.4321460647296414E-3</v>
      </c>
      <c r="U119" s="110"/>
      <c r="V119" s="36">
        <v>1000</v>
      </c>
      <c r="W119" s="36"/>
      <c r="X119" s="36"/>
      <c r="Y119" s="36"/>
      <c r="Z119" s="3"/>
      <c r="AA119" s="3"/>
      <c r="AB119" s="3"/>
      <c r="AC119" s="3"/>
      <c r="AD119" s="3"/>
      <c r="AE119" s="3"/>
    </row>
    <row r="120" spans="1:31" ht="20.25" customHeight="1">
      <c r="A120" s="35">
        <v>41480</v>
      </c>
      <c r="B120" s="64" t="s">
        <v>154</v>
      </c>
      <c r="C120" s="168">
        <v>2013</v>
      </c>
      <c r="D120" s="65">
        <v>4</v>
      </c>
      <c r="E120" s="36" t="s">
        <v>223</v>
      </c>
      <c r="F120" s="36" t="s">
        <v>267</v>
      </c>
      <c r="G120" s="36" t="s">
        <v>278</v>
      </c>
      <c r="H120" s="36" t="s">
        <v>279</v>
      </c>
      <c r="I120" s="36" t="s">
        <v>280</v>
      </c>
      <c r="J120" s="36" t="s">
        <v>284</v>
      </c>
      <c r="K120" s="36" t="s">
        <v>285</v>
      </c>
      <c r="L120" s="36">
        <v>107</v>
      </c>
      <c r="M120" s="36" t="s">
        <v>247</v>
      </c>
      <c r="N120" s="36" t="s">
        <v>283</v>
      </c>
      <c r="O120" s="36">
        <v>113</v>
      </c>
      <c r="P120" s="36">
        <f t="shared" si="3"/>
        <v>94.690265486725664</v>
      </c>
      <c r="Q120" s="36">
        <v>17.557716461006592</v>
      </c>
      <c r="R120" s="40">
        <f t="shared" si="4"/>
        <v>16.625448330333676</v>
      </c>
      <c r="S120" s="36">
        <v>6388.5152307285998</v>
      </c>
      <c r="T120" s="40">
        <f t="shared" si="5"/>
        <v>0.26023962892607161</v>
      </c>
      <c r="U120" s="110"/>
      <c r="V120" s="36">
        <v>1000</v>
      </c>
      <c r="W120" s="36"/>
      <c r="X120" s="36"/>
      <c r="Y120" s="36"/>
      <c r="Z120" s="3"/>
      <c r="AA120" s="3"/>
      <c r="AB120" s="3"/>
      <c r="AC120" s="3"/>
      <c r="AD120" s="3"/>
      <c r="AE120" s="3"/>
    </row>
    <row r="121" spans="1:31" ht="20.25" customHeight="1">
      <c r="A121" s="13">
        <v>41480</v>
      </c>
      <c r="B121" s="72" t="s">
        <v>154</v>
      </c>
      <c r="C121" s="168">
        <v>2013</v>
      </c>
      <c r="D121" s="51">
        <v>4</v>
      </c>
      <c r="E121" s="3" t="s">
        <v>223</v>
      </c>
      <c r="F121" s="3" t="s">
        <v>224</v>
      </c>
      <c r="G121" s="3" t="s">
        <v>225</v>
      </c>
      <c r="H121" s="3" t="s">
        <v>248</v>
      </c>
      <c r="I121" s="3" t="s">
        <v>249</v>
      </c>
      <c r="J121" s="3" t="s">
        <v>250</v>
      </c>
      <c r="K121" s="3" t="s">
        <v>251</v>
      </c>
      <c r="L121" s="3">
        <v>8</v>
      </c>
      <c r="M121" s="3" t="s">
        <v>247</v>
      </c>
      <c r="N121" s="3" t="s">
        <v>250</v>
      </c>
      <c r="O121" s="3">
        <v>124</v>
      </c>
      <c r="P121" s="3">
        <f t="shared" si="3"/>
        <v>6.4516129032258061</v>
      </c>
      <c r="Q121" s="65">
        <v>6370.9575142675976</v>
      </c>
      <c r="R121" s="8">
        <f t="shared" si="4"/>
        <v>411.02951704952244</v>
      </c>
      <c r="S121" s="36">
        <v>6388.5152307285998</v>
      </c>
      <c r="T121" s="8">
        <f t="shared" si="5"/>
        <v>6.4338817738506862</v>
      </c>
      <c r="U121" s="109"/>
      <c r="V121" s="3">
        <v>250</v>
      </c>
      <c r="W121" s="3"/>
      <c r="X121" s="3"/>
      <c r="Y121" s="41"/>
      <c r="Z121" s="3"/>
      <c r="AA121" s="3"/>
      <c r="AB121" s="3"/>
      <c r="AC121" s="3"/>
      <c r="AD121" s="3"/>
      <c r="AE121" s="3"/>
    </row>
    <row r="122" spans="1:31" ht="20.25" customHeight="1">
      <c r="A122" s="13">
        <v>41480</v>
      </c>
      <c r="B122" s="64" t="s">
        <v>154</v>
      </c>
      <c r="C122" s="168">
        <v>2013</v>
      </c>
      <c r="D122" s="51">
        <v>4</v>
      </c>
      <c r="E122" s="51" t="s">
        <v>223</v>
      </c>
      <c r="F122" s="51" t="s">
        <v>224</v>
      </c>
      <c r="G122" s="51" t="s">
        <v>225</v>
      </c>
      <c r="H122" s="51" t="s">
        <v>226</v>
      </c>
      <c r="I122" s="51" t="s">
        <v>253</v>
      </c>
      <c r="J122" s="3" t="s">
        <v>256</v>
      </c>
      <c r="K122" s="3"/>
      <c r="L122" s="3">
        <v>24</v>
      </c>
      <c r="M122" s="3" t="s">
        <v>229</v>
      </c>
      <c r="N122" s="3" t="s">
        <v>256</v>
      </c>
      <c r="O122" s="3">
        <v>124</v>
      </c>
      <c r="P122" s="3">
        <f t="shared" si="3"/>
        <v>19.35483870967742</v>
      </c>
      <c r="Q122" s="65">
        <v>6370.9575142675976</v>
      </c>
      <c r="R122" s="8">
        <f t="shared" si="4"/>
        <v>1233.0885511485671</v>
      </c>
      <c r="S122" s="36">
        <v>6388.5152307285998</v>
      </c>
      <c r="T122" s="8">
        <f t="shared" si="5"/>
        <v>19.301645321552051</v>
      </c>
      <c r="U122" s="109"/>
      <c r="V122" s="3">
        <v>250</v>
      </c>
      <c r="W122" s="3"/>
      <c r="X122" s="3"/>
      <c r="Y122" s="41"/>
      <c r="Z122" s="3"/>
      <c r="AA122" s="3"/>
      <c r="AB122" s="3"/>
      <c r="AC122" s="3"/>
      <c r="AD122" s="3"/>
      <c r="AE122" s="3"/>
    </row>
    <row r="123" spans="1:31" s="38" customFormat="1" ht="20.25" customHeight="1">
      <c r="A123" s="72">
        <v>41480</v>
      </c>
      <c r="B123" s="35" t="s">
        <v>154</v>
      </c>
      <c r="C123" s="168">
        <v>2013</v>
      </c>
      <c r="D123" s="65">
        <v>2</v>
      </c>
      <c r="E123" s="65" t="s">
        <v>223</v>
      </c>
      <c r="F123" s="65" t="s">
        <v>224</v>
      </c>
      <c r="G123" s="65" t="s">
        <v>225</v>
      </c>
      <c r="H123" s="65" t="s">
        <v>226</v>
      </c>
      <c r="I123" s="65" t="s">
        <v>227</v>
      </c>
      <c r="J123" s="36" t="s">
        <v>228</v>
      </c>
      <c r="K123" s="36"/>
      <c r="L123" s="36">
        <v>105</v>
      </c>
      <c r="M123" s="36" t="s">
        <v>229</v>
      </c>
      <c r="N123" s="36" t="s">
        <v>228</v>
      </c>
      <c r="O123" s="36">
        <v>125</v>
      </c>
      <c r="P123" s="36">
        <f t="shared" si="3"/>
        <v>84</v>
      </c>
      <c r="Q123" s="36">
        <v>10631.95</v>
      </c>
      <c r="R123" s="53">
        <f t="shared" si="4"/>
        <v>8930.8379999999997</v>
      </c>
      <c r="S123" s="36">
        <v>10645.381165278</v>
      </c>
      <c r="T123" s="53">
        <f t="shared" si="5"/>
        <v>83.894018084854309</v>
      </c>
      <c r="U123" s="110"/>
      <c r="V123" s="36">
        <v>250</v>
      </c>
      <c r="W123" s="36"/>
      <c r="X123" s="36"/>
      <c r="Y123" s="36"/>
      <c r="Z123" s="36"/>
      <c r="AA123" s="36"/>
      <c r="AB123" s="36"/>
      <c r="AC123" s="36"/>
      <c r="AD123" s="36"/>
      <c r="AE123" s="36"/>
    </row>
    <row r="124" spans="1:31" s="38" customFormat="1" ht="20.25" customHeight="1">
      <c r="A124" s="35">
        <v>41480</v>
      </c>
      <c r="B124" s="64" t="s">
        <v>154</v>
      </c>
      <c r="C124" s="168">
        <v>2013</v>
      </c>
      <c r="D124" s="65">
        <v>2</v>
      </c>
      <c r="E124" s="65" t="s">
        <v>223</v>
      </c>
      <c r="F124" s="65" t="s">
        <v>267</v>
      </c>
      <c r="G124" s="65" t="s">
        <v>278</v>
      </c>
      <c r="H124" s="65" t="s">
        <v>269</v>
      </c>
      <c r="I124" s="65" t="s">
        <v>333</v>
      </c>
      <c r="J124" s="36" t="s">
        <v>334</v>
      </c>
      <c r="K124" s="36"/>
      <c r="L124" s="36">
        <v>1</v>
      </c>
      <c r="M124" s="36" t="s">
        <v>229</v>
      </c>
      <c r="N124" s="36" t="s">
        <v>270</v>
      </c>
      <c r="O124" s="36">
        <v>126</v>
      </c>
      <c r="P124" s="36">
        <f t="shared" si="3"/>
        <v>0.79365079365079361</v>
      </c>
      <c r="Q124" s="36">
        <v>13.431165277950504</v>
      </c>
      <c r="R124" s="53">
        <f t="shared" si="4"/>
        <v>0.10659654982500399</v>
      </c>
      <c r="S124" s="36">
        <v>10645.381165278</v>
      </c>
      <c r="T124" s="53">
        <f t="shared" si="5"/>
        <v>1.001340846044006E-3</v>
      </c>
      <c r="U124" s="110"/>
      <c r="V124" s="36">
        <v>1000</v>
      </c>
      <c r="W124" s="36"/>
      <c r="X124" s="36"/>
      <c r="Y124" s="36"/>
      <c r="Z124" s="36"/>
      <c r="AA124" s="36"/>
      <c r="AB124" s="36"/>
      <c r="AC124" s="36"/>
      <c r="AD124" s="36"/>
      <c r="AE124" s="36"/>
    </row>
    <row r="125" spans="1:31" s="38" customFormat="1" ht="20.25" customHeight="1">
      <c r="A125" s="72">
        <v>41480</v>
      </c>
      <c r="B125" s="72" t="s">
        <v>154</v>
      </c>
      <c r="C125" s="168">
        <v>2013</v>
      </c>
      <c r="D125" s="65">
        <v>2</v>
      </c>
      <c r="E125" s="65" t="s">
        <v>223</v>
      </c>
      <c r="F125" s="65" t="s">
        <v>224</v>
      </c>
      <c r="G125" s="65" t="s">
        <v>304</v>
      </c>
      <c r="H125" s="65" t="s">
        <v>329</v>
      </c>
      <c r="I125" s="65" t="s">
        <v>330</v>
      </c>
      <c r="J125" s="36" t="s">
        <v>307</v>
      </c>
      <c r="K125" s="36"/>
      <c r="L125" s="36">
        <v>2</v>
      </c>
      <c r="M125" s="36" t="s">
        <v>229</v>
      </c>
      <c r="N125" s="36" t="s">
        <v>307</v>
      </c>
      <c r="O125" s="36">
        <v>125</v>
      </c>
      <c r="P125" s="36">
        <f t="shared" si="3"/>
        <v>1.6</v>
      </c>
      <c r="Q125" s="36">
        <v>10631.95</v>
      </c>
      <c r="R125" s="53">
        <f t="shared" si="4"/>
        <v>170.11120000000003</v>
      </c>
      <c r="S125" s="36">
        <v>10645.381165278</v>
      </c>
      <c r="T125" s="53">
        <f t="shared" si="5"/>
        <v>1.5979812968543678</v>
      </c>
      <c r="U125" s="110"/>
      <c r="V125" s="36">
        <v>250</v>
      </c>
      <c r="W125" s="36" t="s">
        <v>308</v>
      </c>
      <c r="X125" s="36"/>
      <c r="Y125" s="36"/>
      <c r="Z125" s="36"/>
      <c r="AA125" s="36"/>
      <c r="AB125" s="36"/>
      <c r="AC125" s="36"/>
      <c r="AD125" s="36"/>
      <c r="AE125" s="36"/>
    </row>
    <row r="126" spans="1:31" s="38" customFormat="1" ht="20.25" customHeight="1">
      <c r="A126" s="35">
        <v>41480</v>
      </c>
      <c r="B126" s="64" t="s">
        <v>693</v>
      </c>
      <c r="C126" s="168">
        <v>2013</v>
      </c>
      <c r="D126" s="65">
        <v>2</v>
      </c>
      <c r="E126" s="36" t="s">
        <v>223</v>
      </c>
      <c r="F126" s="36" t="s">
        <v>267</v>
      </c>
      <c r="G126" s="36" t="s">
        <v>273</v>
      </c>
      <c r="H126" s="36"/>
      <c r="I126" s="36"/>
      <c r="J126" s="36"/>
      <c r="K126" s="36"/>
      <c r="L126" s="36">
        <v>19</v>
      </c>
      <c r="M126" s="36" t="s">
        <v>510</v>
      </c>
      <c r="N126" s="36" t="s">
        <v>335</v>
      </c>
      <c r="O126" s="36">
        <v>126</v>
      </c>
      <c r="P126" s="36">
        <f t="shared" si="3"/>
        <v>15.079365079365079</v>
      </c>
      <c r="Q126" s="36">
        <v>13.431165277950504</v>
      </c>
      <c r="R126" s="53">
        <f t="shared" si="4"/>
        <v>2.025334446675076</v>
      </c>
      <c r="S126" s="36">
        <v>10645.381165277951</v>
      </c>
      <c r="T126" s="53">
        <f t="shared" si="5"/>
        <v>1.9025476074836203E-2</v>
      </c>
      <c r="U126" s="110">
        <f>SUM(T126+T127)</f>
        <v>12.003885202482595</v>
      </c>
      <c r="V126" s="36">
        <v>1000</v>
      </c>
      <c r="W126" s="36" t="s">
        <v>336</v>
      </c>
      <c r="X126" s="36">
        <f>SUM(T126:T134)</f>
        <v>60.407245118304594</v>
      </c>
      <c r="Y126" s="36"/>
      <c r="Z126" s="36"/>
      <c r="AA126" s="36"/>
      <c r="AB126" s="36"/>
      <c r="AC126" s="36"/>
      <c r="AD126" s="36"/>
      <c r="AE126" s="36"/>
    </row>
    <row r="127" spans="1:31" s="38" customFormat="1" ht="20.25" customHeight="1">
      <c r="A127" s="72">
        <v>41480</v>
      </c>
      <c r="B127" s="72" t="s">
        <v>154</v>
      </c>
      <c r="C127" s="168">
        <v>2013</v>
      </c>
      <c r="D127" s="65">
        <v>2</v>
      </c>
      <c r="E127" s="36" t="s">
        <v>223</v>
      </c>
      <c r="F127" s="36" t="s">
        <v>224</v>
      </c>
      <c r="G127" s="36" t="s">
        <v>225</v>
      </c>
      <c r="H127" s="36" t="s">
        <v>226</v>
      </c>
      <c r="I127" s="36" t="s">
        <v>239</v>
      </c>
      <c r="J127" s="36" t="s">
        <v>240</v>
      </c>
      <c r="K127" s="36"/>
      <c r="L127" s="36">
        <v>15</v>
      </c>
      <c r="M127" s="36" t="s">
        <v>229</v>
      </c>
      <c r="N127" s="36" t="s">
        <v>240</v>
      </c>
      <c r="O127" s="36">
        <v>125</v>
      </c>
      <c r="P127" s="36">
        <f t="shared" si="3"/>
        <v>12</v>
      </c>
      <c r="Q127" s="36">
        <v>10631.95</v>
      </c>
      <c r="R127" s="53">
        <f t="shared" si="4"/>
        <v>1275.8340000000001</v>
      </c>
      <c r="S127" s="36">
        <v>10645.381165278</v>
      </c>
      <c r="T127" s="53">
        <f t="shared" si="5"/>
        <v>11.984859726407759</v>
      </c>
      <c r="U127" s="110"/>
      <c r="V127" s="36">
        <v>250</v>
      </c>
      <c r="W127" s="36"/>
      <c r="X127" s="36"/>
      <c r="Y127" s="36"/>
      <c r="Z127" s="36"/>
      <c r="AA127" s="36"/>
      <c r="AB127" s="36"/>
      <c r="AC127" s="36"/>
      <c r="AD127" s="36"/>
      <c r="AE127" s="36"/>
    </row>
    <row r="128" spans="1:31" s="38" customFormat="1" ht="20.25" customHeight="1">
      <c r="A128" s="72">
        <v>41480</v>
      </c>
      <c r="B128" s="64" t="s">
        <v>693</v>
      </c>
      <c r="C128" s="168">
        <v>2013</v>
      </c>
      <c r="D128" s="65">
        <v>2</v>
      </c>
      <c r="E128" s="36" t="s">
        <v>323</v>
      </c>
      <c r="F128" s="36" t="s">
        <v>324</v>
      </c>
      <c r="G128" s="36"/>
      <c r="H128" s="36" t="s">
        <v>325</v>
      </c>
      <c r="I128" s="36" t="s">
        <v>326</v>
      </c>
      <c r="J128" s="36"/>
      <c r="K128" s="36"/>
      <c r="L128" s="36">
        <v>5</v>
      </c>
      <c r="M128" s="36" t="s">
        <v>509</v>
      </c>
      <c r="N128" s="36" t="s">
        <v>327</v>
      </c>
      <c r="O128" s="36">
        <v>126</v>
      </c>
      <c r="P128" s="36">
        <f t="shared" si="3"/>
        <v>3.9682539682539679</v>
      </c>
      <c r="Q128" s="36">
        <v>13.431165277950504</v>
      </c>
      <c r="R128" s="53">
        <f t="shared" si="4"/>
        <v>0.53298274912501997</v>
      </c>
      <c r="S128" s="36">
        <v>10645.381165277951</v>
      </c>
      <c r="T128" s="53">
        <f t="shared" si="5"/>
        <v>5.0067042302200538E-3</v>
      </c>
      <c r="U128" s="110"/>
      <c r="V128" s="36">
        <v>1000</v>
      </c>
      <c r="W128" s="36"/>
      <c r="X128" s="36"/>
      <c r="Y128" s="36"/>
      <c r="Z128" s="36"/>
      <c r="AA128" s="36"/>
      <c r="AB128" s="36"/>
      <c r="AC128" s="36"/>
      <c r="AD128" s="36"/>
      <c r="AE128" s="36"/>
    </row>
    <row r="129" spans="1:31" s="38" customFormat="1" ht="20.25" customHeight="1">
      <c r="A129" s="35">
        <v>41480</v>
      </c>
      <c r="B129" s="72" t="s">
        <v>154</v>
      </c>
      <c r="C129" s="168">
        <v>2013</v>
      </c>
      <c r="D129" s="65">
        <v>2</v>
      </c>
      <c r="E129" s="36" t="s">
        <v>223</v>
      </c>
      <c r="F129" s="36" t="s">
        <v>267</v>
      </c>
      <c r="G129" s="36" t="s">
        <v>278</v>
      </c>
      <c r="H129" s="36" t="s">
        <v>279</v>
      </c>
      <c r="I129" s="36" t="s">
        <v>280</v>
      </c>
      <c r="J129" s="36" t="s">
        <v>284</v>
      </c>
      <c r="K129" s="36" t="s">
        <v>285</v>
      </c>
      <c r="L129" s="36">
        <v>101</v>
      </c>
      <c r="M129" s="36" t="s">
        <v>247</v>
      </c>
      <c r="N129" s="36" t="s">
        <v>283</v>
      </c>
      <c r="O129" s="36">
        <v>126</v>
      </c>
      <c r="P129" s="36">
        <f t="shared" si="3"/>
        <v>80.158730158730165</v>
      </c>
      <c r="Q129" s="36">
        <v>13.431165277950504</v>
      </c>
      <c r="R129" s="53">
        <f t="shared" si="4"/>
        <v>10.766251532325404</v>
      </c>
      <c r="S129" s="36">
        <v>10645.381165278</v>
      </c>
      <c r="T129" s="53">
        <f t="shared" si="5"/>
        <v>0.1011354254504446</v>
      </c>
      <c r="U129" s="110"/>
      <c r="V129" s="36">
        <v>1000</v>
      </c>
      <c r="W129" s="36"/>
      <c r="X129" s="36"/>
      <c r="Y129" s="36"/>
      <c r="Z129" s="36"/>
      <c r="AA129" s="36"/>
      <c r="AB129" s="36"/>
      <c r="AC129" s="36"/>
      <c r="AD129" s="36"/>
      <c r="AE129" s="36"/>
    </row>
    <row r="130" spans="1:31" s="38" customFormat="1" ht="20.25" customHeight="1">
      <c r="A130" s="72">
        <v>41480</v>
      </c>
      <c r="B130" s="64" t="s">
        <v>154</v>
      </c>
      <c r="C130" s="168">
        <v>2013</v>
      </c>
      <c r="D130" s="65">
        <v>2</v>
      </c>
      <c r="E130" s="36" t="s">
        <v>223</v>
      </c>
      <c r="F130" s="36" t="s">
        <v>224</v>
      </c>
      <c r="G130" s="36" t="s">
        <v>225</v>
      </c>
      <c r="H130" s="36" t="s">
        <v>248</v>
      </c>
      <c r="I130" s="36" t="s">
        <v>249</v>
      </c>
      <c r="J130" s="36" t="s">
        <v>250</v>
      </c>
      <c r="K130" s="36" t="s">
        <v>251</v>
      </c>
      <c r="L130" s="36">
        <v>1</v>
      </c>
      <c r="M130" s="36" t="s">
        <v>247</v>
      </c>
      <c r="N130" s="36" t="s">
        <v>250</v>
      </c>
      <c r="O130" s="36">
        <v>125</v>
      </c>
      <c r="P130" s="36">
        <f t="shared" ref="P130:P193" si="6">L130/O130*100</f>
        <v>0.8</v>
      </c>
      <c r="Q130" s="36">
        <v>10631.95</v>
      </c>
      <c r="R130" s="53">
        <f t="shared" ref="R130:R193" si="7">(P130/100)*Q130</f>
        <v>85.055600000000013</v>
      </c>
      <c r="S130" s="36">
        <v>10645.381165278</v>
      </c>
      <c r="T130" s="53">
        <f t="shared" ref="T130:T193" si="8">R130/S130*100</f>
        <v>0.79899064842718392</v>
      </c>
      <c r="U130" s="110"/>
      <c r="V130" s="36">
        <v>250</v>
      </c>
      <c r="W130" s="36"/>
      <c r="X130" s="36"/>
      <c r="Y130" s="36"/>
      <c r="Z130" s="36"/>
      <c r="AA130" s="36"/>
      <c r="AB130" s="36"/>
      <c r="AC130" s="36"/>
      <c r="AD130" s="36"/>
      <c r="AE130" s="36"/>
    </row>
    <row r="131" spans="1:31" s="38" customFormat="1" ht="20.25" customHeight="1">
      <c r="A131" s="72">
        <v>41480</v>
      </c>
      <c r="B131" s="35" t="s">
        <v>154</v>
      </c>
      <c r="C131" s="168">
        <v>2013</v>
      </c>
      <c r="D131" s="65">
        <v>2</v>
      </c>
      <c r="E131" s="36" t="s">
        <v>223</v>
      </c>
      <c r="F131" s="36" t="s">
        <v>224</v>
      </c>
      <c r="G131" s="36" t="s">
        <v>225</v>
      </c>
      <c r="H131" s="36" t="s">
        <v>226</v>
      </c>
      <c r="I131" s="36" t="s">
        <v>253</v>
      </c>
      <c r="J131" s="36" t="s">
        <v>256</v>
      </c>
      <c r="K131" s="36"/>
      <c r="L131" s="36">
        <v>2</v>
      </c>
      <c r="M131" s="36" t="s">
        <v>229</v>
      </c>
      <c r="N131" s="36" t="s">
        <v>256</v>
      </c>
      <c r="O131" s="36">
        <v>125</v>
      </c>
      <c r="P131" s="36">
        <f t="shared" si="6"/>
        <v>1.6</v>
      </c>
      <c r="Q131" s="36">
        <v>10631.95</v>
      </c>
      <c r="R131" s="53">
        <f t="shared" si="7"/>
        <v>170.11120000000003</v>
      </c>
      <c r="S131" s="36">
        <v>10645.381165278</v>
      </c>
      <c r="T131" s="53">
        <f t="shared" si="8"/>
        <v>1.5979812968543678</v>
      </c>
      <c r="U131" s="110"/>
      <c r="V131" s="36">
        <v>250</v>
      </c>
      <c r="W131" s="36"/>
      <c r="X131" s="36"/>
      <c r="Y131" s="36"/>
      <c r="Z131" s="36"/>
      <c r="AA131" s="36"/>
      <c r="AB131" s="36"/>
      <c r="AC131" s="36"/>
      <c r="AD131" s="36"/>
      <c r="AE131" s="36"/>
    </row>
    <row r="132" spans="1:31" s="42" customFormat="1" ht="20.25" customHeight="1">
      <c r="A132" s="13">
        <v>41542</v>
      </c>
      <c r="B132" s="64" t="s">
        <v>157</v>
      </c>
      <c r="C132" s="164">
        <v>2013</v>
      </c>
      <c r="D132" s="51">
        <v>8</v>
      </c>
      <c r="E132" s="3" t="s">
        <v>223</v>
      </c>
      <c r="F132" s="3" t="s">
        <v>224</v>
      </c>
      <c r="G132" s="3" t="s">
        <v>225</v>
      </c>
      <c r="H132" s="3" t="s">
        <v>226</v>
      </c>
      <c r="I132" s="3" t="s">
        <v>227</v>
      </c>
      <c r="J132" s="3" t="s">
        <v>228</v>
      </c>
      <c r="K132" s="3"/>
      <c r="L132" s="3">
        <v>64</v>
      </c>
      <c r="M132" s="3" t="s">
        <v>229</v>
      </c>
      <c r="N132" s="3" t="s">
        <v>228</v>
      </c>
      <c r="O132" s="3">
        <v>183</v>
      </c>
      <c r="P132" s="3">
        <f t="shared" si="6"/>
        <v>34.972677595628419</v>
      </c>
      <c r="Q132" s="36">
        <v>3138.8712745719722</v>
      </c>
      <c r="R132" s="8">
        <f t="shared" si="7"/>
        <v>1097.7473309978484</v>
      </c>
      <c r="S132" s="36">
        <v>3138.9665687849133</v>
      </c>
      <c r="T132" s="8">
        <f t="shared" si="8"/>
        <v>34.971615878750306</v>
      </c>
      <c r="U132" s="109"/>
      <c r="V132" s="3">
        <v>250</v>
      </c>
      <c r="W132" s="3"/>
      <c r="X132" s="3"/>
      <c r="Y132" s="36"/>
      <c r="Z132" s="41"/>
      <c r="AA132" s="41"/>
      <c r="AB132" s="41"/>
      <c r="AC132" s="41"/>
      <c r="AD132" s="41"/>
      <c r="AE132" s="41"/>
    </row>
    <row r="133" spans="1:31" s="42" customFormat="1" ht="20.25" customHeight="1">
      <c r="A133" s="13">
        <v>41542</v>
      </c>
      <c r="B133" s="64" t="s">
        <v>157</v>
      </c>
      <c r="C133" s="164">
        <v>2013</v>
      </c>
      <c r="D133" s="51">
        <v>8</v>
      </c>
      <c r="E133" s="51" t="s">
        <v>223</v>
      </c>
      <c r="F133" s="51" t="s">
        <v>224</v>
      </c>
      <c r="G133" s="51" t="s">
        <v>304</v>
      </c>
      <c r="H133" s="51" t="s">
        <v>329</v>
      </c>
      <c r="I133" s="51" t="s">
        <v>330</v>
      </c>
      <c r="J133" s="51" t="s">
        <v>307</v>
      </c>
      <c r="K133" s="3"/>
      <c r="L133" s="3">
        <v>13</v>
      </c>
      <c r="M133" s="3" t="s">
        <v>229</v>
      </c>
      <c r="N133" s="3" t="s">
        <v>307</v>
      </c>
      <c r="O133" s="3">
        <v>183</v>
      </c>
      <c r="P133" s="3">
        <f t="shared" si="6"/>
        <v>7.1038251366120218</v>
      </c>
      <c r="Q133" s="36">
        <v>3138.8712745719722</v>
      </c>
      <c r="R133" s="8">
        <f t="shared" si="7"/>
        <v>222.97992660893792</v>
      </c>
      <c r="S133" s="36">
        <v>3138.9665687849101</v>
      </c>
      <c r="T133" s="8">
        <f t="shared" si="8"/>
        <v>7.1036094753711616</v>
      </c>
      <c r="U133" s="109"/>
      <c r="V133" s="3">
        <v>250</v>
      </c>
      <c r="W133" s="36" t="s">
        <v>308</v>
      </c>
      <c r="X133" s="3"/>
      <c r="Y133" s="36"/>
      <c r="Z133" s="41"/>
      <c r="AA133" s="41"/>
      <c r="AB133" s="41"/>
      <c r="AC133" s="41"/>
      <c r="AD133" s="41"/>
      <c r="AE133" s="41"/>
    </row>
    <row r="134" spans="1:31" ht="20.25" customHeight="1">
      <c r="A134" s="13">
        <v>41542</v>
      </c>
      <c r="B134" s="64" t="s">
        <v>157</v>
      </c>
      <c r="C134" s="164">
        <v>2013</v>
      </c>
      <c r="D134" s="51">
        <v>8</v>
      </c>
      <c r="E134" s="34" t="s">
        <v>295</v>
      </c>
      <c r="F134" s="34" t="s">
        <v>296</v>
      </c>
      <c r="G134" s="34"/>
      <c r="H134" s="34" t="s">
        <v>297</v>
      </c>
      <c r="I134" s="34" t="s">
        <v>298</v>
      </c>
      <c r="J134" s="3" t="s">
        <v>299</v>
      </c>
      <c r="K134" s="3"/>
      <c r="L134" s="3">
        <v>7</v>
      </c>
      <c r="M134" s="3" t="s">
        <v>229</v>
      </c>
      <c r="N134" s="3" t="s">
        <v>479</v>
      </c>
      <c r="O134" s="3">
        <v>183</v>
      </c>
      <c r="P134" s="3">
        <f t="shared" si="6"/>
        <v>3.8251366120218582</v>
      </c>
      <c r="Q134" s="36">
        <v>3138.8712745719722</v>
      </c>
      <c r="R134" s="8">
        <f t="shared" si="7"/>
        <v>120.06611432788965</v>
      </c>
      <c r="S134" s="36">
        <v>3138.9665687849101</v>
      </c>
      <c r="T134" s="8">
        <f t="shared" si="8"/>
        <v>3.8250204867383184</v>
      </c>
      <c r="U134" s="109"/>
      <c r="V134" s="3">
        <v>250</v>
      </c>
      <c r="W134" s="3" t="s">
        <v>222</v>
      </c>
      <c r="X134" s="3"/>
      <c r="Y134" s="36"/>
      <c r="Z134" s="3"/>
      <c r="AA134" s="3"/>
      <c r="AB134" s="3"/>
      <c r="AC134" s="3"/>
      <c r="AD134" s="3"/>
      <c r="AE134" s="3"/>
    </row>
    <row r="135" spans="1:31" ht="20.25" customHeight="1">
      <c r="A135" s="71">
        <v>41542</v>
      </c>
      <c r="B135" s="64" t="s">
        <v>157</v>
      </c>
      <c r="C135" s="164">
        <v>2013</v>
      </c>
      <c r="D135" s="51">
        <v>8</v>
      </c>
      <c r="E135" s="3" t="s">
        <v>223</v>
      </c>
      <c r="F135" s="3" t="s">
        <v>224</v>
      </c>
      <c r="G135" s="3" t="s">
        <v>225</v>
      </c>
      <c r="H135" s="3" t="s">
        <v>226</v>
      </c>
      <c r="I135" s="3" t="s">
        <v>235</v>
      </c>
      <c r="J135" s="3" t="s">
        <v>236</v>
      </c>
      <c r="K135" s="3" t="s">
        <v>237</v>
      </c>
      <c r="L135" s="3">
        <v>15</v>
      </c>
      <c r="M135" s="3" t="s">
        <v>247</v>
      </c>
      <c r="N135" s="3" t="s">
        <v>238</v>
      </c>
      <c r="O135" s="3">
        <v>183</v>
      </c>
      <c r="P135" s="3">
        <f t="shared" si="6"/>
        <v>8.1967213114754092</v>
      </c>
      <c r="Q135" s="36">
        <v>3138.8712745719722</v>
      </c>
      <c r="R135" s="8">
        <f t="shared" si="7"/>
        <v>257.28453070262066</v>
      </c>
      <c r="S135" s="36">
        <v>3138.9665687849101</v>
      </c>
      <c r="T135" s="8">
        <f t="shared" si="8"/>
        <v>8.1964724715821102</v>
      </c>
      <c r="U135" s="109"/>
      <c r="V135" s="3">
        <v>250</v>
      </c>
      <c r="W135" s="3"/>
      <c r="X135" s="3"/>
      <c r="Y135" s="36"/>
      <c r="Z135" s="3"/>
      <c r="AA135" s="3"/>
      <c r="AB135" s="3"/>
      <c r="AC135" s="3"/>
      <c r="AD135" s="3"/>
      <c r="AE135" s="3"/>
    </row>
    <row r="136" spans="1:31" ht="20.25" customHeight="1">
      <c r="A136" s="71">
        <v>41542</v>
      </c>
      <c r="B136" s="64" t="s">
        <v>157</v>
      </c>
      <c r="C136" s="168">
        <v>2013</v>
      </c>
      <c r="D136" s="51">
        <v>8</v>
      </c>
      <c r="E136" s="51" t="s">
        <v>223</v>
      </c>
      <c r="F136" s="51" t="s">
        <v>224</v>
      </c>
      <c r="G136" s="51" t="s">
        <v>225</v>
      </c>
      <c r="H136" s="51" t="s">
        <v>226</v>
      </c>
      <c r="I136" s="51" t="s">
        <v>239</v>
      </c>
      <c r="J136" s="3" t="s">
        <v>240</v>
      </c>
      <c r="K136" s="3"/>
      <c r="L136" s="3">
        <v>27</v>
      </c>
      <c r="M136" s="3" t="s">
        <v>229</v>
      </c>
      <c r="N136" s="3" t="s">
        <v>240</v>
      </c>
      <c r="O136" s="3">
        <v>183</v>
      </c>
      <c r="P136" s="3">
        <f t="shared" si="6"/>
        <v>14.754098360655737</v>
      </c>
      <c r="Q136" s="36">
        <v>3138.8712745719722</v>
      </c>
      <c r="R136" s="8">
        <f t="shared" si="7"/>
        <v>463.11215526471722</v>
      </c>
      <c r="S136" s="36">
        <v>3138.9665687849101</v>
      </c>
      <c r="T136" s="8">
        <f t="shared" si="8"/>
        <v>14.7536504488478</v>
      </c>
      <c r="U136" s="109"/>
      <c r="V136" s="3">
        <v>250</v>
      </c>
      <c r="W136" s="3"/>
      <c r="X136" s="3"/>
      <c r="Y136" s="36"/>
      <c r="Z136" s="3"/>
      <c r="AA136" s="3"/>
      <c r="AB136" s="3"/>
      <c r="AC136" s="3"/>
      <c r="AD136" s="3"/>
      <c r="AE136" s="3"/>
    </row>
    <row r="137" spans="1:31" ht="20.25" customHeight="1">
      <c r="A137" s="35">
        <v>41542</v>
      </c>
      <c r="B137" s="64" t="s">
        <v>157</v>
      </c>
      <c r="C137" s="168">
        <v>2013</v>
      </c>
      <c r="D137" s="65">
        <v>8</v>
      </c>
      <c r="E137" s="65" t="s">
        <v>288</v>
      </c>
      <c r="F137" s="65" t="s">
        <v>289</v>
      </c>
      <c r="G137" s="65" t="s">
        <v>290</v>
      </c>
      <c r="H137" s="65" t="s">
        <v>339</v>
      </c>
      <c r="I137" s="65" t="s">
        <v>340</v>
      </c>
      <c r="J137" s="65" t="s">
        <v>341</v>
      </c>
      <c r="K137" s="36"/>
      <c r="L137" s="36">
        <v>1</v>
      </c>
      <c r="M137" s="36" t="s">
        <v>229</v>
      </c>
      <c r="N137" s="36" t="s">
        <v>294</v>
      </c>
      <c r="O137" s="36">
        <v>1</v>
      </c>
      <c r="P137" s="36">
        <f t="shared" si="6"/>
        <v>100</v>
      </c>
      <c r="Q137" s="65">
        <v>9.529421294127105E-2</v>
      </c>
      <c r="R137" s="40">
        <f t="shared" si="7"/>
        <v>9.529421294127105E-2</v>
      </c>
      <c r="S137" s="36">
        <v>3138.9665687849133</v>
      </c>
      <c r="T137" s="40">
        <f t="shared" si="8"/>
        <v>3.0358466983660556E-3</v>
      </c>
      <c r="U137" s="110">
        <v>0</v>
      </c>
      <c r="V137" s="36">
        <v>1000</v>
      </c>
      <c r="W137" s="36"/>
      <c r="X137" s="36"/>
      <c r="Y137" s="36"/>
      <c r="Z137" s="3"/>
      <c r="AA137" s="3"/>
      <c r="AB137" s="3"/>
      <c r="AC137" s="3"/>
      <c r="AD137" s="3"/>
      <c r="AE137" s="3"/>
    </row>
    <row r="138" spans="1:31" ht="20.25" customHeight="1">
      <c r="A138" s="13">
        <v>41542</v>
      </c>
      <c r="B138" s="64" t="s">
        <v>157</v>
      </c>
      <c r="C138" s="168">
        <v>2013</v>
      </c>
      <c r="D138" s="51">
        <v>8</v>
      </c>
      <c r="E138" s="3" t="s">
        <v>223</v>
      </c>
      <c r="F138" s="3" t="s">
        <v>224</v>
      </c>
      <c r="G138" s="3" t="s">
        <v>225</v>
      </c>
      <c r="H138" s="3" t="s">
        <v>248</v>
      </c>
      <c r="I138" s="3" t="s">
        <v>249</v>
      </c>
      <c r="J138" s="3" t="s">
        <v>250</v>
      </c>
      <c r="K138" s="3" t="s">
        <v>251</v>
      </c>
      <c r="L138" s="3">
        <v>24</v>
      </c>
      <c r="M138" s="3" t="s">
        <v>247</v>
      </c>
      <c r="N138" s="3" t="s">
        <v>250</v>
      </c>
      <c r="O138" s="3">
        <v>183</v>
      </c>
      <c r="P138" s="3">
        <f t="shared" si="6"/>
        <v>13.114754098360656</v>
      </c>
      <c r="Q138" s="36">
        <v>3138.8712745719722</v>
      </c>
      <c r="R138" s="8">
        <f t="shared" si="7"/>
        <v>411.65524912419312</v>
      </c>
      <c r="S138" s="36">
        <v>3138.9665687849101</v>
      </c>
      <c r="T138" s="8">
        <f t="shared" si="8"/>
        <v>13.114355954531376</v>
      </c>
      <c r="U138" s="109"/>
      <c r="V138" s="3">
        <v>250</v>
      </c>
      <c r="W138" s="3"/>
      <c r="X138" s="3"/>
      <c r="Y138" s="36"/>
      <c r="Z138" s="3"/>
      <c r="AA138" s="3"/>
      <c r="AB138" s="3"/>
      <c r="AC138" s="3"/>
      <c r="AD138" s="3"/>
      <c r="AE138" s="3"/>
    </row>
    <row r="139" spans="1:31" ht="20.25" customHeight="1">
      <c r="A139" s="13">
        <v>41542</v>
      </c>
      <c r="B139" s="64" t="s">
        <v>157</v>
      </c>
      <c r="C139" s="168">
        <v>2013</v>
      </c>
      <c r="D139" s="51">
        <v>8</v>
      </c>
      <c r="E139" s="3" t="s">
        <v>223</v>
      </c>
      <c r="F139" s="3" t="s">
        <v>224</v>
      </c>
      <c r="G139" s="3" t="s">
        <v>225</v>
      </c>
      <c r="H139" s="3" t="s">
        <v>226</v>
      </c>
      <c r="I139" s="3" t="s">
        <v>253</v>
      </c>
      <c r="J139" s="3" t="s">
        <v>256</v>
      </c>
      <c r="K139" s="3"/>
      <c r="L139" s="3">
        <v>31</v>
      </c>
      <c r="M139" s="3" t="s">
        <v>229</v>
      </c>
      <c r="N139" s="3" t="s">
        <v>256</v>
      </c>
      <c r="O139" s="3">
        <v>183</v>
      </c>
      <c r="P139" s="3">
        <f t="shared" si="6"/>
        <v>16.939890710382514</v>
      </c>
      <c r="Q139" s="36">
        <v>3138.8712745719722</v>
      </c>
      <c r="R139" s="8">
        <f t="shared" si="7"/>
        <v>531.72136345208276</v>
      </c>
      <c r="S139" s="36">
        <v>3138.9665687849101</v>
      </c>
      <c r="T139" s="8">
        <f t="shared" si="8"/>
        <v>16.939376441269694</v>
      </c>
      <c r="U139" s="109"/>
      <c r="V139" s="3">
        <v>250</v>
      </c>
      <c r="W139" s="3"/>
      <c r="X139" s="3"/>
      <c r="Y139" s="36"/>
      <c r="Z139" s="3"/>
      <c r="AA139" s="3"/>
      <c r="AB139" s="3"/>
      <c r="AC139" s="3"/>
      <c r="AD139" s="3"/>
      <c r="AE139" s="3"/>
    </row>
    <row r="140" spans="1:31" ht="20.25" customHeight="1">
      <c r="A140" s="71">
        <v>41542</v>
      </c>
      <c r="B140" s="64" t="s">
        <v>157</v>
      </c>
      <c r="C140" s="168">
        <v>2013</v>
      </c>
      <c r="D140" s="51">
        <v>8</v>
      </c>
      <c r="E140" s="3" t="s">
        <v>223</v>
      </c>
      <c r="F140" s="3" t="s">
        <v>224</v>
      </c>
      <c r="G140" s="3" t="s">
        <v>225</v>
      </c>
      <c r="H140" s="3" t="s">
        <v>226</v>
      </c>
      <c r="I140" s="3" t="s">
        <v>239</v>
      </c>
      <c r="J140" s="3" t="s">
        <v>258</v>
      </c>
      <c r="K140" s="3" t="s">
        <v>259</v>
      </c>
      <c r="L140" s="3">
        <v>2</v>
      </c>
      <c r="M140" s="3" t="s">
        <v>247</v>
      </c>
      <c r="N140" s="3" t="s">
        <v>260</v>
      </c>
      <c r="O140" s="3">
        <v>183</v>
      </c>
      <c r="P140" s="3">
        <f t="shared" si="6"/>
        <v>1.0928961748633881</v>
      </c>
      <c r="Q140" s="36">
        <v>3138.8712745719722</v>
      </c>
      <c r="R140" s="8">
        <f t="shared" si="7"/>
        <v>34.304604093682762</v>
      </c>
      <c r="S140" s="36">
        <v>3138.9665687849101</v>
      </c>
      <c r="T140" s="8">
        <f t="shared" si="8"/>
        <v>1.0928629962109482</v>
      </c>
      <c r="U140" s="109"/>
      <c r="V140" s="3">
        <v>250</v>
      </c>
      <c r="W140" s="3"/>
      <c r="X140" s="3"/>
      <c r="Y140" s="36"/>
      <c r="Z140" s="3"/>
      <c r="AA140" s="3"/>
      <c r="AB140" s="3"/>
      <c r="AC140" s="3"/>
      <c r="AD140" s="3"/>
      <c r="AE140" s="3"/>
    </row>
    <row r="141" spans="1:31" ht="20.25" customHeight="1">
      <c r="A141" s="71">
        <v>41542</v>
      </c>
      <c r="B141" s="64" t="s">
        <v>157</v>
      </c>
      <c r="C141" s="164">
        <v>2013</v>
      </c>
      <c r="D141" s="51">
        <v>5</v>
      </c>
      <c r="E141" s="3" t="s">
        <v>223</v>
      </c>
      <c r="F141" s="3" t="s">
        <v>224</v>
      </c>
      <c r="G141" s="3" t="s">
        <v>225</v>
      </c>
      <c r="H141" s="3" t="s">
        <v>226</v>
      </c>
      <c r="I141" s="3" t="s">
        <v>227</v>
      </c>
      <c r="J141" s="3" t="s">
        <v>228</v>
      </c>
      <c r="K141" s="3"/>
      <c r="L141" s="3">
        <v>94</v>
      </c>
      <c r="M141" s="3" t="s">
        <v>229</v>
      </c>
      <c r="N141" s="3" t="s">
        <v>228</v>
      </c>
      <c r="O141" s="3">
        <v>206</v>
      </c>
      <c r="P141" s="3">
        <f t="shared" si="6"/>
        <v>45.631067961165051</v>
      </c>
      <c r="Q141" s="36">
        <v>7244.8591357912856</v>
      </c>
      <c r="R141" s="8">
        <f t="shared" si="7"/>
        <v>3305.9065959435966</v>
      </c>
      <c r="S141" s="36">
        <v>7247.1936664414898</v>
      </c>
      <c r="T141" s="8">
        <f t="shared" si="8"/>
        <v>45.616368874641374</v>
      </c>
      <c r="U141" s="109"/>
      <c r="V141" s="3">
        <v>250</v>
      </c>
      <c r="W141" s="3"/>
      <c r="X141" s="3"/>
      <c r="Y141" s="36"/>
      <c r="Z141" s="3"/>
      <c r="AA141" s="3"/>
      <c r="AB141" s="3"/>
      <c r="AC141" s="3"/>
      <c r="AD141" s="3"/>
      <c r="AE141" s="3"/>
    </row>
    <row r="142" spans="1:31" ht="20.25" customHeight="1">
      <c r="A142" s="72">
        <v>41542</v>
      </c>
      <c r="B142" s="64" t="s">
        <v>157</v>
      </c>
      <c r="C142" s="164">
        <v>2013</v>
      </c>
      <c r="D142" s="65">
        <v>5</v>
      </c>
      <c r="E142" s="65" t="s">
        <v>209</v>
      </c>
      <c r="F142" s="65" t="s">
        <v>210</v>
      </c>
      <c r="G142" s="65"/>
      <c r="H142" s="65" t="s">
        <v>211</v>
      </c>
      <c r="I142" s="65" t="s">
        <v>212</v>
      </c>
      <c r="J142" s="36" t="s">
        <v>213</v>
      </c>
      <c r="K142" s="36" t="s">
        <v>214</v>
      </c>
      <c r="L142" s="36">
        <v>3</v>
      </c>
      <c r="M142" s="36" t="s">
        <v>247</v>
      </c>
      <c r="N142" s="36" t="s">
        <v>215</v>
      </c>
      <c r="O142" s="36">
        <v>41</v>
      </c>
      <c r="P142" s="36">
        <f t="shared" si="6"/>
        <v>7.3170731707317067</v>
      </c>
      <c r="Q142" s="36">
        <v>2.334530650204746</v>
      </c>
      <c r="R142" s="40">
        <f t="shared" si="7"/>
        <v>0.17081931586863994</v>
      </c>
      <c r="S142" s="36">
        <v>7247.1936664414907</v>
      </c>
      <c r="T142" s="40">
        <f t="shared" si="8"/>
        <v>2.3570408592725718E-3</v>
      </c>
      <c r="U142" s="110">
        <f>SUM(T144+T157)</f>
        <v>47.836953290447426</v>
      </c>
      <c r="V142" s="65">
        <v>1000</v>
      </c>
      <c r="W142" s="65"/>
      <c r="X142" s="65"/>
      <c r="Y142" s="65"/>
      <c r="Z142" s="3"/>
      <c r="AA142" s="3"/>
      <c r="AB142" s="3"/>
      <c r="AC142" s="3"/>
      <c r="AD142" s="3"/>
      <c r="AE142" s="3"/>
    </row>
    <row r="143" spans="1:31" ht="20.25" customHeight="1">
      <c r="A143" s="71">
        <v>41542</v>
      </c>
      <c r="B143" s="64" t="s">
        <v>157</v>
      </c>
      <c r="C143" s="164">
        <v>2013</v>
      </c>
      <c r="D143" s="51">
        <v>5</v>
      </c>
      <c r="E143" s="3" t="s">
        <v>223</v>
      </c>
      <c r="F143" s="3" t="s">
        <v>224</v>
      </c>
      <c r="G143" s="3" t="s">
        <v>304</v>
      </c>
      <c r="H143" s="3" t="s">
        <v>329</v>
      </c>
      <c r="I143" s="3" t="s">
        <v>330</v>
      </c>
      <c r="J143" s="3" t="s">
        <v>307</v>
      </c>
      <c r="K143" s="3"/>
      <c r="L143" s="3">
        <v>3</v>
      </c>
      <c r="M143" s="3" t="s">
        <v>229</v>
      </c>
      <c r="N143" s="3" t="s">
        <v>307</v>
      </c>
      <c r="O143" s="3">
        <v>206</v>
      </c>
      <c r="P143" s="3">
        <f t="shared" si="6"/>
        <v>1.4563106796116505</v>
      </c>
      <c r="Q143" s="36">
        <v>7244.8591357912856</v>
      </c>
      <c r="R143" s="8">
        <f t="shared" si="7"/>
        <v>105.50765731734882</v>
      </c>
      <c r="S143" s="36">
        <v>7247.1936664414898</v>
      </c>
      <c r="T143" s="8">
        <f t="shared" si="8"/>
        <v>1.4558415598289798</v>
      </c>
      <c r="U143" s="109"/>
      <c r="V143" s="51">
        <v>250</v>
      </c>
      <c r="W143" s="51" t="s">
        <v>354</v>
      </c>
      <c r="X143" s="51"/>
      <c r="Y143" s="65"/>
      <c r="Z143" s="3"/>
      <c r="AA143" s="3"/>
      <c r="AB143" s="3"/>
      <c r="AC143" s="3"/>
      <c r="AD143" s="3"/>
      <c r="AE143" s="3"/>
    </row>
    <row r="144" spans="1:31" ht="20.25" customHeight="1">
      <c r="A144" s="71">
        <v>41542</v>
      </c>
      <c r="B144" s="64" t="s">
        <v>157</v>
      </c>
      <c r="C144" s="164">
        <v>2013</v>
      </c>
      <c r="D144" s="51">
        <v>5</v>
      </c>
      <c r="E144" s="3" t="s">
        <v>223</v>
      </c>
      <c r="F144" s="3" t="s">
        <v>224</v>
      </c>
      <c r="G144" s="3" t="s">
        <v>304</v>
      </c>
      <c r="H144" s="3" t="s">
        <v>329</v>
      </c>
      <c r="I144" s="3" t="s">
        <v>330</v>
      </c>
      <c r="J144" s="3" t="s">
        <v>307</v>
      </c>
      <c r="K144" s="3"/>
      <c r="L144" s="3">
        <v>5</v>
      </c>
      <c r="M144" s="3" t="s">
        <v>229</v>
      </c>
      <c r="N144" s="3" t="s">
        <v>307</v>
      </c>
      <c r="O144" s="3">
        <v>206</v>
      </c>
      <c r="P144" s="3">
        <f t="shared" si="6"/>
        <v>2.4271844660194173</v>
      </c>
      <c r="Q144" s="36">
        <v>7244.8591357912856</v>
      </c>
      <c r="R144" s="8">
        <f t="shared" si="7"/>
        <v>175.8460955289147</v>
      </c>
      <c r="S144" s="36">
        <v>7247.1936664414898</v>
      </c>
      <c r="T144" s="8">
        <f t="shared" si="8"/>
        <v>2.4264025997149661</v>
      </c>
      <c r="U144" s="109"/>
      <c r="V144" s="3">
        <v>250</v>
      </c>
      <c r="W144" s="36" t="s">
        <v>308</v>
      </c>
      <c r="X144" s="3"/>
      <c r="Y144" s="36"/>
      <c r="Z144" s="3"/>
      <c r="AA144" s="3"/>
      <c r="AB144" s="3"/>
      <c r="AC144" s="3"/>
      <c r="AD144" s="3"/>
      <c r="AE144" s="3"/>
    </row>
    <row r="145" spans="1:31" ht="20.25" customHeight="1">
      <c r="A145" s="71">
        <v>41542</v>
      </c>
      <c r="B145" s="64" t="s">
        <v>157</v>
      </c>
      <c r="C145" s="164">
        <v>2013</v>
      </c>
      <c r="D145" s="51">
        <v>5</v>
      </c>
      <c r="E145" s="51" t="s">
        <v>295</v>
      </c>
      <c r="F145" s="3" t="s">
        <v>296</v>
      </c>
      <c r="G145" s="3"/>
      <c r="H145" s="51" t="s">
        <v>297</v>
      </c>
      <c r="I145" s="51" t="s">
        <v>298</v>
      </c>
      <c r="J145" s="51" t="s">
        <v>299</v>
      </c>
      <c r="K145" s="3"/>
      <c r="L145" s="3">
        <v>6</v>
      </c>
      <c r="M145" s="3" t="s">
        <v>229</v>
      </c>
      <c r="N145" s="3" t="s">
        <v>479</v>
      </c>
      <c r="O145" s="3">
        <v>206</v>
      </c>
      <c r="P145" s="3">
        <f t="shared" si="6"/>
        <v>2.912621359223301</v>
      </c>
      <c r="Q145" s="65">
        <v>7244.8591357912856</v>
      </c>
      <c r="R145" s="8">
        <f t="shared" si="7"/>
        <v>211.01531463469763</v>
      </c>
      <c r="S145" s="36">
        <v>7247.1936664414898</v>
      </c>
      <c r="T145" s="8">
        <f t="shared" si="8"/>
        <v>2.9116831196579596</v>
      </c>
      <c r="U145" s="109"/>
      <c r="V145" s="3">
        <v>250</v>
      </c>
      <c r="W145" s="3"/>
      <c r="X145" s="3"/>
      <c r="Y145" s="36"/>
      <c r="Z145" s="3"/>
      <c r="AA145" s="3"/>
      <c r="AB145" s="3"/>
      <c r="AC145" s="3"/>
      <c r="AD145" s="3"/>
      <c r="AE145" s="3"/>
    </row>
    <row r="146" spans="1:31" ht="20.25" customHeight="1">
      <c r="A146" s="71">
        <v>41542</v>
      </c>
      <c r="B146" s="64" t="s">
        <v>157</v>
      </c>
      <c r="C146" s="164">
        <v>2013</v>
      </c>
      <c r="D146" s="51">
        <v>5</v>
      </c>
      <c r="E146" s="51" t="s">
        <v>223</v>
      </c>
      <c r="F146" s="51" t="s">
        <v>224</v>
      </c>
      <c r="G146" s="51" t="s">
        <v>225</v>
      </c>
      <c r="H146" s="51" t="s">
        <v>226</v>
      </c>
      <c r="I146" s="51" t="s">
        <v>235</v>
      </c>
      <c r="J146" s="51" t="s">
        <v>236</v>
      </c>
      <c r="K146" s="3" t="s">
        <v>237</v>
      </c>
      <c r="L146" s="3">
        <v>8</v>
      </c>
      <c r="M146" s="3" t="s">
        <v>247</v>
      </c>
      <c r="N146" s="3" t="s">
        <v>238</v>
      </c>
      <c r="O146" s="3">
        <v>206</v>
      </c>
      <c r="P146" s="3">
        <f t="shared" si="6"/>
        <v>3.8834951456310676</v>
      </c>
      <c r="Q146" s="36">
        <v>7244.8591357912856</v>
      </c>
      <c r="R146" s="8">
        <f t="shared" si="7"/>
        <v>281.35375284626349</v>
      </c>
      <c r="S146" s="36">
        <v>7247.1936664414898</v>
      </c>
      <c r="T146" s="8">
        <f t="shared" si="8"/>
        <v>3.8822441595439461</v>
      </c>
      <c r="U146" s="109"/>
      <c r="V146" s="3">
        <v>250</v>
      </c>
      <c r="W146" s="3"/>
      <c r="X146" s="3"/>
      <c r="Y146" s="36"/>
      <c r="Z146" s="3"/>
      <c r="AA146" s="3"/>
      <c r="AB146" s="3"/>
      <c r="AC146" s="3"/>
      <c r="AD146" s="3"/>
      <c r="AE146" s="3"/>
    </row>
    <row r="147" spans="1:31" ht="20.25" customHeight="1">
      <c r="A147" s="71">
        <v>41542</v>
      </c>
      <c r="B147" s="64" t="s">
        <v>157</v>
      </c>
      <c r="C147" s="164">
        <v>2013</v>
      </c>
      <c r="D147" s="51">
        <v>5</v>
      </c>
      <c r="E147" s="3" t="s">
        <v>223</v>
      </c>
      <c r="F147" s="3" t="s">
        <v>310</v>
      </c>
      <c r="G147" s="3" t="s">
        <v>314</v>
      </c>
      <c r="H147" s="3" t="s">
        <v>311</v>
      </c>
      <c r="I147" s="3" t="s">
        <v>315</v>
      </c>
      <c r="J147" s="3" t="s">
        <v>347</v>
      </c>
      <c r="K147" s="3" t="s">
        <v>348</v>
      </c>
      <c r="L147" s="3">
        <v>1</v>
      </c>
      <c r="M147" s="3" t="s">
        <v>247</v>
      </c>
      <c r="N147" s="3" t="s">
        <v>345</v>
      </c>
      <c r="O147" s="3">
        <v>206</v>
      </c>
      <c r="P147" s="3">
        <f t="shared" si="6"/>
        <v>0.48543689320388345</v>
      </c>
      <c r="Q147" s="65">
        <v>7244.8591357912856</v>
      </c>
      <c r="R147" s="8">
        <f t="shared" si="7"/>
        <v>35.169219105782936</v>
      </c>
      <c r="S147" s="36">
        <v>7247.1936664414898</v>
      </c>
      <c r="T147" s="8">
        <f t="shared" si="8"/>
        <v>0.48528051994299326</v>
      </c>
      <c r="U147" s="109"/>
      <c r="V147" s="3">
        <v>250</v>
      </c>
      <c r="W147" s="3"/>
      <c r="X147" s="3"/>
      <c r="Y147" s="36"/>
      <c r="Z147" s="3"/>
      <c r="AA147" s="3"/>
      <c r="AB147" s="3"/>
      <c r="AC147" s="3"/>
      <c r="AD147" s="3"/>
      <c r="AE147" s="3"/>
    </row>
    <row r="148" spans="1:31" ht="20.25" customHeight="1">
      <c r="A148" s="35">
        <v>41542</v>
      </c>
      <c r="B148" s="64" t="s">
        <v>157</v>
      </c>
      <c r="C148" s="164">
        <v>2013</v>
      </c>
      <c r="D148" s="65">
        <v>5</v>
      </c>
      <c r="E148" s="36" t="s">
        <v>223</v>
      </c>
      <c r="F148" s="36" t="s">
        <v>267</v>
      </c>
      <c r="G148" s="36"/>
      <c r="H148" s="36" t="s">
        <v>273</v>
      </c>
      <c r="I148" s="36" t="s">
        <v>274</v>
      </c>
      <c r="J148" s="36" t="s">
        <v>275</v>
      </c>
      <c r="K148" s="36" t="s">
        <v>276</v>
      </c>
      <c r="L148" s="36">
        <v>3</v>
      </c>
      <c r="M148" s="36" t="s">
        <v>247</v>
      </c>
      <c r="N148" s="36" t="s">
        <v>275</v>
      </c>
      <c r="O148" s="36">
        <v>41</v>
      </c>
      <c r="P148" s="36">
        <f t="shared" si="6"/>
        <v>7.3170731707317067</v>
      </c>
      <c r="Q148" s="65">
        <v>2.334530650204746</v>
      </c>
      <c r="R148" s="40">
        <f t="shared" si="7"/>
        <v>0.17081931586863994</v>
      </c>
      <c r="S148" s="36">
        <v>7247.1936664414907</v>
      </c>
      <c r="T148" s="40">
        <f t="shared" si="8"/>
        <v>2.3570408592725718E-3</v>
      </c>
      <c r="U148" s="110"/>
      <c r="V148" s="36">
        <v>1000</v>
      </c>
      <c r="W148" s="36"/>
      <c r="X148" s="36"/>
      <c r="Y148" s="36"/>
      <c r="Z148" s="3"/>
      <c r="AA148" s="3"/>
      <c r="AB148" s="3"/>
      <c r="AC148" s="3"/>
      <c r="AD148" s="3"/>
      <c r="AE148" s="3"/>
    </row>
    <row r="149" spans="1:31" ht="20.25" customHeight="1">
      <c r="A149" s="35">
        <v>41542</v>
      </c>
      <c r="B149" s="64" t="s">
        <v>157</v>
      </c>
      <c r="C149" s="164">
        <v>2013</v>
      </c>
      <c r="D149" s="65">
        <v>5</v>
      </c>
      <c r="E149" s="36" t="s">
        <v>351</v>
      </c>
      <c r="F149" s="36"/>
      <c r="G149" s="36"/>
      <c r="H149" s="36"/>
      <c r="I149" s="36"/>
      <c r="J149" s="36"/>
      <c r="K149" s="36"/>
      <c r="L149" s="36">
        <v>17</v>
      </c>
      <c r="M149" s="36" t="s">
        <v>474</v>
      </c>
      <c r="N149" s="36" t="s">
        <v>352</v>
      </c>
      <c r="O149" s="36">
        <v>41</v>
      </c>
      <c r="P149" s="36">
        <f t="shared" si="6"/>
        <v>41.463414634146339</v>
      </c>
      <c r="Q149" s="65">
        <v>2.334530650204746</v>
      </c>
      <c r="R149" s="40">
        <f t="shared" si="7"/>
        <v>0.96797612325562632</v>
      </c>
      <c r="S149" s="36">
        <v>7247.1936664414898</v>
      </c>
      <c r="T149" s="40">
        <f t="shared" si="8"/>
        <v>1.3356564869211244E-2</v>
      </c>
      <c r="U149" s="110"/>
      <c r="V149" s="36">
        <v>1000</v>
      </c>
      <c r="W149" s="36" t="s">
        <v>222</v>
      </c>
      <c r="X149" s="36"/>
      <c r="Y149" s="36"/>
      <c r="Z149" s="3"/>
      <c r="AA149" s="3"/>
      <c r="AB149" s="3"/>
      <c r="AC149" s="3"/>
      <c r="AD149" s="3"/>
      <c r="AE149" s="3"/>
    </row>
    <row r="150" spans="1:31" ht="20.25" customHeight="1">
      <c r="A150" s="71">
        <v>41542</v>
      </c>
      <c r="B150" s="64" t="s">
        <v>157</v>
      </c>
      <c r="C150" s="168">
        <v>2013</v>
      </c>
      <c r="D150" s="51">
        <v>5</v>
      </c>
      <c r="E150" s="51" t="s">
        <v>223</v>
      </c>
      <c r="F150" s="3" t="s">
        <v>224</v>
      </c>
      <c r="G150" s="3" t="s">
        <v>225</v>
      </c>
      <c r="H150" s="51" t="s">
        <v>226</v>
      </c>
      <c r="I150" s="51" t="s">
        <v>239</v>
      </c>
      <c r="J150" s="51" t="s">
        <v>240</v>
      </c>
      <c r="K150" s="3"/>
      <c r="L150" s="3">
        <v>46</v>
      </c>
      <c r="M150" s="3" t="s">
        <v>229</v>
      </c>
      <c r="N150" s="3" t="s">
        <v>240</v>
      </c>
      <c r="O150" s="3">
        <v>206</v>
      </c>
      <c r="P150" s="3">
        <f t="shared" si="6"/>
        <v>22.330097087378643</v>
      </c>
      <c r="Q150" s="36">
        <v>7244.8591357912856</v>
      </c>
      <c r="R150" s="8">
        <f t="shared" si="7"/>
        <v>1617.7840788660153</v>
      </c>
      <c r="S150" s="36">
        <v>7247.1936664414898</v>
      </c>
      <c r="T150" s="8">
        <f t="shared" si="8"/>
        <v>22.322903917377694</v>
      </c>
      <c r="U150" s="109"/>
      <c r="V150" s="3">
        <v>250</v>
      </c>
      <c r="W150" s="3"/>
      <c r="X150" s="3"/>
      <c r="Y150" s="36"/>
      <c r="Z150" s="3"/>
      <c r="AA150" s="3"/>
      <c r="AB150" s="3"/>
      <c r="AC150" s="3"/>
      <c r="AD150" s="3"/>
      <c r="AE150" s="3"/>
    </row>
    <row r="151" spans="1:31" ht="20.25" customHeight="1">
      <c r="A151" s="35">
        <v>41542</v>
      </c>
      <c r="B151" s="64" t="s">
        <v>157</v>
      </c>
      <c r="C151" s="168">
        <v>2013</v>
      </c>
      <c r="D151" s="65">
        <v>5</v>
      </c>
      <c r="E151" s="36" t="s">
        <v>288</v>
      </c>
      <c r="F151" s="36" t="s">
        <v>289</v>
      </c>
      <c r="G151" s="36" t="s">
        <v>290</v>
      </c>
      <c r="H151" s="36" t="s">
        <v>339</v>
      </c>
      <c r="I151" s="36" t="s">
        <v>340</v>
      </c>
      <c r="J151" s="36" t="s">
        <v>341</v>
      </c>
      <c r="K151" s="36"/>
      <c r="L151" s="36">
        <v>2</v>
      </c>
      <c r="M151" s="36" t="s">
        <v>229</v>
      </c>
      <c r="N151" s="36" t="s">
        <v>294</v>
      </c>
      <c r="O151" s="36">
        <v>41</v>
      </c>
      <c r="P151" s="36">
        <f t="shared" si="6"/>
        <v>4.8780487804878048</v>
      </c>
      <c r="Q151" s="65">
        <v>2.334530650204746</v>
      </c>
      <c r="R151" s="40">
        <f t="shared" si="7"/>
        <v>0.11387954391242663</v>
      </c>
      <c r="S151" s="36">
        <v>7247.1936664414898</v>
      </c>
      <c r="T151" s="40">
        <f t="shared" si="8"/>
        <v>1.5713605728483817E-3</v>
      </c>
      <c r="U151" s="110"/>
      <c r="V151" s="36">
        <v>1000</v>
      </c>
      <c r="W151" s="36"/>
      <c r="X151" s="36"/>
      <c r="Y151" s="36"/>
      <c r="Z151" s="3"/>
      <c r="AA151" s="3"/>
      <c r="AB151" s="3"/>
      <c r="AC151" s="3"/>
      <c r="AD151" s="3"/>
      <c r="AE151" s="3"/>
    </row>
    <row r="152" spans="1:31" ht="20.25" customHeight="1">
      <c r="A152" s="35">
        <v>41542</v>
      </c>
      <c r="B152" s="64" t="s">
        <v>157</v>
      </c>
      <c r="C152" s="168">
        <v>2013</v>
      </c>
      <c r="D152" s="65">
        <v>5</v>
      </c>
      <c r="E152" s="36" t="s">
        <v>223</v>
      </c>
      <c r="F152" s="36" t="s">
        <v>267</v>
      </c>
      <c r="G152" s="36" t="s">
        <v>278</v>
      </c>
      <c r="H152" s="36" t="s">
        <v>279</v>
      </c>
      <c r="I152" s="36" t="s">
        <v>280</v>
      </c>
      <c r="J152" s="36" t="s">
        <v>284</v>
      </c>
      <c r="K152" s="36" t="s">
        <v>285</v>
      </c>
      <c r="L152" s="36">
        <v>16</v>
      </c>
      <c r="M152" s="36" t="s">
        <v>247</v>
      </c>
      <c r="N152" s="36" t="s">
        <v>283</v>
      </c>
      <c r="O152" s="36">
        <v>41</v>
      </c>
      <c r="P152" s="36">
        <f t="shared" si="6"/>
        <v>39.024390243902438</v>
      </c>
      <c r="Q152" s="36">
        <v>2.334530650204746</v>
      </c>
      <c r="R152" s="40">
        <f t="shared" si="7"/>
        <v>0.91103635129941307</v>
      </c>
      <c r="S152" s="36">
        <v>7247.1936664414898</v>
      </c>
      <c r="T152" s="40">
        <f t="shared" si="8"/>
        <v>1.2570884582787054E-2</v>
      </c>
      <c r="U152" s="110"/>
      <c r="V152" s="36">
        <v>1000</v>
      </c>
      <c r="W152" s="36"/>
      <c r="X152" s="36"/>
      <c r="Y152" s="36"/>
      <c r="Z152" s="3"/>
      <c r="AA152" s="3"/>
      <c r="AB152" s="3"/>
      <c r="AC152" s="3"/>
      <c r="AD152" s="3"/>
      <c r="AE152" s="3"/>
    </row>
    <row r="153" spans="1:31" ht="20.25" customHeight="1">
      <c r="A153" s="71">
        <v>41542</v>
      </c>
      <c r="B153" s="64" t="s">
        <v>157</v>
      </c>
      <c r="C153" s="168">
        <v>2013</v>
      </c>
      <c r="D153" s="51">
        <v>5</v>
      </c>
      <c r="E153" s="3" t="s">
        <v>223</v>
      </c>
      <c r="F153" s="3" t="s">
        <v>224</v>
      </c>
      <c r="G153" s="3" t="s">
        <v>225</v>
      </c>
      <c r="H153" s="3" t="s">
        <v>248</v>
      </c>
      <c r="I153" s="3" t="s">
        <v>249</v>
      </c>
      <c r="J153" s="3" t="s">
        <v>250</v>
      </c>
      <c r="K153" s="3" t="s">
        <v>251</v>
      </c>
      <c r="L153" s="3">
        <v>22</v>
      </c>
      <c r="M153" s="3" t="s">
        <v>247</v>
      </c>
      <c r="N153" s="3" t="s">
        <v>250</v>
      </c>
      <c r="O153" s="3">
        <v>206</v>
      </c>
      <c r="P153" s="3">
        <f t="shared" si="6"/>
        <v>10.679611650485436</v>
      </c>
      <c r="Q153" s="36">
        <v>7244.8591357912856</v>
      </c>
      <c r="R153" s="8">
        <f t="shared" si="7"/>
        <v>773.72282032722467</v>
      </c>
      <c r="S153" s="36">
        <v>7247.1936664414898</v>
      </c>
      <c r="T153" s="8">
        <f t="shared" si="8"/>
        <v>10.676171438745852</v>
      </c>
      <c r="U153" s="109"/>
      <c r="V153" s="3">
        <v>250</v>
      </c>
      <c r="W153" s="3"/>
      <c r="X153" s="3"/>
      <c r="Y153" s="36"/>
      <c r="Z153" s="3"/>
      <c r="AA153" s="3"/>
      <c r="AB153" s="3"/>
      <c r="AC153" s="3"/>
      <c r="AD153" s="3"/>
      <c r="AE153" s="3"/>
    </row>
    <row r="154" spans="1:31" ht="20.25" customHeight="1">
      <c r="A154" s="71">
        <v>41542</v>
      </c>
      <c r="B154" s="64" t="s">
        <v>157</v>
      </c>
      <c r="C154" s="168">
        <v>2013</v>
      </c>
      <c r="D154" s="51">
        <v>5</v>
      </c>
      <c r="E154" s="51" t="s">
        <v>223</v>
      </c>
      <c r="F154" s="51" t="s">
        <v>224</v>
      </c>
      <c r="G154" s="51" t="s">
        <v>225</v>
      </c>
      <c r="H154" s="51" t="s">
        <v>226</v>
      </c>
      <c r="I154" s="51" t="s">
        <v>253</v>
      </c>
      <c r="J154" s="51" t="s">
        <v>256</v>
      </c>
      <c r="K154" s="51"/>
      <c r="L154" s="51">
        <v>19</v>
      </c>
      <c r="M154" s="51" t="s">
        <v>229</v>
      </c>
      <c r="N154" s="51" t="s">
        <v>256</v>
      </c>
      <c r="O154" s="3">
        <v>206</v>
      </c>
      <c r="P154" s="3">
        <f t="shared" si="6"/>
        <v>9.2233009708737868</v>
      </c>
      <c r="Q154" s="36">
        <v>7244.8591357912856</v>
      </c>
      <c r="R154" s="8">
        <f t="shared" si="7"/>
        <v>668.21516300987582</v>
      </c>
      <c r="S154" s="36">
        <v>7247.1936664414898</v>
      </c>
      <c r="T154" s="8">
        <f t="shared" si="8"/>
        <v>9.2203298789168713</v>
      </c>
      <c r="U154" s="109"/>
      <c r="V154" s="3">
        <v>250</v>
      </c>
      <c r="W154" s="3"/>
      <c r="X154" s="3"/>
      <c r="Y154" s="36"/>
      <c r="Z154" s="3"/>
      <c r="AA154" s="3"/>
      <c r="AB154" s="3"/>
      <c r="AC154" s="3"/>
      <c r="AD154" s="3"/>
      <c r="AE154" s="3"/>
    </row>
    <row r="155" spans="1:31" ht="20.25" customHeight="1">
      <c r="A155" s="71">
        <v>41542</v>
      </c>
      <c r="B155" s="64" t="s">
        <v>157</v>
      </c>
      <c r="C155" s="168">
        <v>2013</v>
      </c>
      <c r="D155" s="51">
        <v>5</v>
      </c>
      <c r="E155" s="3" t="s">
        <v>223</v>
      </c>
      <c r="F155" s="3" t="s">
        <v>224</v>
      </c>
      <c r="G155" s="3" t="s">
        <v>225</v>
      </c>
      <c r="H155" s="3" t="s">
        <v>226</v>
      </c>
      <c r="I155" s="3" t="s">
        <v>239</v>
      </c>
      <c r="J155" s="3" t="s">
        <v>258</v>
      </c>
      <c r="K155" s="3" t="s">
        <v>259</v>
      </c>
      <c r="L155" s="3">
        <v>1</v>
      </c>
      <c r="M155" s="3" t="s">
        <v>247</v>
      </c>
      <c r="N155" s="3" t="s">
        <v>260</v>
      </c>
      <c r="O155" s="3">
        <v>206</v>
      </c>
      <c r="P155" s="3">
        <f t="shared" si="6"/>
        <v>0.48543689320388345</v>
      </c>
      <c r="Q155" s="36">
        <v>7244.8591357912856</v>
      </c>
      <c r="R155" s="8">
        <f t="shared" si="7"/>
        <v>35.169219105782936</v>
      </c>
      <c r="S155" s="36">
        <v>7247.1936664414898</v>
      </c>
      <c r="T155" s="8">
        <f t="shared" si="8"/>
        <v>0.48528051994299326</v>
      </c>
      <c r="U155" s="109"/>
      <c r="V155" s="3">
        <v>250</v>
      </c>
      <c r="W155" s="3"/>
      <c r="X155" s="3"/>
      <c r="Y155" s="36"/>
      <c r="Z155" s="3"/>
      <c r="AA155" s="3"/>
      <c r="AB155" s="3"/>
      <c r="AC155" s="3"/>
      <c r="AD155" s="3"/>
      <c r="AE155" s="3"/>
    </row>
    <row r="156" spans="1:31" ht="20.25" customHeight="1">
      <c r="A156" s="13">
        <v>41542</v>
      </c>
      <c r="B156" s="64" t="s">
        <v>157</v>
      </c>
      <c r="C156" s="168">
        <v>2013</v>
      </c>
      <c r="D156" s="51">
        <v>5</v>
      </c>
      <c r="E156" s="51" t="s">
        <v>328</v>
      </c>
      <c r="F156" s="51"/>
      <c r="G156" s="51"/>
      <c r="H156" s="51"/>
      <c r="I156" s="51"/>
      <c r="J156" s="51"/>
      <c r="K156" s="3"/>
      <c r="L156" s="3">
        <v>1</v>
      </c>
      <c r="M156" s="3" t="s">
        <v>328</v>
      </c>
      <c r="N156" s="3" t="s">
        <v>328</v>
      </c>
      <c r="O156" s="3">
        <v>206</v>
      </c>
      <c r="P156" s="3">
        <f t="shared" si="6"/>
        <v>0.48543689320388345</v>
      </c>
      <c r="Q156" s="36">
        <v>7244.8591357912856</v>
      </c>
      <c r="R156" s="8">
        <f t="shared" si="7"/>
        <v>35.169219105782936</v>
      </c>
      <c r="S156" s="36">
        <v>7247.1936664414898</v>
      </c>
      <c r="T156" s="8">
        <f t="shared" si="8"/>
        <v>0.48528051994299326</v>
      </c>
      <c r="U156" s="109"/>
      <c r="V156" s="3">
        <v>250</v>
      </c>
      <c r="W156" s="3"/>
      <c r="X156" s="3"/>
      <c r="Y156" s="36"/>
      <c r="Z156" s="3"/>
      <c r="AA156" s="3"/>
      <c r="AB156" s="3"/>
      <c r="AC156" s="3"/>
      <c r="AD156" s="3"/>
      <c r="AE156" s="3"/>
    </row>
    <row r="157" spans="1:31" ht="20.25" customHeight="1">
      <c r="A157" s="13">
        <v>41542</v>
      </c>
      <c r="B157" s="64" t="s">
        <v>157</v>
      </c>
      <c r="C157" s="168">
        <v>2013</v>
      </c>
      <c r="D157" s="51">
        <v>4</v>
      </c>
      <c r="E157" s="51" t="s">
        <v>223</v>
      </c>
      <c r="F157" s="3" t="s">
        <v>224</v>
      </c>
      <c r="G157" s="3" t="s">
        <v>225</v>
      </c>
      <c r="H157" s="51" t="s">
        <v>226</v>
      </c>
      <c r="I157" s="51" t="s">
        <v>227</v>
      </c>
      <c r="J157" s="51" t="s">
        <v>228</v>
      </c>
      <c r="K157" s="3"/>
      <c r="L157" s="3">
        <v>73</v>
      </c>
      <c r="M157" s="3" t="s">
        <v>229</v>
      </c>
      <c r="N157" s="3" t="s">
        <v>228</v>
      </c>
      <c r="O157" s="3">
        <v>159</v>
      </c>
      <c r="P157" s="3">
        <f t="shared" si="6"/>
        <v>45.911949685534594</v>
      </c>
      <c r="Q157" s="36">
        <v>6354.7875713379835</v>
      </c>
      <c r="R157" s="8">
        <f t="shared" si="7"/>
        <v>2917.6068723753006</v>
      </c>
      <c r="S157" s="36">
        <v>6424.9537343107704</v>
      </c>
      <c r="T157" s="8">
        <f t="shared" si="8"/>
        <v>45.410550690732457</v>
      </c>
      <c r="U157" s="109"/>
      <c r="V157" s="3">
        <v>250</v>
      </c>
      <c r="W157" s="3"/>
      <c r="X157" s="3"/>
      <c r="Y157" s="36"/>
      <c r="Z157" s="3"/>
      <c r="AA157" s="3"/>
      <c r="AB157" s="3"/>
      <c r="AC157" s="3"/>
      <c r="AD157" s="3"/>
      <c r="AE157" s="3"/>
    </row>
    <row r="158" spans="1:31" ht="20.25" customHeight="1">
      <c r="A158" s="35">
        <v>41542</v>
      </c>
      <c r="B158" s="64" t="s">
        <v>157</v>
      </c>
      <c r="C158" s="168">
        <v>2013</v>
      </c>
      <c r="D158" s="65">
        <v>4</v>
      </c>
      <c r="E158" s="36" t="s">
        <v>209</v>
      </c>
      <c r="F158" s="36" t="s">
        <v>210</v>
      </c>
      <c r="G158" s="36"/>
      <c r="H158" s="36" t="s">
        <v>211</v>
      </c>
      <c r="I158" s="36" t="s">
        <v>212</v>
      </c>
      <c r="J158" s="36" t="s">
        <v>213</v>
      </c>
      <c r="K158" s="36" t="s">
        <v>214</v>
      </c>
      <c r="L158" s="36">
        <v>1</v>
      </c>
      <c r="M158" s="36" t="s">
        <v>247</v>
      </c>
      <c r="N158" s="36" t="s">
        <v>215</v>
      </c>
      <c r="O158" s="36">
        <v>522</v>
      </c>
      <c r="P158" s="36">
        <f t="shared" si="6"/>
        <v>0.19157088122605362</v>
      </c>
      <c r="Q158" s="36">
        <v>70.166162972786339</v>
      </c>
      <c r="R158" s="40">
        <f t="shared" si="7"/>
        <v>0.13441793672947572</v>
      </c>
      <c r="S158" s="36">
        <v>6424.9537343107695</v>
      </c>
      <c r="T158" s="40">
        <f t="shared" si="8"/>
        <v>2.0921230297994554E-3</v>
      </c>
      <c r="U158" s="110">
        <f>SUM(T161+T170)</f>
        <v>8.7088727352089634</v>
      </c>
      <c r="V158" s="36">
        <v>1000</v>
      </c>
      <c r="W158" s="36"/>
      <c r="X158" s="36"/>
      <c r="Y158" s="36"/>
      <c r="Z158" s="3"/>
      <c r="AA158" s="3"/>
      <c r="AB158" s="3"/>
      <c r="AC158" s="3"/>
      <c r="AD158" s="3"/>
      <c r="AE158" s="3"/>
    </row>
    <row r="159" spans="1:31" ht="20.25" customHeight="1">
      <c r="A159" s="13">
        <v>41542</v>
      </c>
      <c r="B159" s="64" t="s">
        <v>157</v>
      </c>
      <c r="C159" s="168">
        <v>2013</v>
      </c>
      <c r="D159" s="51">
        <v>4</v>
      </c>
      <c r="E159" s="3" t="s">
        <v>223</v>
      </c>
      <c r="F159" s="3" t="s">
        <v>224</v>
      </c>
      <c r="G159" s="3" t="s">
        <v>304</v>
      </c>
      <c r="H159" s="3" t="s">
        <v>329</v>
      </c>
      <c r="I159" s="3" t="s">
        <v>330</v>
      </c>
      <c r="J159" s="3" t="s">
        <v>307</v>
      </c>
      <c r="K159" s="3"/>
      <c r="L159" s="3">
        <v>10</v>
      </c>
      <c r="M159" s="3" t="s">
        <v>229</v>
      </c>
      <c r="N159" s="3" t="s">
        <v>307</v>
      </c>
      <c r="O159" s="3">
        <v>159</v>
      </c>
      <c r="P159" s="3">
        <f t="shared" si="6"/>
        <v>6.2893081761006293</v>
      </c>
      <c r="Q159" s="36">
        <v>6354.7875713379835</v>
      </c>
      <c r="R159" s="8">
        <f t="shared" si="7"/>
        <v>399.67217429798637</v>
      </c>
      <c r="S159" s="36">
        <v>6424.9537343107704</v>
      </c>
      <c r="T159" s="8">
        <f t="shared" si="8"/>
        <v>6.2206233822921178</v>
      </c>
      <c r="U159" s="109"/>
      <c r="V159" s="3">
        <v>250</v>
      </c>
      <c r="W159" s="36" t="s">
        <v>308</v>
      </c>
      <c r="X159" s="3"/>
      <c r="Y159" s="36"/>
      <c r="Z159" s="3"/>
      <c r="AA159" s="3"/>
      <c r="AB159" s="3"/>
      <c r="AC159" s="3"/>
      <c r="AD159" s="3"/>
      <c r="AE159" s="3"/>
    </row>
    <row r="160" spans="1:31" ht="20.25" customHeight="1">
      <c r="A160" s="71">
        <v>41542</v>
      </c>
      <c r="B160" s="64" t="s">
        <v>157</v>
      </c>
      <c r="C160" s="168">
        <v>2013</v>
      </c>
      <c r="D160" s="51">
        <v>4</v>
      </c>
      <c r="E160" s="3" t="s">
        <v>295</v>
      </c>
      <c r="F160" s="3" t="s">
        <v>296</v>
      </c>
      <c r="G160" s="3"/>
      <c r="H160" s="3" t="s">
        <v>297</v>
      </c>
      <c r="I160" s="3" t="s">
        <v>298</v>
      </c>
      <c r="J160" s="3" t="s">
        <v>299</v>
      </c>
      <c r="K160" s="3"/>
      <c r="L160" s="3">
        <v>3</v>
      </c>
      <c r="M160" s="3" t="s">
        <v>229</v>
      </c>
      <c r="N160" s="3" t="s">
        <v>479</v>
      </c>
      <c r="O160" s="3">
        <v>159</v>
      </c>
      <c r="P160" s="3">
        <f t="shared" si="6"/>
        <v>1.8867924528301887</v>
      </c>
      <c r="Q160" s="36">
        <v>6354.7875713379835</v>
      </c>
      <c r="R160" s="8">
        <f t="shared" si="7"/>
        <v>119.90165228939591</v>
      </c>
      <c r="S160" s="36">
        <v>6424.9537343107704</v>
      </c>
      <c r="T160" s="8">
        <f t="shared" si="8"/>
        <v>1.8661870146876351</v>
      </c>
      <c r="U160" s="109"/>
      <c r="V160" s="3">
        <v>250</v>
      </c>
      <c r="W160" s="3" t="s">
        <v>222</v>
      </c>
      <c r="X160" s="3"/>
      <c r="Y160" s="36"/>
      <c r="Z160" s="3"/>
      <c r="AA160" s="3"/>
      <c r="AB160" s="3"/>
      <c r="AC160" s="3"/>
      <c r="AD160" s="3"/>
      <c r="AE160" s="3"/>
    </row>
    <row r="161" spans="1:31" s="42" customFormat="1" ht="20.25" customHeight="1">
      <c r="A161" s="13">
        <v>41542</v>
      </c>
      <c r="B161" s="64" t="s">
        <v>157</v>
      </c>
      <c r="C161" s="168">
        <v>2013</v>
      </c>
      <c r="D161" s="51">
        <v>4</v>
      </c>
      <c r="E161" s="3" t="s">
        <v>223</v>
      </c>
      <c r="F161" s="3" t="s">
        <v>224</v>
      </c>
      <c r="G161" s="3" t="s">
        <v>225</v>
      </c>
      <c r="H161" s="3" t="s">
        <v>226</v>
      </c>
      <c r="I161" s="3" t="s">
        <v>235</v>
      </c>
      <c r="J161" s="3" t="s">
        <v>236</v>
      </c>
      <c r="K161" s="3" t="s">
        <v>237</v>
      </c>
      <c r="L161" s="3">
        <v>7</v>
      </c>
      <c r="M161" s="3" t="s">
        <v>247</v>
      </c>
      <c r="N161" s="3" t="s">
        <v>238</v>
      </c>
      <c r="O161" s="3">
        <v>159</v>
      </c>
      <c r="P161" s="3">
        <f t="shared" si="6"/>
        <v>4.4025157232704402</v>
      </c>
      <c r="Q161" s="36">
        <v>6354.7875713379835</v>
      </c>
      <c r="R161" s="8">
        <f t="shared" si="7"/>
        <v>279.77052200859043</v>
      </c>
      <c r="S161" s="65">
        <v>6424.9537343107704</v>
      </c>
      <c r="T161" s="8">
        <f t="shared" si="8"/>
        <v>4.3544363676044817</v>
      </c>
      <c r="U161" s="109"/>
      <c r="V161" s="3">
        <v>250</v>
      </c>
      <c r="W161" s="3"/>
      <c r="X161" s="3"/>
      <c r="Y161" s="36"/>
      <c r="Z161" s="41"/>
      <c r="AA161" s="41"/>
      <c r="AB161" s="41"/>
      <c r="AC161" s="41"/>
      <c r="AD161" s="41"/>
      <c r="AE161" s="41"/>
    </row>
    <row r="162" spans="1:31" s="42" customFormat="1" ht="20.25" customHeight="1">
      <c r="A162" s="71">
        <v>41542</v>
      </c>
      <c r="B162" s="64" t="s">
        <v>157</v>
      </c>
      <c r="C162" s="168">
        <v>2013</v>
      </c>
      <c r="D162" s="51">
        <v>4</v>
      </c>
      <c r="E162" s="51" t="s">
        <v>223</v>
      </c>
      <c r="F162" s="51" t="s">
        <v>310</v>
      </c>
      <c r="G162" s="51" t="s">
        <v>314</v>
      </c>
      <c r="H162" s="51" t="s">
        <v>311</v>
      </c>
      <c r="I162" s="51" t="s">
        <v>315</v>
      </c>
      <c r="J162" s="3" t="s">
        <v>316</v>
      </c>
      <c r="K162" s="3"/>
      <c r="L162" s="3">
        <v>1</v>
      </c>
      <c r="M162" s="3" t="s">
        <v>229</v>
      </c>
      <c r="N162" s="3" t="s">
        <v>345</v>
      </c>
      <c r="O162" s="3">
        <v>159</v>
      </c>
      <c r="P162" s="3">
        <f t="shared" si="6"/>
        <v>0.62893081761006298</v>
      </c>
      <c r="Q162" s="65">
        <v>6354.7875713379835</v>
      </c>
      <c r="R162" s="8">
        <f t="shared" si="7"/>
        <v>39.967217429798644</v>
      </c>
      <c r="S162" s="65">
        <v>6424.9537343107704</v>
      </c>
      <c r="T162" s="8">
        <f t="shared" si="8"/>
        <v>0.62206233822921186</v>
      </c>
      <c r="U162" s="109"/>
      <c r="V162" s="3">
        <v>250</v>
      </c>
      <c r="W162" s="3"/>
      <c r="X162" s="3"/>
      <c r="Y162" s="36"/>
      <c r="Z162" s="41"/>
      <c r="AA162" s="41"/>
      <c r="AB162" s="41"/>
      <c r="AC162" s="41"/>
      <c r="AD162" s="41"/>
      <c r="AE162" s="41"/>
    </row>
    <row r="163" spans="1:31" ht="20.25" customHeight="1">
      <c r="A163" s="72">
        <v>41542</v>
      </c>
      <c r="B163" s="64" t="s">
        <v>157</v>
      </c>
      <c r="C163" s="168">
        <v>2013</v>
      </c>
      <c r="D163" s="65">
        <v>4</v>
      </c>
      <c r="E163" s="36" t="s">
        <v>223</v>
      </c>
      <c r="F163" s="36" t="s">
        <v>267</v>
      </c>
      <c r="G163" s="36"/>
      <c r="H163" s="36" t="s">
        <v>273</v>
      </c>
      <c r="I163" s="36" t="s">
        <v>274</v>
      </c>
      <c r="J163" s="36" t="s">
        <v>275</v>
      </c>
      <c r="K163" s="36" t="s">
        <v>276</v>
      </c>
      <c r="L163" s="36">
        <v>6</v>
      </c>
      <c r="M163" s="36" t="s">
        <v>247</v>
      </c>
      <c r="N163" s="36" t="s">
        <v>275</v>
      </c>
      <c r="O163" s="36">
        <v>522</v>
      </c>
      <c r="P163" s="36">
        <f t="shared" si="6"/>
        <v>1.1494252873563218</v>
      </c>
      <c r="Q163" s="65">
        <v>70.166162972786339</v>
      </c>
      <c r="R163" s="40">
        <f t="shared" si="7"/>
        <v>0.80650762037685442</v>
      </c>
      <c r="S163" s="36">
        <v>6424.9537343107695</v>
      </c>
      <c r="T163" s="40">
        <f t="shared" si="8"/>
        <v>1.2552738178796735E-2</v>
      </c>
      <c r="U163" s="110"/>
      <c r="V163" s="36">
        <v>1000</v>
      </c>
      <c r="W163" s="36"/>
      <c r="X163" s="36"/>
      <c r="Y163" s="36"/>
      <c r="Z163" s="3"/>
      <c r="AA163" s="3"/>
      <c r="AB163" s="3"/>
      <c r="AC163" s="3"/>
      <c r="AD163" s="3"/>
      <c r="AE163" s="3"/>
    </row>
    <row r="164" spans="1:31" ht="20.25" customHeight="1">
      <c r="A164" s="35">
        <v>41542</v>
      </c>
      <c r="B164" s="64" t="s">
        <v>157</v>
      </c>
      <c r="C164" s="168">
        <v>2013</v>
      </c>
      <c r="D164" s="65">
        <v>4</v>
      </c>
      <c r="E164" s="36" t="s">
        <v>223</v>
      </c>
      <c r="F164" s="36" t="s">
        <v>267</v>
      </c>
      <c r="G164" s="36"/>
      <c r="H164" s="36" t="s">
        <v>273</v>
      </c>
      <c r="I164" s="36"/>
      <c r="J164" s="36"/>
      <c r="K164" s="36"/>
      <c r="L164" s="36">
        <v>1</v>
      </c>
      <c r="M164" s="36" t="s">
        <v>508</v>
      </c>
      <c r="N164" s="36" t="s">
        <v>335</v>
      </c>
      <c r="O164" s="36">
        <v>522</v>
      </c>
      <c r="P164" s="36">
        <f t="shared" si="6"/>
        <v>0.19157088122605362</v>
      </c>
      <c r="Q164" s="36">
        <v>70.166162972786339</v>
      </c>
      <c r="R164" s="40">
        <f t="shared" si="7"/>
        <v>0.13441793672947572</v>
      </c>
      <c r="S164" s="36">
        <v>6424.9537343107704</v>
      </c>
      <c r="T164" s="40">
        <f t="shared" si="8"/>
        <v>2.092123029799455E-3</v>
      </c>
      <c r="U164" s="110"/>
      <c r="V164" s="36">
        <v>1000</v>
      </c>
      <c r="W164" s="36"/>
      <c r="X164" s="36"/>
      <c r="Y164" s="36"/>
      <c r="Z164" s="3"/>
      <c r="AA164" s="3"/>
      <c r="AB164" s="3"/>
      <c r="AC164" s="3"/>
      <c r="AD164" s="3"/>
      <c r="AE164" s="3"/>
    </row>
    <row r="165" spans="1:31" ht="20.25" customHeight="1">
      <c r="A165" s="71">
        <v>41542</v>
      </c>
      <c r="B165" s="64" t="s">
        <v>157</v>
      </c>
      <c r="C165" s="168">
        <v>2013</v>
      </c>
      <c r="D165" s="51">
        <v>4</v>
      </c>
      <c r="E165" s="51" t="s">
        <v>223</v>
      </c>
      <c r="F165" s="51" t="s">
        <v>224</v>
      </c>
      <c r="G165" s="51" t="s">
        <v>225</v>
      </c>
      <c r="H165" s="51" t="s">
        <v>226</v>
      </c>
      <c r="I165" s="51" t="s">
        <v>239</v>
      </c>
      <c r="J165" s="3" t="s">
        <v>240</v>
      </c>
      <c r="K165" s="3"/>
      <c r="L165" s="3">
        <v>33</v>
      </c>
      <c r="M165" s="3" t="s">
        <v>229</v>
      </c>
      <c r="N165" s="3" t="s">
        <v>240</v>
      </c>
      <c r="O165" s="3">
        <v>159</v>
      </c>
      <c r="P165" s="3">
        <f t="shared" si="6"/>
        <v>20.754716981132077</v>
      </c>
      <c r="Q165" s="36">
        <v>6354.7875713379835</v>
      </c>
      <c r="R165" s="8">
        <f t="shared" si="7"/>
        <v>1318.9181751833551</v>
      </c>
      <c r="S165" s="65">
        <v>6424.9537343107704</v>
      </c>
      <c r="T165" s="8">
        <f t="shared" si="8"/>
        <v>20.528057161563989</v>
      </c>
      <c r="U165" s="109"/>
      <c r="V165" s="3">
        <v>250</v>
      </c>
      <c r="W165" s="3"/>
      <c r="X165" s="3"/>
      <c r="Y165" s="36"/>
      <c r="Z165" s="3"/>
      <c r="AA165" s="3"/>
      <c r="AB165" s="3"/>
      <c r="AC165" s="3"/>
      <c r="AD165" s="3"/>
      <c r="AE165" s="3"/>
    </row>
    <row r="166" spans="1:31" ht="20.25" customHeight="1">
      <c r="A166" s="13">
        <v>41542</v>
      </c>
      <c r="B166" s="64" t="s">
        <v>157</v>
      </c>
      <c r="C166" s="168">
        <v>2013</v>
      </c>
      <c r="D166" s="51">
        <v>4</v>
      </c>
      <c r="E166" s="3" t="s">
        <v>223</v>
      </c>
      <c r="F166" s="3" t="s">
        <v>224</v>
      </c>
      <c r="G166" s="3" t="s">
        <v>225</v>
      </c>
      <c r="H166" s="3" t="s">
        <v>243</v>
      </c>
      <c r="I166" s="3"/>
      <c r="J166" s="3"/>
      <c r="K166" s="3"/>
      <c r="L166" s="3">
        <v>1</v>
      </c>
      <c r="M166" s="3" t="s">
        <v>508</v>
      </c>
      <c r="N166" s="3" t="s">
        <v>673</v>
      </c>
      <c r="O166" s="3">
        <v>159</v>
      </c>
      <c r="P166" s="3">
        <f t="shared" si="6"/>
        <v>0.62893081761006298</v>
      </c>
      <c r="Q166" s="36">
        <v>6354.7875713379835</v>
      </c>
      <c r="R166" s="8">
        <f t="shared" si="7"/>
        <v>39.967217429798644</v>
      </c>
      <c r="S166" s="65">
        <v>6424.9537343107704</v>
      </c>
      <c r="T166" s="8">
        <f t="shared" si="8"/>
        <v>0.62206233822921186</v>
      </c>
      <c r="U166" s="109"/>
      <c r="V166" s="3">
        <v>250</v>
      </c>
      <c r="W166" s="3"/>
      <c r="X166" s="3"/>
      <c r="Y166" s="36"/>
      <c r="Z166" s="3"/>
      <c r="AA166" s="3"/>
      <c r="AB166" s="3"/>
      <c r="AC166" s="3"/>
      <c r="AD166" s="3"/>
      <c r="AE166" s="3"/>
    </row>
    <row r="167" spans="1:31" ht="20.25" customHeight="1">
      <c r="A167" s="72">
        <v>41542</v>
      </c>
      <c r="B167" s="64" t="s">
        <v>157</v>
      </c>
      <c r="C167" s="168">
        <v>2013</v>
      </c>
      <c r="D167" s="65">
        <v>4</v>
      </c>
      <c r="E167" s="65" t="s">
        <v>288</v>
      </c>
      <c r="F167" s="65" t="s">
        <v>289</v>
      </c>
      <c r="G167" s="65" t="s">
        <v>290</v>
      </c>
      <c r="H167" s="65" t="s">
        <v>339</v>
      </c>
      <c r="I167" s="65" t="s">
        <v>340</v>
      </c>
      <c r="J167" s="36" t="s">
        <v>341</v>
      </c>
      <c r="K167" s="36"/>
      <c r="L167" s="36">
        <v>2</v>
      </c>
      <c r="M167" s="36" t="s">
        <v>229</v>
      </c>
      <c r="N167" s="36" t="s">
        <v>294</v>
      </c>
      <c r="O167" s="36">
        <v>522</v>
      </c>
      <c r="P167" s="36">
        <f t="shared" si="6"/>
        <v>0.38314176245210724</v>
      </c>
      <c r="Q167" s="65">
        <v>70.166162972786339</v>
      </c>
      <c r="R167" s="40">
        <f t="shared" si="7"/>
        <v>0.26883587345895144</v>
      </c>
      <c r="S167" s="36">
        <v>6424.9537343107704</v>
      </c>
      <c r="T167" s="40">
        <f t="shared" si="8"/>
        <v>4.18424605959891E-3</v>
      </c>
      <c r="U167" s="110"/>
      <c r="V167" s="36">
        <v>1000</v>
      </c>
      <c r="W167" s="36"/>
      <c r="X167" s="36"/>
      <c r="Y167" s="36"/>
      <c r="Z167" s="3"/>
      <c r="AA167" s="3"/>
      <c r="AB167" s="3"/>
      <c r="AC167" s="3"/>
      <c r="AD167" s="3"/>
      <c r="AE167" s="3"/>
    </row>
    <row r="168" spans="1:31" ht="20.25" customHeight="1">
      <c r="A168" s="72">
        <v>41542</v>
      </c>
      <c r="B168" s="64" t="s">
        <v>157</v>
      </c>
      <c r="C168" s="168">
        <v>2013</v>
      </c>
      <c r="D168" s="65">
        <v>4</v>
      </c>
      <c r="E168" s="65" t="s">
        <v>223</v>
      </c>
      <c r="F168" s="65" t="s">
        <v>267</v>
      </c>
      <c r="G168" s="65" t="s">
        <v>278</v>
      </c>
      <c r="H168" s="65" t="s">
        <v>279</v>
      </c>
      <c r="I168" s="65" t="s">
        <v>280</v>
      </c>
      <c r="J168" s="36" t="s">
        <v>281</v>
      </c>
      <c r="K168" s="36" t="s">
        <v>282</v>
      </c>
      <c r="L168" s="36">
        <v>1</v>
      </c>
      <c r="M168" s="36" t="s">
        <v>247</v>
      </c>
      <c r="N168" s="36" t="s">
        <v>283</v>
      </c>
      <c r="O168" s="36">
        <v>522</v>
      </c>
      <c r="P168" s="36">
        <f t="shared" si="6"/>
        <v>0.19157088122605362</v>
      </c>
      <c r="Q168" s="36">
        <v>70.166162972786339</v>
      </c>
      <c r="R168" s="40">
        <f t="shared" si="7"/>
        <v>0.13441793672947572</v>
      </c>
      <c r="S168" s="36">
        <v>6424.9537343107704</v>
      </c>
      <c r="T168" s="40">
        <f t="shared" si="8"/>
        <v>2.092123029799455E-3</v>
      </c>
      <c r="U168" s="110"/>
      <c r="V168" s="36">
        <v>1000</v>
      </c>
      <c r="W168" s="36"/>
      <c r="X168" s="36"/>
      <c r="Y168" s="36"/>
      <c r="Z168" s="3"/>
      <c r="AA168" s="3"/>
      <c r="AB168" s="3"/>
      <c r="AC168" s="3"/>
      <c r="AD168" s="3"/>
      <c r="AE168" s="3"/>
    </row>
    <row r="169" spans="1:31" ht="20.25" customHeight="1">
      <c r="A169" s="35">
        <v>41542</v>
      </c>
      <c r="B169" s="64" t="s">
        <v>157</v>
      </c>
      <c r="C169" s="168">
        <v>2013</v>
      </c>
      <c r="D169" s="65">
        <v>4</v>
      </c>
      <c r="E169" s="36" t="s">
        <v>223</v>
      </c>
      <c r="F169" s="36" t="s">
        <v>267</v>
      </c>
      <c r="G169" s="36" t="s">
        <v>278</v>
      </c>
      <c r="H169" s="36" t="s">
        <v>279</v>
      </c>
      <c r="I169" s="36" t="s">
        <v>280</v>
      </c>
      <c r="J169" s="36" t="s">
        <v>284</v>
      </c>
      <c r="K169" s="36" t="s">
        <v>285</v>
      </c>
      <c r="L169" s="36">
        <v>511</v>
      </c>
      <c r="M169" s="36" t="s">
        <v>247</v>
      </c>
      <c r="N169" s="36" t="s">
        <v>283</v>
      </c>
      <c r="O169" s="36">
        <v>522</v>
      </c>
      <c r="P169" s="36">
        <f t="shared" si="6"/>
        <v>97.892720306513411</v>
      </c>
      <c r="Q169" s="36">
        <v>70.166162972786339</v>
      </c>
      <c r="R169" s="40">
        <f t="shared" si="7"/>
        <v>68.687565668762105</v>
      </c>
      <c r="S169" s="36">
        <v>6424.9537343107704</v>
      </c>
      <c r="T169" s="40">
        <f t="shared" si="8"/>
        <v>1.0690748682275217</v>
      </c>
      <c r="U169" s="110"/>
      <c r="V169" s="36">
        <v>1000</v>
      </c>
      <c r="W169" s="36" t="s">
        <v>605</v>
      </c>
      <c r="X169" s="36"/>
      <c r="Y169" s="36"/>
      <c r="Z169" s="3"/>
      <c r="AA169" s="3"/>
      <c r="AB169" s="3"/>
      <c r="AC169" s="3"/>
      <c r="AD169" s="3"/>
      <c r="AE169" s="3"/>
    </row>
    <row r="170" spans="1:31" ht="20.25" customHeight="1">
      <c r="A170" s="13">
        <v>41542</v>
      </c>
      <c r="B170" s="64" t="s">
        <v>157</v>
      </c>
      <c r="C170" s="168">
        <v>2013</v>
      </c>
      <c r="D170" s="51">
        <v>4</v>
      </c>
      <c r="E170" s="3" t="s">
        <v>223</v>
      </c>
      <c r="F170" s="3" t="s">
        <v>224</v>
      </c>
      <c r="G170" s="3" t="s">
        <v>225</v>
      </c>
      <c r="H170" s="3" t="s">
        <v>248</v>
      </c>
      <c r="I170" s="3" t="s">
        <v>249</v>
      </c>
      <c r="J170" s="3" t="s">
        <v>250</v>
      </c>
      <c r="K170" s="3" t="s">
        <v>251</v>
      </c>
      <c r="L170" s="3">
        <v>7</v>
      </c>
      <c r="M170" s="3" t="s">
        <v>247</v>
      </c>
      <c r="N170" s="3" t="s">
        <v>250</v>
      </c>
      <c r="O170" s="3">
        <v>159</v>
      </c>
      <c r="P170" s="3">
        <f t="shared" si="6"/>
        <v>4.4025157232704402</v>
      </c>
      <c r="Q170" s="36">
        <v>6354.7875713379835</v>
      </c>
      <c r="R170" s="8">
        <f t="shared" si="7"/>
        <v>279.77052200859043</v>
      </c>
      <c r="S170" s="65">
        <v>6424.9537343107704</v>
      </c>
      <c r="T170" s="8">
        <f t="shared" si="8"/>
        <v>4.3544363676044817</v>
      </c>
      <c r="U170" s="109"/>
      <c r="V170" s="3">
        <v>250</v>
      </c>
      <c r="W170" s="3"/>
      <c r="X170" s="3"/>
      <c r="Y170" s="36"/>
      <c r="Z170" s="3"/>
      <c r="AA170" s="3"/>
      <c r="AB170" s="3"/>
      <c r="AC170" s="3"/>
      <c r="AD170" s="3"/>
      <c r="AE170" s="3"/>
    </row>
    <row r="171" spans="1:31" ht="20.25" customHeight="1">
      <c r="A171" s="13">
        <v>41542</v>
      </c>
      <c r="B171" s="64" t="s">
        <v>157</v>
      </c>
      <c r="C171" s="168">
        <v>2013</v>
      </c>
      <c r="D171" s="51">
        <v>4</v>
      </c>
      <c r="E171" s="51" t="s">
        <v>223</v>
      </c>
      <c r="F171" s="51" t="s">
        <v>224</v>
      </c>
      <c r="G171" s="51" t="s">
        <v>225</v>
      </c>
      <c r="H171" s="51" t="s">
        <v>226</v>
      </c>
      <c r="I171" s="51" t="s">
        <v>253</v>
      </c>
      <c r="J171" s="3" t="s">
        <v>254</v>
      </c>
      <c r="K171" s="3"/>
      <c r="L171" s="3">
        <v>2</v>
      </c>
      <c r="M171" s="3"/>
      <c r="N171" s="3" t="s">
        <v>254</v>
      </c>
      <c r="O171" s="3">
        <v>159</v>
      </c>
      <c r="P171" s="3">
        <f t="shared" si="6"/>
        <v>1.257861635220126</v>
      </c>
      <c r="Q171" s="36">
        <v>6354.7875713379835</v>
      </c>
      <c r="R171" s="8">
        <f t="shared" si="7"/>
        <v>79.934434859597289</v>
      </c>
      <c r="S171" s="65">
        <v>6424.9537343107704</v>
      </c>
      <c r="T171" s="8">
        <f t="shared" si="8"/>
        <v>1.2441246764584237</v>
      </c>
      <c r="U171" s="109"/>
      <c r="V171" s="3">
        <v>250</v>
      </c>
      <c r="W171" s="3"/>
      <c r="X171" s="3"/>
      <c r="Y171" s="36"/>
      <c r="Z171" s="3"/>
      <c r="AA171" s="3"/>
      <c r="AB171" s="3"/>
      <c r="AC171" s="3"/>
      <c r="AD171" s="3"/>
      <c r="AE171" s="3"/>
    </row>
    <row r="172" spans="1:31" ht="20.25" customHeight="1">
      <c r="A172" s="13">
        <v>41542</v>
      </c>
      <c r="B172" s="64" t="s">
        <v>157</v>
      </c>
      <c r="C172" s="168">
        <v>2013</v>
      </c>
      <c r="D172" s="51">
        <v>4</v>
      </c>
      <c r="E172" s="3" t="s">
        <v>223</v>
      </c>
      <c r="F172" s="3" t="s">
        <v>224</v>
      </c>
      <c r="G172" s="3" t="s">
        <v>225</v>
      </c>
      <c r="H172" s="3" t="s">
        <v>226</v>
      </c>
      <c r="I172" s="3" t="s">
        <v>253</v>
      </c>
      <c r="J172" s="3" t="s">
        <v>256</v>
      </c>
      <c r="K172" s="3"/>
      <c r="L172" s="3">
        <v>21</v>
      </c>
      <c r="M172" s="3" t="s">
        <v>229</v>
      </c>
      <c r="N172" s="3" t="s">
        <v>256</v>
      </c>
      <c r="O172" s="3">
        <v>159</v>
      </c>
      <c r="P172" s="3">
        <f t="shared" si="6"/>
        <v>13.20754716981132</v>
      </c>
      <c r="Q172" s="36">
        <v>6354.7875713379835</v>
      </c>
      <c r="R172" s="8">
        <f t="shared" si="7"/>
        <v>839.31156602577141</v>
      </c>
      <c r="S172" s="65">
        <v>6424.9537343107704</v>
      </c>
      <c r="T172" s="8">
        <f t="shared" si="8"/>
        <v>13.063309102813447</v>
      </c>
      <c r="U172" s="109"/>
      <c r="V172" s="3">
        <v>250</v>
      </c>
      <c r="W172" s="3"/>
      <c r="X172" s="3"/>
      <c r="Y172" s="36"/>
      <c r="Z172" s="3"/>
      <c r="AA172" s="3"/>
      <c r="AB172" s="3"/>
      <c r="AC172" s="3"/>
      <c r="AD172" s="3"/>
      <c r="AE172" s="3"/>
    </row>
    <row r="173" spans="1:31" ht="20.25" customHeight="1">
      <c r="A173" s="13">
        <v>41542</v>
      </c>
      <c r="B173" s="64" t="s">
        <v>157</v>
      </c>
      <c r="C173" s="168">
        <v>2013</v>
      </c>
      <c r="D173" s="51">
        <v>4</v>
      </c>
      <c r="E173" s="3" t="s">
        <v>223</v>
      </c>
      <c r="F173" s="3" t="s">
        <v>224</v>
      </c>
      <c r="G173" s="3" t="s">
        <v>225</v>
      </c>
      <c r="H173" s="3" t="s">
        <v>226</v>
      </c>
      <c r="I173" s="3" t="s">
        <v>261</v>
      </c>
      <c r="J173" s="3" t="s">
        <v>262</v>
      </c>
      <c r="K173" s="3" t="s">
        <v>263</v>
      </c>
      <c r="L173" s="3">
        <v>1</v>
      </c>
      <c r="M173" s="3" t="s">
        <v>247</v>
      </c>
      <c r="N173" s="3" t="s">
        <v>264</v>
      </c>
      <c r="O173" s="3">
        <v>159</v>
      </c>
      <c r="P173" s="3">
        <f t="shared" si="6"/>
        <v>0.62893081761006298</v>
      </c>
      <c r="Q173" s="36">
        <v>6354.7875713379835</v>
      </c>
      <c r="R173" s="8">
        <f t="shared" si="7"/>
        <v>39.967217429798644</v>
      </c>
      <c r="S173" s="65">
        <v>6424.9537343107704</v>
      </c>
      <c r="T173" s="8">
        <f t="shared" si="8"/>
        <v>0.62206233822921186</v>
      </c>
      <c r="U173" s="109"/>
      <c r="V173" s="3">
        <v>250</v>
      </c>
      <c r="W173" s="3"/>
      <c r="X173" s="3"/>
      <c r="Y173" s="36"/>
      <c r="Z173" s="3"/>
      <c r="AA173" s="3"/>
      <c r="AB173" s="3"/>
      <c r="AC173" s="3"/>
      <c r="AD173" s="3"/>
      <c r="AE173" s="3"/>
    </row>
    <row r="174" spans="1:31" ht="20.25" customHeight="1">
      <c r="A174" s="71">
        <v>41542</v>
      </c>
      <c r="B174" s="64" t="s">
        <v>157</v>
      </c>
      <c r="C174" s="168">
        <v>2013</v>
      </c>
      <c r="D174" s="51">
        <v>2</v>
      </c>
      <c r="E174" s="51" t="s">
        <v>223</v>
      </c>
      <c r="F174" s="51" t="s">
        <v>224</v>
      </c>
      <c r="G174" s="51" t="s">
        <v>225</v>
      </c>
      <c r="H174" s="51" t="s">
        <v>226</v>
      </c>
      <c r="I174" s="51" t="s">
        <v>227</v>
      </c>
      <c r="J174" s="3" t="s">
        <v>228</v>
      </c>
      <c r="K174" s="3"/>
      <c r="L174" s="3">
        <v>71</v>
      </c>
      <c r="M174" s="3" t="s">
        <v>229</v>
      </c>
      <c r="N174" s="3" t="s">
        <v>228</v>
      </c>
      <c r="O174" s="3">
        <v>110</v>
      </c>
      <c r="P174" s="3">
        <f t="shared" si="6"/>
        <v>64.545454545454547</v>
      </c>
      <c r="Q174" s="36">
        <v>2574.1365030476363</v>
      </c>
      <c r="R174" s="8">
        <f t="shared" si="7"/>
        <v>1661.4881065125653</v>
      </c>
      <c r="S174" s="36">
        <v>2597.5342227288902</v>
      </c>
      <c r="T174" s="8">
        <f t="shared" si="8"/>
        <v>63.964050674452963</v>
      </c>
      <c r="U174" s="109"/>
      <c r="V174" s="3">
        <v>250</v>
      </c>
      <c r="W174" s="3"/>
      <c r="X174" s="3"/>
      <c r="Y174" s="36"/>
      <c r="Z174" s="3"/>
      <c r="AA174" s="3"/>
      <c r="AB174" s="3"/>
      <c r="AC174" s="3"/>
      <c r="AD174" s="3"/>
      <c r="AE174" s="3"/>
    </row>
    <row r="175" spans="1:31" ht="20.25" customHeight="1">
      <c r="A175" s="72">
        <v>41542</v>
      </c>
      <c r="B175" s="64" t="s">
        <v>157</v>
      </c>
      <c r="C175" s="168">
        <v>2013</v>
      </c>
      <c r="D175" s="65">
        <v>2</v>
      </c>
      <c r="E175" s="36" t="s">
        <v>209</v>
      </c>
      <c r="F175" s="36" t="s">
        <v>210</v>
      </c>
      <c r="G175" s="36"/>
      <c r="H175" s="36" t="s">
        <v>211</v>
      </c>
      <c r="I175" s="36" t="s">
        <v>212</v>
      </c>
      <c r="J175" s="36" t="s">
        <v>213</v>
      </c>
      <c r="K175" s="36" t="s">
        <v>214</v>
      </c>
      <c r="L175" s="36">
        <v>1</v>
      </c>
      <c r="M175" s="36" t="s">
        <v>247</v>
      </c>
      <c r="N175" s="36" t="s">
        <v>215</v>
      </c>
      <c r="O175" s="36">
        <v>244</v>
      </c>
      <c r="P175" s="36">
        <f t="shared" si="6"/>
        <v>0.4098360655737705</v>
      </c>
      <c r="Q175" s="36">
        <v>23.397719681254372</v>
      </c>
      <c r="R175" s="40">
        <f t="shared" si="7"/>
        <v>9.5892293775632673E-2</v>
      </c>
      <c r="S175" s="36">
        <v>2597.5342227288907</v>
      </c>
      <c r="T175" s="40">
        <f t="shared" si="8"/>
        <v>3.6916662324044816E-3</v>
      </c>
      <c r="U175" s="110">
        <v>0</v>
      </c>
      <c r="V175" s="36">
        <v>1000</v>
      </c>
      <c r="W175" s="36"/>
      <c r="X175" s="36"/>
      <c r="Y175" s="36"/>
      <c r="Z175" s="3"/>
      <c r="AA175" s="3"/>
      <c r="AB175" s="3"/>
      <c r="AC175" s="3"/>
      <c r="AD175" s="3"/>
      <c r="AE175" s="3"/>
    </row>
    <row r="176" spans="1:31" ht="20.25" customHeight="1">
      <c r="A176" s="71">
        <v>41542</v>
      </c>
      <c r="B176" s="64" t="s">
        <v>157</v>
      </c>
      <c r="C176" s="168">
        <v>2013</v>
      </c>
      <c r="D176" s="51">
        <v>2</v>
      </c>
      <c r="E176" s="3" t="s">
        <v>223</v>
      </c>
      <c r="F176" s="3" t="s">
        <v>303</v>
      </c>
      <c r="G176" s="3" t="s">
        <v>304</v>
      </c>
      <c r="H176" s="3" t="s">
        <v>305</v>
      </c>
      <c r="I176" s="3" t="s">
        <v>306</v>
      </c>
      <c r="J176" s="3" t="s">
        <v>307</v>
      </c>
      <c r="K176" s="3"/>
      <c r="L176" s="3">
        <v>1</v>
      </c>
      <c r="M176" s="3" t="s">
        <v>229</v>
      </c>
      <c r="N176" s="3" t="s">
        <v>307</v>
      </c>
      <c r="O176" s="3">
        <v>110</v>
      </c>
      <c r="P176" s="3">
        <f t="shared" si="6"/>
        <v>0.90909090909090906</v>
      </c>
      <c r="Q176" s="36">
        <v>2574.1365030476363</v>
      </c>
      <c r="R176" s="8">
        <f t="shared" si="7"/>
        <v>23.401240936796693</v>
      </c>
      <c r="S176" s="36">
        <v>2597.5342227288902</v>
      </c>
      <c r="T176" s="8">
        <f t="shared" si="8"/>
        <v>0.90090212217539389</v>
      </c>
      <c r="U176" s="109"/>
      <c r="V176" s="3">
        <v>250</v>
      </c>
      <c r="W176" s="3"/>
      <c r="X176" s="3"/>
      <c r="Y176" s="36"/>
      <c r="Z176" s="3"/>
      <c r="AA176" s="3"/>
      <c r="AB176" s="3"/>
      <c r="AC176" s="3"/>
      <c r="AD176" s="3"/>
      <c r="AE176" s="3"/>
    </row>
    <row r="177" spans="1:31" ht="20.25" customHeight="1">
      <c r="A177" s="71">
        <v>41542</v>
      </c>
      <c r="B177" s="64" t="s">
        <v>157</v>
      </c>
      <c r="C177" s="168">
        <v>2013</v>
      </c>
      <c r="D177" s="51">
        <v>2</v>
      </c>
      <c r="E177" s="3" t="s">
        <v>295</v>
      </c>
      <c r="F177" s="3" t="s">
        <v>296</v>
      </c>
      <c r="G177" s="3"/>
      <c r="H177" s="3" t="s">
        <v>297</v>
      </c>
      <c r="I177" s="3" t="s">
        <v>298</v>
      </c>
      <c r="J177" s="3" t="s">
        <v>299</v>
      </c>
      <c r="K177" s="3"/>
      <c r="L177" s="3">
        <v>1</v>
      </c>
      <c r="M177" s="3" t="s">
        <v>229</v>
      </c>
      <c r="N177" s="3" t="s">
        <v>479</v>
      </c>
      <c r="O177" s="3">
        <v>110</v>
      </c>
      <c r="P177" s="3">
        <f t="shared" si="6"/>
        <v>0.90909090909090906</v>
      </c>
      <c r="Q177" s="36">
        <v>2574.1365030476363</v>
      </c>
      <c r="R177" s="8">
        <f t="shared" si="7"/>
        <v>23.401240936796693</v>
      </c>
      <c r="S177" s="36">
        <v>2597.5342227288902</v>
      </c>
      <c r="T177" s="8">
        <f t="shared" si="8"/>
        <v>0.90090212217539389</v>
      </c>
      <c r="U177" s="109"/>
      <c r="V177" s="3">
        <v>250</v>
      </c>
      <c r="W177" s="3" t="s">
        <v>222</v>
      </c>
      <c r="X177" s="3"/>
      <c r="Y177" s="36"/>
      <c r="Z177" s="3"/>
      <c r="AA177" s="3"/>
      <c r="AB177" s="3"/>
      <c r="AC177" s="3"/>
      <c r="AD177" s="3"/>
      <c r="AE177" s="3"/>
    </row>
    <row r="178" spans="1:31" ht="20.25" customHeight="1">
      <c r="A178" s="71">
        <v>41542</v>
      </c>
      <c r="B178" s="64" t="s">
        <v>157</v>
      </c>
      <c r="C178" s="168">
        <v>2013</v>
      </c>
      <c r="D178" s="51">
        <v>2</v>
      </c>
      <c r="E178" s="3" t="s">
        <v>223</v>
      </c>
      <c r="F178" s="3" t="s">
        <v>310</v>
      </c>
      <c r="G178" s="3" t="s">
        <v>314</v>
      </c>
      <c r="H178" s="3" t="s">
        <v>311</v>
      </c>
      <c r="I178" s="3" t="s">
        <v>315</v>
      </c>
      <c r="J178" s="3" t="s">
        <v>347</v>
      </c>
      <c r="K178" s="3" t="s">
        <v>348</v>
      </c>
      <c r="L178" s="3">
        <v>1</v>
      </c>
      <c r="M178" s="3" t="s">
        <v>247</v>
      </c>
      <c r="N178" s="3" t="s">
        <v>345</v>
      </c>
      <c r="O178" s="3">
        <v>110</v>
      </c>
      <c r="P178" s="3">
        <f t="shared" si="6"/>
        <v>0.90909090909090906</v>
      </c>
      <c r="Q178" s="65">
        <v>2574.1365030476363</v>
      </c>
      <c r="R178" s="8">
        <f t="shared" si="7"/>
        <v>23.401240936796693</v>
      </c>
      <c r="S178" s="36">
        <v>2597.5342227288902</v>
      </c>
      <c r="T178" s="8">
        <f t="shared" si="8"/>
        <v>0.90090212217539389</v>
      </c>
      <c r="U178" s="109"/>
      <c r="V178" s="3">
        <v>250</v>
      </c>
      <c r="W178" s="3"/>
      <c r="X178" s="3"/>
      <c r="Y178" s="36"/>
      <c r="Z178" s="3"/>
      <c r="AA178" s="3"/>
      <c r="AB178" s="3"/>
      <c r="AC178" s="3"/>
      <c r="AD178" s="3"/>
      <c r="AE178" s="3"/>
    </row>
    <row r="179" spans="1:31" ht="20.25" customHeight="1">
      <c r="A179" s="71">
        <v>41542</v>
      </c>
      <c r="B179" s="64" t="s">
        <v>157</v>
      </c>
      <c r="C179" s="168">
        <v>2013</v>
      </c>
      <c r="D179" s="51">
        <v>2</v>
      </c>
      <c r="E179" s="3" t="s">
        <v>223</v>
      </c>
      <c r="F179" s="3" t="s">
        <v>224</v>
      </c>
      <c r="G179" s="3" t="s">
        <v>225</v>
      </c>
      <c r="H179" s="3" t="s">
        <v>226</v>
      </c>
      <c r="I179" s="3" t="s">
        <v>239</v>
      </c>
      <c r="J179" s="3" t="s">
        <v>240</v>
      </c>
      <c r="K179" s="3"/>
      <c r="L179" s="3">
        <v>18</v>
      </c>
      <c r="M179" s="3" t="s">
        <v>229</v>
      </c>
      <c r="N179" s="3" t="s">
        <v>240</v>
      </c>
      <c r="O179" s="3">
        <v>110</v>
      </c>
      <c r="P179" s="3">
        <f t="shared" si="6"/>
        <v>16.363636363636363</v>
      </c>
      <c r="Q179" s="36">
        <v>2574.1365030476363</v>
      </c>
      <c r="R179" s="8">
        <f t="shared" si="7"/>
        <v>421.22233686234051</v>
      </c>
      <c r="S179" s="36">
        <v>2597.5342227288902</v>
      </c>
      <c r="T179" s="8">
        <f t="shared" si="8"/>
        <v>16.21623819915709</v>
      </c>
      <c r="U179" s="109"/>
      <c r="V179" s="3">
        <v>250</v>
      </c>
      <c r="W179" s="3"/>
      <c r="X179" s="3"/>
      <c r="Y179" s="36"/>
      <c r="Z179" s="3"/>
      <c r="AA179" s="3"/>
      <c r="AB179" s="3"/>
      <c r="AC179" s="3"/>
      <c r="AD179" s="3"/>
      <c r="AE179" s="3"/>
    </row>
    <row r="180" spans="1:31" ht="20.25" customHeight="1">
      <c r="A180" s="13">
        <v>41542</v>
      </c>
      <c r="B180" s="64" t="s">
        <v>157</v>
      </c>
      <c r="C180" s="168">
        <v>2013</v>
      </c>
      <c r="D180" s="51">
        <v>2</v>
      </c>
      <c r="E180" s="3" t="s">
        <v>223</v>
      </c>
      <c r="F180" s="3" t="s">
        <v>224</v>
      </c>
      <c r="G180" s="3" t="s">
        <v>225</v>
      </c>
      <c r="H180" s="3" t="s">
        <v>243</v>
      </c>
      <c r="I180" s="3" t="s">
        <v>244</v>
      </c>
      <c r="J180" s="3" t="s">
        <v>245</v>
      </c>
      <c r="K180" s="3" t="s">
        <v>246</v>
      </c>
      <c r="L180" s="3">
        <v>2</v>
      </c>
      <c r="M180" s="3" t="s">
        <v>247</v>
      </c>
      <c r="N180" s="3" t="s">
        <v>673</v>
      </c>
      <c r="O180" s="3">
        <v>110</v>
      </c>
      <c r="P180" s="3">
        <f t="shared" si="6"/>
        <v>1.8181818181818181</v>
      </c>
      <c r="Q180" s="36">
        <v>2574.1365030476363</v>
      </c>
      <c r="R180" s="8">
        <f t="shared" si="7"/>
        <v>46.802481873593386</v>
      </c>
      <c r="S180" s="65">
        <v>2597.5342227288902</v>
      </c>
      <c r="T180" s="8">
        <f t="shared" si="8"/>
        <v>1.8018042443507878</v>
      </c>
      <c r="U180" s="109"/>
      <c r="V180" s="3">
        <v>250</v>
      </c>
      <c r="W180" s="3"/>
      <c r="X180" s="3"/>
      <c r="Y180" s="36"/>
      <c r="Z180" s="3"/>
      <c r="AA180" s="3"/>
      <c r="AB180" s="3"/>
      <c r="AC180" s="3"/>
      <c r="AD180" s="3"/>
      <c r="AE180" s="3"/>
    </row>
    <row r="181" spans="1:31" ht="20.25" customHeight="1">
      <c r="A181" s="35">
        <v>41542</v>
      </c>
      <c r="B181" s="64" t="s">
        <v>157</v>
      </c>
      <c r="C181" s="168">
        <v>2013</v>
      </c>
      <c r="D181" s="65">
        <v>2</v>
      </c>
      <c r="E181" s="36" t="s">
        <v>223</v>
      </c>
      <c r="F181" s="36" t="s">
        <v>267</v>
      </c>
      <c r="G181" s="36" t="s">
        <v>278</v>
      </c>
      <c r="H181" s="36" t="s">
        <v>279</v>
      </c>
      <c r="I181" s="36" t="s">
        <v>280</v>
      </c>
      <c r="J181" s="36" t="s">
        <v>284</v>
      </c>
      <c r="K181" s="36" t="s">
        <v>285</v>
      </c>
      <c r="L181" s="36">
        <v>243</v>
      </c>
      <c r="M181" s="36" t="s">
        <v>247</v>
      </c>
      <c r="N181" s="36" t="s">
        <v>283</v>
      </c>
      <c r="O181" s="36">
        <v>244</v>
      </c>
      <c r="P181" s="36">
        <f t="shared" si="6"/>
        <v>99.590163934426229</v>
      </c>
      <c r="Q181" s="36">
        <v>23.397719681254372</v>
      </c>
      <c r="R181" s="40">
        <f t="shared" si="7"/>
        <v>23.301827387478742</v>
      </c>
      <c r="S181" s="36">
        <v>2597.5342227288907</v>
      </c>
      <c r="T181" s="40">
        <f t="shared" si="8"/>
        <v>0.89707489447428901</v>
      </c>
      <c r="U181" s="110"/>
      <c r="V181" s="36">
        <v>1000</v>
      </c>
      <c r="W181" s="36"/>
      <c r="X181" s="36"/>
      <c r="Y181" s="36"/>
      <c r="Z181" s="3"/>
      <c r="AA181" s="3"/>
      <c r="AB181" s="3"/>
      <c r="AC181" s="3"/>
      <c r="AD181" s="3"/>
      <c r="AE181" s="3"/>
    </row>
    <row r="182" spans="1:31" s="38" customFormat="1" ht="20.25" customHeight="1">
      <c r="A182" s="13">
        <v>41542</v>
      </c>
      <c r="B182" s="64" t="s">
        <v>157</v>
      </c>
      <c r="C182" s="168">
        <v>2013</v>
      </c>
      <c r="D182" s="51">
        <v>2</v>
      </c>
      <c r="E182" s="3" t="s">
        <v>223</v>
      </c>
      <c r="F182" s="3" t="s">
        <v>224</v>
      </c>
      <c r="G182" s="3" t="s">
        <v>225</v>
      </c>
      <c r="H182" s="3" t="s">
        <v>248</v>
      </c>
      <c r="I182" s="3" t="s">
        <v>249</v>
      </c>
      <c r="J182" s="3" t="s">
        <v>250</v>
      </c>
      <c r="K182" s="3" t="s">
        <v>251</v>
      </c>
      <c r="L182" s="3">
        <v>5</v>
      </c>
      <c r="M182" s="3" t="s">
        <v>247</v>
      </c>
      <c r="N182" s="3" t="s">
        <v>250</v>
      </c>
      <c r="O182" s="3">
        <v>110</v>
      </c>
      <c r="P182" s="3">
        <f t="shared" si="6"/>
        <v>4.5454545454545459</v>
      </c>
      <c r="Q182" s="36">
        <v>2574.1365030476363</v>
      </c>
      <c r="R182" s="8">
        <f t="shared" si="7"/>
        <v>117.00620468398347</v>
      </c>
      <c r="S182" s="36">
        <v>2597.5342227288902</v>
      </c>
      <c r="T182" s="8">
        <f t="shared" si="8"/>
        <v>4.5045106108769692</v>
      </c>
      <c r="U182" s="109"/>
      <c r="V182" s="3">
        <v>250</v>
      </c>
      <c r="W182" s="3"/>
      <c r="X182" s="3"/>
      <c r="Y182" s="36"/>
      <c r="Z182" s="36"/>
      <c r="AA182" s="36"/>
      <c r="AB182" s="36"/>
      <c r="AC182" s="36"/>
      <c r="AD182" s="36"/>
      <c r="AE182" s="36"/>
    </row>
    <row r="183" spans="1:31" ht="20.25" customHeight="1">
      <c r="A183" s="13">
        <v>41542</v>
      </c>
      <c r="B183" s="64" t="s">
        <v>157</v>
      </c>
      <c r="C183" s="168">
        <v>2013</v>
      </c>
      <c r="D183" s="51">
        <v>2</v>
      </c>
      <c r="E183" s="51" t="s">
        <v>223</v>
      </c>
      <c r="F183" s="51" t="s">
        <v>224</v>
      </c>
      <c r="G183" s="51" t="s">
        <v>225</v>
      </c>
      <c r="H183" s="51" t="s">
        <v>226</v>
      </c>
      <c r="I183" s="51" t="s">
        <v>355</v>
      </c>
      <c r="J183" s="3" t="s">
        <v>356</v>
      </c>
      <c r="K183" s="3"/>
      <c r="L183" s="3">
        <v>1</v>
      </c>
      <c r="M183" s="3"/>
      <c r="N183" s="3" t="s">
        <v>356</v>
      </c>
      <c r="O183" s="3">
        <v>110</v>
      </c>
      <c r="P183" s="3">
        <f t="shared" si="6"/>
        <v>0.90909090909090906</v>
      </c>
      <c r="Q183" s="36">
        <v>2574.1365030476363</v>
      </c>
      <c r="R183" s="8">
        <f t="shared" si="7"/>
        <v>23.401240936796693</v>
      </c>
      <c r="S183" s="36">
        <v>2597.5342227288902</v>
      </c>
      <c r="T183" s="8">
        <f t="shared" si="8"/>
        <v>0.90090212217539389</v>
      </c>
      <c r="U183" s="109"/>
      <c r="V183" s="3">
        <v>250</v>
      </c>
      <c r="W183" s="3"/>
      <c r="X183" s="3"/>
      <c r="Y183" s="36"/>
      <c r="Z183" s="3"/>
      <c r="AA183" s="3"/>
      <c r="AB183" s="3"/>
      <c r="AC183" s="3"/>
      <c r="AD183" s="3"/>
      <c r="AE183" s="3"/>
    </row>
    <row r="184" spans="1:31" s="42" customFormat="1" ht="20.25" customHeight="1">
      <c r="A184" s="71">
        <v>41542</v>
      </c>
      <c r="B184" s="64" t="s">
        <v>157</v>
      </c>
      <c r="C184" s="168">
        <v>2013</v>
      </c>
      <c r="D184" s="51">
        <v>2</v>
      </c>
      <c r="E184" s="51" t="s">
        <v>223</v>
      </c>
      <c r="F184" s="51" t="s">
        <v>224</v>
      </c>
      <c r="G184" s="51" t="s">
        <v>225</v>
      </c>
      <c r="H184" s="51" t="s">
        <v>226</v>
      </c>
      <c r="I184" s="51" t="s">
        <v>239</v>
      </c>
      <c r="J184" s="51" t="s">
        <v>258</v>
      </c>
      <c r="K184" s="51" t="s">
        <v>259</v>
      </c>
      <c r="L184" s="51">
        <v>10</v>
      </c>
      <c r="M184" s="51" t="s">
        <v>247</v>
      </c>
      <c r="N184" s="51" t="s">
        <v>260</v>
      </c>
      <c r="O184" s="3">
        <v>110</v>
      </c>
      <c r="P184" s="3">
        <f t="shared" si="6"/>
        <v>9.0909090909090917</v>
      </c>
      <c r="Q184" s="36">
        <v>2574.1365030476363</v>
      </c>
      <c r="R184" s="8">
        <f t="shared" si="7"/>
        <v>234.01240936796694</v>
      </c>
      <c r="S184" s="36">
        <v>2597.5342227288902</v>
      </c>
      <c r="T184" s="8">
        <f t="shared" si="8"/>
        <v>9.0090212217539385</v>
      </c>
      <c r="U184" s="109"/>
      <c r="V184" s="3">
        <v>250</v>
      </c>
      <c r="W184" s="3"/>
      <c r="X184" s="3"/>
      <c r="Y184" s="36"/>
      <c r="Z184" s="41"/>
      <c r="AA184" s="41"/>
      <c r="AB184" s="41"/>
      <c r="AC184" s="41"/>
      <c r="AD184" s="41"/>
      <c r="AE184" s="41"/>
    </row>
    <row r="185" spans="1:31" s="33" customFormat="1" ht="20.25" customHeight="1">
      <c r="A185" s="13">
        <v>41761</v>
      </c>
      <c r="B185" s="35" t="s">
        <v>144</v>
      </c>
      <c r="C185" s="164">
        <v>2014</v>
      </c>
      <c r="D185" s="65">
        <v>8</v>
      </c>
      <c r="E185" s="3" t="s">
        <v>223</v>
      </c>
      <c r="F185" s="3" t="s">
        <v>224</v>
      </c>
      <c r="G185" s="3" t="s">
        <v>225</v>
      </c>
      <c r="H185" s="3" t="s">
        <v>226</v>
      </c>
      <c r="I185" s="51" t="s">
        <v>227</v>
      </c>
      <c r="J185" s="51" t="s">
        <v>228</v>
      </c>
      <c r="K185" s="3"/>
      <c r="L185" s="3">
        <v>8</v>
      </c>
      <c r="M185" s="3" t="s">
        <v>229</v>
      </c>
      <c r="N185" s="3" t="s">
        <v>228</v>
      </c>
      <c r="O185" s="3">
        <v>129</v>
      </c>
      <c r="P185" s="3">
        <f t="shared" si="6"/>
        <v>6.2015503875968996</v>
      </c>
      <c r="Q185" s="36">
        <v>2653.4954407294836</v>
      </c>
      <c r="R185" s="8">
        <f t="shared" si="7"/>
        <v>164.55785678942536</v>
      </c>
      <c r="S185" s="65">
        <v>2660.4473123872399</v>
      </c>
      <c r="T185" s="60">
        <f t="shared" si="8"/>
        <v>6.1853454501140384</v>
      </c>
      <c r="U185" s="111"/>
      <c r="V185" s="51">
        <v>250</v>
      </c>
      <c r="W185" s="51"/>
      <c r="X185" s="51"/>
      <c r="Y185" s="65"/>
      <c r="Z185" s="32"/>
      <c r="AA185" s="32"/>
      <c r="AB185" s="32"/>
      <c r="AC185" s="32"/>
      <c r="AD185" s="32"/>
      <c r="AE185" s="32"/>
    </row>
    <row r="186" spans="1:31" ht="20.25" customHeight="1">
      <c r="A186" s="35">
        <v>41761</v>
      </c>
      <c r="B186" s="72" t="s">
        <v>144</v>
      </c>
      <c r="C186" s="164">
        <v>2014</v>
      </c>
      <c r="D186" s="65">
        <v>8</v>
      </c>
      <c r="E186" s="36" t="s">
        <v>209</v>
      </c>
      <c r="F186" s="36" t="s">
        <v>210</v>
      </c>
      <c r="G186" s="36"/>
      <c r="H186" s="36" t="s">
        <v>211</v>
      </c>
      <c r="I186" s="36" t="s">
        <v>212</v>
      </c>
      <c r="J186" s="36" t="s">
        <v>213</v>
      </c>
      <c r="K186" s="36" t="s">
        <v>214</v>
      </c>
      <c r="L186" s="65">
        <v>11</v>
      </c>
      <c r="M186" s="65" t="s">
        <v>247</v>
      </c>
      <c r="N186" s="65" t="s">
        <v>215</v>
      </c>
      <c r="O186" s="36">
        <v>91</v>
      </c>
      <c r="P186" s="36">
        <f t="shared" si="6"/>
        <v>12.087912087912088</v>
      </c>
      <c r="Q186" s="36">
        <v>6.9518716577540109</v>
      </c>
      <c r="R186" s="40">
        <f t="shared" si="7"/>
        <v>0.84033613445378152</v>
      </c>
      <c r="S186" s="65">
        <v>2660.4473123872376</v>
      </c>
      <c r="T186" s="40">
        <f t="shared" si="8"/>
        <v>3.158627237386416E-2</v>
      </c>
      <c r="U186" s="110">
        <v>0</v>
      </c>
      <c r="V186" s="65">
        <v>1000</v>
      </c>
      <c r="W186" s="65" t="s">
        <v>547</v>
      </c>
      <c r="X186" s="65"/>
      <c r="Y186" s="65"/>
      <c r="Z186" s="3"/>
      <c r="AA186" s="3"/>
      <c r="AB186" s="3"/>
      <c r="AC186" s="3"/>
      <c r="AD186" s="3"/>
      <c r="AE186" s="3"/>
    </row>
    <row r="187" spans="1:31" s="70" customFormat="1" ht="20.25" customHeight="1">
      <c r="A187" s="13">
        <v>41761</v>
      </c>
      <c r="B187" s="72" t="s">
        <v>144</v>
      </c>
      <c r="C187" s="164">
        <v>2014</v>
      </c>
      <c r="D187" s="65">
        <v>8</v>
      </c>
      <c r="E187" s="51" t="s">
        <v>223</v>
      </c>
      <c r="F187" s="51" t="s">
        <v>303</v>
      </c>
      <c r="G187" s="51" t="s">
        <v>304</v>
      </c>
      <c r="H187" s="51" t="s">
        <v>305</v>
      </c>
      <c r="I187" s="51" t="s">
        <v>306</v>
      </c>
      <c r="J187" s="3" t="s">
        <v>307</v>
      </c>
      <c r="K187" s="3"/>
      <c r="L187" s="3">
        <v>11</v>
      </c>
      <c r="M187" s="3" t="s">
        <v>229</v>
      </c>
      <c r="N187" s="3" t="s">
        <v>307</v>
      </c>
      <c r="O187" s="3">
        <v>129</v>
      </c>
      <c r="P187" s="3">
        <f t="shared" si="6"/>
        <v>8.5271317829457356</v>
      </c>
      <c r="Q187" s="36">
        <v>2653.4954407294836</v>
      </c>
      <c r="R187" s="8">
        <f t="shared" si="7"/>
        <v>226.26705308545979</v>
      </c>
      <c r="S187" s="65">
        <v>2660.4473123872399</v>
      </c>
      <c r="T187" s="60">
        <f t="shared" si="8"/>
        <v>8.5048499939068005</v>
      </c>
      <c r="U187" s="111"/>
      <c r="V187" s="51">
        <v>250</v>
      </c>
      <c r="W187" s="65" t="s">
        <v>308</v>
      </c>
      <c r="X187" s="51"/>
      <c r="Y187" s="65"/>
      <c r="Z187" s="67"/>
      <c r="AA187" s="67"/>
      <c r="AB187" s="67"/>
      <c r="AC187" s="67"/>
      <c r="AD187" s="67"/>
      <c r="AE187" s="67"/>
    </row>
    <row r="188" spans="1:31" ht="20.25" customHeight="1">
      <c r="A188" s="13">
        <v>41761</v>
      </c>
      <c r="B188" s="35" t="s">
        <v>144</v>
      </c>
      <c r="C188" s="164">
        <v>2014</v>
      </c>
      <c r="D188" s="65">
        <v>8</v>
      </c>
      <c r="E188" s="3" t="s">
        <v>223</v>
      </c>
      <c r="F188" s="3" t="s">
        <v>303</v>
      </c>
      <c r="G188" s="3" t="s">
        <v>304</v>
      </c>
      <c r="H188" s="3" t="s">
        <v>305</v>
      </c>
      <c r="I188" s="3" t="s">
        <v>306</v>
      </c>
      <c r="J188" s="3" t="s">
        <v>307</v>
      </c>
      <c r="K188" s="3"/>
      <c r="L188" s="3">
        <v>6</v>
      </c>
      <c r="M188" s="3" t="s">
        <v>229</v>
      </c>
      <c r="N188" s="3" t="s">
        <v>307</v>
      </c>
      <c r="O188" s="3">
        <v>129</v>
      </c>
      <c r="P188" s="3">
        <f t="shared" si="6"/>
        <v>4.6511627906976747</v>
      </c>
      <c r="Q188" s="36">
        <v>2653.4954407294836</v>
      </c>
      <c r="R188" s="8">
        <f t="shared" si="7"/>
        <v>123.418392592069</v>
      </c>
      <c r="S188" s="65">
        <v>2660.4473123872399</v>
      </c>
      <c r="T188" s="60">
        <f t="shared" si="8"/>
        <v>4.6390090875855279</v>
      </c>
      <c r="U188" s="111"/>
      <c r="V188" s="65">
        <v>250</v>
      </c>
      <c r="W188" s="65" t="s">
        <v>620</v>
      </c>
      <c r="X188" s="51"/>
      <c r="Y188" s="65"/>
      <c r="Z188" s="3"/>
      <c r="AA188" s="3"/>
      <c r="AB188" s="3"/>
      <c r="AC188" s="3"/>
      <c r="AD188" s="3"/>
      <c r="AE188" s="3"/>
    </row>
    <row r="189" spans="1:31" ht="20.25" customHeight="1">
      <c r="A189" s="35">
        <v>41761</v>
      </c>
      <c r="B189" s="72" t="s">
        <v>144</v>
      </c>
      <c r="C189" s="164">
        <v>2014</v>
      </c>
      <c r="D189" s="65">
        <v>8</v>
      </c>
      <c r="E189" s="36" t="s">
        <v>223</v>
      </c>
      <c r="F189" s="36" t="s">
        <v>267</v>
      </c>
      <c r="G189" s="36"/>
      <c r="H189" s="36" t="s">
        <v>273</v>
      </c>
      <c r="I189" s="36" t="s">
        <v>274</v>
      </c>
      <c r="J189" s="36" t="s">
        <v>275</v>
      </c>
      <c r="K189" s="36" t="s">
        <v>276</v>
      </c>
      <c r="L189" s="36">
        <v>2</v>
      </c>
      <c r="M189" s="36" t="s">
        <v>247</v>
      </c>
      <c r="N189" s="36" t="s">
        <v>275</v>
      </c>
      <c r="O189" s="36">
        <v>91</v>
      </c>
      <c r="P189" s="36">
        <f t="shared" si="6"/>
        <v>2.197802197802198</v>
      </c>
      <c r="Q189" s="65">
        <v>6.9518716577540109</v>
      </c>
      <c r="R189" s="40">
        <f t="shared" si="7"/>
        <v>0.15278838808250575</v>
      </c>
      <c r="S189" s="65">
        <v>2660.4473123872376</v>
      </c>
      <c r="T189" s="40">
        <f t="shared" si="8"/>
        <v>5.7429586134298471E-3</v>
      </c>
      <c r="U189" s="110"/>
      <c r="V189" s="65">
        <v>1000</v>
      </c>
      <c r="W189" s="65" t="s">
        <v>549</v>
      </c>
      <c r="X189" s="65"/>
      <c r="Y189" s="65"/>
      <c r="Z189" s="3"/>
      <c r="AA189" s="3"/>
      <c r="AB189" s="3"/>
      <c r="AC189" s="3"/>
      <c r="AD189" s="3"/>
      <c r="AE189" s="3"/>
    </row>
    <row r="190" spans="1:31" ht="20.25" customHeight="1">
      <c r="A190" s="13">
        <v>41761</v>
      </c>
      <c r="B190" s="72" t="s">
        <v>144</v>
      </c>
      <c r="C190" s="168">
        <v>2014</v>
      </c>
      <c r="D190" s="65">
        <v>8</v>
      </c>
      <c r="E190" s="65" t="s">
        <v>223</v>
      </c>
      <c r="F190" s="65" t="s">
        <v>224</v>
      </c>
      <c r="G190" s="65" t="s">
        <v>225</v>
      </c>
      <c r="H190" s="65" t="s">
        <v>226</v>
      </c>
      <c r="I190" s="65" t="s">
        <v>239</v>
      </c>
      <c r="J190" s="65" t="s">
        <v>240</v>
      </c>
      <c r="K190" s="51"/>
      <c r="L190" s="51">
        <v>12</v>
      </c>
      <c r="M190" s="51" t="s">
        <v>229</v>
      </c>
      <c r="N190" s="51" t="s">
        <v>240</v>
      </c>
      <c r="O190" s="3">
        <v>129</v>
      </c>
      <c r="P190" s="3">
        <f t="shared" si="6"/>
        <v>9.3023255813953494</v>
      </c>
      <c r="Q190" s="36">
        <v>2653.4954407294836</v>
      </c>
      <c r="R190" s="8">
        <f t="shared" si="7"/>
        <v>246.83678518413799</v>
      </c>
      <c r="S190" s="65">
        <v>2660.4473123872399</v>
      </c>
      <c r="T190" s="60">
        <f t="shared" si="8"/>
        <v>9.2780181751710558</v>
      </c>
      <c r="U190" s="111"/>
      <c r="V190" s="65">
        <v>250</v>
      </c>
      <c r="W190" s="51"/>
      <c r="X190" s="51"/>
      <c r="Y190" s="65"/>
      <c r="Z190" s="3"/>
      <c r="AA190" s="3"/>
      <c r="AB190" s="3"/>
      <c r="AC190" s="3"/>
      <c r="AD190" s="3"/>
      <c r="AE190" s="3"/>
    </row>
    <row r="191" spans="1:31" ht="20.25" customHeight="1">
      <c r="A191" s="35">
        <v>41761</v>
      </c>
      <c r="B191" s="72" t="s">
        <v>144</v>
      </c>
      <c r="C191" s="168">
        <v>2014</v>
      </c>
      <c r="D191" s="65">
        <v>8</v>
      </c>
      <c r="E191" s="36" t="s">
        <v>323</v>
      </c>
      <c r="F191" s="36" t="s">
        <v>324</v>
      </c>
      <c r="G191" s="36"/>
      <c r="H191" s="36" t="s">
        <v>325</v>
      </c>
      <c r="I191" s="65" t="s">
        <v>326</v>
      </c>
      <c r="J191" s="65" t="s">
        <v>327</v>
      </c>
      <c r="K191" s="36"/>
      <c r="L191" s="36">
        <v>9</v>
      </c>
      <c r="M191" s="36" t="s">
        <v>229</v>
      </c>
      <c r="N191" s="36" t="s">
        <v>327</v>
      </c>
      <c r="O191" s="36">
        <v>91</v>
      </c>
      <c r="P191" s="36">
        <f t="shared" si="6"/>
        <v>9.8901098901098905</v>
      </c>
      <c r="Q191" s="36">
        <v>6.9518716577540109</v>
      </c>
      <c r="R191" s="40">
        <f t="shared" si="7"/>
        <v>0.68754774637127591</v>
      </c>
      <c r="S191" s="65">
        <v>2660.4473123872399</v>
      </c>
      <c r="T191" s="40">
        <f t="shared" si="8"/>
        <v>2.5843313760434292E-2</v>
      </c>
      <c r="U191" s="110"/>
      <c r="V191" s="65">
        <v>1000</v>
      </c>
      <c r="W191" s="65" t="s">
        <v>548</v>
      </c>
      <c r="X191" s="65"/>
      <c r="Y191" s="65"/>
      <c r="Z191" s="3"/>
      <c r="AA191" s="3"/>
      <c r="AB191" s="3"/>
      <c r="AC191" s="3"/>
      <c r="AD191" s="3"/>
      <c r="AE191" s="3"/>
    </row>
    <row r="192" spans="1:31" ht="20.25" customHeight="1">
      <c r="A192" s="35">
        <v>41761</v>
      </c>
      <c r="B192" s="72" t="s">
        <v>144</v>
      </c>
      <c r="C192" s="168">
        <v>2014</v>
      </c>
      <c r="D192" s="65">
        <v>8</v>
      </c>
      <c r="E192" s="36" t="s">
        <v>223</v>
      </c>
      <c r="F192" s="36" t="s">
        <v>267</v>
      </c>
      <c r="G192" s="36" t="s">
        <v>278</v>
      </c>
      <c r="H192" s="36" t="s">
        <v>279</v>
      </c>
      <c r="I192" s="65" t="s">
        <v>280</v>
      </c>
      <c r="J192" s="65" t="s">
        <v>284</v>
      </c>
      <c r="K192" s="36" t="s">
        <v>285</v>
      </c>
      <c r="L192" s="36">
        <v>69</v>
      </c>
      <c r="M192" s="36" t="s">
        <v>247</v>
      </c>
      <c r="N192" s="36" t="s">
        <v>283</v>
      </c>
      <c r="O192" s="36">
        <v>91</v>
      </c>
      <c r="P192" s="36">
        <f t="shared" si="6"/>
        <v>75.824175824175825</v>
      </c>
      <c r="Q192" s="36">
        <v>6.9518716577540109</v>
      </c>
      <c r="R192" s="40">
        <f t="shared" si="7"/>
        <v>5.2711993888464477</v>
      </c>
      <c r="S192" s="65">
        <v>2660.4473123872399</v>
      </c>
      <c r="T192" s="40">
        <f t="shared" si="8"/>
        <v>0.19813207216332956</v>
      </c>
      <c r="U192" s="110"/>
      <c r="V192" s="65">
        <v>1000</v>
      </c>
      <c r="W192" s="65"/>
      <c r="X192" s="65"/>
      <c r="Y192" s="65"/>
      <c r="Z192" s="3"/>
      <c r="AA192" s="3"/>
      <c r="AB192" s="3"/>
      <c r="AC192" s="3"/>
      <c r="AD192" s="3"/>
      <c r="AE192" s="3"/>
    </row>
    <row r="193" spans="1:31" ht="20.25" customHeight="1">
      <c r="A193" s="13">
        <v>41761</v>
      </c>
      <c r="B193" s="72" t="s">
        <v>144</v>
      </c>
      <c r="C193" s="168">
        <v>2014</v>
      </c>
      <c r="D193" s="65">
        <v>8</v>
      </c>
      <c r="E193" s="51" t="s">
        <v>223</v>
      </c>
      <c r="F193" s="51" t="s">
        <v>224</v>
      </c>
      <c r="G193" s="51" t="s">
        <v>225</v>
      </c>
      <c r="H193" s="51" t="s">
        <v>248</v>
      </c>
      <c r="I193" s="51" t="s">
        <v>249</v>
      </c>
      <c r="J193" s="51" t="s">
        <v>250</v>
      </c>
      <c r="K193" s="3"/>
      <c r="L193" s="3">
        <v>7</v>
      </c>
      <c r="M193" s="3" t="s">
        <v>229</v>
      </c>
      <c r="N193" s="3" t="s">
        <v>250</v>
      </c>
      <c r="O193" s="3">
        <v>129</v>
      </c>
      <c r="P193" s="3">
        <f t="shared" si="6"/>
        <v>5.4263565891472867</v>
      </c>
      <c r="Q193" s="36">
        <v>2653.4954407294836</v>
      </c>
      <c r="R193" s="8">
        <f t="shared" si="7"/>
        <v>143.98812469074716</v>
      </c>
      <c r="S193" s="65">
        <v>2660.4473123872399</v>
      </c>
      <c r="T193" s="60">
        <f t="shared" si="8"/>
        <v>5.4121772688497822</v>
      </c>
      <c r="U193" s="111"/>
      <c r="V193" s="51">
        <v>250</v>
      </c>
      <c r="W193" s="51"/>
      <c r="X193" s="51"/>
      <c r="Y193" s="65"/>
      <c r="Z193" s="3"/>
      <c r="AA193" s="3"/>
      <c r="AB193" s="3"/>
      <c r="AC193" s="3"/>
      <c r="AD193" s="3"/>
      <c r="AE193" s="3"/>
    </row>
    <row r="194" spans="1:31" ht="20.25" customHeight="1">
      <c r="A194" s="13">
        <v>41761</v>
      </c>
      <c r="B194" s="72" t="s">
        <v>144</v>
      </c>
      <c r="C194" s="168">
        <v>2014</v>
      </c>
      <c r="D194" s="65">
        <v>8</v>
      </c>
      <c r="E194" s="51" t="s">
        <v>216</v>
      </c>
      <c r="F194" s="51" t="s">
        <v>217</v>
      </c>
      <c r="G194" s="51"/>
      <c r="H194" s="51"/>
      <c r="I194" s="51"/>
      <c r="J194" s="51" t="s">
        <v>647</v>
      </c>
      <c r="K194" s="3"/>
      <c r="L194" s="3">
        <v>76</v>
      </c>
      <c r="M194" s="36" t="s">
        <v>229</v>
      </c>
      <c r="N194" s="3" t="s">
        <v>219</v>
      </c>
      <c r="O194" s="3">
        <v>129</v>
      </c>
      <c r="P194" s="3">
        <f t="shared" ref="P194:P257" si="9">L194/O194*100</f>
        <v>58.914728682170548</v>
      </c>
      <c r="Q194" s="36">
        <v>2653.4954407294836</v>
      </c>
      <c r="R194" s="8">
        <f t="shared" ref="R194:R257" si="10">(P194/100)*Q194</f>
        <v>1563.2996394995407</v>
      </c>
      <c r="S194" s="65">
        <v>2660.4473123872399</v>
      </c>
      <c r="T194" s="60">
        <f t="shared" ref="T194:T257" si="11">R194/S194*100</f>
        <v>58.760781776083363</v>
      </c>
      <c r="U194" s="111"/>
      <c r="V194" s="65">
        <v>250</v>
      </c>
      <c r="W194" s="51"/>
      <c r="X194" s="51"/>
      <c r="Y194" s="65"/>
      <c r="Z194" s="3"/>
      <c r="AA194" s="3"/>
      <c r="AB194" s="3"/>
      <c r="AC194" s="3"/>
      <c r="AD194" s="3"/>
      <c r="AE194" s="3"/>
    </row>
    <row r="195" spans="1:31" ht="20.25" customHeight="1">
      <c r="A195" s="13">
        <v>41761</v>
      </c>
      <c r="B195" s="35" t="s">
        <v>144</v>
      </c>
      <c r="C195" s="168">
        <v>2014</v>
      </c>
      <c r="D195" s="65">
        <v>8</v>
      </c>
      <c r="E195" s="65" t="s">
        <v>223</v>
      </c>
      <c r="F195" s="65" t="s">
        <v>224</v>
      </c>
      <c r="G195" s="65" t="s">
        <v>225</v>
      </c>
      <c r="H195" s="65" t="s">
        <v>226</v>
      </c>
      <c r="I195" s="65" t="s">
        <v>261</v>
      </c>
      <c r="J195" s="36" t="s">
        <v>262</v>
      </c>
      <c r="K195" s="3"/>
      <c r="L195" s="3">
        <v>9</v>
      </c>
      <c r="M195" s="3" t="s">
        <v>229</v>
      </c>
      <c r="N195" s="3" t="s">
        <v>264</v>
      </c>
      <c r="O195" s="3">
        <v>129</v>
      </c>
      <c r="P195" s="3">
        <f t="shared" si="9"/>
        <v>6.9767441860465116</v>
      </c>
      <c r="Q195" s="36">
        <v>2653.4954407294836</v>
      </c>
      <c r="R195" s="8">
        <f t="shared" si="10"/>
        <v>185.1275888881035</v>
      </c>
      <c r="S195" s="65">
        <v>2660.4473123872399</v>
      </c>
      <c r="T195" s="60">
        <f t="shared" si="11"/>
        <v>6.9585136313782918</v>
      </c>
      <c r="U195" s="111"/>
      <c r="V195" s="51">
        <v>250</v>
      </c>
      <c r="W195" s="51"/>
      <c r="X195" s="51"/>
      <c r="Y195" s="65"/>
      <c r="Z195" s="3"/>
      <c r="AA195" s="3"/>
      <c r="AB195" s="3"/>
      <c r="AC195" s="3"/>
      <c r="AD195" s="3"/>
      <c r="AE195" s="3"/>
    </row>
    <row r="196" spans="1:31" ht="20.25" customHeight="1">
      <c r="A196" s="13">
        <v>41761</v>
      </c>
      <c r="B196" s="35" t="s">
        <v>144</v>
      </c>
      <c r="C196" s="164">
        <v>2014</v>
      </c>
      <c r="D196" s="65">
        <v>5</v>
      </c>
      <c r="E196" s="51" t="s">
        <v>223</v>
      </c>
      <c r="F196" s="51" t="s">
        <v>224</v>
      </c>
      <c r="G196" s="51" t="s">
        <v>225</v>
      </c>
      <c r="H196" s="51" t="s">
        <v>226</v>
      </c>
      <c r="I196" s="51" t="s">
        <v>227</v>
      </c>
      <c r="J196" s="3" t="s">
        <v>228</v>
      </c>
      <c r="K196" s="3"/>
      <c r="L196" s="3">
        <v>10</v>
      </c>
      <c r="M196" s="3" t="s">
        <v>229</v>
      </c>
      <c r="N196" s="3" t="s">
        <v>228</v>
      </c>
      <c r="O196" s="3">
        <v>300</v>
      </c>
      <c r="P196" s="3">
        <f t="shared" si="9"/>
        <v>3.3333333333333335</v>
      </c>
      <c r="Q196" s="65">
        <v>3185.3337945347625</v>
      </c>
      <c r="R196" s="8">
        <f t="shared" si="10"/>
        <v>106.17779315115875</v>
      </c>
      <c r="S196" s="36">
        <v>3191.98008941635</v>
      </c>
      <c r="T196" s="60">
        <f t="shared" si="11"/>
        <v>3.3263927147670036</v>
      </c>
      <c r="U196" s="111"/>
      <c r="V196" s="36">
        <v>250</v>
      </c>
      <c r="W196" s="3"/>
      <c r="X196" s="3"/>
      <c r="Y196" s="36"/>
      <c r="Z196" s="3"/>
      <c r="AA196" s="3"/>
      <c r="AB196" s="3"/>
      <c r="AC196" s="3"/>
      <c r="AD196" s="3"/>
      <c r="AE196" s="3"/>
    </row>
    <row r="197" spans="1:31" ht="20.25" customHeight="1">
      <c r="A197" s="35">
        <v>41761</v>
      </c>
      <c r="B197" s="35" t="s">
        <v>144</v>
      </c>
      <c r="C197" s="164">
        <v>2014</v>
      </c>
      <c r="D197" s="65">
        <v>5</v>
      </c>
      <c r="E197" s="36" t="s">
        <v>209</v>
      </c>
      <c r="F197" s="36" t="s">
        <v>210</v>
      </c>
      <c r="G197" s="36"/>
      <c r="H197" s="36" t="s">
        <v>211</v>
      </c>
      <c r="I197" s="36" t="s">
        <v>212</v>
      </c>
      <c r="J197" s="36" t="s">
        <v>213</v>
      </c>
      <c r="K197" s="36" t="s">
        <v>214</v>
      </c>
      <c r="L197" s="36">
        <v>9</v>
      </c>
      <c r="M197" s="36" t="s">
        <v>247</v>
      </c>
      <c r="N197" s="36" t="s">
        <v>215</v>
      </c>
      <c r="O197" s="36">
        <v>87</v>
      </c>
      <c r="P197" s="36">
        <f t="shared" si="9"/>
        <v>10.344827586206897</v>
      </c>
      <c r="Q197" s="36">
        <v>6.6462948815889993</v>
      </c>
      <c r="R197" s="40">
        <f t="shared" si="10"/>
        <v>0.6875477463712758</v>
      </c>
      <c r="S197" s="36">
        <v>3191.9800894163513</v>
      </c>
      <c r="T197" s="40">
        <f t="shared" si="11"/>
        <v>2.1539850723097487E-2</v>
      </c>
      <c r="U197" s="110">
        <f>SUM(T198)</f>
        <v>4.9895890721505065</v>
      </c>
      <c r="V197" s="65">
        <v>1000</v>
      </c>
      <c r="W197" s="65" t="s">
        <v>546</v>
      </c>
      <c r="X197" s="65"/>
      <c r="Y197" s="65"/>
      <c r="Z197" s="3"/>
      <c r="AA197" s="3"/>
      <c r="AB197" s="3"/>
      <c r="AC197" s="3"/>
      <c r="AD197" s="3"/>
      <c r="AE197" s="3"/>
    </row>
    <row r="198" spans="1:31" s="38" customFormat="1" ht="20.25" customHeight="1">
      <c r="A198" s="13">
        <v>41761</v>
      </c>
      <c r="B198" s="72" t="s">
        <v>144</v>
      </c>
      <c r="C198" s="164">
        <v>2014</v>
      </c>
      <c r="D198" s="65">
        <v>5</v>
      </c>
      <c r="E198" s="3" t="s">
        <v>223</v>
      </c>
      <c r="F198" s="3" t="s">
        <v>303</v>
      </c>
      <c r="G198" s="3" t="s">
        <v>304</v>
      </c>
      <c r="H198" s="3" t="s">
        <v>305</v>
      </c>
      <c r="I198" s="3" t="s">
        <v>306</v>
      </c>
      <c r="J198" s="3" t="s">
        <v>307</v>
      </c>
      <c r="K198" s="3"/>
      <c r="L198" s="3">
        <v>15</v>
      </c>
      <c r="M198" s="3" t="s">
        <v>229</v>
      </c>
      <c r="N198" s="3" t="s">
        <v>307</v>
      </c>
      <c r="O198" s="3">
        <v>300</v>
      </c>
      <c r="P198" s="3">
        <f t="shared" si="9"/>
        <v>5</v>
      </c>
      <c r="Q198" s="65">
        <v>3185.3337945347625</v>
      </c>
      <c r="R198" s="8">
        <f t="shared" si="10"/>
        <v>159.26668972673815</v>
      </c>
      <c r="S198" s="36">
        <v>3191.98008941635</v>
      </c>
      <c r="T198" s="60">
        <f t="shared" si="11"/>
        <v>4.9895890721505065</v>
      </c>
      <c r="U198" s="111"/>
      <c r="V198" s="36">
        <v>250</v>
      </c>
      <c r="W198" s="36" t="s">
        <v>308</v>
      </c>
      <c r="X198" s="3"/>
      <c r="Y198" s="36"/>
      <c r="Z198" s="36"/>
      <c r="AA198" s="36"/>
      <c r="AB198" s="36"/>
      <c r="AC198" s="36"/>
      <c r="AD198" s="36"/>
      <c r="AE198" s="36"/>
    </row>
    <row r="199" spans="1:31" ht="20.25" customHeight="1">
      <c r="A199" s="13">
        <v>41761</v>
      </c>
      <c r="B199" s="35" t="s">
        <v>144</v>
      </c>
      <c r="C199" s="164">
        <v>2014</v>
      </c>
      <c r="D199" s="65">
        <v>5</v>
      </c>
      <c r="E199" s="3" t="s">
        <v>223</v>
      </c>
      <c r="F199" s="3" t="s">
        <v>303</v>
      </c>
      <c r="G199" s="3" t="s">
        <v>304</v>
      </c>
      <c r="H199" s="3" t="s">
        <v>305</v>
      </c>
      <c r="I199" s="3" t="s">
        <v>306</v>
      </c>
      <c r="J199" s="3" t="s">
        <v>307</v>
      </c>
      <c r="K199" s="3"/>
      <c r="L199" s="3">
        <v>2</v>
      </c>
      <c r="M199" s="3" t="s">
        <v>229</v>
      </c>
      <c r="N199" s="3" t="s">
        <v>307</v>
      </c>
      <c r="O199" s="3">
        <v>300</v>
      </c>
      <c r="P199" s="3">
        <f t="shared" si="9"/>
        <v>0.66666666666666674</v>
      </c>
      <c r="Q199" s="65">
        <v>3185.3337945347625</v>
      </c>
      <c r="R199" s="8">
        <f t="shared" si="10"/>
        <v>21.23555863023175</v>
      </c>
      <c r="S199" s="36">
        <v>3191.98008941635</v>
      </c>
      <c r="T199" s="60">
        <f t="shared" si="11"/>
        <v>0.66527854295340072</v>
      </c>
      <c r="U199" s="111"/>
      <c r="V199" s="3">
        <v>250</v>
      </c>
      <c r="W199" s="36" t="s">
        <v>620</v>
      </c>
      <c r="X199" s="3"/>
      <c r="Y199" s="36"/>
      <c r="Z199" s="3"/>
      <c r="AA199" s="3"/>
      <c r="AB199" s="3"/>
      <c r="AC199" s="3"/>
      <c r="AD199" s="3"/>
      <c r="AE199" s="3"/>
    </row>
    <row r="200" spans="1:31" ht="20.25" customHeight="1">
      <c r="A200" s="13">
        <v>41761</v>
      </c>
      <c r="B200" s="35" t="s">
        <v>144</v>
      </c>
      <c r="C200" s="164">
        <v>2014</v>
      </c>
      <c r="D200" s="65">
        <v>5</v>
      </c>
      <c r="E200" s="51" t="s">
        <v>223</v>
      </c>
      <c r="F200" s="51" t="s">
        <v>224</v>
      </c>
      <c r="G200" s="51" t="s">
        <v>225</v>
      </c>
      <c r="H200" s="51" t="s">
        <v>226</v>
      </c>
      <c r="I200" s="51" t="s">
        <v>232</v>
      </c>
      <c r="J200" s="3" t="s">
        <v>233</v>
      </c>
      <c r="K200" s="3"/>
      <c r="L200" s="3">
        <v>1</v>
      </c>
      <c r="M200" s="3" t="s">
        <v>229</v>
      </c>
      <c r="N200" s="3" t="s">
        <v>506</v>
      </c>
      <c r="O200" s="3">
        <v>300</v>
      </c>
      <c r="P200" s="3">
        <f t="shared" si="9"/>
        <v>0.33333333333333337</v>
      </c>
      <c r="Q200" s="65">
        <v>3185.3337945347625</v>
      </c>
      <c r="R200" s="8">
        <f t="shared" si="10"/>
        <v>10.617779315115875</v>
      </c>
      <c r="S200" s="36">
        <v>3191.98008941635</v>
      </c>
      <c r="T200" s="60">
        <f t="shared" si="11"/>
        <v>0.33263927147670036</v>
      </c>
      <c r="U200" s="111"/>
      <c r="V200" s="36">
        <v>250</v>
      </c>
      <c r="W200" s="3"/>
      <c r="X200" s="3"/>
      <c r="Y200" s="36"/>
      <c r="Z200" s="3"/>
      <c r="AA200" s="3"/>
      <c r="AB200" s="3"/>
      <c r="AC200" s="3"/>
      <c r="AD200" s="3"/>
      <c r="AE200" s="3"/>
    </row>
    <row r="201" spans="1:31" ht="20.25" customHeight="1">
      <c r="A201" s="13">
        <v>41761</v>
      </c>
      <c r="B201" s="35" t="s">
        <v>144</v>
      </c>
      <c r="C201" s="164">
        <v>2014</v>
      </c>
      <c r="D201" s="65">
        <v>5</v>
      </c>
      <c r="E201" s="3" t="s">
        <v>223</v>
      </c>
      <c r="F201" s="3" t="s">
        <v>224</v>
      </c>
      <c r="G201" s="3" t="s">
        <v>225</v>
      </c>
      <c r="H201" s="3" t="s">
        <v>226</v>
      </c>
      <c r="I201" s="3" t="s">
        <v>235</v>
      </c>
      <c r="J201" s="3" t="s">
        <v>236</v>
      </c>
      <c r="K201" s="3"/>
      <c r="L201" s="3">
        <v>1</v>
      </c>
      <c r="M201" s="3" t="s">
        <v>229</v>
      </c>
      <c r="N201" s="3" t="s">
        <v>236</v>
      </c>
      <c r="O201" s="3">
        <v>300</v>
      </c>
      <c r="P201" s="3">
        <f t="shared" si="9"/>
        <v>0.33333333333333337</v>
      </c>
      <c r="Q201" s="65">
        <v>3185.3337945347625</v>
      </c>
      <c r="R201" s="8">
        <f t="shared" si="10"/>
        <v>10.617779315115875</v>
      </c>
      <c r="S201" s="36">
        <v>3191.98008941635</v>
      </c>
      <c r="T201" s="60">
        <f t="shared" si="11"/>
        <v>0.33263927147670036</v>
      </c>
      <c r="U201" s="111"/>
      <c r="V201" s="3">
        <v>250</v>
      </c>
      <c r="W201" s="3"/>
      <c r="X201" s="3"/>
      <c r="Y201" s="36"/>
      <c r="Z201" s="3"/>
      <c r="AA201" s="3"/>
      <c r="AB201" s="3"/>
      <c r="AC201" s="3"/>
      <c r="AD201" s="3"/>
      <c r="AE201" s="3"/>
    </row>
    <row r="202" spans="1:31" ht="20.25" customHeight="1">
      <c r="A202" s="13">
        <v>41761</v>
      </c>
      <c r="B202" s="72" t="s">
        <v>144</v>
      </c>
      <c r="C202" s="168">
        <v>2014</v>
      </c>
      <c r="D202" s="65">
        <v>5</v>
      </c>
      <c r="E202" s="65" t="s">
        <v>223</v>
      </c>
      <c r="F202" s="65" t="s">
        <v>224</v>
      </c>
      <c r="G202" s="65" t="s">
        <v>225</v>
      </c>
      <c r="H202" s="65" t="s">
        <v>226</v>
      </c>
      <c r="I202" s="65" t="s">
        <v>239</v>
      </c>
      <c r="J202" s="36" t="s">
        <v>240</v>
      </c>
      <c r="K202" s="3"/>
      <c r="L202" s="3">
        <v>57</v>
      </c>
      <c r="M202" s="3" t="s">
        <v>229</v>
      </c>
      <c r="N202" s="3" t="s">
        <v>240</v>
      </c>
      <c r="O202" s="3">
        <v>300</v>
      </c>
      <c r="P202" s="3">
        <f t="shared" si="9"/>
        <v>19</v>
      </c>
      <c r="Q202" s="65">
        <v>3185.3337945347625</v>
      </c>
      <c r="R202" s="8">
        <f t="shared" si="10"/>
        <v>605.21342096160492</v>
      </c>
      <c r="S202" s="36">
        <v>3191.98008941635</v>
      </c>
      <c r="T202" s="60">
        <f t="shared" si="11"/>
        <v>18.960438474171923</v>
      </c>
      <c r="U202" s="111"/>
      <c r="V202" s="3">
        <v>250</v>
      </c>
      <c r="W202" s="3"/>
      <c r="X202" s="3"/>
      <c r="Y202" s="36"/>
      <c r="Z202" s="3"/>
      <c r="AA202" s="3"/>
      <c r="AB202" s="3"/>
      <c r="AC202" s="3"/>
      <c r="AD202" s="3"/>
      <c r="AE202" s="3"/>
    </row>
    <row r="203" spans="1:31" ht="20.25" customHeight="1">
      <c r="A203" s="35">
        <v>41761</v>
      </c>
      <c r="B203" s="35" t="s">
        <v>144</v>
      </c>
      <c r="C203" s="168">
        <v>2014</v>
      </c>
      <c r="D203" s="65">
        <v>5</v>
      </c>
      <c r="E203" s="65" t="s">
        <v>323</v>
      </c>
      <c r="F203" s="65" t="s">
        <v>324</v>
      </c>
      <c r="G203" s="65"/>
      <c r="H203" s="65" t="s">
        <v>325</v>
      </c>
      <c r="I203" s="65" t="s">
        <v>326</v>
      </c>
      <c r="J203" s="36" t="s">
        <v>327</v>
      </c>
      <c r="K203" s="36"/>
      <c r="L203" s="36">
        <v>2</v>
      </c>
      <c r="M203" s="36" t="s">
        <v>229</v>
      </c>
      <c r="N203" s="36" t="s">
        <v>327</v>
      </c>
      <c r="O203" s="36">
        <v>87</v>
      </c>
      <c r="P203" s="36">
        <f t="shared" si="9"/>
        <v>2.2988505747126435</v>
      </c>
      <c r="Q203" s="36">
        <v>6.6462948815889993</v>
      </c>
      <c r="R203" s="40">
        <f t="shared" si="10"/>
        <v>0.15278838808250572</v>
      </c>
      <c r="S203" s="36">
        <v>3191.9800894163513</v>
      </c>
      <c r="T203" s="40">
        <f t="shared" si="11"/>
        <v>4.7866334940216632E-3</v>
      </c>
      <c r="U203" s="110"/>
      <c r="V203" s="36">
        <v>1000</v>
      </c>
      <c r="W203" s="36"/>
      <c r="X203" s="36"/>
      <c r="Y203" s="36"/>
      <c r="Z203" s="3"/>
      <c r="AA203" s="3"/>
      <c r="AB203" s="3"/>
      <c r="AC203" s="3"/>
      <c r="AD203" s="3"/>
      <c r="AE203" s="3"/>
    </row>
    <row r="204" spans="1:31" ht="20.25" customHeight="1">
      <c r="A204" s="35">
        <v>41761</v>
      </c>
      <c r="B204" s="72" t="s">
        <v>144</v>
      </c>
      <c r="C204" s="168">
        <v>2014</v>
      </c>
      <c r="D204" s="65">
        <v>5</v>
      </c>
      <c r="E204" s="36" t="s">
        <v>223</v>
      </c>
      <c r="F204" s="36" t="s">
        <v>267</v>
      </c>
      <c r="G204" s="36" t="s">
        <v>278</v>
      </c>
      <c r="H204" s="36" t="s">
        <v>279</v>
      </c>
      <c r="I204" s="36" t="s">
        <v>280</v>
      </c>
      <c r="J204" s="36" t="s">
        <v>284</v>
      </c>
      <c r="K204" s="36" t="s">
        <v>285</v>
      </c>
      <c r="L204" s="36">
        <v>76</v>
      </c>
      <c r="M204" s="36" t="s">
        <v>247</v>
      </c>
      <c r="N204" s="36" t="s">
        <v>283</v>
      </c>
      <c r="O204" s="36">
        <v>87</v>
      </c>
      <c r="P204" s="36">
        <f t="shared" si="9"/>
        <v>87.356321839080465</v>
      </c>
      <c r="Q204" s="36">
        <v>6.6462948815889993</v>
      </c>
      <c r="R204" s="40">
        <f t="shared" si="10"/>
        <v>5.8059587471352181</v>
      </c>
      <c r="S204" s="36">
        <v>3191.98008941635</v>
      </c>
      <c r="T204" s="40">
        <f t="shared" si="11"/>
        <v>0.18189207277282332</v>
      </c>
      <c r="U204" s="110"/>
      <c r="V204" s="36">
        <v>1000</v>
      </c>
      <c r="W204" s="36"/>
      <c r="X204" s="36"/>
      <c r="Y204" s="36"/>
      <c r="Z204" s="3"/>
      <c r="AA204" s="3"/>
      <c r="AB204" s="3"/>
      <c r="AC204" s="3"/>
      <c r="AD204" s="3"/>
      <c r="AE204" s="3"/>
    </row>
    <row r="205" spans="1:31" s="38" customFormat="1" ht="20.25" customHeight="1">
      <c r="A205" s="35">
        <v>41761</v>
      </c>
      <c r="B205" s="72" t="s">
        <v>144</v>
      </c>
      <c r="C205" s="168">
        <v>2014</v>
      </c>
      <c r="D205" s="65">
        <v>5</v>
      </c>
      <c r="E205" s="36" t="s">
        <v>677</v>
      </c>
      <c r="F205" s="36"/>
      <c r="G205" s="36"/>
      <c r="H205" s="36"/>
      <c r="I205" s="36"/>
      <c r="J205" s="36"/>
      <c r="K205" s="36"/>
      <c r="L205" s="36">
        <v>1</v>
      </c>
      <c r="M205" s="36"/>
      <c r="N205" s="36" t="s">
        <v>505</v>
      </c>
      <c r="O205" s="36">
        <v>300</v>
      </c>
      <c r="P205" s="36">
        <f t="shared" si="9"/>
        <v>0.33333333333333337</v>
      </c>
      <c r="Q205" s="65">
        <v>3185.3337945347625</v>
      </c>
      <c r="R205" s="53">
        <f t="shared" si="10"/>
        <v>10.617779315115875</v>
      </c>
      <c r="S205" s="65">
        <v>3191.98008941635</v>
      </c>
      <c r="T205" s="108">
        <f t="shared" si="11"/>
        <v>0.33263927147670036</v>
      </c>
      <c r="U205" s="108"/>
      <c r="V205" s="36">
        <v>250</v>
      </c>
      <c r="W205" s="36"/>
      <c r="X205" s="36"/>
      <c r="Y205" s="36"/>
      <c r="Z205" s="36"/>
      <c r="AA205" s="36"/>
      <c r="AB205" s="36"/>
      <c r="AC205" s="36"/>
      <c r="AD205" s="36"/>
      <c r="AE205" s="36"/>
    </row>
    <row r="206" spans="1:31" ht="20.25" customHeight="1">
      <c r="A206" s="13">
        <v>41761</v>
      </c>
      <c r="B206" s="72" t="s">
        <v>144</v>
      </c>
      <c r="C206" s="168">
        <v>2014</v>
      </c>
      <c r="D206" s="65">
        <v>5</v>
      </c>
      <c r="E206" s="51" t="s">
        <v>223</v>
      </c>
      <c r="F206" s="51" t="s">
        <v>224</v>
      </c>
      <c r="G206" s="51" t="s">
        <v>225</v>
      </c>
      <c r="H206" s="51" t="s">
        <v>248</v>
      </c>
      <c r="I206" s="51" t="s">
        <v>249</v>
      </c>
      <c r="J206" s="3" t="s">
        <v>250</v>
      </c>
      <c r="K206" s="3"/>
      <c r="L206" s="3">
        <v>11</v>
      </c>
      <c r="M206" s="3" t="s">
        <v>229</v>
      </c>
      <c r="N206" s="3" t="s">
        <v>250</v>
      </c>
      <c r="O206" s="3">
        <v>300</v>
      </c>
      <c r="P206" s="3">
        <f t="shared" si="9"/>
        <v>3.6666666666666665</v>
      </c>
      <c r="Q206" s="65">
        <v>3185.3337945347625</v>
      </c>
      <c r="R206" s="8">
        <f t="shared" si="10"/>
        <v>116.79557246627462</v>
      </c>
      <c r="S206" s="36">
        <v>3191.98008941635</v>
      </c>
      <c r="T206" s="60">
        <f t="shared" si="11"/>
        <v>3.6590319862437033</v>
      </c>
      <c r="U206" s="111"/>
      <c r="V206" s="36">
        <v>250</v>
      </c>
      <c r="W206" s="3"/>
      <c r="X206" s="3"/>
      <c r="Y206" s="36"/>
      <c r="Z206" s="3"/>
      <c r="AA206" s="3"/>
      <c r="AB206" s="3"/>
      <c r="AC206" s="3"/>
      <c r="AD206" s="3"/>
      <c r="AE206" s="3"/>
    </row>
    <row r="207" spans="1:31" s="38" customFormat="1" ht="20.25" customHeight="1">
      <c r="A207" s="71">
        <v>41761</v>
      </c>
      <c r="B207" s="72" t="s">
        <v>144</v>
      </c>
      <c r="C207" s="168">
        <v>2014</v>
      </c>
      <c r="D207" s="65">
        <v>5</v>
      </c>
      <c r="E207" s="3" t="s">
        <v>216</v>
      </c>
      <c r="F207" s="3" t="s">
        <v>217</v>
      </c>
      <c r="G207" s="3"/>
      <c r="H207" s="3"/>
      <c r="I207" s="3"/>
      <c r="J207" s="3" t="s">
        <v>647</v>
      </c>
      <c r="K207" s="3"/>
      <c r="L207" s="3">
        <v>195</v>
      </c>
      <c r="M207" s="36" t="s">
        <v>229</v>
      </c>
      <c r="N207" s="3" t="s">
        <v>219</v>
      </c>
      <c r="O207" s="3">
        <v>300</v>
      </c>
      <c r="P207" s="3">
        <f t="shared" si="9"/>
        <v>65</v>
      </c>
      <c r="Q207" s="65">
        <v>3185.3337945347625</v>
      </c>
      <c r="R207" s="8">
        <f t="shared" si="10"/>
        <v>2070.466966447596</v>
      </c>
      <c r="S207" s="36">
        <v>3191.98008941635</v>
      </c>
      <c r="T207" s="60">
        <f t="shared" si="11"/>
        <v>64.864657937956579</v>
      </c>
      <c r="U207" s="111"/>
      <c r="V207" s="36">
        <v>250</v>
      </c>
      <c r="W207" s="3"/>
      <c r="X207" s="3"/>
      <c r="Y207" s="36"/>
      <c r="Z207" s="36"/>
      <c r="AA207" s="36"/>
      <c r="AB207" s="36"/>
      <c r="AC207" s="36"/>
      <c r="AD207" s="36"/>
      <c r="AE207" s="36"/>
    </row>
    <row r="208" spans="1:31" ht="20.25" customHeight="1">
      <c r="A208" s="13">
        <v>41761</v>
      </c>
      <c r="B208" s="35" t="s">
        <v>144</v>
      </c>
      <c r="C208" s="168">
        <v>2014</v>
      </c>
      <c r="D208" s="65">
        <v>5</v>
      </c>
      <c r="E208" s="36" t="s">
        <v>223</v>
      </c>
      <c r="F208" s="36" t="s">
        <v>224</v>
      </c>
      <c r="G208" s="36" t="s">
        <v>225</v>
      </c>
      <c r="H208" s="36" t="s">
        <v>226</v>
      </c>
      <c r="I208" s="36" t="s">
        <v>253</v>
      </c>
      <c r="J208" s="36" t="s">
        <v>256</v>
      </c>
      <c r="K208" s="3"/>
      <c r="L208" s="3">
        <v>3</v>
      </c>
      <c r="M208" s="3" t="s">
        <v>229</v>
      </c>
      <c r="N208" s="3" t="s">
        <v>256</v>
      </c>
      <c r="O208" s="3">
        <v>300</v>
      </c>
      <c r="P208" s="3">
        <f t="shared" si="9"/>
        <v>1</v>
      </c>
      <c r="Q208" s="65">
        <v>3185.3337945347625</v>
      </c>
      <c r="R208" s="8">
        <f t="shared" si="10"/>
        <v>31.853337945347626</v>
      </c>
      <c r="S208" s="36">
        <v>3191.98008941635</v>
      </c>
      <c r="T208" s="60">
        <f t="shared" si="11"/>
        <v>0.99791781443010108</v>
      </c>
      <c r="U208" s="111"/>
      <c r="V208" s="3">
        <v>250</v>
      </c>
      <c r="W208" s="3"/>
      <c r="X208" s="3"/>
      <c r="Y208" s="36"/>
      <c r="Z208" s="3"/>
      <c r="AA208" s="3"/>
      <c r="AB208" s="3"/>
      <c r="AC208" s="3"/>
      <c r="AD208" s="3"/>
      <c r="AE208" s="3"/>
    </row>
    <row r="209" spans="1:31" ht="20.25" customHeight="1">
      <c r="A209" s="13">
        <v>41761</v>
      </c>
      <c r="B209" s="35" t="s">
        <v>144</v>
      </c>
      <c r="C209" s="168">
        <v>2014</v>
      </c>
      <c r="D209" s="65">
        <v>5</v>
      </c>
      <c r="E209" s="51" t="s">
        <v>223</v>
      </c>
      <c r="F209" s="51" t="s">
        <v>224</v>
      </c>
      <c r="G209" s="51" t="s">
        <v>225</v>
      </c>
      <c r="H209" s="51" t="s">
        <v>226</v>
      </c>
      <c r="I209" s="51" t="s">
        <v>239</v>
      </c>
      <c r="J209" s="3" t="s">
        <v>258</v>
      </c>
      <c r="K209" s="3" t="s">
        <v>259</v>
      </c>
      <c r="L209" s="3">
        <v>3</v>
      </c>
      <c r="M209" s="3" t="s">
        <v>247</v>
      </c>
      <c r="N209" s="3" t="s">
        <v>258</v>
      </c>
      <c r="O209" s="3">
        <v>300</v>
      </c>
      <c r="P209" s="3">
        <f t="shared" si="9"/>
        <v>1</v>
      </c>
      <c r="Q209" s="65">
        <v>3185.3337945347625</v>
      </c>
      <c r="R209" s="8">
        <f t="shared" si="10"/>
        <v>31.853337945347626</v>
      </c>
      <c r="S209" s="36">
        <v>3191.98008941635</v>
      </c>
      <c r="T209" s="60">
        <f t="shared" si="11"/>
        <v>0.99791781443010108</v>
      </c>
      <c r="U209" s="111"/>
      <c r="V209" s="51">
        <v>250</v>
      </c>
      <c r="W209" s="51"/>
      <c r="X209" s="51"/>
      <c r="Y209" s="65"/>
      <c r="Z209" s="3"/>
      <c r="AA209" s="3"/>
      <c r="AB209" s="3"/>
      <c r="AC209" s="3"/>
      <c r="AD209" s="3"/>
      <c r="AE209" s="3"/>
    </row>
    <row r="210" spans="1:31" ht="20.25" customHeight="1">
      <c r="A210" s="13">
        <v>41761</v>
      </c>
      <c r="B210" s="35" t="s">
        <v>144</v>
      </c>
      <c r="C210" s="168">
        <v>2014</v>
      </c>
      <c r="D210" s="65">
        <v>5</v>
      </c>
      <c r="E210" s="36" t="s">
        <v>223</v>
      </c>
      <c r="F210" s="36" t="s">
        <v>224</v>
      </c>
      <c r="G210" s="36" t="s">
        <v>225</v>
      </c>
      <c r="H210" s="36" t="s">
        <v>226</v>
      </c>
      <c r="I210" s="36" t="s">
        <v>261</v>
      </c>
      <c r="J210" s="36" t="s">
        <v>262</v>
      </c>
      <c r="K210" s="3"/>
      <c r="L210" s="3">
        <v>1</v>
      </c>
      <c r="M210" s="3" t="s">
        <v>229</v>
      </c>
      <c r="N210" s="3" t="s">
        <v>264</v>
      </c>
      <c r="O210" s="3">
        <v>300</v>
      </c>
      <c r="P210" s="3">
        <f t="shared" si="9"/>
        <v>0.33333333333333337</v>
      </c>
      <c r="Q210" s="36">
        <v>3185.3337945347625</v>
      </c>
      <c r="R210" s="8">
        <f t="shared" si="10"/>
        <v>10.617779315115875</v>
      </c>
      <c r="S210" s="36">
        <v>3191.98008941635</v>
      </c>
      <c r="T210" s="60">
        <f t="shared" si="11"/>
        <v>0.33263927147670036</v>
      </c>
      <c r="U210" s="111"/>
      <c r="V210" s="65">
        <v>250</v>
      </c>
      <c r="W210" s="51"/>
      <c r="X210" s="51"/>
      <c r="Y210" s="65"/>
      <c r="Z210" s="3"/>
      <c r="AA210" s="3"/>
      <c r="AB210" s="3"/>
      <c r="AC210" s="3"/>
      <c r="AD210" s="3"/>
      <c r="AE210" s="3"/>
    </row>
    <row r="211" spans="1:31" ht="20.25" customHeight="1">
      <c r="A211" s="13">
        <v>41761</v>
      </c>
      <c r="B211" s="35" t="s">
        <v>144</v>
      </c>
      <c r="C211" s="168">
        <v>2014</v>
      </c>
      <c r="D211" s="36">
        <v>4</v>
      </c>
      <c r="E211" s="51" t="s">
        <v>223</v>
      </c>
      <c r="F211" s="51" t="s">
        <v>224</v>
      </c>
      <c r="G211" s="51" t="s">
        <v>225</v>
      </c>
      <c r="H211" s="51" t="s">
        <v>226</v>
      </c>
      <c r="I211" s="51" t="s">
        <v>227</v>
      </c>
      <c r="J211" s="3" t="s">
        <v>228</v>
      </c>
      <c r="K211" s="3"/>
      <c r="L211" s="3">
        <v>1</v>
      </c>
      <c r="M211" s="3" t="s">
        <v>229</v>
      </c>
      <c r="N211" s="3" t="s">
        <v>228</v>
      </c>
      <c r="O211" s="3">
        <v>256</v>
      </c>
      <c r="P211" s="3">
        <f t="shared" si="9"/>
        <v>0.390625</v>
      </c>
      <c r="Q211" s="36">
        <v>3370.6563706563707</v>
      </c>
      <c r="R211" s="8">
        <f t="shared" si="10"/>
        <v>13.166626447876448</v>
      </c>
      <c r="S211" s="65">
        <v>3453.1621002209199</v>
      </c>
      <c r="T211" s="60">
        <f t="shared" si="11"/>
        <v>0.38129187294839412</v>
      </c>
      <c r="U211" s="111"/>
      <c r="V211" s="3">
        <v>250</v>
      </c>
      <c r="W211" s="3"/>
      <c r="X211" s="3"/>
      <c r="Y211" s="3"/>
      <c r="Z211" s="3"/>
      <c r="AA211" s="3"/>
      <c r="AB211" s="3"/>
      <c r="AC211" s="3"/>
      <c r="AD211" s="3"/>
      <c r="AE211" s="3"/>
    </row>
    <row r="212" spans="1:31" s="38" customFormat="1" ht="20.25" customHeight="1">
      <c r="A212" s="35">
        <v>41761</v>
      </c>
      <c r="B212" s="35" t="s">
        <v>144</v>
      </c>
      <c r="C212" s="168">
        <v>2014</v>
      </c>
      <c r="D212" s="36">
        <v>4</v>
      </c>
      <c r="E212" s="53" t="s">
        <v>223</v>
      </c>
      <c r="F212" s="53" t="s">
        <v>267</v>
      </c>
      <c r="G212" s="53" t="s">
        <v>278</v>
      </c>
      <c r="H212" s="53" t="s">
        <v>269</v>
      </c>
      <c r="I212" s="53" t="s">
        <v>333</v>
      </c>
      <c r="J212" s="36" t="s">
        <v>334</v>
      </c>
      <c r="K212" s="36"/>
      <c r="L212" s="36">
        <v>26</v>
      </c>
      <c r="M212" s="36" t="s">
        <v>229</v>
      </c>
      <c r="N212" s="36" t="s">
        <v>270</v>
      </c>
      <c r="O212" s="36">
        <v>864</v>
      </c>
      <c r="P212" s="36">
        <f t="shared" si="9"/>
        <v>3.0092592592592591</v>
      </c>
      <c r="Q212" s="65">
        <v>82.505729564553093</v>
      </c>
      <c r="R212" s="40">
        <f t="shared" si="10"/>
        <v>2.482811306340718</v>
      </c>
      <c r="S212" s="65">
        <v>3453.1621002209235</v>
      </c>
      <c r="T212" s="40">
        <f t="shared" si="11"/>
        <v>7.1899645434596732E-2</v>
      </c>
      <c r="U212" s="110">
        <f>SUM(T215+T216+T217)</f>
        <v>3.0503349835871529</v>
      </c>
      <c r="V212" s="36">
        <v>1000</v>
      </c>
      <c r="W212" s="36"/>
      <c r="X212" s="36"/>
      <c r="Y212" s="3"/>
      <c r="Z212" s="36"/>
      <c r="AA212" s="36"/>
      <c r="AB212" s="36"/>
      <c r="AC212" s="36"/>
      <c r="AD212" s="36"/>
      <c r="AE212" s="36"/>
    </row>
    <row r="213" spans="1:31" ht="20.25" customHeight="1">
      <c r="A213" s="35">
        <v>41761</v>
      </c>
      <c r="B213" s="72" t="s">
        <v>144</v>
      </c>
      <c r="C213" s="168">
        <v>2014</v>
      </c>
      <c r="D213" s="36">
        <v>4</v>
      </c>
      <c r="E213" s="65" t="s">
        <v>209</v>
      </c>
      <c r="F213" s="65" t="s">
        <v>210</v>
      </c>
      <c r="G213" s="65"/>
      <c r="H213" s="65" t="s">
        <v>211</v>
      </c>
      <c r="I213" s="65" t="s">
        <v>212</v>
      </c>
      <c r="J213" s="36" t="s">
        <v>213</v>
      </c>
      <c r="K213" s="36" t="s">
        <v>214</v>
      </c>
      <c r="L213" s="36">
        <v>5</v>
      </c>
      <c r="M213" s="36" t="s">
        <v>247</v>
      </c>
      <c r="N213" s="36" t="s">
        <v>215</v>
      </c>
      <c r="O213" s="36">
        <v>864</v>
      </c>
      <c r="P213" s="36">
        <f t="shared" si="9"/>
        <v>0.57870370370370372</v>
      </c>
      <c r="Q213" s="65">
        <v>82.505729564553093</v>
      </c>
      <c r="R213" s="40">
        <f t="shared" si="10"/>
        <v>0.47746371275783045</v>
      </c>
      <c r="S213" s="36">
        <v>3453.1621002209235</v>
      </c>
      <c r="T213" s="40">
        <f t="shared" si="11"/>
        <v>1.3826854891268604E-2</v>
      </c>
      <c r="U213" s="110"/>
      <c r="V213" s="36">
        <v>1000</v>
      </c>
      <c r="W213" s="36"/>
      <c r="X213" s="36"/>
      <c r="Y213" s="3"/>
      <c r="Z213" s="3"/>
      <c r="AA213" s="3"/>
      <c r="AB213" s="3"/>
      <c r="AC213" s="3"/>
      <c r="AD213" s="3"/>
      <c r="AE213" s="3"/>
    </row>
    <row r="214" spans="1:31" ht="20.25" customHeight="1">
      <c r="A214" s="13">
        <v>41761</v>
      </c>
      <c r="B214" s="72" t="s">
        <v>144</v>
      </c>
      <c r="C214" s="168">
        <v>2014</v>
      </c>
      <c r="D214" s="36">
        <v>4</v>
      </c>
      <c r="E214" s="3" t="s">
        <v>223</v>
      </c>
      <c r="F214" s="3" t="s">
        <v>303</v>
      </c>
      <c r="G214" s="3" t="s">
        <v>304</v>
      </c>
      <c r="H214" s="3" t="s">
        <v>305</v>
      </c>
      <c r="I214" s="3" t="s">
        <v>306</v>
      </c>
      <c r="J214" s="3" t="s">
        <v>307</v>
      </c>
      <c r="K214" s="3"/>
      <c r="L214" s="3">
        <v>14</v>
      </c>
      <c r="M214" s="3" t="s">
        <v>229</v>
      </c>
      <c r="N214" s="3" t="s">
        <v>307</v>
      </c>
      <c r="O214" s="3">
        <v>256</v>
      </c>
      <c r="P214" s="3">
        <f t="shared" si="9"/>
        <v>5.46875</v>
      </c>
      <c r="Q214" s="36">
        <v>3370.6563706563707</v>
      </c>
      <c r="R214" s="8">
        <f t="shared" si="10"/>
        <v>184.33277027027026</v>
      </c>
      <c r="S214" s="65">
        <v>3453.1621002209199</v>
      </c>
      <c r="T214" s="60">
        <f t="shared" si="11"/>
        <v>5.3380862212775178</v>
      </c>
      <c r="U214" s="111"/>
      <c r="V214" s="3">
        <v>250</v>
      </c>
      <c r="W214" s="36" t="s">
        <v>308</v>
      </c>
      <c r="X214" s="3"/>
      <c r="Y214" s="3"/>
      <c r="Z214" s="3"/>
      <c r="AA214" s="3"/>
      <c r="AB214" s="3"/>
      <c r="AC214" s="3"/>
      <c r="AD214" s="3"/>
      <c r="AE214" s="3"/>
    </row>
    <row r="215" spans="1:31" ht="20.25" customHeight="1">
      <c r="A215" s="71">
        <v>41761</v>
      </c>
      <c r="B215" s="35" t="s">
        <v>144</v>
      </c>
      <c r="C215" s="168">
        <v>2014</v>
      </c>
      <c r="D215" s="36">
        <v>4</v>
      </c>
      <c r="E215" s="65" t="s">
        <v>223</v>
      </c>
      <c r="F215" s="65" t="s">
        <v>303</v>
      </c>
      <c r="G215" s="65" t="s">
        <v>304</v>
      </c>
      <c r="H215" s="65" t="s">
        <v>305</v>
      </c>
      <c r="I215" s="65" t="s">
        <v>306</v>
      </c>
      <c r="J215" s="36" t="s">
        <v>307</v>
      </c>
      <c r="K215" s="36"/>
      <c r="L215" s="36">
        <v>2</v>
      </c>
      <c r="M215" s="3" t="s">
        <v>229</v>
      </c>
      <c r="N215" s="3" t="s">
        <v>307</v>
      </c>
      <c r="O215" s="3">
        <v>256</v>
      </c>
      <c r="P215" s="3">
        <f t="shared" si="9"/>
        <v>0.78125</v>
      </c>
      <c r="Q215" s="36">
        <v>3370.6563706563707</v>
      </c>
      <c r="R215" s="8">
        <f t="shared" si="10"/>
        <v>26.333252895752896</v>
      </c>
      <c r="S215" s="36">
        <v>3453.1621002209199</v>
      </c>
      <c r="T215" s="60">
        <f t="shared" si="11"/>
        <v>0.76258374589678823</v>
      </c>
      <c r="U215" s="111"/>
      <c r="V215" s="36">
        <v>250</v>
      </c>
      <c r="W215" s="36" t="s">
        <v>620</v>
      </c>
      <c r="X215" s="3"/>
      <c r="Y215" s="3"/>
      <c r="Z215" s="3"/>
      <c r="AA215" s="3"/>
      <c r="AB215" s="3"/>
      <c r="AC215" s="3"/>
      <c r="AD215" s="3"/>
      <c r="AE215" s="3"/>
    </row>
    <row r="216" spans="1:31" ht="20.25" customHeight="1">
      <c r="A216" s="13">
        <v>41761</v>
      </c>
      <c r="B216" s="35" t="s">
        <v>144</v>
      </c>
      <c r="C216" s="168">
        <v>2014</v>
      </c>
      <c r="D216" s="36">
        <v>4</v>
      </c>
      <c r="E216" s="65" t="s">
        <v>223</v>
      </c>
      <c r="F216" s="65" t="s">
        <v>224</v>
      </c>
      <c r="G216" s="65" t="s">
        <v>225</v>
      </c>
      <c r="H216" s="65" t="s">
        <v>226</v>
      </c>
      <c r="I216" s="65" t="s">
        <v>235</v>
      </c>
      <c r="J216" s="36" t="s">
        <v>236</v>
      </c>
      <c r="K216" s="36"/>
      <c r="L216" s="36">
        <v>1</v>
      </c>
      <c r="M216" s="3" t="s">
        <v>229</v>
      </c>
      <c r="N216" s="3" t="s">
        <v>236</v>
      </c>
      <c r="O216" s="3">
        <v>256</v>
      </c>
      <c r="P216" s="3">
        <f t="shared" si="9"/>
        <v>0.390625</v>
      </c>
      <c r="Q216" s="36">
        <v>3370.6563706563707</v>
      </c>
      <c r="R216" s="8">
        <f t="shared" si="10"/>
        <v>13.166626447876448</v>
      </c>
      <c r="S216" s="36">
        <v>3453.1621002209199</v>
      </c>
      <c r="T216" s="60">
        <f t="shared" si="11"/>
        <v>0.38129187294839412</v>
      </c>
      <c r="U216" s="111"/>
      <c r="V216" s="3">
        <v>250</v>
      </c>
      <c r="W216" s="3"/>
      <c r="X216" s="3"/>
      <c r="Y216" s="3"/>
      <c r="Z216" s="3"/>
      <c r="AA216" s="3"/>
      <c r="AB216" s="3"/>
      <c r="AC216" s="3"/>
      <c r="AD216" s="3"/>
      <c r="AE216" s="3"/>
    </row>
    <row r="217" spans="1:31" ht="20.25" customHeight="1">
      <c r="A217" s="13">
        <v>41761</v>
      </c>
      <c r="B217" s="35" t="s">
        <v>144</v>
      </c>
      <c r="C217" s="168">
        <v>2014</v>
      </c>
      <c r="D217" s="36">
        <v>4</v>
      </c>
      <c r="E217" s="36" t="s">
        <v>223</v>
      </c>
      <c r="F217" s="36" t="s">
        <v>224</v>
      </c>
      <c r="G217" s="36" t="s">
        <v>225</v>
      </c>
      <c r="H217" s="36" t="s">
        <v>243</v>
      </c>
      <c r="I217" s="36"/>
      <c r="J217" s="36" t="s">
        <v>507</v>
      </c>
      <c r="K217" s="36"/>
      <c r="L217" s="36">
        <v>5</v>
      </c>
      <c r="M217" s="3" t="s">
        <v>229</v>
      </c>
      <c r="N217" s="36" t="s">
        <v>673</v>
      </c>
      <c r="O217" s="3">
        <v>256</v>
      </c>
      <c r="P217" s="3">
        <f t="shared" si="9"/>
        <v>1.953125</v>
      </c>
      <c r="Q217" s="36">
        <v>3370.6563706563707</v>
      </c>
      <c r="R217" s="8">
        <f t="shared" si="10"/>
        <v>65.833132239382238</v>
      </c>
      <c r="S217" s="36">
        <v>3453.1621002209199</v>
      </c>
      <c r="T217" s="60">
        <f t="shared" si="11"/>
        <v>1.9064593647419705</v>
      </c>
      <c r="U217" s="111"/>
      <c r="V217" s="3">
        <v>250</v>
      </c>
      <c r="W217" s="3"/>
      <c r="X217" s="3"/>
      <c r="Y217" s="3"/>
      <c r="Z217" s="3"/>
      <c r="AA217" s="3"/>
      <c r="AB217" s="3"/>
      <c r="AC217" s="3"/>
      <c r="AD217" s="3"/>
      <c r="AE217" s="3"/>
    </row>
    <row r="218" spans="1:31" s="38" customFormat="1" ht="20.25" customHeight="1">
      <c r="A218" s="35">
        <v>41761</v>
      </c>
      <c r="B218" s="35" t="s">
        <v>144</v>
      </c>
      <c r="C218" s="168">
        <v>2014</v>
      </c>
      <c r="D218" s="36">
        <v>4</v>
      </c>
      <c r="E218" s="36" t="s">
        <v>223</v>
      </c>
      <c r="F218" s="36" t="s">
        <v>267</v>
      </c>
      <c r="G218" s="36"/>
      <c r="H218" s="36" t="s">
        <v>273</v>
      </c>
      <c r="I218" s="36" t="s">
        <v>274</v>
      </c>
      <c r="J218" s="36" t="s">
        <v>275</v>
      </c>
      <c r="K218" s="36" t="s">
        <v>276</v>
      </c>
      <c r="L218" s="36">
        <v>3</v>
      </c>
      <c r="M218" s="36" t="s">
        <v>247</v>
      </c>
      <c r="N218" s="36" t="s">
        <v>275</v>
      </c>
      <c r="O218" s="36">
        <v>864</v>
      </c>
      <c r="P218" s="36">
        <f t="shared" si="9"/>
        <v>0.34722222222222221</v>
      </c>
      <c r="Q218" s="65">
        <v>82.505729564553093</v>
      </c>
      <c r="R218" s="40">
        <f t="shared" si="10"/>
        <v>0.28647822765469821</v>
      </c>
      <c r="S218" s="36">
        <v>3453.1621002209199</v>
      </c>
      <c r="T218" s="40">
        <f t="shared" si="11"/>
        <v>8.2961129347611708E-3</v>
      </c>
      <c r="U218" s="110"/>
      <c r="V218" s="36">
        <v>1000</v>
      </c>
      <c r="W218" s="36" t="s">
        <v>545</v>
      </c>
      <c r="X218" s="36"/>
      <c r="Y218" s="3"/>
      <c r="Z218" s="36"/>
      <c r="AA218" s="36"/>
      <c r="AB218" s="36"/>
      <c r="AC218" s="36"/>
      <c r="AD218" s="36"/>
      <c r="AE218" s="36"/>
    </row>
    <row r="219" spans="1:31" ht="20.25" customHeight="1">
      <c r="A219" s="13">
        <v>41761</v>
      </c>
      <c r="B219" s="72" t="s">
        <v>144</v>
      </c>
      <c r="C219" s="168">
        <v>2014</v>
      </c>
      <c r="D219" s="36">
        <v>4</v>
      </c>
      <c r="E219" s="65" t="s">
        <v>223</v>
      </c>
      <c r="F219" s="65" t="s">
        <v>224</v>
      </c>
      <c r="G219" s="65" t="s">
        <v>225</v>
      </c>
      <c r="H219" s="65" t="s">
        <v>226</v>
      </c>
      <c r="I219" s="65" t="s">
        <v>239</v>
      </c>
      <c r="J219" s="36" t="s">
        <v>240</v>
      </c>
      <c r="K219" s="36"/>
      <c r="L219" s="36">
        <v>103</v>
      </c>
      <c r="M219" s="3" t="s">
        <v>229</v>
      </c>
      <c r="N219" s="3" t="s">
        <v>240</v>
      </c>
      <c r="O219" s="3">
        <v>256</v>
      </c>
      <c r="P219" s="3">
        <f t="shared" si="9"/>
        <v>40.234375</v>
      </c>
      <c r="Q219" s="36">
        <v>3370.6563706563707</v>
      </c>
      <c r="R219" s="8">
        <f t="shared" si="10"/>
        <v>1356.162524131274</v>
      </c>
      <c r="S219" s="36">
        <v>3453.1621002209199</v>
      </c>
      <c r="T219" s="60">
        <f t="shared" si="11"/>
        <v>39.273062913684591</v>
      </c>
      <c r="U219" s="111"/>
      <c r="V219" s="36">
        <v>250</v>
      </c>
      <c r="W219" s="3"/>
      <c r="X219" s="3"/>
      <c r="Y219" s="3"/>
      <c r="Z219" s="3"/>
      <c r="AA219" s="3"/>
      <c r="AB219" s="3"/>
      <c r="AC219" s="3"/>
      <c r="AD219" s="3"/>
      <c r="AE219" s="3"/>
    </row>
    <row r="220" spans="1:31" ht="20.25" customHeight="1">
      <c r="A220" s="35">
        <v>41761</v>
      </c>
      <c r="B220" s="35" t="s">
        <v>144</v>
      </c>
      <c r="C220" s="168">
        <v>2014</v>
      </c>
      <c r="D220" s="36">
        <v>4</v>
      </c>
      <c r="E220" s="36" t="s">
        <v>323</v>
      </c>
      <c r="F220" s="36" t="s">
        <v>324</v>
      </c>
      <c r="G220" s="36"/>
      <c r="H220" s="36" t="s">
        <v>325</v>
      </c>
      <c r="I220" s="36" t="s">
        <v>326</v>
      </c>
      <c r="J220" s="36" t="s">
        <v>327</v>
      </c>
      <c r="K220" s="36"/>
      <c r="L220" s="36">
        <v>20</v>
      </c>
      <c r="M220" s="36" t="s">
        <v>229</v>
      </c>
      <c r="N220" s="36" t="s">
        <v>327</v>
      </c>
      <c r="O220" s="36">
        <v>864</v>
      </c>
      <c r="P220" s="36">
        <f t="shared" si="9"/>
        <v>2.3148148148148149</v>
      </c>
      <c r="Q220" s="65">
        <v>82.505729564553093</v>
      </c>
      <c r="R220" s="40">
        <f t="shared" si="10"/>
        <v>1.9098548510313218</v>
      </c>
      <c r="S220" s="36">
        <v>3453.1621002209199</v>
      </c>
      <c r="T220" s="40">
        <f t="shared" si="11"/>
        <v>5.5307419565074484E-2</v>
      </c>
      <c r="U220" s="110"/>
      <c r="V220" s="36">
        <v>1000</v>
      </c>
      <c r="W220" s="36"/>
      <c r="X220" s="36"/>
      <c r="Y220" s="3"/>
      <c r="Z220" s="3"/>
      <c r="AA220" s="3"/>
      <c r="AB220" s="3"/>
      <c r="AC220" s="3"/>
      <c r="AD220" s="3"/>
      <c r="AE220" s="3"/>
    </row>
    <row r="221" spans="1:31" s="38" customFormat="1" ht="20.25" customHeight="1">
      <c r="A221" s="13">
        <v>41761</v>
      </c>
      <c r="B221" s="72" t="s">
        <v>144</v>
      </c>
      <c r="C221" s="168">
        <v>2014</v>
      </c>
      <c r="D221" s="36">
        <v>4</v>
      </c>
      <c r="E221" s="51" t="s">
        <v>223</v>
      </c>
      <c r="F221" s="51" t="s">
        <v>224</v>
      </c>
      <c r="G221" s="51" t="s">
        <v>225</v>
      </c>
      <c r="H221" s="51" t="s">
        <v>243</v>
      </c>
      <c r="I221" s="51" t="s">
        <v>244</v>
      </c>
      <c r="J221" s="3" t="s">
        <v>245</v>
      </c>
      <c r="K221" s="3" t="s">
        <v>246</v>
      </c>
      <c r="L221" s="3">
        <v>1</v>
      </c>
      <c r="M221" s="3" t="s">
        <v>247</v>
      </c>
      <c r="N221" s="3" t="s">
        <v>673</v>
      </c>
      <c r="O221" s="3">
        <v>256</v>
      </c>
      <c r="P221" s="3">
        <f t="shared" si="9"/>
        <v>0.390625</v>
      </c>
      <c r="Q221" s="36">
        <v>3370.6563706563707</v>
      </c>
      <c r="R221" s="8">
        <f t="shared" si="10"/>
        <v>13.166626447876448</v>
      </c>
      <c r="S221" s="36">
        <v>3453.1621002209199</v>
      </c>
      <c r="T221" s="60">
        <f t="shared" si="11"/>
        <v>0.38129187294839412</v>
      </c>
      <c r="U221" s="111"/>
      <c r="V221" s="36">
        <v>250</v>
      </c>
      <c r="W221" s="3"/>
      <c r="X221" s="3"/>
      <c r="Y221" s="3"/>
      <c r="Z221" s="36"/>
      <c r="AA221" s="36"/>
      <c r="AB221" s="36"/>
      <c r="AC221" s="36"/>
      <c r="AD221" s="36"/>
      <c r="AE221" s="36"/>
    </row>
    <row r="222" spans="1:31" ht="20.25" customHeight="1">
      <c r="A222" s="72">
        <v>41761</v>
      </c>
      <c r="B222" s="35" t="s">
        <v>144</v>
      </c>
      <c r="C222" s="168">
        <v>2014</v>
      </c>
      <c r="D222" s="36">
        <v>4</v>
      </c>
      <c r="E222" s="36" t="s">
        <v>288</v>
      </c>
      <c r="F222" s="36" t="s">
        <v>289</v>
      </c>
      <c r="G222" s="36"/>
      <c r="H222" s="36"/>
      <c r="I222" s="36"/>
      <c r="J222" s="36"/>
      <c r="K222" s="36"/>
      <c r="L222" s="36">
        <v>5</v>
      </c>
      <c r="M222" s="36" t="s">
        <v>221</v>
      </c>
      <c r="N222" s="36" t="s">
        <v>499</v>
      </c>
      <c r="O222" s="36">
        <v>864</v>
      </c>
      <c r="P222" s="36">
        <f t="shared" si="9"/>
        <v>0.57870370370370372</v>
      </c>
      <c r="Q222" s="65">
        <v>82.505729564553093</v>
      </c>
      <c r="R222" s="40">
        <f t="shared" si="10"/>
        <v>0.47746371275783045</v>
      </c>
      <c r="S222" s="65">
        <v>3453.1621002209199</v>
      </c>
      <c r="T222" s="40">
        <f t="shared" si="11"/>
        <v>1.3826854891268621E-2</v>
      </c>
      <c r="U222" s="110"/>
      <c r="V222" s="36">
        <v>1000</v>
      </c>
      <c r="W222" s="36"/>
      <c r="X222" s="36"/>
      <c r="Y222" s="3"/>
      <c r="Z222" s="3"/>
      <c r="AA222" s="3"/>
      <c r="AB222" s="3"/>
      <c r="AC222" s="3"/>
      <c r="AD222" s="3"/>
      <c r="AE222" s="3"/>
    </row>
    <row r="223" spans="1:31" ht="20.25" customHeight="1">
      <c r="A223" s="35">
        <v>41761</v>
      </c>
      <c r="B223" s="35" t="s">
        <v>144</v>
      </c>
      <c r="C223" s="168">
        <v>2014</v>
      </c>
      <c r="D223" s="36">
        <v>4</v>
      </c>
      <c r="E223" s="65" t="s">
        <v>223</v>
      </c>
      <c r="F223" s="65" t="s">
        <v>267</v>
      </c>
      <c r="G223" s="65" t="s">
        <v>278</v>
      </c>
      <c r="H223" s="65" t="s">
        <v>279</v>
      </c>
      <c r="I223" s="65" t="s">
        <v>280</v>
      </c>
      <c r="J223" s="36"/>
      <c r="K223" s="36"/>
      <c r="L223" s="36">
        <v>13</v>
      </c>
      <c r="M223" s="36" t="s">
        <v>509</v>
      </c>
      <c r="N223" s="36" t="s">
        <v>283</v>
      </c>
      <c r="O223" s="36">
        <v>864</v>
      </c>
      <c r="P223" s="36">
        <f t="shared" si="9"/>
        <v>1.5046296296296295</v>
      </c>
      <c r="Q223" s="65">
        <v>82.505729564553093</v>
      </c>
      <c r="R223" s="40">
        <f t="shared" si="10"/>
        <v>1.241405653170359</v>
      </c>
      <c r="S223" s="36">
        <v>3453.1621002209199</v>
      </c>
      <c r="T223" s="40">
        <f t="shared" si="11"/>
        <v>3.5949822717298408E-2</v>
      </c>
      <c r="U223" s="110"/>
      <c r="V223" s="36">
        <v>1000</v>
      </c>
      <c r="W223" s="36"/>
      <c r="X223" s="36"/>
      <c r="Y223" s="3"/>
      <c r="Z223" s="3"/>
      <c r="AA223" s="3"/>
      <c r="AB223" s="3"/>
      <c r="AC223" s="3"/>
      <c r="AD223" s="3"/>
      <c r="AE223" s="3"/>
    </row>
    <row r="224" spans="1:31" ht="20.25" customHeight="1">
      <c r="A224" s="35">
        <v>41761</v>
      </c>
      <c r="B224" s="72" t="s">
        <v>144</v>
      </c>
      <c r="C224" s="168">
        <v>2014</v>
      </c>
      <c r="D224" s="65">
        <v>4</v>
      </c>
      <c r="E224" s="36" t="s">
        <v>223</v>
      </c>
      <c r="F224" s="36" t="s">
        <v>267</v>
      </c>
      <c r="G224" s="36" t="s">
        <v>278</v>
      </c>
      <c r="H224" s="36" t="s">
        <v>279</v>
      </c>
      <c r="I224" s="36" t="s">
        <v>280</v>
      </c>
      <c r="J224" s="36" t="s">
        <v>284</v>
      </c>
      <c r="K224" s="36" t="s">
        <v>285</v>
      </c>
      <c r="L224" s="36">
        <v>792</v>
      </c>
      <c r="M224" s="36" t="s">
        <v>247</v>
      </c>
      <c r="N224" s="36" t="s">
        <v>283</v>
      </c>
      <c r="O224" s="36">
        <v>864</v>
      </c>
      <c r="P224" s="36">
        <f t="shared" si="9"/>
        <v>91.666666666666657</v>
      </c>
      <c r="Q224" s="65">
        <v>82.505729564553093</v>
      </c>
      <c r="R224" s="40">
        <f t="shared" si="10"/>
        <v>75.630252100840323</v>
      </c>
      <c r="S224" s="36">
        <v>3453.1621002209199</v>
      </c>
      <c r="T224" s="40">
        <f t="shared" si="11"/>
        <v>2.1901738147769487</v>
      </c>
      <c r="U224" s="110"/>
      <c r="V224" s="36">
        <v>1000</v>
      </c>
      <c r="W224" s="36"/>
      <c r="X224" s="36"/>
      <c r="Y224" s="3"/>
      <c r="Z224" s="3"/>
      <c r="AA224" s="3"/>
      <c r="AB224" s="3"/>
      <c r="AC224" s="3"/>
      <c r="AD224" s="3"/>
      <c r="AE224" s="3"/>
    </row>
    <row r="225" spans="1:42" s="38" customFormat="1" ht="20.25" customHeight="1">
      <c r="A225" s="13">
        <v>41761</v>
      </c>
      <c r="B225" s="72" t="s">
        <v>144</v>
      </c>
      <c r="C225" s="168">
        <v>2014</v>
      </c>
      <c r="D225" s="65">
        <v>4</v>
      </c>
      <c r="E225" s="3" t="s">
        <v>223</v>
      </c>
      <c r="F225" s="3" t="s">
        <v>224</v>
      </c>
      <c r="G225" s="3" t="s">
        <v>225</v>
      </c>
      <c r="H225" s="3" t="s">
        <v>248</v>
      </c>
      <c r="I225" s="3" t="s">
        <v>249</v>
      </c>
      <c r="J225" s="3" t="s">
        <v>250</v>
      </c>
      <c r="K225" s="3"/>
      <c r="L225" s="3">
        <v>17</v>
      </c>
      <c r="M225" s="3" t="s">
        <v>229</v>
      </c>
      <c r="N225" s="3" t="s">
        <v>250</v>
      </c>
      <c r="O225" s="3">
        <v>256</v>
      </c>
      <c r="P225" s="3">
        <f t="shared" si="9"/>
        <v>6.640625</v>
      </c>
      <c r="Q225" s="36">
        <v>3370.6563706563707</v>
      </c>
      <c r="R225" s="8">
        <f t="shared" si="10"/>
        <v>223.8326496138996</v>
      </c>
      <c r="S225" s="36">
        <v>3453.1621002209199</v>
      </c>
      <c r="T225" s="60">
        <f t="shared" si="11"/>
        <v>6.4819618401226995</v>
      </c>
      <c r="U225" s="111"/>
      <c r="V225" s="36">
        <v>250</v>
      </c>
      <c r="W225" s="3"/>
      <c r="X225" s="3"/>
      <c r="Y225" s="3"/>
      <c r="Z225" s="36"/>
      <c r="AA225" s="36"/>
      <c r="AB225" s="36"/>
      <c r="AC225" s="36"/>
      <c r="AD225" s="36"/>
      <c r="AE225" s="36"/>
    </row>
    <row r="226" spans="1:42" ht="20.25" customHeight="1">
      <c r="A226" s="71">
        <v>41761</v>
      </c>
      <c r="B226" s="35" t="s">
        <v>144</v>
      </c>
      <c r="C226" s="168">
        <v>2014</v>
      </c>
      <c r="D226" s="65">
        <v>4</v>
      </c>
      <c r="E226" s="3" t="s">
        <v>216</v>
      </c>
      <c r="F226" s="3" t="s">
        <v>217</v>
      </c>
      <c r="G226" s="3"/>
      <c r="H226" s="3"/>
      <c r="I226" s="3"/>
      <c r="J226" s="3" t="s">
        <v>647</v>
      </c>
      <c r="K226" s="3"/>
      <c r="L226" s="3">
        <v>106</v>
      </c>
      <c r="M226" s="36" t="s">
        <v>229</v>
      </c>
      <c r="N226" s="3" t="s">
        <v>219</v>
      </c>
      <c r="O226" s="3">
        <v>256</v>
      </c>
      <c r="P226" s="3">
        <f t="shared" si="9"/>
        <v>41.40625</v>
      </c>
      <c r="Q226" s="36">
        <v>3370.6563706563707</v>
      </c>
      <c r="R226" s="8">
        <f t="shared" si="10"/>
        <v>1395.6624034749034</v>
      </c>
      <c r="S226" s="36">
        <v>3453.1621002209199</v>
      </c>
      <c r="T226" s="60">
        <f t="shared" si="11"/>
        <v>40.41693853252977</v>
      </c>
      <c r="U226" s="111"/>
      <c r="V226" s="36">
        <v>250</v>
      </c>
      <c r="W226" s="3"/>
      <c r="X226" s="3"/>
      <c r="Y226" s="3"/>
      <c r="Z226" s="3"/>
      <c r="AA226" s="3"/>
      <c r="AB226" s="3"/>
      <c r="AC226" s="3"/>
      <c r="AD226" s="3"/>
      <c r="AE226" s="3"/>
    </row>
    <row r="227" spans="1:42" s="61" customFormat="1" ht="20.25" customHeight="1">
      <c r="A227" s="71">
        <v>41761</v>
      </c>
      <c r="B227" s="35" t="s">
        <v>144</v>
      </c>
      <c r="C227" s="168">
        <v>2014</v>
      </c>
      <c r="D227" s="65">
        <v>4</v>
      </c>
      <c r="E227" s="65" t="s">
        <v>223</v>
      </c>
      <c r="F227" s="65" t="s">
        <v>224</v>
      </c>
      <c r="G227" s="65" t="s">
        <v>225</v>
      </c>
      <c r="H227" s="65" t="s">
        <v>226</v>
      </c>
      <c r="I227" s="65" t="s">
        <v>261</v>
      </c>
      <c r="J227" s="36" t="s">
        <v>262</v>
      </c>
      <c r="K227" s="3"/>
      <c r="L227" s="3">
        <v>6</v>
      </c>
      <c r="M227" s="3" t="s">
        <v>229</v>
      </c>
      <c r="N227" s="3" t="s">
        <v>264</v>
      </c>
      <c r="O227" s="3">
        <v>256</v>
      </c>
      <c r="P227" s="3">
        <f t="shared" si="9"/>
        <v>2.34375</v>
      </c>
      <c r="Q227" s="36">
        <v>3370.6563706563707</v>
      </c>
      <c r="R227" s="8">
        <f t="shared" si="10"/>
        <v>78.999758687258691</v>
      </c>
      <c r="S227" s="36">
        <v>3453.1621002209199</v>
      </c>
      <c r="T227" s="60">
        <f t="shared" si="11"/>
        <v>2.2877512376903648</v>
      </c>
      <c r="U227" s="111"/>
      <c r="V227" s="3">
        <v>250</v>
      </c>
      <c r="W227" s="3"/>
      <c r="X227" s="3"/>
      <c r="Y227" s="36"/>
      <c r="Z227" s="57"/>
      <c r="AA227" s="57"/>
      <c r="AB227" s="57"/>
      <c r="AC227" s="57"/>
      <c r="AD227" s="57"/>
      <c r="AE227" s="57"/>
    </row>
    <row r="228" spans="1:42" s="38" customFormat="1" ht="20.25" customHeight="1">
      <c r="A228" s="35">
        <v>41761</v>
      </c>
      <c r="B228" s="35" t="s">
        <v>144</v>
      </c>
      <c r="C228" s="168">
        <v>2014</v>
      </c>
      <c r="D228" s="65">
        <v>2</v>
      </c>
      <c r="E228" s="36" t="s">
        <v>223</v>
      </c>
      <c r="F228" s="36" t="s">
        <v>224</v>
      </c>
      <c r="G228" s="36" t="s">
        <v>225</v>
      </c>
      <c r="H228" s="36" t="s">
        <v>226</v>
      </c>
      <c r="I228" s="36" t="s">
        <v>227</v>
      </c>
      <c r="J228" s="36" t="s">
        <v>228</v>
      </c>
      <c r="K228" s="36"/>
      <c r="L228" s="36">
        <v>2</v>
      </c>
      <c r="M228" s="36" t="s">
        <v>229</v>
      </c>
      <c r="N228" s="36" t="s">
        <v>228</v>
      </c>
      <c r="O228" s="36">
        <v>29</v>
      </c>
      <c r="P228" s="36">
        <f t="shared" si="9"/>
        <v>6.8965517241379306</v>
      </c>
      <c r="Q228" s="36">
        <v>20.133437990580845</v>
      </c>
      <c r="R228" s="53">
        <f t="shared" si="10"/>
        <v>1.3885129648676444</v>
      </c>
      <c r="S228" s="36">
        <v>20.260761647316265</v>
      </c>
      <c r="T228" s="108">
        <f t="shared" si="11"/>
        <v>6.853212080758901</v>
      </c>
      <c r="U228" s="53"/>
      <c r="V228" s="65">
        <v>250</v>
      </c>
      <c r="W228" s="65"/>
      <c r="X228" s="65"/>
      <c r="Y228" s="65"/>
      <c r="Z228" s="36"/>
      <c r="AA228" s="36"/>
      <c r="AB228" s="36"/>
      <c r="AC228" s="36"/>
      <c r="AD228" s="36"/>
      <c r="AE228" s="36"/>
    </row>
    <row r="229" spans="1:42" s="38" customFormat="1" ht="20.25" customHeight="1">
      <c r="A229" s="35">
        <v>41761</v>
      </c>
      <c r="B229" s="35" t="s">
        <v>144</v>
      </c>
      <c r="C229" s="168">
        <v>2014</v>
      </c>
      <c r="D229" s="65">
        <v>2</v>
      </c>
      <c r="E229" s="51" t="s">
        <v>223</v>
      </c>
      <c r="F229" s="51" t="s">
        <v>303</v>
      </c>
      <c r="G229" s="51" t="s">
        <v>304</v>
      </c>
      <c r="H229" s="51" t="s">
        <v>305</v>
      </c>
      <c r="I229" s="51" t="s">
        <v>306</v>
      </c>
      <c r="J229" s="3" t="s">
        <v>307</v>
      </c>
      <c r="L229" s="76">
        <v>1</v>
      </c>
      <c r="M229" s="76" t="s">
        <v>229</v>
      </c>
      <c r="N229" s="76" t="s">
        <v>307</v>
      </c>
      <c r="O229" s="36">
        <v>29</v>
      </c>
      <c r="P229" s="36">
        <f t="shared" si="9"/>
        <v>3.4482758620689653</v>
      </c>
      <c r="Q229" s="36">
        <v>20.133437990580799</v>
      </c>
      <c r="R229" s="53">
        <f t="shared" si="10"/>
        <v>0.69425648243382065</v>
      </c>
      <c r="S229" s="36">
        <v>20.260761647316301</v>
      </c>
      <c r="T229" s="108">
        <f t="shared" si="11"/>
        <v>3.4266060403794367</v>
      </c>
      <c r="U229" s="65"/>
      <c r="V229" s="62">
        <v>250</v>
      </c>
      <c r="W229" s="62"/>
      <c r="X229" s="62"/>
      <c r="Y229" s="62"/>
      <c r="Z229" s="62"/>
      <c r="AA229" s="62"/>
      <c r="AB229" s="62"/>
      <c r="AC229" s="62"/>
      <c r="AD229" s="62"/>
      <c r="AE229" s="62"/>
      <c r="AF229" s="62"/>
      <c r="AG229" s="62"/>
      <c r="AH229" s="36"/>
      <c r="AI229" s="36"/>
      <c r="AJ229" s="36"/>
      <c r="AK229" s="36"/>
      <c r="AL229" s="36"/>
      <c r="AM229" s="36"/>
      <c r="AN229" s="36"/>
      <c r="AO229" s="36"/>
      <c r="AP229" s="36"/>
    </row>
    <row r="230" spans="1:42" s="38" customFormat="1" ht="20.25" customHeight="1">
      <c r="A230" s="35">
        <v>41761</v>
      </c>
      <c r="B230" s="35" t="s">
        <v>144</v>
      </c>
      <c r="C230" s="168">
        <v>2014</v>
      </c>
      <c r="D230" s="65">
        <v>2</v>
      </c>
      <c r="E230" s="36" t="s">
        <v>223</v>
      </c>
      <c r="F230" s="36" t="s">
        <v>224</v>
      </c>
      <c r="G230" s="36" t="s">
        <v>225</v>
      </c>
      <c r="H230" s="36" t="s">
        <v>243</v>
      </c>
      <c r="I230" s="36"/>
      <c r="J230" s="36" t="s">
        <v>507</v>
      </c>
      <c r="K230" s="36"/>
      <c r="L230" s="36">
        <v>4</v>
      </c>
      <c r="M230" s="36" t="s">
        <v>229</v>
      </c>
      <c r="N230" s="36" t="s">
        <v>673</v>
      </c>
      <c r="O230" s="36">
        <v>29</v>
      </c>
      <c r="P230" s="36">
        <f t="shared" si="9"/>
        <v>13.793103448275861</v>
      </c>
      <c r="Q230" s="36">
        <v>20.133437990580799</v>
      </c>
      <c r="R230" s="53">
        <f t="shared" si="10"/>
        <v>2.7770259297352826</v>
      </c>
      <c r="S230" s="36">
        <v>20.260761647316301</v>
      </c>
      <c r="T230" s="108">
        <f t="shared" si="11"/>
        <v>13.706424161517747</v>
      </c>
      <c r="U230" s="65"/>
      <c r="V230" s="62">
        <v>250</v>
      </c>
      <c r="W230" s="62"/>
      <c r="X230" s="62"/>
      <c r="Y230" s="62"/>
      <c r="Z230" s="62"/>
      <c r="AA230" s="62"/>
      <c r="AB230" s="62"/>
      <c r="AC230" s="62"/>
      <c r="AD230" s="62"/>
      <c r="AE230" s="62"/>
      <c r="AF230" s="62"/>
      <c r="AG230" s="62"/>
      <c r="AH230" s="36"/>
      <c r="AI230" s="36"/>
      <c r="AJ230" s="36"/>
      <c r="AK230" s="36"/>
      <c r="AL230" s="36"/>
      <c r="AM230" s="36"/>
      <c r="AN230" s="36"/>
      <c r="AO230" s="36"/>
      <c r="AP230" s="36"/>
    </row>
    <row r="231" spans="1:42" s="38" customFormat="1" ht="20.25" customHeight="1">
      <c r="A231" s="35">
        <v>41761</v>
      </c>
      <c r="B231" s="72" t="s">
        <v>144</v>
      </c>
      <c r="C231" s="168">
        <v>2014</v>
      </c>
      <c r="D231" s="65">
        <v>2</v>
      </c>
      <c r="E231" s="65" t="s">
        <v>223</v>
      </c>
      <c r="F231" s="65" t="s">
        <v>224</v>
      </c>
      <c r="G231" s="65" t="s">
        <v>225</v>
      </c>
      <c r="H231" s="65" t="s">
        <v>248</v>
      </c>
      <c r="I231" s="65" t="s">
        <v>359</v>
      </c>
      <c r="J231" s="65" t="s">
        <v>671</v>
      </c>
      <c r="K231" s="36"/>
      <c r="L231" s="53">
        <v>2</v>
      </c>
      <c r="M231" s="53" t="s">
        <v>229</v>
      </c>
      <c r="N231" s="53" t="s">
        <v>671</v>
      </c>
      <c r="O231" s="36">
        <v>29</v>
      </c>
      <c r="P231" s="36">
        <f t="shared" si="9"/>
        <v>6.8965517241379306</v>
      </c>
      <c r="Q231" s="36">
        <v>20.133437990580799</v>
      </c>
      <c r="R231" s="53">
        <f t="shared" si="10"/>
        <v>1.3885129648676413</v>
      </c>
      <c r="S231" s="36">
        <v>20.260761647316301</v>
      </c>
      <c r="T231" s="108">
        <f t="shared" si="11"/>
        <v>6.8532120807588734</v>
      </c>
      <c r="U231" s="65"/>
      <c r="V231" s="62">
        <v>250</v>
      </c>
      <c r="W231" s="62"/>
      <c r="X231" s="62"/>
      <c r="Y231" s="62"/>
      <c r="Z231" s="62"/>
      <c r="AA231" s="62"/>
      <c r="AB231" s="62"/>
      <c r="AC231" s="62"/>
      <c r="AD231" s="62"/>
      <c r="AE231" s="62"/>
      <c r="AF231" s="62"/>
      <c r="AG231" s="62"/>
      <c r="AH231" s="36"/>
      <c r="AI231" s="36"/>
      <c r="AJ231" s="36"/>
      <c r="AK231" s="36"/>
      <c r="AL231" s="36"/>
      <c r="AM231" s="36"/>
      <c r="AN231" s="36"/>
      <c r="AO231" s="36"/>
      <c r="AP231" s="36"/>
    </row>
    <row r="232" spans="1:42" s="38" customFormat="1" ht="20.25" customHeight="1">
      <c r="A232" s="35">
        <v>41761</v>
      </c>
      <c r="B232" s="72" t="s">
        <v>144</v>
      </c>
      <c r="C232" s="168">
        <v>2014</v>
      </c>
      <c r="D232" s="65">
        <v>2</v>
      </c>
      <c r="E232" s="65" t="s">
        <v>223</v>
      </c>
      <c r="F232" s="65" t="s">
        <v>224</v>
      </c>
      <c r="G232" s="65" t="s">
        <v>225</v>
      </c>
      <c r="H232" s="65" t="s">
        <v>248</v>
      </c>
      <c r="I232" s="65" t="s">
        <v>359</v>
      </c>
      <c r="J232" s="65" t="s">
        <v>672</v>
      </c>
      <c r="K232" s="36"/>
      <c r="L232" s="36">
        <v>1</v>
      </c>
      <c r="M232" s="36" t="s">
        <v>229</v>
      </c>
      <c r="N232" s="36" t="s">
        <v>672</v>
      </c>
      <c r="O232" s="36">
        <v>29</v>
      </c>
      <c r="P232" s="36">
        <f t="shared" si="9"/>
        <v>3.4482758620689653</v>
      </c>
      <c r="Q232" s="36">
        <v>20.133437990580799</v>
      </c>
      <c r="R232" s="53">
        <f t="shared" si="10"/>
        <v>0.69425648243382065</v>
      </c>
      <c r="S232" s="36">
        <v>20.260761647316301</v>
      </c>
      <c r="T232" s="108">
        <f t="shared" si="11"/>
        <v>3.4266060403794367</v>
      </c>
      <c r="U232" s="65"/>
      <c r="V232" s="62">
        <v>250</v>
      </c>
      <c r="W232" s="62"/>
      <c r="X232" s="62"/>
      <c r="Y232" s="62"/>
      <c r="Z232" s="62"/>
      <c r="AA232" s="62"/>
      <c r="AB232" s="62"/>
      <c r="AC232" s="62"/>
      <c r="AD232" s="62"/>
      <c r="AE232" s="62"/>
      <c r="AF232" s="62"/>
      <c r="AG232" s="62"/>
      <c r="AH232" s="36"/>
      <c r="AI232" s="36"/>
      <c r="AJ232" s="36"/>
      <c r="AK232" s="36"/>
      <c r="AL232" s="36"/>
      <c r="AM232" s="36"/>
      <c r="AN232" s="36"/>
      <c r="AO232" s="36"/>
      <c r="AP232" s="36"/>
    </row>
    <row r="233" spans="1:42" s="38" customFormat="1" ht="20.25" customHeight="1">
      <c r="A233" s="35">
        <v>41761</v>
      </c>
      <c r="B233" s="72" t="s">
        <v>144</v>
      </c>
      <c r="C233" s="168">
        <v>2014</v>
      </c>
      <c r="D233" s="65">
        <v>2</v>
      </c>
      <c r="E233" s="65" t="s">
        <v>223</v>
      </c>
      <c r="F233" s="65" t="s">
        <v>224</v>
      </c>
      <c r="G233" s="65" t="s">
        <v>225</v>
      </c>
      <c r="H233" s="65" t="s">
        <v>226</v>
      </c>
      <c r="I233" s="53" t="s">
        <v>239</v>
      </c>
      <c r="J233" s="53" t="s">
        <v>240</v>
      </c>
      <c r="K233" s="36"/>
      <c r="L233" s="36">
        <v>4</v>
      </c>
      <c r="M233" s="36" t="s">
        <v>229</v>
      </c>
      <c r="N233" s="36" t="s">
        <v>240</v>
      </c>
      <c r="O233" s="36">
        <v>29</v>
      </c>
      <c r="P233" s="36">
        <f t="shared" si="9"/>
        <v>13.793103448275861</v>
      </c>
      <c r="Q233" s="36">
        <v>20.133437990580845</v>
      </c>
      <c r="R233" s="53">
        <f t="shared" si="10"/>
        <v>2.7770259297352888</v>
      </c>
      <c r="S233" s="36">
        <v>20.260761647316301</v>
      </c>
      <c r="T233" s="108">
        <f t="shared" si="11"/>
        <v>13.706424161517777</v>
      </c>
      <c r="U233" s="65"/>
      <c r="V233" s="62">
        <v>250</v>
      </c>
      <c r="W233" s="62"/>
      <c r="X233" s="62"/>
      <c r="Y233" s="62"/>
      <c r="Z233" s="62"/>
      <c r="AA233" s="62"/>
      <c r="AB233" s="62"/>
      <c r="AC233" s="62"/>
      <c r="AD233" s="62"/>
      <c r="AE233" s="62"/>
      <c r="AF233" s="62"/>
      <c r="AG233" s="62"/>
      <c r="AH233" s="36"/>
      <c r="AI233" s="36"/>
      <c r="AJ233" s="36"/>
      <c r="AK233" s="36"/>
      <c r="AL233" s="36"/>
      <c r="AM233" s="36"/>
      <c r="AN233" s="36"/>
      <c r="AO233" s="36"/>
      <c r="AP233" s="36"/>
    </row>
    <row r="234" spans="1:42" s="38" customFormat="1" ht="20.25" customHeight="1">
      <c r="A234" s="35">
        <v>41761</v>
      </c>
      <c r="B234" s="35" t="s">
        <v>144</v>
      </c>
      <c r="C234" s="168">
        <v>2014</v>
      </c>
      <c r="D234" s="65">
        <v>2</v>
      </c>
      <c r="E234" s="36" t="s">
        <v>223</v>
      </c>
      <c r="F234" s="36" t="s">
        <v>224</v>
      </c>
      <c r="G234" s="36" t="s">
        <v>225</v>
      </c>
      <c r="H234" s="36" t="s">
        <v>243</v>
      </c>
      <c r="I234" s="53"/>
      <c r="J234" s="53"/>
      <c r="K234" s="36"/>
      <c r="L234" s="36">
        <v>2</v>
      </c>
      <c r="M234" s="36" t="s">
        <v>508</v>
      </c>
      <c r="N234" s="36" t="s">
        <v>673</v>
      </c>
      <c r="O234" s="36">
        <v>29</v>
      </c>
      <c r="P234" s="36">
        <f t="shared" si="9"/>
        <v>6.8965517241379306</v>
      </c>
      <c r="Q234" s="36">
        <v>20.133437990580799</v>
      </c>
      <c r="R234" s="53">
        <f t="shared" si="10"/>
        <v>1.3885129648676413</v>
      </c>
      <c r="S234" s="65">
        <v>20.260761647316301</v>
      </c>
      <c r="T234" s="108">
        <f t="shared" si="11"/>
        <v>6.8532120807588734</v>
      </c>
      <c r="U234" s="65"/>
      <c r="V234" s="62">
        <v>250</v>
      </c>
      <c r="W234" s="62"/>
      <c r="X234" s="62"/>
      <c r="Y234" s="62"/>
      <c r="Z234" s="62"/>
      <c r="AA234" s="62"/>
      <c r="AB234" s="62"/>
      <c r="AC234" s="62"/>
      <c r="AD234" s="62"/>
      <c r="AE234" s="62"/>
      <c r="AF234" s="62"/>
      <c r="AG234" s="62"/>
      <c r="AH234" s="36"/>
      <c r="AI234" s="36"/>
      <c r="AJ234" s="36"/>
      <c r="AK234" s="36"/>
      <c r="AL234" s="36"/>
      <c r="AM234" s="36"/>
      <c r="AN234" s="36"/>
      <c r="AO234" s="36"/>
      <c r="AP234" s="36"/>
    </row>
    <row r="235" spans="1:42" s="38" customFormat="1" ht="20.25" customHeight="1">
      <c r="A235" s="35">
        <v>41761</v>
      </c>
      <c r="B235" s="35" t="s">
        <v>144</v>
      </c>
      <c r="C235" s="168">
        <v>2014</v>
      </c>
      <c r="D235" s="65">
        <v>2</v>
      </c>
      <c r="E235" s="65" t="s">
        <v>223</v>
      </c>
      <c r="F235" s="65" t="s">
        <v>224</v>
      </c>
      <c r="G235" s="65" t="s">
        <v>225</v>
      </c>
      <c r="H235" s="65" t="s">
        <v>226</v>
      </c>
      <c r="I235" s="53" t="s">
        <v>674</v>
      </c>
      <c r="J235" s="53" t="s">
        <v>675</v>
      </c>
      <c r="K235" s="36"/>
      <c r="L235" s="36">
        <v>1</v>
      </c>
      <c r="M235" s="36" t="s">
        <v>229</v>
      </c>
      <c r="N235" s="36" t="s">
        <v>676</v>
      </c>
      <c r="O235" s="36">
        <v>29</v>
      </c>
      <c r="P235" s="36">
        <f t="shared" si="9"/>
        <v>3.4482758620689653</v>
      </c>
      <c r="Q235" s="36">
        <v>20.133437990580799</v>
      </c>
      <c r="R235" s="53">
        <f t="shared" si="10"/>
        <v>0.69425648243382065</v>
      </c>
      <c r="S235" s="36">
        <v>20.260761647316301</v>
      </c>
      <c r="T235" s="108">
        <f t="shared" si="11"/>
        <v>3.4266060403794367</v>
      </c>
      <c r="U235" s="65"/>
      <c r="V235" s="62">
        <v>250</v>
      </c>
      <c r="W235" s="62"/>
      <c r="X235" s="62"/>
      <c r="Y235" s="62"/>
      <c r="Z235" s="62"/>
      <c r="AA235" s="62"/>
      <c r="AB235" s="62"/>
      <c r="AC235" s="62"/>
      <c r="AD235" s="62"/>
      <c r="AE235" s="62"/>
      <c r="AF235" s="62"/>
      <c r="AG235" s="62"/>
      <c r="AH235" s="36"/>
      <c r="AI235" s="36"/>
      <c r="AJ235" s="36"/>
      <c r="AK235" s="36"/>
      <c r="AL235" s="36"/>
      <c r="AM235" s="36"/>
      <c r="AN235" s="36"/>
      <c r="AO235" s="36"/>
      <c r="AP235" s="36"/>
    </row>
    <row r="236" spans="1:42" s="38" customFormat="1" ht="20.25" customHeight="1">
      <c r="A236" s="35">
        <v>41761</v>
      </c>
      <c r="B236" s="35" t="s">
        <v>144</v>
      </c>
      <c r="C236" s="168">
        <v>2014</v>
      </c>
      <c r="D236" s="65">
        <v>2</v>
      </c>
      <c r="E236" s="65" t="s">
        <v>223</v>
      </c>
      <c r="F236" s="65" t="s">
        <v>224</v>
      </c>
      <c r="G236" s="65" t="s">
        <v>225</v>
      </c>
      <c r="H236" s="65" t="s">
        <v>248</v>
      </c>
      <c r="I236" s="65" t="s">
        <v>359</v>
      </c>
      <c r="J236" s="65" t="s">
        <v>669</v>
      </c>
      <c r="K236" s="36"/>
      <c r="L236" s="36">
        <v>3</v>
      </c>
      <c r="M236" s="36" t="s">
        <v>229</v>
      </c>
      <c r="N236" s="36" t="s">
        <v>669</v>
      </c>
      <c r="O236" s="36">
        <v>29</v>
      </c>
      <c r="P236" s="36">
        <f t="shared" si="9"/>
        <v>10.344827586206897</v>
      </c>
      <c r="Q236" s="36">
        <v>20.133437990580799</v>
      </c>
      <c r="R236" s="53">
        <f t="shared" si="10"/>
        <v>2.082769447301462</v>
      </c>
      <c r="S236" s="36">
        <v>20.260761647316301</v>
      </c>
      <c r="T236" s="108">
        <f t="shared" si="11"/>
        <v>10.279818121138311</v>
      </c>
      <c r="U236" s="65"/>
      <c r="V236" s="62">
        <v>250</v>
      </c>
      <c r="W236" s="62"/>
      <c r="X236" s="62"/>
      <c r="Y236" s="62"/>
      <c r="Z236" s="62"/>
      <c r="AA236" s="62"/>
      <c r="AB236" s="62"/>
      <c r="AC236" s="62"/>
      <c r="AD236" s="62"/>
      <c r="AE236" s="62"/>
      <c r="AF236" s="62"/>
      <c r="AG236" s="62"/>
      <c r="AH236" s="36"/>
      <c r="AI236" s="36"/>
      <c r="AJ236" s="36"/>
      <c r="AK236" s="36"/>
      <c r="AL236" s="36"/>
      <c r="AM236" s="36"/>
      <c r="AN236" s="36"/>
      <c r="AO236" s="36"/>
      <c r="AP236" s="36"/>
    </row>
    <row r="237" spans="1:42" s="38" customFormat="1" ht="20.25" customHeight="1">
      <c r="A237" s="35">
        <v>41761</v>
      </c>
      <c r="B237" s="35" t="s">
        <v>144</v>
      </c>
      <c r="C237" s="168">
        <v>2014</v>
      </c>
      <c r="D237" s="65">
        <v>2</v>
      </c>
      <c r="E237" s="65" t="s">
        <v>223</v>
      </c>
      <c r="F237" s="65" t="s">
        <v>224</v>
      </c>
      <c r="G237" s="65" t="s">
        <v>225</v>
      </c>
      <c r="H237" s="65" t="s">
        <v>248</v>
      </c>
      <c r="I237" s="65" t="s">
        <v>359</v>
      </c>
      <c r="J237" s="65" t="s">
        <v>670</v>
      </c>
      <c r="K237" s="36"/>
      <c r="L237" s="36">
        <v>3</v>
      </c>
      <c r="M237" s="36" t="s">
        <v>229</v>
      </c>
      <c r="N237" s="36" t="s">
        <v>670</v>
      </c>
      <c r="O237" s="36">
        <v>29</v>
      </c>
      <c r="P237" s="36">
        <f t="shared" si="9"/>
        <v>10.344827586206897</v>
      </c>
      <c r="Q237" s="36">
        <v>20.133437990580799</v>
      </c>
      <c r="R237" s="53">
        <f t="shared" si="10"/>
        <v>2.082769447301462</v>
      </c>
      <c r="S237" s="36">
        <v>20.260761647316301</v>
      </c>
      <c r="T237" s="108">
        <f t="shared" si="11"/>
        <v>10.279818121138311</v>
      </c>
      <c r="U237" s="65"/>
      <c r="V237" s="62">
        <v>250</v>
      </c>
      <c r="W237" s="62"/>
      <c r="X237" s="62"/>
      <c r="Y237" s="62"/>
      <c r="Z237" s="62"/>
      <c r="AA237" s="62"/>
      <c r="AB237" s="62"/>
      <c r="AC237" s="62"/>
      <c r="AD237" s="62"/>
      <c r="AE237" s="62"/>
      <c r="AF237" s="62"/>
      <c r="AG237" s="62"/>
      <c r="AH237" s="36"/>
      <c r="AI237" s="36"/>
      <c r="AJ237" s="36"/>
      <c r="AK237" s="36"/>
      <c r="AL237" s="36"/>
      <c r="AM237" s="36"/>
      <c r="AN237" s="36"/>
      <c r="AO237" s="36"/>
      <c r="AP237" s="36"/>
    </row>
    <row r="238" spans="1:42" s="38" customFormat="1" ht="20.25" customHeight="1">
      <c r="A238" s="35">
        <v>41761</v>
      </c>
      <c r="B238" s="35" t="s">
        <v>144</v>
      </c>
      <c r="C238" s="168">
        <v>2014</v>
      </c>
      <c r="D238" s="65">
        <v>2</v>
      </c>
      <c r="E238" s="65" t="s">
        <v>223</v>
      </c>
      <c r="F238" s="65" t="s">
        <v>267</v>
      </c>
      <c r="G238" s="65" t="s">
        <v>278</v>
      </c>
      <c r="H238" s="65" t="s">
        <v>279</v>
      </c>
      <c r="I238" s="53" t="s">
        <v>280</v>
      </c>
      <c r="J238" s="53" t="s">
        <v>284</v>
      </c>
      <c r="K238" s="36" t="s">
        <v>285</v>
      </c>
      <c r="L238" s="36">
        <v>1</v>
      </c>
      <c r="M238" s="36" t="s">
        <v>247</v>
      </c>
      <c r="N238" s="36" t="s">
        <v>283</v>
      </c>
      <c r="O238" s="36">
        <v>1</v>
      </c>
      <c r="P238" s="36">
        <f t="shared" si="9"/>
        <v>100</v>
      </c>
      <c r="Q238" s="36">
        <v>0.12732365673542145</v>
      </c>
      <c r="R238" s="53">
        <f t="shared" si="10"/>
        <v>0.12732365673542145</v>
      </c>
      <c r="S238" s="36">
        <v>20.260761647316265</v>
      </c>
      <c r="T238" s="108">
        <f t="shared" si="11"/>
        <v>0.6284248289959361</v>
      </c>
      <c r="U238" s="65">
        <f>SUM(P249+P251)</f>
        <v>51.273026654317178</v>
      </c>
      <c r="V238" s="62">
        <v>1000</v>
      </c>
      <c r="W238" s="62"/>
      <c r="X238" s="62"/>
      <c r="Y238" s="62"/>
      <c r="Z238" s="62"/>
      <c r="AA238" s="62"/>
      <c r="AB238" s="62"/>
      <c r="AC238" s="62"/>
      <c r="AD238" s="62"/>
      <c r="AE238" s="62"/>
      <c r="AF238" s="62"/>
      <c r="AG238" s="62"/>
      <c r="AH238" s="36"/>
      <c r="AI238" s="36"/>
      <c r="AJ238" s="36"/>
      <c r="AK238" s="36"/>
      <c r="AL238" s="36"/>
      <c r="AM238" s="36"/>
      <c r="AN238" s="36"/>
      <c r="AO238" s="36"/>
      <c r="AP238" s="36"/>
    </row>
    <row r="239" spans="1:42" s="38" customFormat="1" ht="20.25" customHeight="1">
      <c r="A239" s="35">
        <v>41761</v>
      </c>
      <c r="B239" s="35" t="s">
        <v>144</v>
      </c>
      <c r="C239" s="168">
        <v>2014</v>
      </c>
      <c r="D239" s="65">
        <v>2</v>
      </c>
      <c r="E239" s="65" t="s">
        <v>216</v>
      </c>
      <c r="F239" s="65" t="s">
        <v>217</v>
      </c>
      <c r="G239" s="65"/>
      <c r="H239" s="65"/>
      <c r="I239" s="53"/>
      <c r="J239" s="53" t="s">
        <v>647</v>
      </c>
      <c r="K239" s="36"/>
      <c r="L239" s="36">
        <v>4</v>
      </c>
      <c r="M239" s="36" t="s">
        <v>229</v>
      </c>
      <c r="N239" s="36" t="s">
        <v>219</v>
      </c>
      <c r="O239" s="36">
        <v>29</v>
      </c>
      <c r="P239" s="36">
        <f t="shared" si="9"/>
        <v>13.793103448275861</v>
      </c>
      <c r="Q239" s="36">
        <v>20.133437990580799</v>
      </c>
      <c r="R239" s="53">
        <f t="shared" si="10"/>
        <v>2.7770259297352826</v>
      </c>
      <c r="S239" s="36">
        <v>20.260761647316301</v>
      </c>
      <c r="T239" s="108">
        <f t="shared" si="11"/>
        <v>13.706424161517747</v>
      </c>
      <c r="U239" s="65"/>
      <c r="V239" s="62">
        <v>250</v>
      </c>
      <c r="W239" s="62"/>
      <c r="X239" s="62"/>
      <c r="Y239" s="62"/>
      <c r="Z239" s="62"/>
      <c r="AA239" s="62"/>
      <c r="AB239" s="62"/>
      <c r="AC239" s="62"/>
      <c r="AD239" s="62"/>
      <c r="AE239" s="62"/>
      <c r="AF239" s="62"/>
      <c r="AG239" s="62"/>
      <c r="AH239" s="36"/>
      <c r="AI239" s="36"/>
      <c r="AJ239" s="36"/>
      <c r="AK239" s="36"/>
      <c r="AL239" s="36"/>
      <c r="AM239" s="36"/>
      <c r="AN239" s="36"/>
      <c r="AO239" s="36"/>
      <c r="AP239" s="36"/>
    </row>
    <row r="240" spans="1:42" s="38" customFormat="1" ht="20.25" customHeight="1">
      <c r="A240" s="35">
        <v>41761</v>
      </c>
      <c r="B240" s="35" t="s">
        <v>144</v>
      </c>
      <c r="C240" s="168">
        <v>2014</v>
      </c>
      <c r="D240" s="65">
        <v>2</v>
      </c>
      <c r="E240" s="65" t="s">
        <v>223</v>
      </c>
      <c r="F240" s="65" t="s">
        <v>224</v>
      </c>
      <c r="G240" s="65" t="s">
        <v>225</v>
      </c>
      <c r="H240" s="65" t="s">
        <v>226</v>
      </c>
      <c r="I240" s="53" t="s">
        <v>253</v>
      </c>
      <c r="J240" s="53" t="s">
        <v>256</v>
      </c>
      <c r="K240" s="36"/>
      <c r="L240" s="36">
        <v>1</v>
      </c>
      <c r="M240" s="36" t="s">
        <v>229</v>
      </c>
      <c r="N240" s="36" t="s">
        <v>256</v>
      </c>
      <c r="O240" s="36">
        <v>29</v>
      </c>
      <c r="P240" s="36">
        <f t="shared" si="9"/>
        <v>3.4482758620689653</v>
      </c>
      <c r="Q240" s="36">
        <v>20.133437990580799</v>
      </c>
      <c r="R240" s="53">
        <f t="shared" si="10"/>
        <v>0.69425648243382065</v>
      </c>
      <c r="S240" s="36">
        <v>20.260761647316301</v>
      </c>
      <c r="T240" s="108">
        <f t="shared" si="11"/>
        <v>3.4266060403794367</v>
      </c>
      <c r="U240" s="65"/>
      <c r="V240" s="62">
        <v>250</v>
      </c>
      <c r="W240" s="62"/>
      <c r="X240" s="62"/>
      <c r="Y240" s="62"/>
      <c r="Z240" s="62"/>
      <c r="AA240" s="62"/>
      <c r="AB240" s="62"/>
      <c r="AC240" s="62"/>
      <c r="AD240" s="62"/>
      <c r="AE240" s="62"/>
      <c r="AF240" s="62"/>
      <c r="AG240" s="62"/>
      <c r="AH240" s="36"/>
      <c r="AI240" s="36"/>
      <c r="AJ240" s="36"/>
      <c r="AK240" s="36"/>
      <c r="AL240" s="36"/>
      <c r="AM240" s="36"/>
      <c r="AN240" s="36"/>
      <c r="AO240" s="36"/>
      <c r="AP240" s="36"/>
    </row>
    <row r="241" spans="1:42" s="38" customFormat="1" ht="20.25" customHeight="1">
      <c r="A241" s="35">
        <v>41761</v>
      </c>
      <c r="B241" s="35" t="s">
        <v>144</v>
      </c>
      <c r="C241" s="168">
        <v>2014</v>
      </c>
      <c r="D241" s="65">
        <v>2</v>
      </c>
      <c r="E241" s="65" t="s">
        <v>223</v>
      </c>
      <c r="F241" s="65" t="s">
        <v>224</v>
      </c>
      <c r="G241" s="65" t="s">
        <v>225</v>
      </c>
      <c r="H241" s="65" t="s">
        <v>226</v>
      </c>
      <c r="I241" s="36"/>
      <c r="J241" s="36"/>
      <c r="K241" s="36"/>
      <c r="L241" s="36">
        <v>1</v>
      </c>
      <c r="M241" s="36" t="s">
        <v>508</v>
      </c>
      <c r="N241" s="36" t="s">
        <v>712</v>
      </c>
      <c r="O241" s="36">
        <v>29</v>
      </c>
      <c r="P241" s="36">
        <f t="shared" si="9"/>
        <v>3.4482758620689653</v>
      </c>
      <c r="Q241" s="36">
        <v>20.133437990580799</v>
      </c>
      <c r="R241" s="53">
        <f t="shared" si="10"/>
        <v>0.69425648243382065</v>
      </c>
      <c r="S241" s="36">
        <v>20.260761647316301</v>
      </c>
      <c r="T241" s="108">
        <f t="shared" si="11"/>
        <v>3.4266060403794367</v>
      </c>
      <c r="U241" s="65"/>
      <c r="V241" s="62">
        <v>250</v>
      </c>
      <c r="W241" s="62"/>
      <c r="X241" s="62"/>
      <c r="Y241" s="62"/>
      <c r="Z241" s="62"/>
      <c r="AA241" s="62">
        <f t="shared" ref="AA241" si="12">(T241/100)</f>
        <v>3.4266060403794367E-2</v>
      </c>
      <c r="AB241" s="62">
        <f t="shared" ref="AB241" si="13">LN(AA241)</f>
        <v>-3.3735999072819696</v>
      </c>
      <c r="AC241" s="62">
        <f t="shared" ref="AC241" si="14">(AA241*AB241)</f>
        <v>-0.11559997820115904</v>
      </c>
      <c r="AD241" s="62"/>
      <c r="AE241" s="62"/>
      <c r="AF241" s="62"/>
      <c r="AG241" s="62"/>
      <c r="AH241" s="36"/>
      <c r="AI241" s="36"/>
      <c r="AJ241" s="36"/>
      <c r="AK241" s="36"/>
      <c r="AL241" s="36"/>
      <c r="AM241" s="36"/>
      <c r="AN241" s="36"/>
      <c r="AO241" s="36"/>
      <c r="AP241" s="36"/>
    </row>
    <row r="242" spans="1:42" s="38" customFormat="1" ht="20.25" customHeight="1">
      <c r="A242" s="13">
        <v>41851</v>
      </c>
      <c r="B242" s="35" t="s">
        <v>154</v>
      </c>
      <c r="C242" s="164">
        <v>2014</v>
      </c>
      <c r="D242" s="65">
        <v>8</v>
      </c>
      <c r="E242" s="3" t="s">
        <v>223</v>
      </c>
      <c r="F242" s="3" t="s">
        <v>224</v>
      </c>
      <c r="G242" s="3" t="s">
        <v>225</v>
      </c>
      <c r="H242" s="3" t="s">
        <v>226</v>
      </c>
      <c r="I242" s="3" t="s">
        <v>227</v>
      </c>
      <c r="J242" s="3" t="s">
        <v>228</v>
      </c>
      <c r="K242" s="3"/>
      <c r="L242" s="3">
        <v>144</v>
      </c>
      <c r="M242" s="3" t="s">
        <v>229</v>
      </c>
      <c r="N242" s="3" t="s">
        <v>228</v>
      </c>
      <c r="O242" s="3">
        <v>237</v>
      </c>
      <c r="P242" s="3">
        <f t="shared" si="9"/>
        <v>60.75949367088608</v>
      </c>
      <c r="Q242" s="36">
        <v>1639.6580253723112</v>
      </c>
      <c r="R242" s="8">
        <f t="shared" si="10"/>
        <v>996.24791415026505</v>
      </c>
      <c r="S242" s="36">
        <v>1640.2456730187801</v>
      </c>
      <c r="T242" s="60">
        <f t="shared" si="11"/>
        <v>60.737725484544434</v>
      </c>
      <c r="U242" s="111"/>
      <c r="V242" s="36">
        <v>250</v>
      </c>
      <c r="W242" s="3"/>
      <c r="X242" s="3"/>
      <c r="Y242" s="3"/>
      <c r="Z242" s="36"/>
      <c r="AA242" s="36"/>
      <c r="AB242" s="36"/>
      <c r="AC242" s="36"/>
      <c r="AD242" s="36"/>
      <c r="AE242" s="36"/>
    </row>
    <row r="243" spans="1:42" s="38" customFormat="1" ht="20.25" customHeight="1">
      <c r="A243" s="13">
        <v>41851</v>
      </c>
      <c r="B243" s="35" t="s">
        <v>154</v>
      </c>
      <c r="C243" s="164">
        <v>2014</v>
      </c>
      <c r="D243" s="65">
        <v>8</v>
      </c>
      <c r="E243" s="51" t="s">
        <v>223</v>
      </c>
      <c r="F243" s="51" t="s">
        <v>303</v>
      </c>
      <c r="G243" s="51" t="s">
        <v>304</v>
      </c>
      <c r="H243" s="51" t="s">
        <v>305</v>
      </c>
      <c r="I243" s="51" t="s">
        <v>306</v>
      </c>
      <c r="J243" s="3" t="s">
        <v>307</v>
      </c>
      <c r="K243" s="3"/>
      <c r="L243" s="3">
        <v>4</v>
      </c>
      <c r="M243" s="3" t="s">
        <v>229</v>
      </c>
      <c r="N243" s="3" t="s">
        <v>307</v>
      </c>
      <c r="O243" s="3">
        <v>237</v>
      </c>
      <c r="P243" s="3">
        <f t="shared" si="9"/>
        <v>1.6877637130801686</v>
      </c>
      <c r="Q243" s="65">
        <v>1639.6580253723112</v>
      </c>
      <c r="R243" s="8">
        <f t="shared" si="10"/>
        <v>27.673553170840691</v>
      </c>
      <c r="S243" s="36">
        <v>1640.2456730187801</v>
      </c>
      <c r="T243" s="60">
        <f t="shared" si="11"/>
        <v>1.6871590412373454</v>
      </c>
      <c r="U243" s="111"/>
      <c r="V243" s="36">
        <v>250</v>
      </c>
      <c r="W243" s="36" t="s">
        <v>308</v>
      </c>
      <c r="X243" s="3"/>
      <c r="Y243" s="3"/>
      <c r="Z243" s="36"/>
      <c r="AA243" s="36"/>
      <c r="AB243" s="36"/>
      <c r="AC243" s="36"/>
      <c r="AD243" s="36"/>
      <c r="AE243" s="36"/>
    </row>
    <row r="244" spans="1:42" ht="20.25" customHeight="1">
      <c r="A244" s="13">
        <v>41851</v>
      </c>
      <c r="B244" s="72" t="s">
        <v>154</v>
      </c>
      <c r="C244" s="164">
        <v>2014</v>
      </c>
      <c r="D244" s="65">
        <v>8</v>
      </c>
      <c r="E244" s="3" t="s">
        <v>223</v>
      </c>
      <c r="F244" s="3" t="s">
        <v>303</v>
      </c>
      <c r="G244" s="3" t="s">
        <v>304</v>
      </c>
      <c r="H244" s="3" t="s">
        <v>305</v>
      </c>
      <c r="I244" s="3" t="s">
        <v>306</v>
      </c>
      <c r="J244" s="3" t="s">
        <v>307</v>
      </c>
      <c r="K244" s="3"/>
      <c r="L244" s="3">
        <v>2</v>
      </c>
      <c r="M244" s="3" t="s">
        <v>229</v>
      </c>
      <c r="N244" s="3" t="s">
        <v>307</v>
      </c>
      <c r="O244" s="3">
        <v>237</v>
      </c>
      <c r="P244" s="3">
        <f t="shared" si="9"/>
        <v>0.8438818565400843</v>
      </c>
      <c r="Q244" s="65">
        <v>1639.6580253723112</v>
      </c>
      <c r="R244" s="8">
        <f t="shared" si="10"/>
        <v>13.836776585420345</v>
      </c>
      <c r="S244" s="36">
        <v>1640.2456730187801</v>
      </c>
      <c r="T244" s="60">
        <f t="shared" si="11"/>
        <v>0.8435795206186727</v>
      </c>
      <c r="U244" s="111"/>
      <c r="V244" s="3">
        <v>250</v>
      </c>
      <c r="W244" s="36" t="s">
        <v>620</v>
      </c>
      <c r="X244" s="3"/>
      <c r="Y244" s="3"/>
      <c r="Z244" s="3"/>
      <c r="AA244" s="3"/>
      <c r="AB244" s="3"/>
      <c r="AC244" s="3"/>
      <c r="AD244" s="3"/>
      <c r="AE244" s="3"/>
    </row>
    <row r="245" spans="1:42" ht="20.25" customHeight="1">
      <c r="A245" s="35">
        <v>41851</v>
      </c>
      <c r="B245" s="35" t="s">
        <v>154</v>
      </c>
      <c r="C245" s="164">
        <v>2014</v>
      </c>
      <c r="D245" s="76">
        <v>8</v>
      </c>
      <c r="E245" s="36" t="s">
        <v>351</v>
      </c>
      <c r="F245" s="36"/>
      <c r="G245" s="36"/>
      <c r="H245" s="36"/>
      <c r="I245" s="36"/>
      <c r="J245" s="36"/>
      <c r="K245" s="36"/>
      <c r="L245" s="36">
        <v>4</v>
      </c>
      <c r="M245" s="36" t="s">
        <v>474</v>
      </c>
      <c r="N245" s="36" t="s">
        <v>352</v>
      </c>
      <c r="O245" s="36">
        <v>5</v>
      </c>
      <c r="P245" s="36">
        <f t="shared" si="9"/>
        <v>80</v>
      </c>
      <c r="Q245" s="65">
        <v>0.58764764647117596</v>
      </c>
      <c r="R245" s="53">
        <f t="shared" si="10"/>
        <v>0.4701181171769408</v>
      </c>
      <c r="S245" s="36">
        <v>1640.2456730187823</v>
      </c>
      <c r="T245" s="53">
        <f t="shared" si="11"/>
        <v>2.8661445349934325E-2</v>
      </c>
      <c r="U245" s="53">
        <f>SUM(T245+T246)</f>
        <v>13.947723535558035</v>
      </c>
      <c r="V245" s="36">
        <v>1000</v>
      </c>
      <c r="W245" s="36"/>
      <c r="X245" s="36"/>
      <c r="Y245" s="36"/>
      <c r="Z245" s="3"/>
      <c r="AA245" s="3"/>
      <c r="AB245" s="3"/>
      <c r="AC245" s="3"/>
      <c r="AD245" s="3"/>
      <c r="AE245" s="3"/>
    </row>
    <row r="246" spans="1:42" ht="20.25" customHeight="1">
      <c r="A246" s="13">
        <v>41851</v>
      </c>
      <c r="B246" s="72" t="s">
        <v>154</v>
      </c>
      <c r="C246" s="168">
        <v>2014</v>
      </c>
      <c r="D246" s="65">
        <v>8</v>
      </c>
      <c r="E246" s="36" t="s">
        <v>223</v>
      </c>
      <c r="F246" s="36" t="s">
        <v>224</v>
      </c>
      <c r="G246" s="36" t="s">
        <v>225</v>
      </c>
      <c r="H246" s="36" t="s">
        <v>226</v>
      </c>
      <c r="I246" s="36" t="s">
        <v>239</v>
      </c>
      <c r="J246" s="36" t="s">
        <v>240</v>
      </c>
      <c r="K246" s="3"/>
      <c r="L246" s="3">
        <v>33</v>
      </c>
      <c r="M246" s="3" t="s">
        <v>229</v>
      </c>
      <c r="N246" s="3" t="s">
        <v>240</v>
      </c>
      <c r="O246" s="3">
        <v>237</v>
      </c>
      <c r="P246" s="3">
        <f t="shared" si="9"/>
        <v>13.924050632911392</v>
      </c>
      <c r="Q246" s="65">
        <v>1639.6580253723112</v>
      </c>
      <c r="R246" s="8">
        <f t="shared" si="10"/>
        <v>228.30681365943573</v>
      </c>
      <c r="S246" s="36">
        <v>1640.2456730187801</v>
      </c>
      <c r="T246" s="60">
        <f t="shared" si="11"/>
        <v>13.919062090208101</v>
      </c>
      <c r="U246" s="111"/>
      <c r="V246" s="3">
        <v>250</v>
      </c>
      <c r="W246" s="3"/>
      <c r="X246" s="3"/>
      <c r="Y246" s="3"/>
      <c r="Z246" s="3"/>
      <c r="AA246" s="3"/>
      <c r="AB246" s="3"/>
      <c r="AC246" s="3"/>
      <c r="AD246" s="3"/>
      <c r="AE246" s="3"/>
    </row>
    <row r="247" spans="1:42" ht="20.25" customHeight="1">
      <c r="A247" s="72">
        <v>41851</v>
      </c>
      <c r="B247" s="35" t="s">
        <v>154</v>
      </c>
      <c r="C247" s="168">
        <v>2014</v>
      </c>
      <c r="D247" s="76">
        <v>8</v>
      </c>
      <c r="E247" s="36" t="s">
        <v>288</v>
      </c>
      <c r="F247" s="36" t="s">
        <v>289</v>
      </c>
      <c r="G247" s="36"/>
      <c r="H247" s="36"/>
      <c r="I247" s="36"/>
      <c r="J247" s="36"/>
      <c r="K247" s="36"/>
      <c r="L247" s="36">
        <v>1</v>
      </c>
      <c r="M247" s="36" t="s">
        <v>221</v>
      </c>
      <c r="N247" s="36" t="s">
        <v>294</v>
      </c>
      <c r="O247" s="36">
        <v>5</v>
      </c>
      <c r="P247" s="36">
        <f t="shared" si="9"/>
        <v>20</v>
      </c>
      <c r="Q247" s="65">
        <v>0.58764764647117596</v>
      </c>
      <c r="R247" s="40">
        <f t="shared" si="10"/>
        <v>0.1175295292942352</v>
      </c>
      <c r="S247" s="36">
        <v>1640.2456730187823</v>
      </c>
      <c r="T247" s="40">
        <f t="shared" si="11"/>
        <v>7.1653613374835813E-3</v>
      </c>
      <c r="U247" s="110"/>
      <c r="V247" s="36">
        <v>1000</v>
      </c>
      <c r="W247" s="36"/>
      <c r="X247" s="36"/>
      <c r="Y247" s="3"/>
      <c r="Z247" s="3"/>
      <c r="AA247" s="3"/>
      <c r="AB247" s="3"/>
      <c r="AC247" s="3"/>
      <c r="AD247" s="3"/>
      <c r="AE247" s="3"/>
    </row>
    <row r="248" spans="1:42" ht="20.25" customHeight="1">
      <c r="A248" s="13">
        <v>41851</v>
      </c>
      <c r="B248" s="72" t="s">
        <v>154</v>
      </c>
      <c r="C248" s="168">
        <v>2014</v>
      </c>
      <c r="D248" s="65">
        <v>8</v>
      </c>
      <c r="E248" s="51" t="s">
        <v>223</v>
      </c>
      <c r="F248" s="51" t="s">
        <v>224</v>
      </c>
      <c r="G248" s="51" t="s">
        <v>225</v>
      </c>
      <c r="H248" s="51" t="s">
        <v>248</v>
      </c>
      <c r="I248" s="51" t="s">
        <v>249</v>
      </c>
      <c r="J248" s="3" t="s">
        <v>250</v>
      </c>
      <c r="K248" s="3" t="s">
        <v>501</v>
      </c>
      <c r="L248" s="3">
        <v>18</v>
      </c>
      <c r="M248" s="3" t="s">
        <v>247</v>
      </c>
      <c r="N248" s="3" t="s">
        <v>250</v>
      </c>
      <c r="O248" s="3">
        <v>237</v>
      </c>
      <c r="P248" s="3">
        <f t="shared" si="9"/>
        <v>7.59493670886076</v>
      </c>
      <c r="Q248" s="65">
        <v>1639.6580253723112</v>
      </c>
      <c r="R248" s="8">
        <f t="shared" si="10"/>
        <v>124.53098926878313</v>
      </c>
      <c r="S248" s="36">
        <v>1640.2456730187801</v>
      </c>
      <c r="T248" s="60">
        <f t="shared" si="11"/>
        <v>7.5922156855680543</v>
      </c>
      <c r="U248" s="111"/>
      <c r="V248" s="36">
        <v>250</v>
      </c>
      <c r="W248" s="3"/>
      <c r="X248" s="3"/>
      <c r="Y248" s="3"/>
      <c r="Z248" s="3"/>
      <c r="AA248" s="3"/>
      <c r="AB248" s="3"/>
      <c r="AC248" s="3"/>
      <c r="AD248" s="3"/>
      <c r="AE248" s="3"/>
    </row>
    <row r="249" spans="1:42" ht="20.25" customHeight="1">
      <c r="A249" s="13">
        <v>41851</v>
      </c>
      <c r="B249" s="72" t="s">
        <v>154</v>
      </c>
      <c r="C249" s="168">
        <v>2014</v>
      </c>
      <c r="D249" s="65">
        <v>8</v>
      </c>
      <c r="E249" s="65" t="s">
        <v>223</v>
      </c>
      <c r="F249" s="65" t="s">
        <v>224</v>
      </c>
      <c r="G249" s="65" t="s">
        <v>225</v>
      </c>
      <c r="H249" s="65" t="s">
        <v>226</v>
      </c>
      <c r="I249" s="65" t="s">
        <v>253</v>
      </c>
      <c r="J249" s="36" t="s">
        <v>256</v>
      </c>
      <c r="K249" s="3"/>
      <c r="L249" s="3">
        <v>14</v>
      </c>
      <c r="M249" s="3" t="s">
        <v>229</v>
      </c>
      <c r="N249" s="3" t="s">
        <v>256</v>
      </c>
      <c r="O249" s="3">
        <v>237</v>
      </c>
      <c r="P249" s="3">
        <f t="shared" si="9"/>
        <v>5.9071729957805905</v>
      </c>
      <c r="Q249" s="65">
        <v>1639.6580253723112</v>
      </c>
      <c r="R249" s="8">
        <f t="shared" si="10"/>
        <v>96.857436097942426</v>
      </c>
      <c r="S249" s="36">
        <v>1640.2456730187801</v>
      </c>
      <c r="T249" s="60">
        <f t="shared" si="11"/>
        <v>5.9050566443307089</v>
      </c>
      <c r="U249" s="111"/>
      <c r="V249" s="3">
        <v>250</v>
      </c>
      <c r="W249" s="3"/>
      <c r="X249" s="3"/>
      <c r="Y249" s="3"/>
      <c r="Z249" s="3"/>
      <c r="AA249" s="3"/>
      <c r="AB249" s="3"/>
      <c r="AC249" s="3"/>
      <c r="AD249" s="3"/>
      <c r="AE249" s="3"/>
    </row>
    <row r="250" spans="1:42" ht="20.25" customHeight="1">
      <c r="A250" s="13">
        <v>41851</v>
      </c>
      <c r="B250" s="35" t="s">
        <v>154</v>
      </c>
      <c r="C250" s="168">
        <v>2014</v>
      </c>
      <c r="D250" s="65">
        <v>8</v>
      </c>
      <c r="E250" s="36" t="s">
        <v>223</v>
      </c>
      <c r="F250" s="36" t="s">
        <v>224</v>
      </c>
      <c r="G250" s="36" t="s">
        <v>225</v>
      </c>
      <c r="H250" s="36" t="s">
        <v>226</v>
      </c>
      <c r="I250" s="36" t="s">
        <v>261</v>
      </c>
      <c r="J250" s="36" t="s">
        <v>262</v>
      </c>
      <c r="K250" s="3"/>
      <c r="L250" s="3">
        <v>22</v>
      </c>
      <c r="M250" s="3" t="s">
        <v>229</v>
      </c>
      <c r="N250" s="3" t="s">
        <v>264</v>
      </c>
      <c r="O250" s="3">
        <v>237</v>
      </c>
      <c r="P250" s="3">
        <f t="shared" si="9"/>
        <v>9.2827004219409286</v>
      </c>
      <c r="Q250" s="65">
        <v>1639.6580253723112</v>
      </c>
      <c r="R250" s="8">
        <f t="shared" si="10"/>
        <v>152.20454243962382</v>
      </c>
      <c r="S250" s="36">
        <v>1640.2456730187801</v>
      </c>
      <c r="T250" s="60">
        <f t="shared" si="11"/>
        <v>9.2793747268054005</v>
      </c>
      <c r="U250" s="111"/>
      <c r="V250" s="36">
        <v>250</v>
      </c>
      <c r="W250" s="3"/>
      <c r="X250" s="3"/>
      <c r="Y250" s="3"/>
      <c r="Z250" s="3"/>
      <c r="AA250" s="3"/>
      <c r="AB250" s="3"/>
      <c r="AC250" s="3"/>
      <c r="AD250" s="3"/>
      <c r="AE250" s="3"/>
    </row>
    <row r="251" spans="1:42" ht="20.25" customHeight="1">
      <c r="A251" s="71">
        <v>41851</v>
      </c>
      <c r="B251" s="35" t="s">
        <v>154</v>
      </c>
      <c r="C251" s="164">
        <v>2014</v>
      </c>
      <c r="D251" s="36">
        <v>5</v>
      </c>
      <c r="E251" s="3" t="s">
        <v>223</v>
      </c>
      <c r="F251" s="3" t="s">
        <v>224</v>
      </c>
      <c r="G251" s="3" t="s">
        <v>225</v>
      </c>
      <c r="H251" s="3" t="s">
        <v>226</v>
      </c>
      <c r="I251" s="3" t="s">
        <v>227</v>
      </c>
      <c r="J251" s="3" t="s">
        <v>228</v>
      </c>
      <c r="K251" s="3"/>
      <c r="L251" s="3">
        <v>93</v>
      </c>
      <c r="M251" s="3" t="s">
        <v>229</v>
      </c>
      <c r="N251" s="3" t="s">
        <v>228</v>
      </c>
      <c r="O251" s="3">
        <v>205</v>
      </c>
      <c r="P251" s="3">
        <f t="shared" si="9"/>
        <v>45.365853658536587</v>
      </c>
      <c r="Q251" s="65">
        <v>1799.7517926089354</v>
      </c>
      <c r="R251" s="8">
        <f t="shared" si="10"/>
        <v>816.47276445185855</v>
      </c>
      <c r="S251" s="36">
        <v>1812.1546147003401</v>
      </c>
      <c r="T251" s="60">
        <f t="shared" si="11"/>
        <v>45.055358843476576</v>
      </c>
      <c r="U251" s="111"/>
      <c r="V251" s="3">
        <v>250</v>
      </c>
      <c r="W251" s="3"/>
      <c r="X251" s="3"/>
      <c r="Y251" s="36"/>
      <c r="Z251" s="3"/>
      <c r="AA251" s="3"/>
      <c r="AB251" s="3"/>
      <c r="AC251" s="3"/>
      <c r="AD251" s="3"/>
      <c r="AE251" s="3"/>
    </row>
    <row r="252" spans="1:42" ht="20.25" customHeight="1">
      <c r="A252" s="72">
        <v>41851</v>
      </c>
      <c r="B252" s="35" t="s">
        <v>154</v>
      </c>
      <c r="C252" s="164">
        <v>2014</v>
      </c>
      <c r="D252" s="36">
        <v>5</v>
      </c>
      <c r="E252" s="65" t="s">
        <v>223</v>
      </c>
      <c r="F252" s="65" t="s">
        <v>267</v>
      </c>
      <c r="G252" s="65" t="s">
        <v>278</v>
      </c>
      <c r="H252" s="65" t="s">
        <v>269</v>
      </c>
      <c r="I252" s="65" t="s">
        <v>333</v>
      </c>
      <c r="J252" s="36" t="s">
        <v>334</v>
      </c>
      <c r="K252" s="36"/>
      <c r="L252" s="36">
        <v>1</v>
      </c>
      <c r="M252" s="36" t="s">
        <v>229</v>
      </c>
      <c r="N252" s="36" t="s">
        <v>270</v>
      </c>
      <c r="O252" s="36">
        <v>138</v>
      </c>
      <c r="P252" s="36">
        <f t="shared" si="9"/>
        <v>0.72463768115942029</v>
      </c>
      <c r="Q252" s="65">
        <v>12.402822091403406</v>
      </c>
      <c r="R252" s="40">
        <f t="shared" si="10"/>
        <v>8.9875522401473965E-2</v>
      </c>
      <c r="S252" s="36">
        <v>1812.1546147003401</v>
      </c>
      <c r="T252" s="40">
        <f t="shared" si="11"/>
        <v>4.9595945992906287E-3</v>
      </c>
      <c r="U252" s="110"/>
      <c r="V252" s="36">
        <v>1000</v>
      </c>
      <c r="W252" s="36"/>
      <c r="X252" s="36"/>
      <c r="Y252" s="36"/>
      <c r="Z252" s="3"/>
      <c r="AA252" s="3"/>
      <c r="AB252" s="3"/>
      <c r="AC252" s="3"/>
      <c r="AD252" s="3"/>
      <c r="AE252" s="3"/>
    </row>
    <row r="253" spans="1:42" s="38" customFormat="1" ht="20.25" customHeight="1">
      <c r="A253" s="71">
        <v>41851</v>
      </c>
      <c r="B253" s="72" t="s">
        <v>154</v>
      </c>
      <c r="C253" s="164">
        <v>2014</v>
      </c>
      <c r="D253" s="36">
        <v>5</v>
      </c>
      <c r="E253" s="3" t="s">
        <v>223</v>
      </c>
      <c r="F253" s="3" t="s">
        <v>303</v>
      </c>
      <c r="G253" s="3" t="s">
        <v>304</v>
      </c>
      <c r="H253" s="3" t="s">
        <v>305</v>
      </c>
      <c r="I253" s="3" t="s">
        <v>306</v>
      </c>
      <c r="J253" s="3" t="s">
        <v>307</v>
      </c>
      <c r="K253" s="3"/>
      <c r="L253" s="3">
        <v>4</v>
      </c>
      <c r="M253" s="3" t="s">
        <v>229</v>
      </c>
      <c r="N253" s="3" t="s">
        <v>307</v>
      </c>
      <c r="O253" s="3">
        <v>205</v>
      </c>
      <c r="P253" s="3">
        <f t="shared" si="9"/>
        <v>1.9512195121951219</v>
      </c>
      <c r="Q253" s="65">
        <v>1799.7517926089354</v>
      </c>
      <c r="R253" s="8">
        <f t="shared" si="10"/>
        <v>35.117108148467032</v>
      </c>
      <c r="S253" s="36">
        <v>1812.1546147003401</v>
      </c>
      <c r="T253" s="60">
        <f t="shared" si="11"/>
        <v>1.937864896493616</v>
      </c>
      <c r="U253" s="111"/>
      <c r="V253" s="3">
        <v>250</v>
      </c>
      <c r="W253" s="36" t="s">
        <v>308</v>
      </c>
      <c r="X253" s="3"/>
      <c r="Y253" s="36"/>
      <c r="Z253" s="36"/>
      <c r="AA253" s="36"/>
      <c r="AB253" s="36"/>
      <c r="AC253" s="36"/>
      <c r="AD253" s="36"/>
      <c r="AE253" s="36"/>
    </row>
    <row r="254" spans="1:42" ht="20.25" customHeight="1">
      <c r="A254" s="72">
        <v>41851</v>
      </c>
      <c r="B254" s="35" t="s">
        <v>154</v>
      </c>
      <c r="C254" s="164">
        <v>2014</v>
      </c>
      <c r="D254" s="36">
        <v>5</v>
      </c>
      <c r="E254" s="65" t="s">
        <v>223</v>
      </c>
      <c r="F254" s="65" t="s">
        <v>267</v>
      </c>
      <c r="G254" s="65"/>
      <c r="H254" s="65" t="s">
        <v>273</v>
      </c>
      <c r="I254" s="65"/>
      <c r="J254" s="36"/>
      <c r="K254" s="36"/>
      <c r="L254" s="36">
        <v>1</v>
      </c>
      <c r="M254" s="36" t="s">
        <v>508</v>
      </c>
      <c r="N254" s="36" t="s">
        <v>494</v>
      </c>
      <c r="O254" s="36">
        <v>138</v>
      </c>
      <c r="P254" s="36">
        <f t="shared" si="9"/>
        <v>0.72463768115942029</v>
      </c>
      <c r="Q254" s="65">
        <v>12.402822091403406</v>
      </c>
      <c r="R254" s="40">
        <f t="shared" si="10"/>
        <v>8.9875522401473965E-2</v>
      </c>
      <c r="S254" s="36">
        <v>1812.1546147003387</v>
      </c>
      <c r="T254" s="40">
        <f t="shared" si="11"/>
        <v>4.9595945992906322E-3</v>
      </c>
      <c r="U254" s="110">
        <f>SUM(T254+T256+T258)</f>
        <v>0.64474729790778174</v>
      </c>
      <c r="V254" s="36">
        <v>1000</v>
      </c>
      <c r="W254" s="36"/>
      <c r="X254" s="36"/>
      <c r="Y254" s="3"/>
      <c r="Z254" s="36"/>
      <c r="AA254" s="3"/>
      <c r="AB254" s="3"/>
      <c r="AC254" s="3"/>
      <c r="AD254" s="3"/>
      <c r="AE254" s="3"/>
    </row>
    <row r="255" spans="1:42" ht="20.25" customHeight="1">
      <c r="A255" s="72">
        <v>41851</v>
      </c>
      <c r="B255" s="35" t="s">
        <v>154</v>
      </c>
      <c r="C255" s="164">
        <v>2014</v>
      </c>
      <c r="D255" s="36">
        <v>5</v>
      </c>
      <c r="E255" s="36" t="s">
        <v>223</v>
      </c>
      <c r="F255" s="36" t="s">
        <v>267</v>
      </c>
      <c r="G255" s="36"/>
      <c r="H255" s="36" t="s">
        <v>273</v>
      </c>
      <c r="I255" s="36" t="s">
        <v>274</v>
      </c>
      <c r="J255" s="36" t="s">
        <v>275</v>
      </c>
      <c r="K255" s="36" t="s">
        <v>276</v>
      </c>
      <c r="L255" s="36">
        <v>1</v>
      </c>
      <c r="M255" s="36" t="s">
        <v>247</v>
      </c>
      <c r="N255" s="36" t="s">
        <v>275</v>
      </c>
      <c r="O255" s="36">
        <v>138</v>
      </c>
      <c r="P255" s="36">
        <f t="shared" si="9"/>
        <v>0.72463768115942029</v>
      </c>
      <c r="Q255" s="65">
        <v>12.402822091403406</v>
      </c>
      <c r="R255" s="40">
        <f t="shared" si="10"/>
        <v>8.9875522401473965E-2</v>
      </c>
      <c r="S255" s="36">
        <v>1812.1546147003387</v>
      </c>
      <c r="T255" s="40">
        <f t="shared" si="11"/>
        <v>4.9595945992906322E-3</v>
      </c>
      <c r="U255" s="110"/>
      <c r="V255" s="36">
        <v>1000</v>
      </c>
      <c r="W255" s="36"/>
      <c r="X255" s="36"/>
      <c r="Y255" s="3"/>
      <c r="Z255" s="36"/>
      <c r="AA255" s="3"/>
      <c r="AB255" s="3"/>
      <c r="AC255" s="3"/>
      <c r="AD255" s="3"/>
      <c r="AE255" s="3"/>
    </row>
    <row r="256" spans="1:42" ht="20.25" customHeight="1">
      <c r="A256" s="72">
        <v>41851</v>
      </c>
      <c r="B256" s="35" t="s">
        <v>154</v>
      </c>
      <c r="C256" s="164">
        <v>2014</v>
      </c>
      <c r="D256" s="36">
        <v>5</v>
      </c>
      <c r="E256" s="36" t="s">
        <v>351</v>
      </c>
      <c r="F256" s="36"/>
      <c r="G256" s="36"/>
      <c r="H256" s="36"/>
      <c r="I256" s="36"/>
      <c r="J256" s="36"/>
      <c r="K256" s="36"/>
      <c r="L256" s="36">
        <v>119</v>
      </c>
      <c r="M256" s="36" t="s">
        <v>474</v>
      </c>
      <c r="N256" s="36" t="s">
        <v>534</v>
      </c>
      <c r="O256" s="36">
        <v>138</v>
      </c>
      <c r="P256" s="36">
        <f t="shared" si="9"/>
        <v>86.231884057971016</v>
      </c>
      <c r="Q256" s="65">
        <v>12.402822091403406</v>
      </c>
      <c r="R256" s="40">
        <f t="shared" si="10"/>
        <v>10.695187165775401</v>
      </c>
      <c r="S256" s="36">
        <v>1812.1546147003401</v>
      </c>
      <c r="T256" s="40">
        <f t="shared" si="11"/>
        <v>0.59019175731558482</v>
      </c>
      <c r="U256" s="110"/>
      <c r="V256" s="36">
        <v>1000</v>
      </c>
      <c r="W256" s="36" t="s">
        <v>535</v>
      </c>
      <c r="X256" s="36"/>
      <c r="Y256" s="3"/>
      <c r="Z256" s="36"/>
      <c r="AA256" s="3"/>
      <c r="AB256" s="3"/>
      <c r="AC256" s="3"/>
      <c r="AD256" s="3"/>
      <c r="AE256" s="3"/>
    </row>
    <row r="257" spans="1:31" ht="20.25" customHeight="1">
      <c r="A257" s="71">
        <v>41851</v>
      </c>
      <c r="B257" s="72" t="s">
        <v>154</v>
      </c>
      <c r="C257" s="168">
        <v>2014</v>
      </c>
      <c r="D257" s="36">
        <v>5</v>
      </c>
      <c r="E257" s="65" t="s">
        <v>223</v>
      </c>
      <c r="F257" s="65" t="s">
        <v>224</v>
      </c>
      <c r="G257" s="65" t="s">
        <v>225</v>
      </c>
      <c r="H257" s="65" t="s">
        <v>226</v>
      </c>
      <c r="I257" s="65" t="s">
        <v>239</v>
      </c>
      <c r="J257" s="36" t="s">
        <v>240</v>
      </c>
      <c r="K257" s="3"/>
      <c r="L257" s="3">
        <v>79</v>
      </c>
      <c r="M257" s="3" t="s">
        <v>229</v>
      </c>
      <c r="N257" s="3" t="s">
        <v>240</v>
      </c>
      <c r="O257" s="3">
        <v>205</v>
      </c>
      <c r="P257" s="3">
        <f t="shared" si="9"/>
        <v>38.536585365853661</v>
      </c>
      <c r="Q257" s="53">
        <v>1799.7517926089354</v>
      </c>
      <c r="R257" s="8">
        <f t="shared" si="10"/>
        <v>693.56288593222394</v>
      </c>
      <c r="S257" s="36">
        <v>1812.1546147003401</v>
      </c>
      <c r="T257" s="60">
        <f t="shared" si="11"/>
        <v>38.272831705748921</v>
      </c>
      <c r="U257" s="111"/>
      <c r="V257" s="36">
        <v>250</v>
      </c>
      <c r="W257" s="3"/>
      <c r="X257" s="3"/>
      <c r="Y257" s="36"/>
      <c r="Z257" s="36"/>
      <c r="AA257" s="3"/>
      <c r="AB257" s="3"/>
      <c r="AC257" s="3"/>
      <c r="AD257" s="3"/>
      <c r="AE257" s="3"/>
    </row>
    <row r="258" spans="1:31" ht="20.25" customHeight="1">
      <c r="A258" s="72">
        <v>41851</v>
      </c>
      <c r="B258" s="35" t="s">
        <v>154</v>
      </c>
      <c r="C258" s="168">
        <v>2014</v>
      </c>
      <c r="D258" s="36">
        <v>5</v>
      </c>
      <c r="E258" s="65" t="s">
        <v>288</v>
      </c>
      <c r="F258" s="65" t="s">
        <v>289</v>
      </c>
      <c r="G258" s="65"/>
      <c r="H258" s="65"/>
      <c r="I258" s="65"/>
      <c r="J258" s="65"/>
      <c r="K258" s="36"/>
      <c r="L258" s="36">
        <v>10</v>
      </c>
      <c r="M258" s="36" t="s">
        <v>221</v>
      </c>
      <c r="N258" s="36" t="s">
        <v>294</v>
      </c>
      <c r="O258" s="36">
        <v>138</v>
      </c>
      <c r="P258" s="36">
        <f t="shared" ref="P258:P321" si="15">L258/O258*100</f>
        <v>7.2463768115942031</v>
      </c>
      <c r="Q258" s="53">
        <v>12.402822091403406</v>
      </c>
      <c r="R258" s="40">
        <f t="shared" ref="R258:R321" si="16">(P258/100)*Q258</f>
        <v>0.89875522401473962</v>
      </c>
      <c r="S258" s="36">
        <v>1812.1546147003401</v>
      </c>
      <c r="T258" s="40">
        <f t="shared" ref="T258:T321" si="17">R258/S258*100</f>
        <v>4.9595945992906287E-2</v>
      </c>
      <c r="U258" s="110"/>
      <c r="V258" s="36">
        <v>1000</v>
      </c>
      <c r="W258" s="36"/>
      <c r="X258" s="36"/>
      <c r="Y258" s="36"/>
      <c r="Z258" s="36"/>
      <c r="AA258" s="3"/>
      <c r="AB258" s="3"/>
      <c r="AC258" s="3"/>
      <c r="AD258" s="3"/>
      <c r="AE258" s="3"/>
    </row>
    <row r="259" spans="1:31" s="38" customFormat="1" ht="20.25" customHeight="1">
      <c r="A259" s="35">
        <v>41851</v>
      </c>
      <c r="B259" s="72" t="s">
        <v>154</v>
      </c>
      <c r="C259" s="168">
        <v>2014</v>
      </c>
      <c r="D259" s="65">
        <v>5</v>
      </c>
      <c r="E259" s="36" t="s">
        <v>223</v>
      </c>
      <c r="F259" s="36" t="s">
        <v>267</v>
      </c>
      <c r="G259" s="36" t="s">
        <v>278</v>
      </c>
      <c r="H259" s="36" t="s">
        <v>279</v>
      </c>
      <c r="I259" s="36" t="s">
        <v>280</v>
      </c>
      <c r="J259" s="36" t="s">
        <v>284</v>
      </c>
      <c r="K259" s="36" t="s">
        <v>285</v>
      </c>
      <c r="L259" s="36">
        <v>6</v>
      </c>
      <c r="M259" s="36" t="s">
        <v>247</v>
      </c>
      <c r="N259" s="36" t="s">
        <v>283</v>
      </c>
      <c r="O259" s="36">
        <v>138</v>
      </c>
      <c r="P259" s="36">
        <f t="shared" si="15"/>
        <v>4.3478260869565215</v>
      </c>
      <c r="Q259" s="53">
        <v>12.402822091403406</v>
      </c>
      <c r="R259" s="40">
        <f t="shared" si="16"/>
        <v>0.5392531344088437</v>
      </c>
      <c r="S259" s="36">
        <v>1812.1546147003401</v>
      </c>
      <c r="T259" s="40">
        <f t="shared" si="17"/>
        <v>2.9757567595743765E-2</v>
      </c>
      <c r="U259" s="110"/>
      <c r="V259" s="36">
        <v>1000</v>
      </c>
      <c r="W259" s="36"/>
      <c r="X259" s="36"/>
      <c r="Y259" s="36"/>
      <c r="Z259" s="36"/>
      <c r="AA259" s="36"/>
      <c r="AB259" s="36"/>
      <c r="AC259" s="36"/>
      <c r="AD259" s="36"/>
      <c r="AE259" s="36"/>
    </row>
    <row r="260" spans="1:31" ht="20.25" customHeight="1">
      <c r="A260" s="71">
        <v>41851</v>
      </c>
      <c r="B260" s="72" t="s">
        <v>154</v>
      </c>
      <c r="C260" s="168">
        <v>2014</v>
      </c>
      <c r="D260" s="36">
        <v>5</v>
      </c>
      <c r="E260" s="3" t="s">
        <v>223</v>
      </c>
      <c r="F260" s="3" t="s">
        <v>224</v>
      </c>
      <c r="G260" s="3" t="s">
        <v>225</v>
      </c>
      <c r="H260" s="3" t="s">
        <v>248</v>
      </c>
      <c r="I260" s="3" t="s">
        <v>249</v>
      </c>
      <c r="J260" s="3" t="s">
        <v>250</v>
      </c>
      <c r="K260" s="3" t="s">
        <v>501</v>
      </c>
      <c r="L260" s="3">
        <v>6</v>
      </c>
      <c r="M260" s="3" t="s">
        <v>247</v>
      </c>
      <c r="N260" s="3" t="s">
        <v>250</v>
      </c>
      <c r="O260" s="3">
        <v>205</v>
      </c>
      <c r="P260" s="3">
        <f t="shared" si="15"/>
        <v>2.9268292682926833</v>
      </c>
      <c r="Q260" s="53">
        <v>1799.7517926089354</v>
      </c>
      <c r="R260" s="8">
        <f t="shared" si="16"/>
        <v>52.675662222700559</v>
      </c>
      <c r="S260" s="36">
        <v>1812.1546147003401</v>
      </c>
      <c r="T260" s="60">
        <f t="shared" si="17"/>
        <v>2.9067973447404247</v>
      </c>
      <c r="U260" s="111"/>
      <c r="V260" s="36">
        <v>250</v>
      </c>
      <c r="W260" s="3"/>
      <c r="X260" s="3"/>
      <c r="Y260" s="36"/>
      <c r="Z260" s="36"/>
      <c r="AA260" s="3"/>
      <c r="AB260" s="3"/>
      <c r="AC260" s="3"/>
      <c r="AD260" s="3"/>
      <c r="AE260" s="3"/>
    </row>
    <row r="261" spans="1:31" ht="20.25" customHeight="1">
      <c r="A261" s="71">
        <v>41851</v>
      </c>
      <c r="B261" s="35" t="s">
        <v>154</v>
      </c>
      <c r="C261" s="168">
        <v>2014</v>
      </c>
      <c r="D261" s="65">
        <v>5</v>
      </c>
      <c r="E261" s="65" t="s">
        <v>223</v>
      </c>
      <c r="F261" s="65" t="s">
        <v>224</v>
      </c>
      <c r="G261" s="65" t="s">
        <v>225</v>
      </c>
      <c r="H261" s="65" t="s">
        <v>226</v>
      </c>
      <c r="I261" s="65" t="s">
        <v>253</v>
      </c>
      <c r="J261" s="36" t="s">
        <v>256</v>
      </c>
      <c r="K261" s="3"/>
      <c r="L261" s="3">
        <v>13</v>
      </c>
      <c r="M261" s="3" t="s">
        <v>229</v>
      </c>
      <c r="N261" s="3" t="s">
        <v>256</v>
      </c>
      <c r="O261" s="3">
        <v>205</v>
      </c>
      <c r="P261" s="3">
        <f t="shared" si="15"/>
        <v>6.3414634146341466</v>
      </c>
      <c r="Q261" s="53">
        <v>1799.7517926089354</v>
      </c>
      <c r="R261" s="8">
        <f t="shared" si="16"/>
        <v>114.13060148251786</v>
      </c>
      <c r="S261" s="36">
        <v>1812.1546147003401</v>
      </c>
      <c r="T261" s="60">
        <f t="shared" si="17"/>
        <v>6.2980609136042531</v>
      </c>
      <c r="U261" s="111"/>
      <c r="V261" s="3">
        <v>250</v>
      </c>
      <c r="W261" s="3"/>
      <c r="X261" s="3"/>
      <c r="Y261" s="36"/>
      <c r="Z261" s="36"/>
      <c r="AA261" s="3"/>
      <c r="AB261" s="3"/>
      <c r="AC261" s="3"/>
      <c r="AD261" s="3"/>
      <c r="AE261" s="3"/>
    </row>
    <row r="262" spans="1:31" ht="20.25" customHeight="1">
      <c r="A262" s="71">
        <v>41851</v>
      </c>
      <c r="B262" s="35" t="s">
        <v>154</v>
      </c>
      <c r="C262" s="168">
        <v>2014</v>
      </c>
      <c r="D262" s="65">
        <v>5</v>
      </c>
      <c r="E262" s="3" t="s">
        <v>223</v>
      </c>
      <c r="F262" s="3" t="s">
        <v>224</v>
      </c>
      <c r="G262" s="3" t="s">
        <v>225</v>
      </c>
      <c r="H262" s="3" t="s">
        <v>226</v>
      </c>
      <c r="I262" s="3" t="s">
        <v>239</v>
      </c>
      <c r="J262" s="3" t="s">
        <v>258</v>
      </c>
      <c r="K262" s="3" t="s">
        <v>259</v>
      </c>
      <c r="L262" s="3">
        <v>1</v>
      </c>
      <c r="M262" s="3" t="s">
        <v>247</v>
      </c>
      <c r="N262" s="3" t="s">
        <v>258</v>
      </c>
      <c r="O262" s="3">
        <v>205</v>
      </c>
      <c r="P262" s="3">
        <f t="shared" si="15"/>
        <v>0.48780487804878048</v>
      </c>
      <c r="Q262" s="53">
        <v>1799.7517926089354</v>
      </c>
      <c r="R262" s="8">
        <f t="shared" si="16"/>
        <v>8.7792770371167581</v>
      </c>
      <c r="S262" s="36">
        <v>1812.1546147003401</v>
      </c>
      <c r="T262" s="60">
        <f t="shared" si="17"/>
        <v>0.48446622412340401</v>
      </c>
      <c r="U262" s="111"/>
      <c r="V262" s="3">
        <v>250</v>
      </c>
      <c r="W262" s="3"/>
      <c r="X262" s="3"/>
      <c r="Y262" s="36"/>
      <c r="Z262" s="36"/>
      <c r="AA262" s="3"/>
      <c r="AB262" s="3"/>
      <c r="AC262" s="3"/>
      <c r="AD262" s="3"/>
      <c r="AE262" s="3"/>
    </row>
    <row r="263" spans="1:31" s="42" customFormat="1" ht="20.25" customHeight="1">
      <c r="A263" s="71">
        <v>41851</v>
      </c>
      <c r="B263" s="35" t="s">
        <v>154</v>
      </c>
      <c r="C263" s="168">
        <v>2014</v>
      </c>
      <c r="D263" s="65">
        <v>5</v>
      </c>
      <c r="E263" s="36" t="s">
        <v>223</v>
      </c>
      <c r="F263" s="36" t="s">
        <v>224</v>
      </c>
      <c r="G263" s="36" t="s">
        <v>225</v>
      </c>
      <c r="H263" s="36" t="s">
        <v>226</v>
      </c>
      <c r="I263" s="36" t="s">
        <v>261</v>
      </c>
      <c r="J263" s="36" t="s">
        <v>262</v>
      </c>
      <c r="K263" s="3"/>
      <c r="L263" s="3">
        <v>9</v>
      </c>
      <c r="M263" s="3" t="s">
        <v>229</v>
      </c>
      <c r="N263" s="3" t="s">
        <v>264</v>
      </c>
      <c r="O263" s="3">
        <v>205</v>
      </c>
      <c r="P263" s="3">
        <f t="shared" si="15"/>
        <v>4.3902439024390238</v>
      </c>
      <c r="Q263" s="53">
        <v>1799.7517926089354</v>
      </c>
      <c r="R263" s="8">
        <f t="shared" si="16"/>
        <v>79.013493334050821</v>
      </c>
      <c r="S263" s="36">
        <v>1812.1546147003401</v>
      </c>
      <c r="T263" s="60">
        <f t="shared" si="17"/>
        <v>4.3601960171106358</v>
      </c>
      <c r="U263" s="111"/>
      <c r="V263" s="36">
        <v>250</v>
      </c>
      <c r="W263" s="3"/>
      <c r="X263" s="3"/>
      <c r="Y263" s="36"/>
      <c r="Z263" s="36"/>
      <c r="AA263" s="41"/>
      <c r="AB263" s="41"/>
      <c r="AC263" s="41"/>
      <c r="AD263" s="41"/>
      <c r="AE263" s="41"/>
    </row>
    <row r="264" spans="1:31" ht="20.25" customHeight="1">
      <c r="A264" s="71">
        <v>41851</v>
      </c>
      <c r="B264" s="35" t="s">
        <v>154</v>
      </c>
      <c r="C264" s="168">
        <v>2014</v>
      </c>
      <c r="D264" s="36">
        <v>4</v>
      </c>
      <c r="E264" s="51" t="s">
        <v>223</v>
      </c>
      <c r="F264" s="51" t="s">
        <v>224</v>
      </c>
      <c r="G264" s="51" t="s">
        <v>225</v>
      </c>
      <c r="H264" s="51" t="s">
        <v>226</v>
      </c>
      <c r="I264" s="51" t="s">
        <v>227</v>
      </c>
      <c r="J264" s="3" t="s">
        <v>228</v>
      </c>
      <c r="K264" s="3"/>
      <c r="L264" s="3">
        <v>72</v>
      </c>
      <c r="M264" s="3" t="s">
        <v>229</v>
      </c>
      <c r="N264" s="3" t="s">
        <v>500</v>
      </c>
      <c r="O264" s="3">
        <v>188</v>
      </c>
      <c r="P264" s="3">
        <f t="shared" si="15"/>
        <v>38.297872340425535</v>
      </c>
      <c r="Q264" s="53">
        <v>2354.3116668632756</v>
      </c>
      <c r="R264" s="8">
        <f t="shared" si="16"/>
        <v>901.65127667104184</v>
      </c>
      <c r="S264" s="65">
        <v>2417.73443856936</v>
      </c>
      <c r="T264" s="60">
        <f t="shared" si="17"/>
        <v>37.29323048417897</v>
      </c>
      <c r="U264" s="111"/>
      <c r="V264" s="3">
        <v>250</v>
      </c>
      <c r="W264" s="3" t="s">
        <v>496</v>
      </c>
      <c r="X264" s="3"/>
      <c r="Y264" s="36"/>
      <c r="Z264" s="36"/>
      <c r="AA264" s="3"/>
      <c r="AB264" s="3"/>
      <c r="AC264" s="3"/>
      <c r="AD264" s="3"/>
      <c r="AE264" s="3"/>
    </row>
    <row r="265" spans="1:31" ht="20.25" customHeight="1">
      <c r="A265" s="35">
        <v>41851</v>
      </c>
      <c r="B265" s="72" t="s">
        <v>154</v>
      </c>
      <c r="C265" s="168">
        <v>2014</v>
      </c>
      <c r="D265" s="36">
        <v>4</v>
      </c>
      <c r="E265" s="65" t="s">
        <v>223</v>
      </c>
      <c r="F265" s="65" t="s">
        <v>267</v>
      </c>
      <c r="G265" s="65" t="s">
        <v>278</v>
      </c>
      <c r="H265" s="65" t="s">
        <v>269</v>
      </c>
      <c r="I265" s="65" t="s">
        <v>333</v>
      </c>
      <c r="J265" s="65" t="s">
        <v>334</v>
      </c>
      <c r="K265" s="36"/>
      <c r="L265" s="36">
        <v>2</v>
      </c>
      <c r="M265" s="36" t="s">
        <v>229</v>
      </c>
      <c r="N265" s="36" t="s">
        <v>270</v>
      </c>
      <c r="O265" s="36">
        <v>678</v>
      </c>
      <c r="P265" s="36">
        <f t="shared" si="15"/>
        <v>0.29498525073746312</v>
      </c>
      <c r="Q265" s="53">
        <v>63.422771706085037</v>
      </c>
      <c r="R265" s="40">
        <f t="shared" si="16"/>
        <v>0.18708782214184377</v>
      </c>
      <c r="S265" s="65">
        <v>2417.73443856936</v>
      </c>
      <c r="T265" s="40">
        <f t="shared" si="17"/>
        <v>7.7381460576186681E-3</v>
      </c>
      <c r="U265" s="110"/>
      <c r="V265" s="36">
        <v>1000</v>
      </c>
      <c r="W265" s="36"/>
      <c r="X265" s="36"/>
      <c r="Y265" s="36"/>
      <c r="Z265" s="36"/>
      <c r="AA265" s="3"/>
      <c r="AB265" s="3"/>
      <c r="AC265" s="3"/>
      <c r="AD265" s="3"/>
      <c r="AE265" s="3"/>
    </row>
    <row r="266" spans="1:31" ht="20.25" customHeight="1">
      <c r="A266" s="35">
        <v>41851</v>
      </c>
      <c r="B266" s="35" t="s">
        <v>154</v>
      </c>
      <c r="C266" s="168">
        <v>2014</v>
      </c>
      <c r="D266" s="36">
        <v>4</v>
      </c>
      <c r="E266" s="36" t="s">
        <v>209</v>
      </c>
      <c r="F266" s="36" t="s">
        <v>210</v>
      </c>
      <c r="G266" s="36"/>
      <c r="H266" s="36" t="s">
        <v>211</v>
      </c>
      <c r="I266" s="36" t="s">
        <v>212</v>
      </c>
      <c r="J266" s="36" t="s">
        <v>213</v>
      </c>
      <c r="K266" s="36" t="s">
        <v>214</v>
      </c>
      <c r="L266" s="36">
        <v>1</v>
      </c>
      <c r="M266" s="36" t="s">
        <v>247</v>
      </c>
      <c r="N266" s="36" t="s">
        <v>215</v>
      </c>
      <c r="O266" s="36">
        <v>678</v>
      </c>
      <c r="P266" s="36">
        <f t="shared" si="15"/>
        <v>0.14749262536873156</v>
      </c>
      <c r="Q266" s="53">
        <v>63.422771706085037</v>
      </c>
      <c r="R266" s="40">
        <f t="shared" si="16"/>
        <v>9.3543911070921887E-2</v>
      </c>
      <c r="S266" s="36">
        <v>2417.7344385693605</v>
      </c>
      <c r="T266" s="40">
        <f t="shared" si="17"/>
        <v>3.8690730288093336E-3</v>
      </c>
      <c r="U266" s="110">
        <f>SUM(T267+T269+T273+T278)</f>
        <v>5.5703917209345981</v>
      </c>
      <c r="V266" s="36">
        <v>1000</v>
      </c>
      <c r="W266" s="36"/>
      <c r="X266" s="36"/>
      <c r="Y266" s="36"/>
      <c r="Z266" s="36"/>
      <c r="AA266" s="3"/>
      <c r="AB266" s="3"/>
      <c r="AC266" s="3"/>
      <c r="AD266" s="3"/>
      <c r="AE266" s="3"/>
    </row>
    <row r="267" spans="1:31" ht="20.25" customHeight="1">
      <c r="A267" s="71">
        <v>41851</v>
      </c>
      <c r="B267" s="35" t="s">
        <v>154</v>
      </c>
      <c r="C267" s="168">
        <v>2014</v>
      </c>
      <c r="D267" s="36">
        <v>4</v>
      </c>
      <c r="E267" s="51" t="s">
        <v>223</v>
      </c>
      <c r="F267" s="51" t="s">
        <v>303</v>
      </c>
      <c r="G267" s="51" t="s">
        <v>304</v>
      </c>
      <c r="H267" s="51" t="s">
        <v>305</v>
      </c>
      <c r="I267" s="51" t="s">
        <v>306</v>
      </c>
      <c r="J267" s="3" t="s">
        <v>307</v>
      </c>
      <c r="K267" s="3"/>
      <c r="L267" s="3">
        <v>7</v>
      </c>
      <c r="M267" s="3" t="s">
        <v>229</v>
      </c>
      <c r="N267" s="3" t="s">
        <v>307</v>
      </c>
      <c r="O267" s="3">
        <v>188</v>
      </c>
      <c r="P267" s="3">
        <f t="shared" si="15"/>
        <v>3.7234042553191489</v>
      </c>
      <c r="Q267" s="53">
        <v>2354.3116668632756</v>
      </c>
      <c r="R267" s="8">
        <f t="shared" si="16"/>
        <v>87.660540787462381</v>
      </c>
      <c r="S267" s="36">
        <v>2417.73443856936</v>
      </c>
      <c r="T267" s="60">
        <f t="shared" si="17"/>
        <v>3.6257307415173989</v>
      </c>
      <c r="U267" s="111"/>
      <c r="V267" s="36">
        <v>250</v>
      </c>
      <c r="W267" s="36" t="s">
        <v>308</v>
      </c>
      <c r="X267" s="3"/>
      <c r="Y267" s="3"/>
      <c r="Z267" s="36"/>
      <c r="AA267" s="3"/>
      <c r="AB267" s="3"/>
      <c r="AC267" s="3"/>
      <c r="AD267" s="3"/>
      <c r="AE267" s="3"/>
    </row>
    <row r="268" spans="1:31" ht="20.25" customHeight="1">
      <c r="A268" s="35">
        <v>41851</v>
      </c>
      <c r="B268" s="35" t="s">
        <v>154</v>
      </c>
      <c r="C268" s="168">
        <v>2014</v>
      </c>
      <c r="D268" s="36">
        <v>4</v>
      </c>
      <c r="E268" s="36" t="s">
        <v>223</v>
      </c>
      <c r="F268" s="36" t="s">
        <v>267</v>
      </c>
      <c r="G268" s="36"/>
      <c r="H268" s="36" t="s">
        <v>273</v>
      </c>
      <c r="I268" s="36"/>
      <c r="J268" s="36"/>
      <c r="K268" s="36"/>
      <c r="L268" s="36">
        <v>1</v>
      </c>
      <c r="M268" s="36" t="s">
        <v>508</v>
      </c>
      <c r="N268" s="36" t="s">
        <v>494</v>
      </c>
      <c r="O268" s="36">
        <v>678</v>
      </c>
      <c r="P268" s="36">
        <f t="shared" si="15"/>
        <v>0.14749262536873156</v>
      </c>
      <c r="Q268" s="65">
        <v>63.422771706085037</v>
      </c>
      <c r="R268" s="40">
        <f t="shared" si="16"/>
        <v>9.3543911070921887E-2</v>
      </c>
      <c r="S268" s="36">
        <v>2417.7344385693605</v>
      </c>
      <c r="T268" s="40">
        <f t="shared" si="17"/>
        <v>3.8690730288093336E-3</v>
      </c>
      <c r="U268" s="110"/>
      <c r="V268" s="36">
        <v>1000</v>
      </c>
      <c r="W268" s="36"/>
      <c r="X268" s="36"/>
      <c r="Y268" s="36"/>
      <c r="Z268" s="36"/>
      <c r="AA268" s="3"/>
      <c r="AB268" s="3"/>
      <c r="AC268" s="3"/>
      <c r="AD268" s="3"/>
      <c r="AE268" s="3"/>
    </row>
    <row r="269" spans="1:31" s="56" customFormat="1" ht="20.25" customHeight="1">
      <c r="A269" s="35">
        <v>41851</v>
      </c>
      <c r="B269" s="35" t="s">
        <v>154</v>
      </c>
      <c r="C269" s="168">
        <v>2014</v>
      </c>
      <c r="D269" s="36">
        <v>4</v>
      </c>
      <c r="E269" s="36" t="s">
        <v>223</v>
      </c>
      <c r="F269" s="36" t="s">
        <v>267</v>
      </c>
      <c r="G269" s="36"/>
      <c r="H269" s="36" t="s">
        <v>273</v>
      </c>
      <c r="I269" s="36" t="s">
        <v>274</v>
      </c>
      <c r="J269" s="36" t="s">
        <v>275</v>
      </c>
      <c r="K269" s="36" t="s">
        <v>276</v>
      </c>
      <c r="L269" s="36">
        <v>1</v>
      </c>
      <c r="M269" s="36" t="s">
        <v>247</v>
      </c>
      <c r="N269" s="36" t="s">
        <v>519</v>
      </c>
      <c r="O269" s="36">
        <v>678</v>
      </c>
      <c r="P269" s="36">
        <f t="shared" si="15"/>
        <v>0.14749262536873156</v>
      </c>
      <c r="Q269" s="65">
        <v>63.422771706085037</v>
      </c>
      <c r="R269" s="40">
        <f t="shared" si="16"/>
        <v>9.3543911070921887E-2</v>
      </c>
      <c r="S269" s="36">
        <v>2417.73443856936</v>
      </c>
      <c r="T269" s="40">
        <f t="shared" si="17"/>
        <v>3.869073028809334E-3</v>
      </c>
      <c r="U269" s="110"/>
      <c r="V269" s="36">
        <v>1000</v>
      </c>
      <c r="W269" s="36" t="s">
        <v>222</v>
      </c>
      <c r="X269" s="36"/>
      <c r="Y269" s="36"/>
      <c r="Z269" s="55"/>
      <c r="AA269" s="55"/>
      <c r="AB269" s="55"/>
      <c r="AC269" s="55"/>
      <c r="AD269" s="55"/>
      <c r="AE269" s="55"/>
    </row>
    <row r="270" spans="1:31" s="56" customFormat="1" ht="20.25" customHeight="1">
      <c r="A270" s="35">
        <v>41851</v>
      </c>
      <c r="B270" s="35" t="s">
        <v>154</v>
      </c>
      <c r="C270" s="168">
        <v>2014</v>
      </c>
      <c r="D270" s="36">
        <v>4</v>
      </c>
      <c r="E270" s="65" t="s">
        <v>351</v>
      </c>
      <c r="F270" s="65"/>
      <c r="G270" s="65"/>
      <c r="H270" s="65"/>
      <c r="I270" s="65"/>
      <c r="J270" s="36"/>
      <c r="K270" s="36"/>
      <c r="L270" s="36">
        <v>415</v>
      </c>
      <c r="M270" s="36" t="s">
        <v>474</v>
      </c>
      <c r="N270" s="36" t="s">
        <v>534</v>
      </c>
      <c r="O270" s="36">
        <v>678</v>
      </c>
      <c r="P270" s="36">
        <f t="shared" si="15"/>
        <v>61.209439528023601</v>
      </c>
      <c r="Q270" s="65">
        <v>63.422771706085037</v>
      </c>
      <c r="R270" s="40">
        <f t="shared" si="16"/>
        <v>38.82072309443258</v>
      </c>
      <c r="S270" s="36">
        <v>2417.73443856936</v>
      </c>
      <c r="T270" s="40">
        <f t="shared" si="17"/>
        <v>1.6056653069558735</v>
      </c>
      <c r="U270" s="110"/>
      <c r="V270" s="36">
        <v>1000</v>
      </c>
      <c r="W270" s="36" t="s">
        <v>536</v>
      </c>
      <c r="X270" s="36"/>
      <c r="Y270" s="36"/>
      <c r="Z270" s="55"/>
      <c r="AA270" s="55"/>
      <c r="AB270" s="55"/>
      <c r="AC270" s="55"/>
      <c r="AD270" s="55"/>
      <c r="AE270" s="55"/>
    </row>
    <row r="271" spans="1:31" s="38" customFormat="1" ht="20.25" customHeight="1">
      <c r="A271" s="71">
        <v>41851</v>
      </c>
      <c r="B271" s="72" t="s">
        <v>154</v>
      </c>
      <c r="C271" s="168">
        <v>2014</v>
      </c>
      <c r="D271" s="36">
        <v>4</v>
      </c>
      <c r="E271" s="65" t="s">
        <v>223</v>
      </c>
      <c r="F271" s="65" t="s">
        <v>224</v>
      </c>
      <c r="G271" s="65" t="s">
        <v>225</v>
      </c>
      <c r="H271" s="65" t="s">
        <v>226</v>
      </c>
      <c r="I271" s="65" t="s">
        <v>239</v>
      </c>
      <c r="J271" s="36" t="s">
        <v>240</v>
      </c>
      <c r="K271" s="3"/>
      <c r="L271" s="3">
        <v>70</v>
      </c>
      <c r="M271" s="3" t="s">
        <v>229</v>
      </c>
      <c r="N271" s="3" t="s">
        <v>240</v>
      </c>
      <c r="O271" s="3">
        <v>188</v>
      </c>
      <c r="P271" s="3">
        <f t="shared" si="15"/>
        <v>37.234042553191486</v>
      </c>
      <c r="Q271" s="65">
        <v>2354.3116668632756</v>
      </c>
      <c r="R271" s="8">
        <f t="shared" si="16"/>
        <v>876.60540787462389</v>
      </c>
      <c r="S271" s="36">
        <v>2417.73443856936</v>
      </c>
      <c r="T271" s="60">
        <f t="shared" si="17"/>
        <v>36.257307415173997</v>
      </c>
      <c r="U271" s="111"/>
      <c r="V271" s="36">
        <v>250</v>
      </c>
      <c r="W271" s="3"/>
      <c r="X271" s="3"/>
      <c r="Y271" s="3"/>
      <c r="Z271" s="36"/>
      <c r="AA271" s="36"/>
      <c r="AB271" s="36"/>
      <c r="AC271" s="36"/>
      <c r="AD271" s="36"/>
      <c r="AE271" s="36"/>
    </row>
    <row r="272" spans="1:31" s="38" customFormat="1" ht="20.25" customHeight="1">
      <c r="A272" s="35">
        <v>41851</v>
      </c>
      <c r="B272" s="72" t="s">
        <v>154</v>
      </c>
      <c r="C272" s="168">
        <v>2014</v>
      </c>
      <c r="D272" s="36">
        <v>4</v>
      </c>
      <c r="E272" s="65" t="s">
        <v>223</v>
      </c>
      <c r="F272" s="65" t="s">
        <v>267</v>
      </c>
      <c r="G272" s="65"/>
      <c r="H272" s="65" t="s">
        <v>273</v>
      </c>
      <c r="I272" s="65"/>
      <c r="J272" s="36" t="s">
        <v>537</v>
      </c>
      <c r="K272" s="36" t="s">
        <v>538</v>
      </c>
      <c r="L272" s="36">
        <v>1</v>
      </c>
      <c r="M272" s="36" t="s">
        <v>247</v>
      </c>
      <c r="N272" s="36" t="s">
        <v>539</v>
      </c>
      <c r="O272" s="36">
        <v>678</v>
      </c>
      <c r="P272" s="36">
        <f t="shared" si="15"/>
        <v>0.14749262536873156</v>
      </c>
      <c r="Q272" s="65">
        <v>63.422771706085037</v>
      </c>
      <c r="R272" s="40">
        <f t="shared" si="16"/>
        <v>9.3543911070921887E-2</v>
      </c>
      <c r="S272" s="36">
        <v>2417.73443856936</v>
      </c>
      <c r="T272" s="40">
        <f t="shared" si="17"/>
        <v>3.869073028809334E-3</v>
      </c>
      <c r="U272" s="110"/>
      <c r="V272" s="36">
        <v>1000</v>
      </c>
      <c r="W272" s="36"/>
      <c r="X272" s="36"/>
      <c r="Y272" s="36"/>
      <c r="Z272" s="36"/>
      <c r="AA272" s="36"/>
      <c r="AB272" s="36"/>
      <c r="AC272" s="36"/>
      <c r="AD272" s="36"/>
      <c r="AE272" s="36"/>
    </row>
    <row r="273" spans="1:31" s="38" customFormat="1" ht="20.25" customHeight="1">
      <c r="A273" s="35">
        <v>41851</v>
      </c>
      <c r="B273" s="35" t="s">
        <v>154</v>
      </c>
      <c r="C273" s="168">
        <v>2014</v>
      </c>
      <c r="D273" s="65">
        <v>4</v>
      </c>
      <c r="E273" s="36" t="s">
        <v>223</v>
      </c>
      <c r="F273" s="36" t="s">
        <v>267</v>
      </c>
      <c r="G273" s="36" t="s">
        <v>278</v>
      </c>
      <c r="H273" s="36" t="s">
        <v>279</v>
      </c>
      <c r="I273" s="36" t="s">
        <v>280</v>
      </c>
      <c r="J273" s="36" t="s">
        <v>284</v>
      </c>
      <c r="K273" s="36" t="s">
        <v>285</v>
      </c>
      <c r="L273" s="36">
        <v>100</v>
      </c>
      <c r="M273" s="36" t="s">
        <v>247</v>
      </c>
      <c r="N273" s="36" t="s">
        <v>24</v>
      </c>
      <c r="O273" s="36">
        <v>678</v>
      </c>
      <c r="P273" s="36">
        <f t="shared" si="15"/>
        <v>14.749262536873156</v>
      </c>
      <c r="Q273" s="65">
        <v>63.422771706085037</v>
      </c>
      <c r="R273" s="40">
        <f t="shared" si="16"/>
        <v>9.354391107092189</v>
      </c>
      <c r="S273" s="65">
        <v>2417.73443856936</v>
      </c>
      <c r="T273" s="40">
        <f t="shared" si="17"/>
        <v>0.38690730288093339</v>
      </c>
      <c r="U273" s="110"/>
      <c r="V273" s="36">
        <v>1000</v>
      </c>
      <c r="W273" s="36" t="s">
        <v>593</v>
      </c>
      <c r="X273" s="36"/>
      <c r="Y273" s="36"/>
      <c r="Z273" s="36"/>
      <c r="AA273" s="36"/>
      <c r="AB273" s="36"/>
      <c r="AC273" s="36"/>
      <c r="AD273" s="36"/>
      <c r="AE273" s="36"/>
    </row>
    <row r="274" spans="1:31" s="38" customFormat="1" ht="20.25" customHeight="1">
      <c r="A274" s="72">
        <v>41851</v>
      </c>
      <c r="B274" s="35" t="s">
        <v>154</v>
      </c>
      <c r="C274" s="168">
        <v>2014</v>
      </c>
      <c r="D274" s="65">
        <v>4</v>
      </c>
      <c r="E274" s="36" t="s">
        <v>223</v>
      </c>
      <c r="F274" s="36" t="s">
        <v>267</v>
      </c>
      <c r="G274" s="36" t="s">
        <v>278</v>
      </c>
      <c r="H274" s="36" t="s">
        <v>279</v>
      </c>
      <c r="I274" s="36" t="s">
        <v>280</v>
      </c>
      <c r="J274" s="36"/>
      <c r="K274" s="36"/>
      <c r="L274" s="36">
        <v>157</v>
      </c>
      <c r="M274" s="36" t="s">
        <v>509</v>
      </c>
      <c r="N274" s="36" t="s">
        <v>24</v>
      </c>
      <c r="O274" s="36">
        <v>678</v>
      </c>
      <c r="P274" s="36">
        <f t="shared" si="15"/>
        <v>23.156342182890853</v>
      </c>
      <c r="Q274" s="65">
        <v>63.422771706085037</v>
      </c>
      <c r="R274" s="40">
        <f t="shared" si="16"/>
        <v>14.686394038134734</v>
      </c>
      <c r="S274" s="65">
        <v>2417.73443856936</v>
      </c>
      <c r="T274" s="40">
        <f t="shared" si="17"/>
        <v>0.60744446552306541</v>
      </c>
      <c r="U274" s="110"/>
      <c r="V274" s="36">
        <v>1000</v>
      </c>
      <c r="W274" s="36" t="s">
        <v>592</v>
      </c>
      <c r="X274" s="36"/>
      <c r="Y274" s="36"/>
      <c r="Z274" s="36"/>
      <c r="AA274" s="36"/>
      <c r="AB274" s="36"/>
      <c r="AC274" s="36"/>
      <c r="AD274" s="36"/>
      <c r="AE274" s="36"/>
    </row>
    <row r="275" spans="1:31" s="38" customFormat="1" ht="20.25" customHeight="1">
      <c r="A275" s="71">
        <v>41851</v>
      </c>
      <c r="B275" s="35" t="s">
        <v>154</v>
      </c>
      <c r="C275" s="168">
        <v>2014</v>
      </c>
      <c r="D275" s="65">
        <v>4</v>
      </c>
      <c r="E275" s="3" t="s">
        <v>223</v>
      </c>
      <c r="F275" s="3" t="s">
        <v>224</v>
      </c>
      <c r="G275" s="3" t="s">
        <v>225</v>
      </c>
      <c r="H275" s="3" t="s">
        <v>248</v>
      </c>
      <c r="I275" s="3" t="s">
        <v>249</v>
      </c>
      <c r="J275" s="3" t="s">
        <v>250</v>
      </c>
      <c r="K275" s="3"/>
      <c r="L275" s="3">
        <v>3</v>
      </c>
      <c r="M275" s="3" t="s">
        <v>229</v>
      </c>
      <c r="N275" s="3" t="s">
        <v>250</v>
      </c>
      <c r="O275" s="3">
        <v>188</v>
      </c>
      <c r="P275" s="3">
        <f t="shared" si="15"/>
        <v>1.5957446808510638</v>
      </c>
      <c r="Q275" s="65">
        <v>2354.3116668632756</v>
      </c>
      <c r="R275" s="8">
        <f t="shared" si="16"/>
        <v>37.568803194626739</v>
      </c>
      <c r="S275" s="36">
        <v>2417.73443856936</v>
      </c>
      <c r="T275" s="60">
        <f t="shared" si="17"/>
        <v>1.5538846035074569</v>
      </c>
      <c r="U275" s="111"/>
      <c r="V275" s="36">
        <v>250</v>
      </c>
      <c r="W275" s="3"/>
      <c r="X275" s="3"/>
      <c r="Y275" s="3"/>
      <c r="Z275" s="36"/>
      <c r="AA275" s="36"/>
      <c r="AB275" s="36"/>
      <c r="AC275" s="36"/>
      <c r="AD275" s="36"/>
      <c r="AE275" s="36"/>
    </row>
    <row r="276" spans="1:31" s="38" customFormat="1" ht="20.25" customHeight="1">
      <c r="A276" s="13">
        <v>41851</v>
      </c>
      <c r="B276" s="35" t="s">
        <v>154</v>
      </c>
      <c r="C276" s="168">
        <v>2014</v>
      </c>
      <c r="D276" s="65">
        <v>4</v>
      </c>
      <c r="E276" s="51" t="s">
        <v>216</v>
      </c>
      <c r="F276" s="51" t="s">
        <v>217</v>
      </c>
      <c r="G276" s="51"/>
      <c r="H276" s="51"/>
      <c r="I276" s="51"/>
      <c r="J276" s="3" t="s">
        <v>219</v>
      </c>
      <c r="K276" s="3"/>
      <c r="L276" s="3">
        <v>3</v>
      </c>
      <c r="M276" s="36" t="s">
        <v>229</v>
      </c>
      <c r="N276" s="3" t="s">
        <v>219</v>
      </c>
      <c r="O276" s="3">
        <v>188</v>
      </c>
      <c r="P276" s="3">
        <f t="shared" si="15"/>
        <v>1.5957446808510638</v>
      </c>
      <c r="Q276" s="65">
        <v>2354.3116668632756</v>
      </c>
      <c r="R276" s="8">
        <f t="shared" si="16"/>
        <v>37.568803194626739</v>
      </c>
      <c r="S276" s="36">
        <v>2417.73443856936</v>
      </c>
      <c r="T276" s="60">
        <f t="shared" si="17"/>
        <v>1.5538846035074569</v>
      </c>
      <c r="U276" s="111"/>
      <c r="V276" s="3">
        <v>250</v>
      </c>
      <c r="W276" s="3" t="s">
        <v>498</v>
      </c>
      <c r="X276" s="3"/>
      <c r="Y276" s="3"/>
      <c r="Z276" s="36"/>
      <c r="AA276" s="36"/>
      <c r="AB276" s="36"/>
      <c r="AC276" s="36"/>
      <c r="AD276" s="36"/>
      <c r="AE276" s="36"/>
    </row>
    <row r="277" spans="1:31" s="38" customFormat="1" ht="20.25" customHeight="1">
      <c r="A277" s="13">
        <v>41851</v>
      </c>
      <c r="B277" s="35" t="s">
        <v>154</v>
      </c>
      <c r="C277" s="168">
        <v>2014</v>
      </c>
      <c r="D277" s="65">
        <v>4</v>
      </c>
      <c r="E277" s="36" t="s">
        <v>223</v>
      </c>
      <c r="F277" s="36" t="s">
        <v>224</v>
      </c>
      <c r="G277" s="36" t="s">
        <v>225</v>
      </c>
      <c r="H277" s="36" t="s">
        <v>226</v>
      </c>
      <c r="I277" s="36" t="s">
        <v>253</v>
      </c>
      <c r="J277" s="36" t="s">
        <v>256</v>
      </c>
      <c r="K277" s="3"/>
      <c r="L277" s="3">
        <v>20</v>
      </c>
      <c r="M277" s="3" t="s">
        <v>229</v>
      </c>
      <c r="N277" s="3" t="s">
        <v>256</v>
      </c>
      <c r="O277" s="3">
        <v>188</v>
      </c>
      <c r="P277" s="3">
        <f t="shared" si="15"/>
        <v>10.638297872340425</v>
      </c>
      <c r="Q277" s="65">
        <v>2354.3116668632756</v>
      </c>
      <c r="R277" s="8">
        <f t="shared" si="16"/>
        <v>250.45868796417827</v>
      </c>
      <c r="S277" s="36">
        <v>2417.73443856936</v>
      </c>
      <c r="T277" s="60">
        <f t="shared" si="17"/>
        <v>10.359230690049714</v>
      </c>
      <c r="U277" s="111"/>
      <c r="V277" s="3">
        <v>250</v>
      </c>
      <c r="W277" s="3"/>
      <c r="X277" s="3"/>
      <c r="Y277" s="36"/>
      <c r="Z277" s="36"/>
      <c r="AA277" s="36"/>
      <c r="AB277" s="36"/>
      <c r="AC277" s="36"/>
      <c r="AD277" s="36"/>
      <c r="AE277" s="36"/>
    </row>
    <row r="278" spans="1:31" s="38" customFormat="1" ht="20.25" customHeight="1">
      <c r="A278" s="71">
        <v>41851</v>
      </c>
      <c r="B278" s="35" t="s">
        <v>154</v>
      </c>
      <c r="C278" s="168">
        <v>2014</v>
      </c>
      <c r="D278" s="65">
        <v>4</v>
      </c>
      <c r="E278" s="51" t="s">
        <v>223</v>
      </c>
      <c r="F278" s="51" t="s">
        <v>224</v>
      </c>
      <c r="G278" s="51" t="s">
        <v>225</v>
      </c>
      <c r="H278" s="51" t="s">
        <v>226</v>
      </c>
      <c r="I278" s="51" t="s">
        <v>239</v>
      </c>
      <c r="J278" s="3" t="s">
        <v>258</v>
      </c>
      <c r="K278" s="3" t="s">
        <v>259</v>
      </c>
      <c r="L278" s="3">
        <v>3</v>
      </c>
      <c r="M278" s="3" t="s">
        <v>247</v>
      </c>
      <c r="N278" s="3" t="s">
        <v>258</v>
      </c>
      <c r="O278" s="3">
        <v>188</v>
      </c>
      <c r="P278" s="3">
        <f t="shared" si="15"/>
        <v>1.5957446808510638</v>
      </c>
      <c r="Q278" s="65">
        <v>2354.3116668632756</v>
      </c>
      <c r="R278" s="8">
        <f t="shared" si="16"/>
        <v>37.568803194626739</v>
      </c>
      <c r="S278" s="36">
        <v>2417.73443856936</v>
      </c>
      <c r="T278" s="60">
        <f t="shared" si="17"/>
        <v>1.5538846035074569</v>
      </c>
      <c r="U278" s="111"/>
      <c r="V278" s="3">
        <v>250</v>
      </c>
      <c r="W278" s="3"/>
      <c r="X278" s="3"/>
      <c r="Y278" s="36"/>
      <c r="Z278" s="36"/>
      <c r="AA278" s="36"/>
      <c r="AB278" s="36"/>
      <c r="AC278" s="36"/>
      <c r="AD278" s="36"/>
      <c r="AE278" s="36"/>
    </row>
    <row r="279" spans="1:31" s="38" customFormat="1" ht="20.25" customHeight="1">
      <c r="A279" s="71">
        <v>41851</v>
      </c>
      <c r="B279" s="35" t="s">
        <v>154</v>
      </c>
      <c r="C279" s="168">
        <v>2014</v>
      </c>
      <c r="D279" s="65">
        <v>4</v>
      </c>
      <c r="E279" s="36" t="s">
        <v>223</v>
      </c>
      <c r="F279" s="36" t="s">
        <v>224</v>
      </c>
      <c r="G279" s="36" t="s">
        <v>225</v>
      </c>
      <c r="H279" s="36" t="s">
        <v>226</v>
      </c>
      <c r="I279" s="36" t="s">
        <v>261</v>
      </c>
      <c r="J279" s="36" t="s">
        <v>262</v>
      </c>
      <c r="K279" s="3"/>
      <c r="L279" s="3">
        <v>10</v>
      </c>
      <c r="M279" s="3" t="s">
        <v>229</v>
      </c>
      <c r="N279" s="3" t="s">
        <v>264</v>
      </c>
      <c r="O279" s="3">
        <v>188</v>
      </c>
      <c r="P279" s="3">
        <f t="shared" si="15"/>
        <v>5.3191489361702127</v>
      </c>
      <c r="Q279" s="65">
        <v>2354.3116668632756</v>
      </c>
      <c r="R279" s="8">
        <f t="shared" si="16"/>
        <v>125.22934398208913</v>
      </c>
      <c r="S279" s="36">
        <v>2417.73443856936</v>
      </c>
      <c r="T279" s="60">
        <f t="shared" si="17"/>
        <v>5.1796153450248568</v>
      </c>
      <c r="U279" s="111"/>
      <c r="V279" s="36">
        <v>250</v>
      </c>
      <c r="W279" s="3"/>
      <c r="X279" s="3"/>
      <c r="Y279" s="36"/>
      <c r="Z279" s="36"/>
      <c r="AA279" s="36"/>
      <c r="AB279" s="36"/>
      <c r="AC279" s="36"/>
      <c r="AD279" s="36"/>
      <c r="AE279" s="36"/>
    </row>
    <row r="280" spans="1:31" s="38" customFormat="1" ht="20.25" customHeight="1">
      <c r="A280" s="35">
        <v>41851</v>
      </c>
      <c r="B280" s="35" t="s">
        <v>154</v>
      </c>
      <c r="C280" s="168">
        <v>2014</v>
      </c>
      <c r="D280" s="65">
        <v>2</v>
      </c>
      <c r="E280" s="65" t="s">
        <v>223</v>
      </c>
      <c r="F280" s="65" t="s">
        <v>224</v>
      </c>
      <c r="G280" s="65" t="s">
        <v>225</v>
      </c>
      <c r="H280" s="65" t="s">
        <v>226</v>
      </c>
      <c r="I280" s="65" t="s">
        <v>227</v>
      </c>
      <c r="J280" s="36" t="s">
        <v>228</v>
      </c>
      <c r="K280" s="36"/>
      <c r="L280" s="36">
        <v>113</v>
      </c>
      <c r="M280" s="36" t="s">
        <v>229</v>
      </c>
      <c r="N280" s="36" t="s">
        <v>228</v>
      </c>
      <c r="O280" s="107">
        <v>119</v>
      </c>
      <c r="P280" s="36">
        <f t="shared" si="15"/>
        <v>94.9579831932773</v>
      </c>
      <c r="Q280" s="65">
        <v>2859.5663265306125</v>
      </c>
      <c r="R280" s="53">
        <f t="shared" si="16"/>
        <v>2715.3865117475561</v>
      </c>
      <c r="S280" s="36">
        <v>2894.7740855235375</v>
      </c>
      <c r="T280" s="108">
        <f t="shared" si="17"/>
        <v>93.803054453434569</v>
      </c>
      <c r="U280" s="111"/>
      <c r="V280" s="36">
        <v>250</v>
      </c>
      <c r="W280" s="36"/>
      <c r="X280" s="36"/>
      <c r="Y280" s="36"/>
      <c r="Z280" s="36"/>
      <c r="AA280" s="36"/>
      <c r="AB280" s="36"/>
      <c r="AC280" s="36"/>
      <c r="AD280" s="36"/>
      <c r="AE280" s="36"/>
    </row>
    <row r="281" spans="1:31" s="38" customFormat="1" ht="20" customHeight="1">
      <c r="A281" s="35">
        <v>41851</v>
      </c>
      <c r="B281" s="35" t="s">
        <v>154</v>
      </c>
      <c r="C281" s="168">
        <v>2014</v>
      </c>
      <c r="D281" s="65">
        <v>2</v>
      </c>
      <c r="E281" s="36" t="s">
        <v>223</v>
      </c>
      <c r="F281" s="36" t="s">
        <v>267</v>
      </c>
      <c r="G281" s="36" t="s">
        <v>278</v>
      </c>
      <c r="H281" s="36" t="s">
        <v>269</v>
      </c>
      <c r="I281" s="36" t="s">
        <v>333</v>
      </c>
      <c r="J281" s="36" t="s">
        <v>334</v>
      </c>
      <c r="K281" s="36"/>
      <c r="L281" s="36">
        <v>5</v>
      </c>
      <c r="M281" s="36" t="s">
        <v>229</v>
      </c>
      <c r="N281" s="36" t="s">
        <v>270</v>
      </c>
      <c r="O281" s="36">
        <v>53</v>
      </c>
      <c r="P281" s="36">
        <f t="shared" si="15"/>
        <v>9.433962264150944</v>
      </c>
      <c r="Q281" s="65">
        <v>35.207758992924774</v>
      </c>
      <c r="R281" s="53">
        <f t="shared" si="16"/>
        <v>3.3214866974457338</v>
      </c>
      <c r="S281" s="36">
        <v>2894.7740855235375</v>
      </c>
      <c r="T281" s="53">
        <f t="shared" si="17"/>
        <v>0.1147407914854614</v>
      </c>
      <c r="U281" s="110"/>
      <c r="V281" s="36">
        <v>1000</v>
      </c>
      <c r="W281" s="36" t="s">
        <v>540</v>
      </c>
      <c r="X281" s="36"/>
      <c r="Y281" s="36"/>
      <c r="Z281" s="36"/>
      <c r="AA281" s="36"/>
      <c r="AB281" s="36"/>
      <c r="AC281" s="36"/>
      <c r="AD281" s="36"/>
      <c r="AE281" s="36"/>
    </row>
    <row r="282" spans="1:31" s="38" customFormat="1" ht="20" customHeight="1">
      <c r="A282" s="35">
        <v>41851</v>
      </c>
      <c r="B282" s="72" t="s">
        <v>154</v>
      </c>
      <c r="C282" s="168">
        <v>2014</v>
      </c>
      <c r="D282" s="65">
        <v>2</v>
      </c>
      <c r="E282" s="65" t="s">
        <v>223</v>
      </c>
      <c r="F282" s="65" t="s">
        <v>303</v>
      </c>
      <c r="G282" s="65" t="s">
        <v>304</v>
      </c>
      <c r="H282" s="65" t="s">
        <v>305</v>
      </c>
      <c r="I282" s="65" t="s">
        <v>306</v>
      </c>
      <c r="J282" s="36" t="s">
        <v>307</v>
      </c>
      <c r="K282" s="36"/>
      <c r="L282" s="36">
        <v>3</v>
      </c>
      <c r="M282" s="36" t="s">
        <v>229</v>
      </c>
      <c r="N282" s="36" t="s">
        <v>307</v>
      </c>
      <c r="O282" s="36">
        <v>119</v>
      </c>
      <c r="P282" s="36">
        <f t="shared" si="15"/>
        <v>2.5210084033613445</v>
      </c>
      <c r="Q282" s="65">
        <v>2859.5663265306125</v>
      </c>
      <c r="R282" s="53">
        <f t="shared" si="16"/>
        <v>72.089907391528044</v>
      </c>
      <c r="S282" s="36">
        <v>2894.7740855235375</v>
      </c>
      <c r="T282" s="108">
        <f t="shared" si="17"/>
        <v>2.4903465784097674</v>
      </c>
      <c r="U282" s="111"/>
      <c r="V282" s="36">
        <v>250</v>
      </c>
      <c r="W282" s="36" t="s">
        <v>308</v>
      </c>
      <c r="X282" s="36"/>
      <c r="Y282" s="36"/>
      <c r="Z282" s="36"/>
      <c r="AA282" s="36"/>
      <c r="AB282" s="36"/>
      <c r="AC282" s="36"/>
      <c r="AD282" s="36"/>
      <c r="AE282" s="36"/>
    </row>
    <row r="283" spans="1:31" s="38" customFormat="1" ht="20" customHeight="1">
      <c r="A283" s="35">
        <v>41851</v>
      </c>
      <c r="B283" s="35" t="s">
        <v>154</v>
      </c>
      <c r="C283" s="168">
        <v>2014</v>
      </c>
      <c r="D283" s="65">
        <v>2</v>
      </c>
      <c r="E283" s="36" t="s">
        <v>223</v>
      </c>
      <c r="F283" s="36" t="s">
        <v>267</v>
      </c>
      <c r="G283" s="36"/>
      <c r="H283" s="36" t="s">
        <v>273</v>
      </c>
      <c r="I283" s="36" t="s">
        <v>274</v>
      </c>
      <c r="J283" s="36" t="s">
        <v>275</v>
      </c>
      <c r="K283" s="36" t="s">
        <v>276</v>
      </c>
      <c r="L283" s="36">
        <v>1</v>
      </c>
      <c r="M283" s="36" t="s">
        <v>247</v>
      </c>
      <c r="N283" s="36" t="s">
        <v>275</v>
      </c>
      <c r="O283" s="36">
        <v>53</v>
      </c>
      <c r="P283" s="36">
        <f t="shared" si="15"/>
        <v>1.8867924528301887</v>
      </c>
      <c r="Q283" s="65">
        <v>35.207758992924774</v>
      </c>
      <c r="R283" s="53">
        <f t="shared" si="16"/>
        <v>0.6642973394891466</v>
      </c>
      <c r="S283" s="36">
        <v>2894.7740855235375</v>
      </c>
      <c r="T283" s="53">
        <f t="shared" si="17"/>
        <v>2.2948158297092271E-2</v>
      </c>
      <c r="U283" s="110">
        <f>SUM(T284+T286)</f>
        <v>0.2524297412680151</v>
      </c>
      <c r="V283" s="36">
        <v>1000</v>
      </c>
      <c r="W283" s="36"/>
      <c r="X283" s="36">
        <f>SUM(T283:T291)</f>
        <v>70.853183722351503</v>
      </c>
      <c r="Y283" s="36"/>
      <c r="Z283" s="36"/>
      <c r="AA283" s="36"/>
      <c r="AB283" s="36"/>
      <c r="AC283" s="36"/>
      <c r="AD283" s="36"/>
      <c r="AE283" s="36"/>
    </row>
    <row r="284" spans="1:31" s="38" customFormat="1" ht="20" customHeight="1">
      <c r="A284" s="35">
        <v>41851</v>
      </c>
      <c r="B284" s="35" t="s">
        <v>154</v>
      </c>
      <c r="C284" s="168">
        <v>2014</v>
      </c>
      <c r="D284" s="65">
        <v>2</v>
      </c>
      <c r="E284" s="36" t="s">
        <v>351</v>
      </c>
      <c r="F284" s="36"/>
      <c r="G284" s="36"/>
      <c r="H284" s="36"/>
      <c r="I284" s="36"/>
      <c r="J284" s="36"/>
      <c r="K284" s="36"/>
      <c r="L284" s="36">
        <v>5</v>
      </c>
      <c r="M284" s="36" t="s">
        <v>474</v>
      </c>
      <c r="N284" s="36" t="s">
        <v>534</v>
      </c>
      <c r="O284" s="36">
        <v>53</v>
      </c>
      <c r="P284" s="36">
        <f t="shared" si="15"/>
        <v>9.433962264150944</v>
      </c>
      <c r="Q284" s="65">
        <v>35.207758992924774</v>
      </c>
      <c r="R284" s="53">
        <f t="shared" si="16"/>
        <v>3.3214866974457338</v>
      </c>
      <c r="S284" s="36">
        <v>2894.7740855235375</v>
      </c>
      <c r="T284" s="53">
        <f t="shared" si="17"/>
        <v>0.1147407914854614</v>
      </c>
      <c r="U284" s="110"/>
      <c r="V284" s="36">
        <v>1000</v>
      </c>
      <c r="W284" s="36"/>
      <c r="X284" s="36"/>
      <c r="Y284" s="36"/>
      <c r="Z284" s="36"/>
      <c r="AA284" s="36"/>
      <c r="AB284" s="36"/>
      <c r="AC284" s="36"/>
      <c r="AD284" s="36"/>
      <c r="AE284" s="36"/>
    </row>
    <row r="285" spans="1:31" s="38" customFormat="1" ht="20" customHeight="1">
      <c r="A285" s="35">
        <v>41851</v>
      </c>
      <c r="B285" s="72" t="s">
        <v>154</v>
      </c>
      <c r="C285" s="168">
        <v>2014</v>
      </c>
      <c r="D285" s="65">
        <v>2</v>
      </c>
      <c r="E285" s="65" t="s">
        <v>223</v>
      </c>
      <c r="F285" s="65" t="s">
        <v>224</v>
      </c>
      <c r="G285" s="65" t="s">
        <v>225</v>
      </c>
      <c r="H285" s="65" t="s">
        <v>226</v>
      </c>
      <c r="I285" s="65" t="s">
        <v>239</v>
      </c>
      <c r="J285" s="36" t="s">
        <v>240</v>
      </c>
      <c r="K285" s="36"/>
      <c r="L285" s="36">
        <v>2</v>
      </c>
      <c r="M285" s="36" t="s">
        <v>229</v>
      </c>
      <c r="N285" s="36" t="s">
        <v>240</v>
      </c>
      <c r="O285" s="36">
        <v>119</v>
      </c>
      <c r="P285" s="36">
        <f t="shared" si="15"/>
        <v>1.680672268907563</v>
      </c>
      <c r="Q285" s="65">
        <v>2859.5663265306125</v>
      </c>
      <c r="R285" s="53">
        <f t="shared" si="16"/>
        <v>48.059938261018694</v>
      </c>
      <c r="S285" s="36">
        <v>2894.7740855235375</v>
      </c>
      <c r="T285" s="108">
        <f t="shared" si="17"/>
        <v>1.660231052273178</v>
      </c>
      <c r="U285" s="111"/>
      <c r="V285" s="36">
        <v>250</v>
      </c>
      <c r="W285" s="36"/>
      <c r="X285" s="36"/>
      <c r="Y285" s="36"/>
      <c r="Z285" s="36"/>
      <c r="AA285" s="36"/>
      <c r="AB285" s="36"/>
      <c r="AC285" s="36"/>
      <c r="AD285" s="36"/>
      <c r="AE285" s="36"/>
    </row>
    <row r="286" spans="1:31" s="38" customFormat="1" ht="20" customHeight="1">
      <c r="A286" s="72">
        <v>41851</v>
      </c>
      <c r="B286" s="35" t="s">
        <v>154</v>
      </c>
      <c r="C286" s="168">
        <v>2014</v>
      </c>
      <c r="D286" s="65">
        <v>2</v>
      </c>
      <c r="E286" s="36" t="s">
        <v>288</v>
      </c>
      <c r="F286" s="36" t="s">
        <v>289</v>
      </c>
      <c r="G286" s="36"/>
      <c r="H286" s="36"/>
      <c r="I286" s="36"/>
      <c r="J286" s="36"/>
      <c r="K286" s="36"/>
      <c r="L286" s="36">
        <v>6</v>
      </c>
      <c r="M286" s="36" t="s">
        <v>221</v>
      </c>
      <c r="N286" s="36" t="s">
        <v>294</v>
      </c>
      <c r="O286" s="36">
        <v>53</v>
      </c>
      <c r="P286" s="36">
        <f t="shared" si="15"/>
        <v>11.320754716981133</v>
      </c>
      <c r="Q286" s="65">
        <v>35.207758992924774</v>
      </c>
      <c r="R286" s="53">
        <f t="shared" si="16"/>
        <v>3.9857840369348807</v>
      </c>
      <c r="S286" s="36">
        <v>2894.7740855235375</v>
      </c>
      <c r="T286" s="53">
        <f t="shared" si="17"/>
        <v>0.13768894978255367</v>
      </c>
      <c r="U286" s="110"/>
      <c r="V286" s="36">
        <v>1000</v>
      </c>
      <c r="W286" s="36"/>
      <c r="X286" s="36"/>
      <c r="Y286" s="36"/>
      <c r="Z286" s="36"/>
      <c r="AA286" s="36"/>
      <c r="AB286" s="36"/>
      <c r="AC286" s="36"/>
      <c r="AD286" s="36"/>
      <c r="AE286" s="36"/>
    </row>
    <row r="287" spans="1:31" s="38" customFormat="1" ht="20" customHeight="1">
      <c r="A287" s="35">
        <v>41851</v>
      </c>
      <c r="B287" s="35" t="s">
        <v>154</v>
      </c>
      <c r="C287" s="168">
        <v>2014</v>
      </c>
      <c r="D287" s="65">
        <v>2</v>
      </c>
      <c r="E287" s="36" t="s">
        <v>223</v>
      </c>
      <c r="F287" s="36" t="s">
        <v>267</v>
      </c>
      <c r="G287" s="36" t="s">
        <v>278</v>
      </c>
      <c r="H287" s="36" t="s">
        <v>279</v>
      </c>
      <c r="I287" s="36" t="s">
        <v>280</v>
      </c>
      <c r="J287" s="36" t="s">
        <v>284</v>
      </c>
      <c r="K287" s="36" t="s">
        <v>285</v>
      </c>
      <c r="L287" s="36">
        <v>36</v>
      </c>
      <c r="M287" s="36" t="s">
        <v>247</v>
      </c>
      <c r="N287" s="36" t="s">
        <v>283</v>
      </c>
      <c r="O287" s="36">
        <v>53</v>
      </c>
      <c r="P287" s="36">
        <f t="shared" si="15"/>
        <v>67.924528301886795</v>
      </c>
      <c r="Q287" s="65">
        <v>35.207758992924774</v>
      </c>
      <c r="R287" s="53">
        <f t="shared" si="16"/>
        <v>23.914704221609284</v>
      </c>
      <c r="S287" s="36">
        <v>2894.7740855235375</v>
      </c>
      <c r="T287" s="53">
        <f t="shared" si="17"/>
        <v>0.82613369869532194</v>
      </c>
      <c r="U287" s="110"/>
      <c r="V287" s="36">
        <v>1000</v>
      </c>
      <c r="W287" s="36"/>
      <c r="X287" s="36"/>
      <c r="Y287" s="36"/>
      <c r="Z287" s="36"/>
      <c r="AA287" s="36"/>
      <c r="AB287" s="36"/>
      <c r="AC287" s="36"/>
      <c r="AD287" s="36"/>
      <c r="AE287" s="36"/>
    </row>
    <row r="288" spans="1:31" s="38" customFormat="1" ht="20" customHeight="1">
      <c r="A288" s="35">
        <v>41851</v>
      </c>
      <c r="B288" s="35" t="s">
        <v>154</v>
      </c>
      <c r="C288" s="168">
        <v>2014</v>
      </c>
      <c r="D288" s="65">
        <v>2</v>
      </c>
      <c r="E288" s="36" t="s">
        <v>223</v>
      </c>
      <c r="F288" s="36" t="s">
        <v>224</v>
      </c>
      <c r="G288" s="36" t="s">
        <v>225</v>
      </c>
      <c r="H288" s="36" t="s">
        <v>226</v>
      </c>
      <c r="I288" s="36" t="s">
        <v>261</v>
      </c>
      <c r="J288" s="36" t="s">
        <v>262</v>
      </c>
      <c r="K288" s="36"/>
      <c r="L288" s="36">
        <v>1</v>
      </c>
      <c r="M288" s="36" t="s">
        <v>229</v>
      </c>
      <c r="N288" s="36" t="s">
        <v>264</v>
      </c>
      <c r="O288" s="36">
        <v>119</v>
      </c>
      <c r="P288" s="36">
        <f t="shared" si="15"/>
        <v>0.84033613445378152</v>
      </c>
      <c r="Q288" s="65">
        <v>2859.5663265306125</v>
      </c>
      <c r="R288" s="53">
        <f t="shared" si="16"/>
        <v>24.029969130509347</v>
      </c>
      <c r="S288" s="36">
        <v>2894.7740855235375</v>
      </c>
      <c r="T288" s="108">
        <f t="shared" si="17"/>
        <v>0.83011552613658901</v>
      </c>
      <c r="U288" s="111"/>
      <c r="V288" s="36">
        <v>250</v>
      </c>
      <c r="W288" s="36"/>
      <c r="X288" s="36"/>
      <c r="Y288" s="36"/>
      <c r="Z288" s="36"/>
      <c r="AA288" s="36"/>
      <c r="AB288" s="36"/>
      <c r="AC288" s="36"/>
      <c r="AD288" s="36"/>
      <c r="AE288" s="36"/>
    </row>
    <row r="289" spans="1:31" s="38" customFormat="1" ht="20.25" customHeight="1">
      <c r="A289" s="13">
        <v>41912</v>
      </c>
      <c r="B289" s="35" t="s">
        <v>157</v>
      </c>
      <c r="C289" s="164">
        <v>2014</v>
      </c>
      <c r="D289" s="65">
        <v>8</v>
      </c>
      <c r="E289" s="51" t="s">
        <v>223</v>
      </c>
      <c r="F289" s="51" t="s">
        <v>224</v>
      </c>
      <c r="G289" s="51" t="s">
        <v>225</v>
      </c>
      <c r="H289" s="51" t="s">
        <v>226</v>
      </c>
      <c r="I289" s="51" t="s">
        <v>227</v>
      </c>
      <c r="J289" s="3" t="s">
        <v>228</v>
      </c>
      <c r="K289" s="3"/>
      <c r="L289" s="3">
        <v>143</v>
      </c>
      <c r="M289" s="3" t="s">
        <v>229</v>
      </c>
      <c r="N289" s="3" t="s">
        <v>228</v>
      </c>
      <c r="O289" s="3">
        <v>217</v>
      </c>
      <c r="P289" s="3">
        <f t="shared" si="15"/>
        <v>65.89861751152074</v>
      </c>
      <c r="Q289" s="36">
        <v>3413.7931034482758</v>
      </c>
      <c r="R289" s="8">
        <f t="shared" si="16"/>
        <v>2249.6424598760527</v>
      </c>
      <c r="S289" s="36">
        <v>3414.9390163588901</v>
      </c>
      <c r="T289" s="60">
        <f t="shared" si="17"/>
        <v>65.876504649113429</v>
      </c>
      <c r="U289" s="111"/>
      <c r="V289" s="36">
        <v>250</v>
      </c>
      <c r="W289" s="3" t="s">
        <v>496</v>
      </c>
      <c r="X289" s="3"/>
      <c r="Y289" s="36"/>
      <c r="Z289" s="36"/>
      <c r="AA289" s="36"/>
      <c r="AB289" s="36"/>
      <c r="AC289" s="36"/>
      <c r="AD289" s="36"/>
      <c r="AE289" s="36"/>
    </row>
    <row r="290" spans="1:31" ht="20.25" customHeight="1">
      <c r="A290" s="35">
        <v>41912</v>
      </c>
      <c r="B290" s="35" t="s">
        <v>157</v>
      </c>
      <c r="C290" s="164">
        <v>2014</v>
      </c>
      <c r="D290" s="76">
        <v>8</v>
      </c>
      <c r="E290" s="36" t="s">
        <v>209</v>
      </c>
      <c r="F290" s="36" t="s">
        <v>210</v>
      </c>
      <c r="G290" s="36"/>
      <c r="H290" s="36" t="s">
        <v>211</v>
      </c>
      <c r="I290" s="36" t="s">
        <v>212</v>
      </c>
      <c r="J290" s="36" t="s">
        <v>213</v>
      </c>
      <c r="K290" s="36" t="s">
        <v>214</v>
      </c>
      <c r="L290" s="36">
        <v>1</v>
      </c>
      <c r="M290" s="36" t="s">
        <v>247</v>
      </c>
      <c r="N290" s="36" t="s">
        <v>215</v>
      </c>
      <c r="O290" s="36">
        <v>12</v>
      </c>
      <c r="P290" s="36">
        <f t="shared" si="15"/>
        <v>8.3333333333333321</v>
      </c>
      <c r="Q290" s="36">
        <v>1.1459129106187931</v>
      </c>
      <c r="R290" s="40">
        <f t="shared" si="16"/>
        <v>9.5492742551566062E-2</v>
      </c>
      <c r="S290" s="36">
        <v>3414.9390163588946</v>
      </c>
      <c r="T290" s="40">
        <f t="shared" si="17"/>
        <v>2.7963235095595689E-3</v>
      </c>
      <c r="U290" s="110">
        <f>SUM(T292+T294+T303)</f>
        <v>5.5280982922332953</v>
      </c>
      <c r="V290" s="36">
        <v>1000</v>
      </c>
      <c r="W290" s="36"/>
      <c r="X290" s="36"/>
      <c r="Y290" s="36"/>
      <c r="Z290" s="36"/>
      <c r="AA290" s="36"/>
      <c r="AB290" s="3"/>
      <c r="AC290" s="3"/>
      <c r="AD290" s="3"/>
      <c r="AE290" s="3"/>
    </row>
    <row r="291" spans="1:31" ht="20.25" customHeight="1">
      <c r="A291" s="13">
        <v>41912</v>
      </c>
      <c r="B291" s="72" t="s">
        <v>157</v>
      </c>
      <c r="C291" s="164">
        <v>2014</v>
      </c>
      <c r="D291" s="65">
        <v>8</v>
      </c>
      <c r="E291" s="3" t="s">
        <v>223</v>
      </c>
      <c r="F291" s="3" t="s">
        <v>303</v>
      </c>
      <c r="G291" s="3" t="s">
        <v>304</v>
      </c>
      <c r="H291" s="3" t="s">
        <v>305</v>
      </c>
      <c r="I291" s="3" t="s">
        <v>306</v>
      </c>
      <c r="J291" s="3" t="s">
        <v>307</v>
      </c>
      <c r="K291" s="3"/>
      <c r="L291" s="3">
        <v>3</v>
      </c>
      <c r="M291" s="3" t="s">
        <v>229</v>
      </c>
      <c r="N291" s="3" t="s">
        <v>307</v>
      </c>
      <c r="O291" s="3">
        <v>217</v>
      </c>
      <c r="P291" s="3">
        <f t="shared" si="15"/>
        <v>1.3824884792626728</v>
      </c>
      <c r="Q291" s="36">
        <v>3413.7931034482758</v>
      </c>
      <c r="R291" s="8">
        <f t="shared" si="16"/>
        <v>47.195296361036071</v>
      </c>
      <c r="S291" s="36">
        <v>3414.9390163588901</v>
      </c>
      <c r="T291" s="60">
        <f t="shared" si="17"/>
        <v>1.3820245730583238</v>
      </c>
      <c r="U291" s="111"/>
      <c r="V291" s="36">
        <v>250</v>
      </c>
      <c r="W291" s="36" t="s">
        <v>308</v>
      </c>
      <c r="X291" s="3"/>
      <c r="Y291" s="36"/>
      <c r="Z291" s="36"/>
      <c r="AA291" s="36"/>
      <c r="AB291" s="3"/>
      <c r="AC291" s="3"/>
      <c r="AD291" s="3"/>
      <c r="AE291" s="3"/>
    </row>
    <row r="292" spans="1:31" ht="20.25" customHeight="1">
      <c r="A292" s="13">
        <v>41912</v>
      </c>
      <c r="B292" s="72" t="s">
        <v>157</v>
      </c>
      <c r="C292" s="164">
        <v>2014</v>
      </c>
      <c r="D292" s="65">
        <v>8</v>
      </c>
      <c r="E292" s="51" t="s">
        <v>223</v>
      </c>
      <c r="F292" s="51" t="s">
        <v>303</v>
      </c>
      <c r="G292" s="51" t="s">
        <v>304</v>
      </c>
      <c r="H292" s="51" t="s">
        <v>305</v>
      </c>
      <c r="I292" s="51" t="s">
        <v>306</v>
      </c>
      <c r="J292" s="3" t="s">
        <v>307</v>
      </c>
      <c r="K292" s="3"/>
      <c r="L292" s="3">
        <v>4</v>
      </c>
      <c r="M292" s="3" t="s">
        <v>229</v>
      </c>
      <c r="N292" s="3" t="s">
        <v>307</v>
      </c>
      <c r="O292" s="3">
        <v>217</v>
      </c>
      <c r="P292" s="3">
        <f t="shared" si="15"/>
        <v>1.8433179723502304</v>
      </c>
      <c r="Q292" s="36">
        <v>3413.7931034482758</v>
      </c>
      <c r="R292" s="8">
        <f t="shared" si="16"/>
        <v>62.927061814714762</v>
      </c>
      <c r="S292" s="36">
        <v>3414.9390163588901</v>
      </c>
      <c r="T292" s="60">
        <f t="shared" si="17"/>
        <v>1.8426994307444315</v>
      </c>
      <c r="U292" s="111"/>
      <c r="V292" s="3">
        <v>250</v>
      </c>
      <c r="W292" s="36" t="s">
        <v>620</v>
      </c>
      <c r="X292" s="3"/>
      <c r="Y292" s="36"/>
      <c r="Z292" s="36"/>
      <c r="AA292" s="36"/>
      <c r="AB292" s="3"/>
      <c r="AC292" s="3"/>
      <c r="AD292" s="3"/>
      <c r="AE292" s="3"/>
    </row>
    <row r="293" spans="1:31" ht="20.25" customHeight="1">
      <c r="A293" s="13">
        <v>41912</v>
      </c>
      <c r="B293" s="35" t="s">
        <v>157</v>
      </c>
      <c r="C293" s="164">
        <v>2014</v>
      </c>
      <c r="D293" s="65">
        <v>8</v>
      </c>
      <c r="E293" s="51" t="s">
        <v>223</v>
      </c>
      <c r="F293" s="51" t="s">
        <v>224</v>
      </c>
      <c r="G293" s="51" t="s">
        <v>225</v>
      </c>
      <c r="H293" s="51" t="s">
        <v>226</v>
      </c>
      <c r="I293" s="51" t="s">
        <v>235</v>
      </c>
      <c r="J293" s="3" t="s">
        <v>236</v>
      </c>
      <c r="K293" s="3"/>
      <c r="L293" s="3">
        <v>20</v>
      </c>
      <c r="M293" s="3" t="s">
        <v>229</v>
      </c>
      <c r="N293" s="3" t="s">
        <v>236</v>
      </c>
      <c r="O293" s="3">
        <v>217</v>
      </c>
      <c r="P293" s="3">
        <f t="shared" si="15"/>
        <v>9.216589861751153</v>
      </c>
      <c r="Q293" s="36">
        <v>3413.7931034482758</v>
      </c>
      <c r="R293" s="8">
        <f t="shared" si="16"/>
        <v>314.63530907357381</v>
      </c>
      <c r="S293" s="36">
        <v>3414.9390163588901</v>
      </c>
      <c r="T293" s="60">
        <f t="shared" si="17"/>
        <v>9.2134971537221588</v>
      </c>
      <c r="U293" s="111"/>
      <c r="V293" s="36">
        <v>250</v>
      </c>
      <c r="W293" s="3"/>
      <c r="X293" s="3"/>
      <c r="Y293" s="36"/>
      <c r="Z293" s="36"/>
      <c r="AA293" s="36"/>
      <c r="AB293" s="3"/>
      <c r="AC293" s="3"/>
      <c r="AD293" s="3"/>
      <c r="AE293" s="3"/>
    </row>
    <row r="294" spans="1:31" ht="20.25" customHeight="1">
      <c r="A294" s="13">
        <v>41912</v>
      </c>
      <c r="B294" s="72" t="s">
        <v>157</v>
      </c>
      <c r="C294" s="164">
        <v>2014</v>
      </c>
      <c r="D294" s="65">
        <v>8</v>
      </c>
      <c r="E294" s="34" t="s">
        <v>223</v>
      </c>
      <c r="F294" s="34" t="s">
        <v>310</v>
      </c>
      <c r="G294" s="34" t="s">
        <v>314</v>
      </c>
      <c r="H294" s="34" t="s">
        <v>311</v>
      </c>
      <c r="I294" s="34" t="s">
        <v>315</v>
      </c>
      <c r="J294" s="51" t="s">
        <v>316</v>
      </c>
      <c r="K294" s="3"/>
      <c r="L294" s="3">
        <v>7</v>
      </c>
      <c r="M294" s="36" t="s">
        <v>229</v>
      </c>
      <c r="N294" s="3" t="s">
        <v>345</v>
      </c>
      <c r="O294" s="3">
        <v>217</v>
      </c>
      <c r="P294" s="3">
        <f t="shared" si="15"/>
        <v>3.225806451612903</v>
      </c>
      <c r="Q294" s="65">
        <v>3413.7931034482758</v>
      </c>
      <c r="R294" s="8">
        <f t="shared" si="16"/>
        <v>110.12235817575083</v>
      </c>
      <c r="S294" s="36">
        <v>3414.9390163588901</v>
      </c>
      <c r="T294" s="60">
        <f t="shared" si="17"/>
        <v>3.2247240038027556</v>
      </c>
      <c r="U294" s="111"/>
      <c r="V294" s="3">
        <v>250</v>
      </c>
      <c r="W294" s="3" t="s">
        <v>495</v>
      </c>
      <c r="X294" s="3"/>
      <c r="Y294" s="36"/>
      <c r="Z294" s="36"/>
      <c r="AA294" s="36"/>
      <c r="AB294" s="3"/>
      <c r="AC294" s="3"/>
      <c r="AD294" s="3"/>
      <c r="AE294" s="3"/>
    </row>
    <row r="295" spans="1:31" s="38" customFormat="1" ht="20.25" customHeight="1">
      <c r="A295" s="13">
        <v>41912</v>
      </c>
      <c r="B295" s="35" t="s">
        <v>157</v>
      </c>
      <c r="C295" s="164">
        <v>2014</v>
      </c>
      <c r="D295" s="65">
        <v>8</v>
      </c>
      <c r="E295" s="51" t="s">
        <v>223</v>
      </c>
      <c r="F295" s="51" t="s">
        <v>310</v>
      </c>
      <c r="G295" s="51" t="s">
        <v>314</v>
      </c>
      <c r="H295" s="51" t="s">
        <v>311</v>
      </c>
      <c r="I295" s="51" t="s">
        <v>315</v>
      </c>
      <c r="J295" s="3" t="s">
        <v>347</v>
      </c>
      <c r="K295" s="3"/>
      <c r="L295" s="3">
        <v>2</v>
      </c>
      <c r="M295" s="36" t="s">
        <v>229</v>
      </c>
      <c r="N295" s="3" t="s">
        <v>345</v>
      </c>
      <c r="O295" s="3">
        <v>217</v>
      </c>
      <c r="P295" s="3">
        <f t="shared" si="15"/>
        <v>0.92165898617511521</v>
      </c>
      <c r="Q295" s="65">
        <v>3413.7931034482758</v>
      </c>
      <c r="R295" s="8">
        <f t="shared" si="16"/>
        <v>31.463530907357381</v>
      </c>
      <c r="S295" s="36">
        <v>3414.9390163588901</v>
      </c>
      <c r="T295" s="60">
        <f t="shared" si="17"/>
        <v>0.92134971537221577</v>
      </c>
      <c r="U295" s="111"/>
      <c r="V295" s="36">
        <v>250</v>
      </c>
      <c r="W295" s="3"/>
      <c r="X295" s="3"/>
      <c r="Y295" s="36"/>
      <c r="Z295" s="36"/>
      <c r="AA295" s="36"/>
      <c r="AB295" s="36"/>
      <c r="AC295" s="36"/>
      <c r="AD295" s="36"/>
      <c r="AE295" s="36"/>
    </row>
    <row r="296" spans="1:31" s="38" customFormat="1" ht="20.25" customHeight="1">
      <c r="A296" s="35">
        <v>41912</v>
      </c>
      <c r="B296" s="35" t="s">
        <v>157</v>
      </c>
      <c r="C296" s="164">
        <v>2014</v>
      </c>
      <c r="D296" s="76">
        <v>8</v>
      </c>
      <c r="E296" s="36" t="s">
        <v>223</v>
      </c>
      <c r="F296" s="36" t="s">
        <v>267</v>
      </c>
      <c r="G296" s="36"/>
      <c r="H296" s="36" t="s">
        <v>273</v>
      </c>
      <c r="I296" s="36"/>
      <c r="J296" s="36" t="s">
        <v>558</v>
      </c>
      <c r="K296" s="36" t="s">
        <v>559</v>
      </c>
      <c r="L296" s="36">
        <v>1</v>
      </c>
      <c r="M296" s="36" t="s">
        <v>544</v>
      </c>
      <c r="N296" s="36" t="s">
        <v>494</v>
      </c>
      <c r="O296" s="36">
        <v>12</v>
      </c>
      <c r="P296" s="36">
        <f t="shared" si="15"/>
        <v>8.3333333333333321</v>
      </c>
      <c r="Q296" s="36">
        <v>1.1459129106187931</v>
      </c>
      <c r="R296" s="40">
        <f t="shared" si="16"/>
        <v>9.5492742551566062E-2</v>
      </c>
      <c r="S296" s="36">
        <v>3414.9390163588946</v>
      </c>
      <c r="T296" s="40">
        <f t="shared" si="17"/>
        <v>2.7963235095595689E-3</v>
      </c>
      <c r="U296" s="110"/>
      <c r="V296" s="36">
        <v>1000</v>
      </c>
      <c r="W296" s="36" t="s">
        <v>573</v>
      </c>
      <c r="X296" s="36"/>
      <c r="Y296" s="36"/>
      <c r="Z296" s="36"/>
      <c r="AA296" s="36"/>
      <c r="AB296" s="36"/>
      <c r="AC296" s="36"/>
      <c r="AD296" s="36"/>
      <c r="AE296" s="36"/>
    </row>
    <row r="297" spans="1:31" s="50" customFormat="1" ht="20.25" customHeight="1">
      <c r="A297" s="35">
        <v>41912</v>
      </c>
      <c r="B297" s="35" t="s">
        <v>157</v>
      </c>
      <c r="C297" s="164">
        <v>2014</v>
      </c>
      <c r="D297" s="76">
        <v>8</v>
      </c>
      <c r="E297" s="36" t="s">
        <v>223</v>
      </c>
      <c r="F297" s="36" t="s">
        <v>267</v>
      </c>
      <c r="G297" s="36"/>
      <c r="H297" s="36" t="s">
        <v>273</v>
      </c>
      <c r="I297" s="36"/>
      <c r="J297" s="36"/>
      <c r="K297" s="36"/>
      <c r="L297" s="36">
        <v>1</v>
      </c>
      <c r="M297" s="36" t="s">
        <v>508</v>
      </c>
      <c r="N297" s="36" t="s">
        <v>494</v>
      </c>
      <c r="O297" s="36">
        <v>12</v>
      </c>
      <c r="P297" s="36">
        <f t="shared" si="15"/>
        <v>8.3333333333333321</v>
      </c>
      <c r="Q297" s="36">
        <v>1.1459129106187931</v>
      </c>
      <c r="R297" s="40">
        <f t="shared" si="16"/>
        <v>9.5492742551566062E-2</v>
      </c>
      <c r="S297" s="36">
        <v>3414.9390163588901</v>
      </c>
      <c r="T297" s="40">
        <f t="shared" si="17"/>
        <v>2.7963235095595728E-3</v>
      </c>
      <c r="U297" s="110"/>
      <c r="V297" s="36">
        <v>1000</v>
      </c>
      <c r="W297" s="36"/>
      <c r="X297" s="36"/>
      <c r="Y297" s="36"/>
      <c r="Z297" s="36"/>
      <c r="AA297" s="36"/>
      <c r="AB297" s="48"/>
      <c r="AC297" s="48"/>
      <c r="AD297" s="48"/>
      <c r="AE297" s="48"/>
    </row>
    <row r="298" spans="1:31" ht="20.25" customHeight="1">
      <c r="A298" s="71">
        <v>41912</v>
      </c>
      <c r="B298" s="72" t="s">
        <v>157</v>
      </c>
      <c r="C298" s="168">
        <v>2014</v>
      </c>
      <c r="D298" s="65">
        <v>8</v>
      </c>
      <c r="E298" s="36" t="s">
        <v>223</v>
      </c>
      <c r="F298" s="36" t="s">
        <v>224</v>
      </c>
      <c r="G298" s="36" t="s">
        <v>225</v>
      </c>
      <c r="H298" s="36" t="s">
        <v>226</v>
      </c>
      <c r="I298" s="36" t="s">
        <v>239</v>
      </c>
      <c r="J298" s="36" t="s">
        <v>240</v>
      </c>
      <c r="K298" s="3"/>
      <c r="L298" s="3">
        <v>26</v>
      </c>
      <c r="M298" s="3" t="s">
        <v>229</v>
      </c>
      <c r="N298" s="3" t="s">
        <v>240</v>
      </c>
      <c r="O298" s="3">
        <v>217</v>
      </c>
      <c r="P298" s="3">
        <f t="shared" si="15"/>
        <v>11.981566820276496</v>
      </c>
      <c r="Q298" s="36">
        <v>3413.7931034482758</v>
      </c>
      <c r="R298" s="8">
        <f t="shared" si="16"/>
        <v>409.02590179564589</v>
      </c>
      <c r="S298" s="36">
        <v>3414.9390163588901</v>
      </c>
      <c r="T298" s="60">
        <f t="shared" si="17"/>
        <v>11.977546299838803</v>
      </c>
      <c r="U298" s="111"/>
      <c r="V298" s="3">
        <v>250</v>
      </c>
      <c r="W298" s="3"/>
      <c r="X298" s="3"/>
      <c r="Y298" s="36"/>
      <c r="Z298" s="36"/>
      <c r="AA298" s="36"/>
      <c r="AB298" s="3"/>
      <c r="AC298" s="3"/>
      <c r="AD298" s="3"/>
      <c r="AE298" s="3"/>
    </row>
    <row r="299" spans="1:31" ht="20.25" customHeight="1">
      <c r="A299" s="72">
        <v>41912</v>
      </c>
      <c r="B299" s="72" t="s">
        <v>157</v>
      </c>
      <c r="C299" s="168">
        <v>2014</v>
      </c>
      <c r="D299" s="76">
        <v>8</v>
      </c>
      <c r="E299" s="65" t="s">
        <v>288</v>
      </c>
      <c r="F299" s="65" t="s">
        <v>289</v>
      </c>
      <c r="G299" s="65"/>
      <c r="H299" s="65" t="s">
        <v>567</v>
      </c>
      <c r="I299" s="65" t="s">
        <v>340</v>
      </c>
      <c r="J299" s="36" t="s">
        <v>565</v>
      </c>
      <c r="K299" s="36" t="s">
        <v>566</v>
      </c>
      <c r="L299" s="36">
        <v>4</v>
      </c>
      <c r="M299" s="36" t="s">
        <v>247</v>
      </c>
      <c r="N299" s="36" t="s">
        <v>294</v>
      </c>
      <c r="O299" s="36">
        <v>12</v>
      </c>
      <c r="P299" s="36">
        <f t="shared" si="15"/>
        <v>33.333333333333329</v>
      </c>
      <c r="Q299" s="36">
        <v>1.1459129106187931</v>
      </c>
      <c r="R299" s="40">
        <f t="shared" si="16"/>
        <v>0.38197097020626425</v>
      </c>
      <c r="S299" s="36">
        <v>3414.9390163588901</v>
      </c>
      <c r="T299" s="40">
        <f t="shared" si="17"/>
        <v>1.1185294038238291E-2</v>
      </c>
      <c r="U299" s="110"/>
      <c r="V299" s="36">
        <v>1000</v>
      </c>
      <c r="W299" s="36"/>
      <c r="X299" s="36"/>
      <c r="Y299" s="36"/>
      <c r="Z299" s="36"/>
      <c r="AA299" s="36"/>
      <c r="AB299" s="3"/>
      <c r="AC299" s="3"/>
      <c r="AD299" s="3"/>
      <c r="AE299" s="3"/>
    </row>
    <row r="300" spans="1:31" ht="20.25" customHeight="1">
      <c r="A300" s="72">
        <v>41912</v>
      </c>
      <c r="B300" s="35" t="s">
        <v>157</v>
      </c>
      <c r="C300" s="168">
        <v>2014</v>
      </c>
      <c r="D300" s="76">
        <v>8</v>
      </c>
      <c r="E300" s="36" t="s">
        <v>288</v>
      </c>
      <c r="F300" s="36" t="s">
        <v>289</v>
      </c>
      <c r="G300" s="36"/>
      <c r="H300" s="36"/>
      <c r="I300" s="36"/>
      <c r="J300" s="36"/>
      <c r="K300" s="36"/>
      <c r="L300" s="36">
        <v>5</v>
      </c>
      <c r="M300" s="36" t="s">
        <v>221</v>
      </c>
      <c r="N300" s="36" t="s">
        <v>294</v>
      </c>
      <c r="O300" s="36">
        <v>12</v>
      </c>
      <c r="P300" s="36">
        <f t="shared" si="15"/>
        <v>41.666666666666671</v>
      </c>
      <c r="Q300" s="36">
        <v>1.1459129106187931</v>
      </c>
      <c r="R300" s="40">
        <f t="shared" si="16"/>
        <v>0.47746371275783056</v>
      </c>
      <c r="S300" s="36">
        <v>3414.9390163588901</v>
      </c>
      <c r="T300" s="40">
        <f t="shared" si="17"/>
        <v>1.3981617547797871E-2</v>
      </c>
      <c r="U300" s="110"/>
      <c r="V300" s="36">
        <v>1000</v>
      </c>
      <c r="W300" s="36"/>
      <c r="X300" s="36"/>
      <c r="Y300" s="36"/>
      <c r="Z300" s="36"/>
      <c r="AA300" s="36"/>
      <c r="AB300" s="3"/>
      <c r="AC300" s="3"/>
      <c r="AD300" s="3"/>
      <c r="AE300" s="3"/>
    </row>
    <row r="301" spans="1:31" ht="20.25" customHeight="1">
      <c r="A301" s="13">
        <v>41912</v>
      </c>
      <c r="B301" s="72" t="s">
        <v>157</v>
      </c>
      <c r="C301" s="168">
        <v>2014</v>
      </c>
      <c r="D301" s="65">
        <v>8</v>
      </c>
      <c r="E301" s="34" t="s">
        <v>223</v>
      </c>
      <c r="F301" s="34" t="s">
        <v>224</v>
      </c>
      <c r="G301" s="34" t="s">
        <v>225</v>
      </c>
      <c r="H301" s="34" t="s">
        <v>248</v>
      </c>
      <c r="I301" s="34" t="s">
        <v>249</v>
      </c>
      <c r="J301" s="3" t="s">
        <v>250</v>
      </c>
      <c r="K301" s="3"/>
      <c r="L301" s="3">
        <v>1</v>
      </c>
      <c r="M301" s="3" t="s">
        <v>229</v>
      </c>
      <c r="N301" s="3" t="s">
        <v>250</v>
      </c>
      <c r="O301" s="3">
        <v>217</v>
      </c>
      <c r="P301" s="3">
        <f t="shared" si="15"/>
        <v>0.46082949308755761</v>
      </c>
      <c r="Q301" s="36">
        <v>3413.7931034482758</v>
      </c>
      <c r="R301" s="8">
        <f t="shared" si="16"/>
        <v>15.73176545367869</v>
      </c>
      <c r="S301" s="36">
        <v>3414.9390163588901</v>
      </c>
      <c r="T301" s="60">
        <f t="shared" si="17"/>
        <v>0.46067485768610789</v>
      </c>
      <c r="U301" s="111"/>
      <c r="V301" s="36">
        <v>250</v>
      </c>
      <c r="W301" s="3"/>
      <c r="X301" s="3"/>
      <c r="Y301" s="36"/>
      <c r="Z301" s="36"/>
      <c r="AA301" s="36"/>
      <c r="AB301" s="3"/>
      <c r="AC301" s="3"/>
      <c r="AD301" s="3"/>
      <c r="AE301" s="3"/>
    </row>
    <row r="302" spans="1:31" ht="20.25" customHeight="1">
      <c r="A302" s="13">
        <v>41912</v>
      </c>
      <c r="B302" s="72" t="s">
        <v>157</v>
      </c>
      <c r="C302" s="168">
        <v>2014</v>
      </c>
      <c r="D302" s="65">
        <v>8</v>
      </c>
      <c r="E302" s="3" t="s">
        <v>216</v>
      </c>
      <c r="F302" s="3" t="s">
        <v>217</v>
      </c>
      <c r="G302" s="3"/>
      <c r="H302" s="3"/>
      <c r="I302" s="3"/>
      <c r="J302" s="3" t="s">
        <v>219</v>
      </c>
      <c r="K302" s="3"/>
      <c r="L302" s="3">
        <v>1</v>
      </c>
      <c r="M302" s="36" t="s">
        <v>229</v>
      </c>
      <c r="N302" s="3" t="s">
        <v>219</v>
      </c>
      <c r="O302" s="3">
        <v>217</v>
      </c>
      <c r="P302" s="3">
        <f t="shared" si="15"/>
        <v>0.46082949308755761</v>
      </c>
      <c r="Q302" s="36">
        <v>3413.7931034482758</v>
      </c>
      <c r="R302" s="8">
        <f t="shared" si="16"/>
        <v>15.73176545367869</v>
      </c>
      <c r="S302" s="36">
        <v>3414.9390163588901</v>
      </c>
      <c r="T302" s="60">
        <f t="shared" si="17"/>
        <v>0.46067485768610789</v>
      </c>
      <c r="U302" s="111"/>
      <c r="V302" s="36">
        <v>250</v>
      </c>
      <c r="W302" s="3"/>
      <c r="X302" s="3"/>
      <c r="Y302" s="36"/>
      <c r="Z302" s="36"/>
      <c r="AA302" s="36"/>
      <c r="AB302" s="3"/>
      <c r="AC302" s="3"/>
      <c r="AD302" s="3"/>
      <c r="AE302" s="3"/>
    </row>
    <row r="303" spans="1:31" ht="20.25" customHeight="1">
      <c r="A303" s="13">
        <v>41912</v>
      </c>
      <c r="B303" s="72" t="s">
        <v>157</v>
      </c>
      <c r="C303" s="168">
        <v>2014</v>
      </c>
      <c r="D303" s="65">
        <v>8</v>
      </c>
      <c r="E303" s="65" t="s">
        <v>223</v>
      </c>
      <c r="F303" s="65" t="s">
        <v>224</v>
      </c>
      <c r="G303" s="65" t="s">
        <v>225</v>
      </c>
      <c r="H303" s="65" t="s">
        <v>226</v>
      </c>
      <c r="I303" s="65" t="s">
        <v>253</v>
      </c>
      <c r="J303" s="36" t="s">
        <v>256</v>
      </c>
      <c r="K303" s="3"/>
      <c r="L303" s="3">
        <v>1</v>
      </c>
      <c r="M303" s="3" t="s">
        <v>229</v>
      </c>
      <c r="N303" s="3" t="s">
        <v>256</v>
      </c>
      <c r="O303" s="3">
        <v>217</v>
      </c>
      <c r="P303" s="3">
        <f t="shared" si="15"/>
        <v>0.46082949308755761</v>
      </c>
      <c r="Q303" s="36">
        <v>3413.7931034482758</v>
      </c>
      <c r="R303" s="8">
        <f t="shared" si="16"/>
        <v>15.73176545367869</v>
      </c>
      <c r="S303" s="36">
        <v>3414.9390163588901</v>
      </c>
      <c r="T303" s="60">
        <f t="shared" si="17"/>
        <v>0.46067485768610789</v>
      </c>
      <c r="U303" s="111"/>
      <c r="V303" s="3">
        <v>250</v>
      </c>
      <c r="W303" s="3"/>
      <c r="X303" s="3"/>
      <c r="Y303" s="36"/>
      <c r="Z303" s="36"/>
      <c r="AA303" s="36"/>
      <c r="AB303" s="3"/>
      <c r="AC303" s="3"/>
      <c r="AD303" s="3"/>
      <c r="AE303" s="3"/>
    </row>
    <row r="304" spans="1:31" ht="20.25" customHeight="1">
      <c r="A304" s="13">
        <v>41912</v>
      </c>
      <c r="B304" s="35" t="s">
        <v>157</v>
      </c>
      <c r="C304" s="168">
        <v>2014</v>
      </c>
      <c r="D304" s="65">
        <v>8</v>
      </c>
      <c r="E304" s="3" t="s">
        <v>223</v>
      </c>
      <c r="F304" s="3" t="s">
        <v>224</v>
      </c>
      <c r="G304" s="3" t="s">
        <v>225</v>
      </c>
      <c r="H304" s="3" t="s">
        <v>226</v>
      </c>
      <c r="I304" s="3" t="s">
        <v>239</v>
      </c>
      <c r="J304" s="3" t="s">
        <v>258</v>
      </c>
      <c r="K304" s="3" t="s">
        <v>259</v>
      </c>
      <c r="L304" s="3">
        <v>9</v>
      </c>
      <c r="M304" s="3" t="s">
        <v>247</v>
      </c>
      <c r="N304" s="3" t="s">
        <v>258</v>
      </c>
      <c r="O304" s="3">
        <v>217</v>
      </c>
      <c r="P304" s="3">
        <f t="shared" si="15"/>
        <v>4.1474654377880187</v>
      </c>
      <c r="Q304" s="36">
        <v>3413.7931034482758</v>
      </c>
      <c r="R304" s="8">
        <f t="shared" si="16"/>
        <v>141.58588908310821</v>
      </c>
      <c r="S304" s="36">
        <v>3414.9390163588901</v>
      </c>
      <c r="T304" s="60">
        <f t="shared" si="17"/>
        <v>4.1460737191749715</v>
      </c>
      <c r="U304" s="111"/>
      <c r="V304" s="3">
        <v>250</v>
      </c>
      <c r="W304" s="3"/>
      <c r="X304" s="3"/>
      <c r="Y304" s="36"/>
      <c r="Z304" s="36"/>
      <c r="AA304" s="36"/>
      <c r="AB304" s="3"/>
      <c r="AC304" s="3"/>
      <c r="AD304" s="3"/>
      <c r="AE304" s="3"/>
    </row>
    <row r="305" spans="1:31" ht="20.25" customHeight="1">
      <c r="A305" s="13">
        <v>41912</v>
      </c>
      <c r="B305" s="35" t="s">
        <v>157</v>
      </c>
      <c r="C305" s="164">
        <v>2014</v>
      </c>
      <c r="D305" s="36">
        <v>5</v>
      </c>
      <c r="E305" s="3" t="s">
        <v>223</v>
      </c>
      <c r="F305" s="3" t="s">
        <v>224</v>
      </c>
      <c r="G305" s="3" t="s">
        <v>225</v>
      </c>
      <c r="H305" s="3" t="s">
        <v>226</v>
      </c>
      <c r="I305" s="3" t="s">
        <v>227</v>
      </c>
      <c r="J305" s="3" t="s">
        <v>228</v>
      </c>
      <c r="K305" s="3"/>
      <c r="L305" s="3">
        <v>64</v>
      </c>
      <c r="M305" s="3" t="s">
        <v>229</v>
      </c>
      <c r="N305" s="3" t="s">
        <v>228</v>
      </c>
      <c r="O305" s="3">
        <v>216</v>
      </c>
      <c r="P305" s="3">
        <f t="shared" si="15"/>
        <v>29.629629629629626</v>
      </c>
      <c r="Q305" s="36">
        <v>5697.7155041120923</v>
      </c>
      <c r="R305" s="8">
        <f t="shared" si="16"/>
        <v>1688.2120012183975</v>
      </c>
      <c r="S305" s="65">
        <v>5708.9199859048103</v>
      </c>
      <c r="T305" s="60">
        <f t="shared" si="17"/>
        <v>29.571477711836096</v>
      </c>
      <c r="U305" s="111"/>
      <c r="V305" s="3">
        <v>250</v>
      </c>
      <c r="W305" s="3" t="s">
        <v>472</v>
      </c>
      <c r="X305" s="3"/>
      <c r="Y305" s="36"/>
      <c r="Z305" s="36"/>
      <c r="AA305" s="36"/>
      <c r="AB305" s="3"/>
      <c r="AC305" s="3"/>
      <c r="AD305" s="3"/>
      <c r="AE305" s="3"/>
    </row>
    <row r="306" spans="1:31" ht="20.25" customHeight="1">
      <c r="A306" s="35">
        <v>41912</v>
      </c>
      <c r="B306" s="35" t="s">
        <v>157</v>
      </c>
      <c r="C306" s="164">
        <v>2014</v>
      </c>
      <c r="D306" s="76">
        <v>5</v>
      </c>
      <c r="E306" s="65" t="s">
        <v>223</v>
      </c>
      <c r="F306" s="65" t="s">
        <v>267</v>
      </c>
      <c r="G306" s="65" t="s">
        <v>268</v>
      </c>
      <c r="H306" s="65" t="s">
        <v>269</v>
      </c>
      <c r="I306" s="65"/>
      <c r="J306" s="65" t="s">
        <v>270</v>
      </c>
      <c r="K306" s="36"/>
      <c r="L306" s="36">
        <v>1</v>
      </c>
      <c r="M306" s="36" t="s">
        <v>229</v>
      </c>
      <c r="N306" s="36" t="s">
        <v>270</v>
      </c>
      <c r="O306" s="36">
        <v>176</v>
      </c>
      <c r="P306" s="36">
        <f t="shared" si="15"/>
        <v>0.56818181818181823</v>
      </c>
      <c r="Q306" s="36">
        <v>11.204481792717086</v>
      </c>
      <c r="R306" s="40">
        <f t="shared" si="16"/>
        <v>6.3661828367710713E-2</v>
      </c>
      <c r="S306" s="65">
        <v>5708.9199859048094</v>
      </c>
      <c r="T306" s="40">
        <f t="shared" si="17"/>
        <v>1.1151291054155652E-3</v>
      </c>
      <c r="U306" s="110">
        <f>SUM(T306+T309+T310+T312+T315+T325)</f>
        <v>23.567001559830224</v>
      </c>
      <c r="V306" s="36">
        <v>1000</v>
      </c>
      <c r="W306" s="36" t="s">
        <v>578</v>
      </c>
      <c r="X306" s="36"/>
      <c r="Y306" s="36"/>
      <c r="Z306" s="36"/>
      <c r="AA306" s="36"/>
      <c r="AB306" s="3"/>
      <c r="AC306" s="3"/>
      <c r="AD306" s="3"/>
      <c r="AE306" s="3"/>
    </row>
    <row r="307" spans="1:31" ht="20.25" customHeight="1">
      <c r="A307" s="35">
        <v>41912</v>
      </c>
      <c r="B307" s="72" t="s">
        <v>157</v>
      </c>
      <c r="C307" s="164">
        <v>2014</v>
      </c>
      <c r="D307" s="76">
        <v>5</v>
      </c>
      <c r="E307" s="36" t="s">
        <v>209</v>
      </c>
      <c r="F307" s="36" t="s">
        <v>210</v>
      </c>
      <c r="G307" s="36"/>
      <c r="H307" s="36" t="s">
        <v>211</v>
      </c>
      <c r="I307" s="36" t="s">
        <v>212</v>
      </c>
      <c r="J307" s="36" t="s">
        <v>213</v>
      </c>
      <c r="K307" s="36" t="s">
        <v>214</v>
      </c>
      <c r="L307" s="65">
        <v>7</v>
      </c>
      <c r="M307" s="65" t="s">
        <v>247</v>
      </c>
      <c r="N307" s="65" t="s">
        <v>215</v>
      </c>
      <c r="O307" s="36">
        <v>176</v>
      </c>
      <c r="P307" s="36">
        <f t="shared" si="15"/>
        <v>3.9772727272727271</v>
      </c>
      <c r="Q307" s="36">
        <v>11.204481792717086</v>
      </c>
      <c r="R307" s="40">
        <f t="shared" si="16"/>
        <v>0.44563279857397503</v>
      </c>
      <c r="S307" s="65">
        <v>5708.9199859048094</v>
      </c>
      <c r="T307" s="40">
        <f t="shared" si="17"/>
        <v>7.8059037379089573E-3</v>
      </c>
      <c r="U307" s="110"/>
      <c r="V307" s="65">
        <v>1000</v>
      </c>
      <c r="W307" s="65"/>
      <c r="X307" s="65"/>
      <c r="Y307" s="65"/>
      <c r="Z307" s="36"/>
      <c r="AA307" s="36"/>
      <c r="AB307" s="3"/>
      <c r="AC307" s="3"/>
      <c r="AD307" s="3"/>
      <c r="AE307" s="3"/>
    </row>
    <row r="308" spans="1:31" ht="20.25" customHeight="1">
      <c r="A308" s="13">
        <v>41912</v>
      </c>
      <c r="B308" s="72" t="s">
        <v>157</v>
      </c>
      <c r="C308" s="164">
        <v>2014</v>
      </c>
      <c r="D308" s="36">
        <v>5</v>
      </c>
      <c r="E308" s="51" t="s">
        <v>223</v>
      </c>
      <c r="F308" s="51" t="s">
        <v>303</v>
      </c>
      <c r="G308" s="51" t="s">
        <v>304</v>
      </c>
      <c r="H308" s="51" t="s">
        <v>305</v>
      </c>
      <c r="I308" s="51" t="s">
        <v>306</v>
      </c>
      <c r="J308" s="3" t="s">
        <v>307</v>
      </c>
      <c r="K308" s="3"/>
      <c r="L308" s="3">
        <v>25</v>
      </c>
      <c r="M308" s="3" t="s">
        <v>229</v>
      </c>
      <c r="N308" s="3" t="s">
        <v>307</v>
      </c>
      <c r="O308" s="3">
        <v>216</v>
      </c>
      <c r="P308" s="3">
        <f t="shared" si="15"/>
        <v>11.574074074074074</v>
      </c>
      <c r="Q308" s="36">
        <v>5697.7155041120923</v>
      </c>
      <c r="R308" s="8">
        <f t="shared" si="16"/>
        <v>659.45781297593658</v>
      </c>
      <c r="S308" s="65">
        <v>5708.9199859048103</v>
      </c>
      <c r="T308" s="60">
        <f t="shared" si="17"/>
        <v>11.551358481185977</v>
      </c>
      <c r="U308" s="111"/>
      <c r="V308" s="3">
        <v>250</v>
      </c>
      <c r="W308" s="36" t="s">
        <v>308</v>
      </c>
      <c r="X308" s="3"/>
      <c r="Y308" s="36"/>
      <c r="Z308" s="36"/>
      <c r="AA308" s="36"/>
      <c r="AB308" s="3"/>
      <c r="AC308" s="3"/>
      <c r="AD308" s="3"/>
      <c r="AE308" s="3"/>
    </row>
    <row r="309" spans="1:31" ht="20.25" customHeight="1">
      <c r="A309" s="13">
        <v>41912</v>
      </c>
      <c r="B309" s="72" t="s">
        <v>157</v>
      </c>
      <c r="C309" s="164">
        <v>2014</v>
      </c>
      <c r="D309" s="36">
        <v>5</v>
      </c>
      <c r="E309" s="51" t="s">
        <v>223</v>
      </c>
      <c r="F309" s="3" t="s">
        <v>303</v>
      </c>
      <c r="G309" s="3" t="s">
        <v>304</v>
      </c>
      <c r="H309" s="51" t="s">
        <v>305</v>
      </c>
      <c r="I309" s="51" t="s">
        <v>306</v>
      </c>
      <c r="J309" s="51" t="s">
        <v>307</v>
      </c>
      <c r="K309" s="3"/>
      <c r="L309" s="3">
        <v>15</v>
      </c>
      <c r="M309" s="3" t="s">
        <v>229</v>
      </c>
      <c r="N309" s="3" t="s">
        <v>307</v>
      </c>
      <c r="O309" s="3">
        <v>216</v>
      </c>
      <c r="P309" s="3">
        <f t="shared" si="15"/>
        <v>6.9444444444444446</v>
      </c>
      <c r="Q309" s="36">
        <v>5697.7155041120923</v>
      </c>
      <c r="R309" s="8">
        <f t="shared" si="16"/>
        <v>395.67468778556196</v>
      </c>
      <c r="S309" s="65">
        <v>5708.9199859048103</v>
      </c>
      <c r="T309" s="60">
        <f t="shared" si="17"/>
        <v>6.9308150887115865</v>
      </c>
      <c r="U309" s="111"/>
      <c r="V309" s="36">
        <v>250</v>
      </c>
      <c r="W309" s="36" t="s">
        <v>620</v>
      </c>
      <c r="X309" s="3"/>
      <c r="Y309" s="36"/>
      <c r="Z309" s="36"/>
      <c r="AA309" s="36"/>
      <c r="AB309" s="3"/>
      <c r="AC309" s="3"/>
      <c r="AD309" s="3"/>
      <c r="AE309" s="3"/>
    </row>
    <row r="310" spans="1:31" ht="20.25" customHeight="1">
      <c r="A310" s="13">
        <v>41912</v>
      </c>
      <c r="B310" s="35" t="s">
        <v>157</v>
      </c>
      <c r="C310" s="164">
        <v>2014</v>
      </c>
      <c r="D310" s="36">
        <v>5</v>
      </c>
      <c r="E310" s="51" t="s">
        <v>223</v>
      </c>
      <c r="F310" s="51" t="s">
        <v>224</v>
      </c>
      <c r="G310" s="51" t="s">
        <v>225</v>
      </c>
      <c r="H310" s="51" t="s">
        <v>226</v>
      </c>
      <c r="I310" s="51" t="s">
        <v>235</v>
      </c>
      <c r="J310" s="3" t="s">
        <v>236</v>
      </c>
      <c r="K310" s="3"/>
      <c r="L310" s="3">
        <v>16</v>
      </c>
      <c r="M310" s="3" t="s">
        <v>229</v>
      </c>
      <c r="N310" s="3" t="s">
        <v>236</v>
      </c>
      <c r="O310" s="3">
        <v>216</v>
      </c>
      <c r="P310" s="3">
        <f t="shared" si="15"/>
        <v>7.4074074074074066</v>
      </c>
      <c r="Q310" s="36">
        <v>5697.7155041120923</v>
      </c>
      <c r="R310" s="8">
        <f t="shared" si="16"/>
        <v>422.05300030459938</v>
      </c>
      <c r="S310" s="65">
        <v>5708.9199859048103</v>
      </c>
      <c r="T310" s="60">
        <f t="shared" si="17"/>
        <v>7.3928694279590239</v>
      </c>
      <c r="U310" s="111"/>
      <c r="V310" s="3">
        <v>250</v>
      </c>
      <c r="W310" s="3"/>
      <c r="X310" s="3"/>
      <c r="Y310" s="36"/>
      <c r="Z310" s="36"/>
      <c r="AA310" s="36"/>
      <c r="AB310" s="3"/>
      <c r="AC310" s="3"/>
      <c r="AD310" s="3"/>
      <c r="AE310" s="3"/>
    </row>
    <row r="311" spans="1:31" ht="20.25" customHeight="1">
      <c r="A311" s="13">
        <v>41912</v>
      </c>
      <c r="B311" s="35" t="s">
        <v>157</v>
      </c>
      <c r="C311" s="164">
        <v>2014</v>
      </c>
      <c r="D311" s="36">
        <v>5</v>
      </c>
      <c r="E311" s="51" t="s">
        <v>223</v>
      </c>
      <c r="F311" s="51" t="s">
        <v>310</v>
      </c>
      <c r="G311" s="51" t="s">
        <v>314</v>
      </c>
      <c r="H311" s="51" t="s">
        <v>311</v>
      </c>
      <c r="I311" s="51" t="s">
        <v>315</v>
      </c>
      <c r="J311" s="3" t="s">
        <v>316</v>
      </c>
      <c r="K311" s="3"/>
      <c r="L311" s="3">
        <v>1</v>
      </c>
      <c r="M311" s="36" t="s">
        <v>229</v>
      </c>
      <c r="N311" s="3" t="s">
        <v>345</v>
      </c>
      <c r="O311" s="3">
        <v>216</v>
      </c>
      <c r="P311" s="3">
        <f t="shared" si="15"/>
        <v>0.46296296296296291</v>
      </c>
      <c r="Q311" s="65">
        <v>5697.7155041120923</v>
      </c>
      <c r="R311" s="8">
        <f t="shared" si="16"/>
        <v>26.378312519037461</v>
      </c>
      <c r="S311" s="65">
        <v>5708.9199859048103</v>
      </c>
      <c r="T311" s="60">
        <f t="shared" si="17"/>
        <v>0.46205433924743899</v>
      </c>
      <c r="U311" s="111"/>
      <c r="V311" s="3">
        <v>250</v>
      </c>
      <c r="W311" s="3"/>
      <c r="X311" s="3"/>
      <c r="Y311" s="36"/>
      <c r="Z311" s="36"/>
      <c r="AA311" s="36"/>
      <c r="AB311" s="3"/>
      <c r="AC311" s="3"/>
      <c r="AD311" s="3"/>
      <c r="AE311" s="3"/>
    </row>
    <row r="312" spans="1:31" s="33" customFormat="1" ht="20.25" customHeight="1">
      <c r="A312" s="13">
        <v>41912</v>
      </c>
      <c r="B312" s="35" t="s">
        <v>157</v>
      </c>
      <c r="C312" s="164">
        <v>2014</v>
      </c>
      <c r="D312" s="36">
        <v>5</v>
      </c>
      <c r="E312" s="51" t="s">
        <v>223</v>
      </c>
      <c r="F312" s="51" t="s">
        <v>310</v>
      </c>
      <c r="G312" s="51" t="s">
        <v>314</v>
      </c>
      <c r="H312" s="51" t="s">
        <v>311</v>
      </c>
      <c r="I312" s="51" t="s">
        <v>315</v>
      </c>
      <c r="J312" s="3" t="s">
        <v>347</v>
      </c>
      <c r="K312" s="3"/>
      <c r="L312" s="3">
        <v>3</v>
      </c>
      <c r="M312" s="36" t="s">
        <v>229</v>
      </c>
      <c r="N312" s="3" t="s">
        <v>345</v>
      </c>
      <c r="O312" s="3">
        <v>216</v>
      </c>
      <c r="P312" s="3">
        <f t="shared" si="15"/>
        <v>1.3888888888888888</v>
      </c>
      <c r="Q312" s="65">
        <v>5697.7155041120923</v>
      </c>
      <c r="R312" s="8">
        <f t="shared" si="16"/>
        <v>79.134937557112394</v>
      </c>
      <c r="S312" s="36">
        <v>5708.9199859048103</v>
      </c>
      <c r="T312" s="60">
        <f t="shared" si="17"/>
        <v>1.3861630177423172</v>
      </c>
      <c r="U312" s="111"/>
      <c r="V312" s="36">
        <v>250</v>
      </c>
      <c r="W312" s="3"/>
      <c r="X312" s="3"/>
      <c r="Y312" s="36"/>
      <c r="Z312" s="36"/>
      <c r="AA312" s="36"/>
      <c r="AB312" s="32"/>
      <c r="AC312" s="32"/>
      <c r="AD312" s="32"/>
      <c r="AE312" s="32"/>
    </row>
    <row r="313" spans="1:31" s="50" customFormat="1" ht="20.25" customHeight="1">
      <c r="A313" s="35">
        <v>41912</v>
      </c>
      <c r="B313" s="35" t="s">
        <v>157</v>
      </c>
      <c r="C313" s="164">
        <v>2014</v>
      </c>
      <c r="D313" s="76">
        <v>5</v>
      </c>
      <c r="E313" s="36" t="s">
        <v>223</v>
      </c>
      <c r="F313" s="36" t="s">
        <v>267</v>
      </c>
      <c r="G313" s="36"/>
      <c r="H313" s="36" t="s">
        <v>273</v>
      </c>
      <c r="I313" s="36" t="s">
        <v>274</v>
      </c>
      <c r="J313" s="36" t="s">
        <v>275</v>
      </c>
      <c r="K313" s="36" t="s">
        <v>276</v>
      </c>
      <c r="L313" s="36">
        <v>8</v>
      </c>
      <c r="M313" s="36" t="s">
        <v>247</v>
      </c>
      <c r="N313" s="36" t="s">
        <v>275</v>
      </c>
      <c r="O313" s="36">
        <v>176</v>
      </c>
      <c r="P313" s="36">
        <f t="shared" si="15"/>
        <v>4.5454545454545459</v>
      </c>
      <c r="Q313" s="65">
        <v>11.204481792717086</v>
      </c>
      <c r="R313" s="40">
        <f t="shared" si="16"/>
        <v>0.5092946269416857</v>
      </c>
      <c r="S313" s="65">
        <v>5708.9199859048103</v>
      </c>
      <c r="T313" s="40">
        <f t="shared" si="17"/>
        <v>8.9210328433245202E-3</v>
      </c>
      <c r="U313" s="110"/>
      <c r="V313" s="36">
        <v>1000</v>
      </c>
      <c r="W313" s="36" t="s">
        <v>575</v>
      </c>
      <c r="X313" s="36"/>
      <c r="Y313" s="36"/>
      <c r="Z313" s="36"/>
      <c r="AA313" s="36"/>
      <c r="AB313" s="48"/>
      <c r="AC313" s="48"/>
      <c r="AD313" s="48"/>
      <c r="AE313" s="48"/>
    </row>
    <row r="314" spans="1:31" ht="20.25" customHeight="1">
      <c r="A314" s="35">
        <v>41912</v>
      </c>
      <c r="B314" s="35" t="s">
        <v>157</v>
      </c>
      <c r="C314" s="164">
        <v>2014</v>
      </c>
      <c r="D314" s="76">
        <v>5</v>
      </c>
      <c r="E314" s="65" t="s">
        <v>351</v>
      </c>
      <c r="F314" s="65"/>
      <c r="G314" s="65"/>
      <c r="H314" s="65"/>
      <c r="I314" s="65"/>
      <c r="J314" s="36"/>
      <c r="K314" s="36"/>
      <c r="L314" s="36">
        <v>4</v>
      </c>
      <c r="M314" s="36" t="s">
        <v>474</v>
      </c>
      <c r="N314" s="36" t="s">
        <v>352</v>
      </c>
      <c r="O314" s="36">
        <v>176</v>
      </c>
      <c r="P314" s="36">
        <f t="shared" si="15"/>
        <v>2.2727272727272729</v>
      </c>
      <c r="Q314" s="65">
        <v>11.204481792717086</v>
      </c>
      <c r="R314" s="40">
        <f t="shared" si="16"/>
        <v>0.25464731347084285</v>
      </c>
      <c r="S314" s="65">
        <v>5708.9199859048103</v>
      </c>
      <c r="T314" s="40">
        <f t="shared" si="17"/>
        <v>4.4605164216622601E-3</v>
      </c>
      <c r="U314" s="110"/>
      <c r="V314" s="36">
        <v>1000</v>
      </c>
      <c r="W314" s="36"/>
      <c r="X314" s="36"/>
      <c r="Y314" s="36"/>
      <c r="Z314" s="36"/>
      <c r="AA314" s="36"/>
      <c r="AB314" s="3"/>
      <c r="AC314" s="3"/>
      <c r="AD314" s="3"/>
      <c r="AE314" s="3"/>
    </row>
    <row r="315" spans="1:31" ht="20.25" customHeight="1">
      <c r="A315" s="35">
        <v>41912</v>
      </c>
      <c r="B315" s="72" t="s">
        <v>157</v>
      </c>
      <c r="C315" s="168">
        <v>2014</v>
      </c>
      <c r="D315" s="76">
        <v>5</v>
      </c>
      <c r="E315" s="36" t="s">
        <v>223</v>
      </c>
      <c r="F315" s="36" t="s">
        <v>267</v>
      </c>
      <c r="G315" s="36"/>
      <c r="H315" s="36" t="s">
        <v>273</v>
      </c>
      <c r="I315" s="36"/>
      <c r="J315" s="36"/>
      <c r="K315" s="36"/>
      <c r="L315" s="36">
        <v>1</v>
      </c>
      <c r="M315" s="36" t="s">
        <v>508</v>
      </c>
      <c r="N315" s="36" t="s">
        <v>335</v>
      </c>
      <c r="O315" s="36">
        <v>176</v>
      </c>
      <c r="P315" s="36">
        <f t="shared" si="15"/>
        <v>0.56818181818181823</v>
      </c>
      <c r="Q315" s="36">
        <v>11.204481792717086</v>
      </c>
      <c r="R315" s="40">
        <f t="shared" si="16"/>
        <v>6.3661828367710713E-2</v>
      </c>
      <c r="S315" s="65">
        <v>5708.9199859048103</v>
      </c>
      <c r="T315" s="40">
        <f t="shared" si="17"/>
        <v>1.115129105415565E-3</v>
      </c>
      <c r="U315" s="110"/>
      <c r="V315" s="36">
        <v>1000</v>
      </c>
      <c r="W315" s="36"/>
      <c r="X315" s="36"/>
      <c r="Y315" s="36"/>
      <c r="Z315" s="36"/>
      <c r="AA315" s="36"/>
      <c r="AB315" s="3"/>
      <c r="AC315" s="3"/>
      <c r="AD315" s="3"/>
      <c r="AE315" s="3"/>
    </row>
    <row r="316" spans="1:31" ht="20.25" customHeight="1">
      <c r="A316" s="71">
        <v>41912</v>
      </c>
      <c r="B316" s="72" t="s">
        <v>157</v>
      </c>
      <c r="C316" s="168">
        <v>2014</v>
      </c>
      <c r="D316" s="36">
        <v>5</v>
      </c>
      <c r="E316" s="65" t="s">
        <v>223</v>
      </c>
      <c r="F316" s="36" t="s">
        <v>224</v>
      </c>
      <c r="G316" s="36" t="s">
        <v>225</v>
      </c>
      <c r="H316" s="65" t="s">
        <v>226</v>
      </c>
      <c r="I316" s="65" t="s">
        <v>239</v>
      </c>
      <c r="J316" s="65" t="s">
        <v>240</v>
      </c>
      <c r="K316" s="3"/>
      <c r="L316" s="3">
        <v>60</v>
      </c>
      <c r="M316" s="3" t="s">
        <v>229</v>
      </c>
      <c r="N316" s="3" t="s">
        <v>240</v>
      </c>
      <c r="O316" s="3">
        <v>216</v>
      </c>
      <c r="P316" s="3">
        <f t="shared" si="15"/>
        <v>27.777777777777779</v>
      </c>
      <c r="Q316" s="36">
        <v>5697.7155041120923</v>
      </c>
      <c r="R316" s="8">
        <f t="shared" si="16"/>
        <v>1582.6987511422478</v>
      </c>
      <c r="S316" s="36">
        <v>5708.9199859048103</v>
      </c>
      <c r="T316" s="60">
        <f t="shared" si="17"/>
        <v>27.723260354846346</v>
      </c>
      <c r="U316" s="111"/>
      <c r="V316" s="36">
        <v>250</v>
      </c>
      <c r="W316" s="3"/>
      <c r="X316" s="3"/>
      <c r="Y316" s="36"/>
      <c r="Z316" s="36"/>
      <c r="AA316" s="36"/>
      <c r="AB316" s="3"/>
      <c r="AC316" s="3"/>
      <c r="AD316" s="3"/>
      <c r="AE316" s="3"/>
    </row>
    <row r="317" spans="1:31" ht="20.25" customHeight="1">
      <c r="A317" s="72">
        <v>41912</v>
      </c>
      <c r="B317" s="35" t="s">
        <v>157</v>
      </c>
      <c r="C317" s="168">
        <v>2014</v>
      </c>
      <c r="D317" s="76">
        <v>5</v>
      </c>
      <c r="E317" s="65" t="s">
        <v>288</v>
      </c>
      <c r="F317" s="65" t="s">
        <v>289</v>
      </c>
      <c r="G317" s="65"/>
      <c r="H317" s="65" t="s">
        <v>567</v>
      </c>
      <c r="I317" s="65" t="s">
        <v>340</v>
      </c>
      <c r="J317" s="36" t="s">
        <v>565</v>
      </c>
      <c r="K317" s="36" t="s">
        <v>566</v>
      </c>
      <c r="L317" s="36">
        <v>96</v>
      </c>
      <c r="M317" s="36" t="s">
        <v>247</v>
      </c>
      <c r="N317" s="36" t="s">
        <v>294</v>
      </c>
      <c r="O317" s="36">
        <v>176</v>
      </c>
      <c r="P317" s="36">
        <f t="shared" si="15"/>
        <v>54.54545454545454</v>
      </c>
      <c r="Q317" s="36">
        <v>11.204481792717086</v>
      </c>
      <c r="R317" s="40">
        <f t="shared" si="16"/>
        <v>6.111535523300228</v>
      </c>
      <c r="S317" s="65">
        <v>5708.9199859048103</v>
      </c>
      <c r="T317" s="40">
        <f t="shared" si="17"/>
        <v>0.10705239411989424</v>
      </c>
      <c r="U317" s="110"/>
      <c r="V317" s="36">
        <v>1000</v>
      </c>
      <c r="W317" s="36" t="s">
        <v>574</v>
      </c>
      <c r="X317" s="36"/>
      <c r="Y317" s="36"/>
      <c r="Z317" s="36"/>
      <c r="AA317" s="36"/>
      <c r="AB317" s="3"/>
      <c r="AC317" s="3"/>
      <c r="AD317" s="3"/>
      <c r="AE317" s="3"/>
    </row>
    <row r="318" spans="1:31" ht="20.25" customHeight="1">
      <c r="A318" s="72">
        <v>41912</v>
      </c>
      <c r="B318" s="35" t="s">
        <v>157</v>
      </c>
      <c r="C318" s="168">
        <v>2014</v>
      </c>
      <c r="D318" s="76">
        <v>5</v>
      </c>
      <c r="E318" s="36" t="s">
        <v>288</v>
      </c>
      <c r="F318" s="36" t="s">
        <v>289</v>
      </c>
      <c r="G318" s="36"/>
      <c r="H318" s="36"/>
      <c r="I318" s="36"/>
      <c r="J318" s="36"/>
      <c r="K318" s="36"/>
      <c r="L318" s="36">
        <v>4</v>
      </c>
      <c r="M318" s="36" t="s">
        <v>221</v>
      </c>
      <c r="N318" s="36" t="s">
        <v>294</v>
      </c>
      <c r="O318" s="36">
        <v>176</v>
      </c>
      <c r="P318" s="36">
        <f t="shared" si="15"/>
        <v>2.2727272727272729</v>
      </c>
      <c r="Q318" s="36">
        <v>11.204481792717086</v>
      </c>
      <c r="R318" s="40">
        <f t="shared" si="16"/>
        <v>0.25464731347084285</v>
      </c>
      <c r="S318" s="65">
        <v>5708.9199859048103</v>
      </c>
      <c r="T318" s="40">
        <f t="shared" si="17"/>
        <v>4.4605164216622601E-3</v>
      </c>
      <c r="U318" s="110"/>
      <c r="V318" s="36">
        <v>1000</v>
      </c>
      <c r="W318" s="36"/>
      <c r="X318" s="36"/>
      <c r="Y318" s="36"/>
      <c r="Z318" s="36"/>
      <c r="AA318" s="36"/>
      <c r="AB318" s="3"/>
      <c r="AC318" s="3"/>
      <c r="AD318" s="3"/>
      <c r="AE318" s="3"/>
    </row>
    <row r="319" spans="1:31" ht="20.25" customHeight="1">
      <c r="A319" s="35">
        <v>41912</v>
      </c>
      <c r="B319" s="72" t="s">
        <v>157</v>
      </c>
      <c r="C319" s="168">
        <v>2014</v>
      </c>
      <c r="D319" s="76">
        <v>5</v>
      </c>
      <c r="E319" s="36" t="s">
        <v>223</v>
      </c>
      <c r="F319" s="36" t="s">
        <v>267</v>
      </c>
      <c r="G319" s="36" t="s">
        <v>278</v>
      </c>
      <c r="H319" s="36" t="s">
        <v>279</v>
      </c>
      <c r="I319" s="36" t="s">
        <v>280</v>
      </c>
      <c r="J319" s="36" t="s">
        <v>284</v>
      </c>
      <c r="K319" s="36" t="s">
        <v>285</v>
      </c>
      <c r="L319" s="36">
        <v>52</v>
      </c>
      <c r="M319" s="36" t="s">
        <v>247</v>
      </c>
      <c r="N319" s="36" t="s">
        <v>283</v>
      </c>
      <c r="O319" s="36">
        <v>176</v>
      </c>
      <c r="P319" s="36">
        <f t="shared" si="15"/>
        <v>29.545454545454547</v>
      </c>
      <c r="Q319" s="36">
        <v>11.204481792717086</v>
      </c>
      <c r="R319" s="40">
        <f t="shared" si="16"/>
        <v>3.3104150751209573</v>
      </c>
      <c r="S319" s="65">
        <v>5708.9199859048103</v>
      </c>
      <c r="T319" s="40">
        <f t="shared" si="17"/>
        <v>5.7986713481609393E-2</v>
      </c>
      <c r="U319" s="110"/>
      <c r="V319" s="36">
        <v>1000</v>
      </c>
      <c r="W319" s="36" t="s">
        <v>595</v>
      </c>
      <c r="X319" s="36"/>
      <c r="Y319" s="36"/>
      <c r="Z319" s="36"/>
      <c r="AA319" s="36"/>
      <c r="AB319" s="3"/>
      <c r="AC319" s="3"/>
      <c r="AD319" s="3"/>
      <c r="AE319" s="3"/>
    </row>
    <row r="320" spans="1:31" ht="20.25" customHeight="1">
      <c r="A320" s="35">
        <v>41912</v>
      </c>
      <c r="B320" s="72" t="s">
        <v>157</v>
      </c>
      <c r="C320" s="168">
        <v>2014</v>
      </c>
      <c r="D320" s="76">
        <v>5</v>
      </c>
      <c r="E320" s="65" t="s">
        <v>223</v>
      </c>
      <c r="F320" s="65" t="s">
        <v>267</v>
      </c>
      <c r="G320" s="65" t="s">
        <v>278</v>
      </c>
      <c r="H320" s="65" t="s">
        <v>279</v>
      </c>
      <c r="I320" s="65" t="s">
        <v>280</v>
      </c>
      <c r="J320" s="36" t="s">
        <v>284</v>
      </c>
      <c r="K320" s="36" t="s">
        <v>285</v>
      </c>
      <c r="L320" s="36">
        <v>1</v>
      </c>
      <c r="M320" s="36" t="s">
        <v>247</v>
      </c>
      <c r="N320" s="36" t="s">
        <v>283</v>
      </c>
      <c r="O320" s="36">
        <v>176</v>
      </c>
      <c r="P320" s="36">
        <f t="shared" si="15"/>
        <v>0.56818181818181823</v>
      </c>
      <c r="Q320" s="36">
        <v>11.204481792717086</v>
      </c>
      <c r="R320" s="40">
        <f t="shared" si="16"/>
        <v>6.3661828367710713E-2</v>
      </c>
      <c r="S320" s="65">
        <v>5708.9199859048103</v>
      </c>
      <c r="T320" s="40">
        <f t="shared" si="17"/>
        <v>1.115129105415565E-3</v>
      </c>
      <c r="U320" s="110"/>
      <c r="V320" s="36">
        <v>1000</v>
      </c>
      <c r="W320" s="36" t="s">
        <v>596</v>
      </c>
      <c r="X320" s="36"/>
      <c r="Y320" s="36"/>
      <c r="Z320" s="36"/>
      <c r="AA320" s="36"/>
      <c r="AB320" s="3"/>
      <c r="AC320" s="3"/>
      <c r="AD320" s="3"/>
      <c r="AE320" s="3"/>
    </row>
    <row r="321" spans="1:31" ht="20.25" customHeight="1">
      <c r="A321" s="13">
        <v>41912</v>
      </c>
      <c r="B321" s="72" t="s">
        <v>157</v>
      </c>
      <c r="C321" s="168">
        <v>2014</v>
      </c>
      <c r="D321" s="36">
        <v>5</v>
      </c>
      <c r="E321" s="36" t="s">
        <v>323</v>
      </c>
      <c r="F321" s="36" t="s">
        <v>489</v>
      </c>
      <c r="G321" s="36"/>
      <c r="H321" s="36" t="s">
        <v>490</v>
      </c>
      <c r="I321" s="36" t="s">
        <v>491</v>
      </c>
      <c r="J321" s="36" t="s">
        <v>371</v>
      </c>
      <c r="K321" s="3" t="s">
        <v>372</v>
      </c>
      <c r="L321" s="3">
        <v>2</v>
      </c>
      <c r="M321" s="3" t="s">
        <v>247</v>
      </c>
      <c r="N321" s="3" t="s">
        <v>371</v>
      </c>
      <c r="O321" s="3">
        <v>216</v>
      </c>
      <c r="P321" s="3">
        <f t="shared" si="15"/>
        <v>0.92592592592592582</v>
      </c>
      <c r="Q321" s="36">
        <v>5697.7155041120923</v>
      </c>
      <c r="R321" s="8">
        <f t="shared" si="16"/>
        <v>52.756625038074922</v>
      </c>
      <c r="S321" s="36">
        <v>5708.9199859048103</v>
      </c>
      <c r="T321" s="60">
        <f t="shared" si="17"/>
        <v>0.92410867849487799</v>
      </c>
      <c r="U321" s="111"/>
      <c r="V321" s="3">
        <v>250</v>
      </c>
      <c r="W321" s="3"/>
      <c r="X321" s="3"/>
      <c r="Y321" s="3"/>
      <c r="Z321" s="36"/>
      <c r="AA321" s="36"/>
      <c r="AB321" s="3"/>
      <c r="AC321" s="3"/>
      <c r="AD321" s="3"/>
      <c r="AE321" s="3"/>
    </row>
    <row r="322" spans="1:31" ht="20.25" customHeight="1">
      <c r="A322" s="13">
        <v>41912</v>
      </c>
      <c r="B322" s="72" t="s">
        <v>157</v>
      </c>
      <c r="C322" s="168">
        <v>2014</v>
      </c>
      <c r="D322" s="36">
        <v>5</v>
      </c>
      <c r="E322" s="3" t="s">
        <v>223</v>
      </c>
      <c r="F322" s="3" t="s">
        <v>224</v>
      </c>
      <c r="G322" s="3" t="s">
        <v>225</v>
      </c>
      <c r="H322" s="3" t="s">
        <v>248</v>
      </c>
      <c r="I322" s="3" t="s">
        <v>249</v>
      </c>
      <c r="J322" s="3" t="s">
        <v>250</v>
      </c>
      <c r="K322" s="3"/>
      <c r="L322" s="3">
        <v>1</v>
      </c>
      <c r="M322" s="3" t="s">
        <v>229</v>
      </c>
      <c r="N322" s="3" t="s">
        <v>250</v>
      </c>
      <c r="O322" s="3">
        <v>216</v>
      </c>
      <c r="P322" s="3">
        <f t="shared" ref="P322:P385" si="18">L322/O322*100</f>
        <v>0.46296296296296291</v>
      </c>
      <c r="Q322" s="36">
        <v>5697.7155041120923</v>
      </c>
      <c r="R322" s="8">
        <f t="shared" ref="R322:R385" si="19">(P322/100)*Q322</f>
        <v>26.378312519037461</v>
      </c>
      <c r="S322" s="36">
        <v>5708.9199859048103</v>
      </c>
      <c r="T322" s="60">
        <f t="shared" ref="T322:T385" si="20">R322/S322*100</f>
        <v>0.46205433924743899</v>
      </c>
      <c r="U322" s="111"/>
      <c r="V322" s="36">
        <v>250</v>
      </c>
      <c r="W322" s="3"/>
      <c r="X322" s="3"/>
      <c r="Y322" s="3"/>
      <c r="Z322" s="3"/>
      <c r="AA322" s="3"/>
      <c r="AB322" s="3"/>
      <c r="AC322" s="3"/>
      <c r="AD322" s="3"/>
      <c r="AE322" s="3"/>
    </row>
    <row r="323" spans="1:31" ht="20.25" customHeight="1">
      <c r="A323" s="35">
        <v>41912</v>
      </c>
      <c r="B323" s="72" t="s">
        <v>157</v>
      </c>
      <c r="C323" s="168">
        <v>2014</v>
      </c>
      <c r="D323" s="76">
        <v>5</v>
      </c>
      <c r="E323" s="36" t="s">
        <v>223</v>
      </c>
      <c r="F323" s="36" t="s">
        <v>576</v>
      </c>
      <c r="G323" s="36"/>
      <c r="H323" s="36"/>
      <c r="I323" s="36"/>
      <c r="J323" s="36"/>
      <c r="K323" s="36"/>
      <c r="L323" s="36">
        <v>2</v>
      </c>
      <c r="M323" s="36" t="s">
        <v>221</v>
      </c>
      <c r="N323" s="36" t="s">
        <v>577</v>
      </c>
      <c r="O323" s="36">
        <v>176</v>
      </c>
      <c r="P323" s="36">
        <f t="shared" si="18"/>
        <v>1.1363636363636365</v>
      </c>
      <c r="Q323" s="36">
        <v>11.204481792717086</v>
      </c>
      <c r="R323" s="40">
        <f t="shared" si="19"/>
        <v>0.12732365673542143</v>
      </c>
      <c r="S323" s="65">
        <v>5708.9199859048103</v>
      </c>
      <c r="T323" s="40">
        <f t="shared" si="20"/>
        <v>2.2302582108311301E-3</v>
      </c>
      <c r="U323" s="110"/>
      <c r="V323" s="36">
        <v>1000</v>
      </c>
      <c r="W323" s="36"/>
      <c r="X323" s="36"/>
      <c r="Y323" s="36"/>
      <c r="Z323" s="3"/>
      <c r="AA323" s="3"/>
      <c r="AB323" s="3"/>
      <c r="AC323" s="3"/>
      <c r="AD323" s="3"/>
      <c r="AE323" s="3"/>
    </row>
    <row r="324" spans="1:31" ht="20.25" customHeight="1">
      <c r="A324" s="71">
        <v>41912</v>
      </c>
      <c r="B324" s="72" t="s">
        <v>157</v>
      </c>
      <c r="C324" s="168">
        <v>2014</v>
      </c>
      <c r="D324" s="65">
        <v>5</v>
      </c>
      <c r="E324" s="51" t="s">
        <v>216</v>
      </c>
      <c r="F324" s="51" t="s">
        <v>217</v>
      </c>
      <c r="G324" s="51"/>
      <c r="H324" s="51"/>
      <c r="I324" s="51"/>
      <c r="J324" s="3" t="s">
        <v>219</v>
      </c>
      <c r="K324" s="3"/>
      <c r="L324" s="3">
        <v>2</v>
      </c>
      <c r="M324" s="36" t="s">
        <v>229</v>
      </c>
      <c r="N324" s="3" t="s">
        <v>219</v>
      </c>
      <c r="O324" s="3">
        <v>216</v>
      </c>
      <c r="P324" s="3">
        <f t="shared" si="18"/>
        <v>0.92592592592592582</v>
      </c>
      <c r="Q324" s="36">
        <v>5697.7155041120923</v>
      </c>
      <c r="R324" s="8">
        <f t="shared" si="19"/>
        <v>52.756625038074922</v>
      </c>
      <c r="S324" s="65">
        <v>5708.9199859048103</v>
      </c>
      <c r="T324" s="60">
        <f t="shared" si="20"/>
        <v>0.92410867849487799</v>
      </c>
      <c r="U324" s="111"/>
      <c r="V324" s="3">
        <v>250</v>
      </c>
      <c r="W324" s="3"/>
      <c r="X324" s="3"/>
      <c r="Y324" s="67"/>
      <c r="Z324" s="3"/>
      <c r="AA324" s="3"/>
      <c r="AB324" s="3"/>
      <c r="AC324" s="3"/>
      <c r="AD324" s="3"/>
      <c r="AE324" s="3"/>
    </row>
    <row r="325" spans="1:31" s="33" customFormat="1" ht="20.25" customHeight="1">
      <c r="A325" s="13">
        <v>41912</v>
      </c>
      <c r="B325" s="35" t="s">
        <v>157</v>
      </c>
      <c r="C325" s="168">
        <v>2014</v>
      </c>
      <c r="D325" s="65">
        <v>5</v>
      </c>
      <c r="E325" s="53" t="s">
        <v>223</v>
      </c>
      <c r="F325" s="65" t="s">
        <v>224</v>
      </c>
      <c r="G325" s="65" t="s">
        <v>225</v>
      </c>
      <c r="H325" s="53" t="s">
        <v>226</v>
      </c>
      <c r="I325" s="53" t="s">
        <v>253</v>
      </c>
      <c r="J325" s="53" t="s">
        <v>256</v>
      </c>
      <c r="K325" s="3"/>
      <c r="L325" s="3">
        <v>17</v>
      </c>
      <c r="M325" s="3" t="s">
        <v>229</v>
      </c>
      <c r="N325" s="3" t="s">
        <v>256</v>
      </c>
      <c r="O325" s="3">
        <v>216</v>
      </c>
      <c r="P325" s="3">
        <f t="shared" si="18"/>
        <v>7.8703703703703702</v>
      </c>
      <c r="Q325" s="36">
        <v>5697.7155041120923</v>
      </c>
      <c r="R325" s="8">
        <f t="shared" si="19"/>
        <v>448.43131282363692</v>
      </c>
      <c r="S325" s="65">
        <v>5708.9199859048103</v>
      </c>
      <c r="T325" s="60">
        <f t="shared" si="20"/>
        <v>7.8549237672064649</v>
      </c>
      <c r="U325" s="111"/>
      <c r="V325" s="36">
        <v>250</v>
      </c>
      <c r="W325" s="3"/>
      <c r="X325" s="3"/>
      <c r="Y325" s="3"/>
      <c r="Z325" s="32"/>
      <c r="AA325" s="32"/>
      <c r="AB325" s="32"/>
      <c r="AC325" s="32"/>
      <c r="AD325" s="32"/>
      <c r="AE325" s="32"/>
    </row>
    <row r="326" spans="1:31" ht="20.25" customHeight="1">
      <c r="A326" s="13">
        <v>41912</v>
      </c>
      <c r="B326" s="35" t="s">
        <v>157</v>
      </c>
      <c r="C326" s="168">
        <v>2014</v>
      </c>
      <c r="D326" s="65">
        <v>5</v>
      </c>
      <c r="E326" s="51" t="s">
        <v>223</v>
      </c>
      <c r="F326" s="3" t="s">
        <v>224</v>
      </c>
      <c r="G326" s="3" t="s">
        <v>225</v>
      </c>
      <c r="H326" s="51" t="s">
        <v>226</v>
      </c>
      <c r="I326" s="51" t="s">
        <v>239</v>
      </c>
      <c r="J326" s="51" t="s">
        <v>258</v>
      </c>
      <c r="K326" s="3" t="s">
        <v>259</v>
      </c>
      <c r="L326" s="3">
        <v>9</v>
      </c>
      <c r="M326" s="3" t="s">
        <v>247</v>
      </c>
      <c r="N326" s="3" t="s">
        <v>258</v>
      </c>
      <c r="O326" s="3">
        <v>216</v>
      </c>
      <c r="P326" s="3">
        <f t="shared" si="18"/>
        <v>4.1666666666666661</v>
      </c>
      <c r="Q326" s="36">
        <v>5697.7155041120923</v>
      </c>
      <c r="R326" s="8">
        <f t="shared" si="19"/>
        <v>237.40481267133711</v>
      </c>
      <c r="S326" s="65">
        <v>5708.9199859048103</v>
      </c>
      <c r="T326" s="60">
        <f t="shared" si="20"/>
        <v>4.1584890532269503</v>
      </c>
      <c r="U326" s="111"/>
      <c r="V326" s="36">
        <v>250</v>
      </c>
      <c r="W326" s="3"/>
      <c r="X326" s="3"/>
      <c r="Y326" s="3"/>
      <c r="Z326" s="3"/>
      <c r="AA326" s="3"/>
      <c r="AB326" s="3"/>
      <c r="AC326" s="3"/>
      <c r="AD326" s="3"/>
      <c r="AE326" s="3"/>
    </row>
    <row r="327" spans="1:31" ht="20.25" customHeight="1">
      <c r="A327" s="13">
        <v>41912</v>
      </c>
      <c r="B327" s="35" t="s">
        <v>157</v>
      </c>
      <c r="C327" s="168">
        <v>2014</v>
      </c>
      <c r="D327" s="65">
        <v>5</v>
      </c>
      <c r="E327" s="36" t="s">
        <v>223</v>
      </c>
      <c r="F327" s="36" t="s">
        <v>224</v>
      </c>
      <c r="G327" s="36" t="s">
        <v>225</v>
      </c>
      <c r="H327" s="36" t="s">
        <v>226</v>
      </c>
      <c r="I327" s="36" t="s">
        <v>261</v>
      </c>
      <c r="J327" s="36" t="s">
        <v>262</v>
      </c>
      <c r="K327" s="3"/>
      <c r="L327" s="3">
        <v>1</v>
      </c>
      <c r="M327" s="3" t="s">
        <v>229</v>
      </c>
      <c r="N327" s="3" t="s">
        <v>264</v>
      </c>
      <c r="O327" s="3">
        <v>216</v>
      </c>
      <c r="P327" s="3">
        <f t="shared" si="18"/>
        <v>0.46296296296296291</v>
      </c>
      <c r="Q327" s="36">
        <v>5697.7155041120923</v>
      </c>
      <c r="R327" s="8">
        <f t="shared" si="19"/>
        <v>26.378312519037461</v>
      </c>
      <c r="S327" s="65">
        <v>5708.9199859048103</v>
      </c>
      <c r="T327" s="60">
        <f t="shared" si="20"/>
        <v>0.46205433924743899</v>
      </c>
      <c r="U327" s="111"/>
      <c r="V327" s="3">
        <v>250</v>
      </c>
      <c r="W327" s="3"/>
      <c r="X327" s="3"/>
      <c r="Y327" s="3"/>
      <c r="Z327" s="3"/>
      <c r="AA327" s="3"/>
      <c r="AB327" s="3"/>
      <c r="AC327" s="3"/>
      <c r="AD327" s="3"/>
      <c r="AE327" s="3"/>
    </row>
    <row r="328" spans="1:31" ht="20.25" customHeight="1">
      <c r="A328" s="13">
        <v>41912</v>
      </c>
      <c r="B328" s="35" t="s">
        <v>157</v>
      </c>
      <c r="C328" s="168">
        <v>2014</v>
      </c>
      <c r="D328" s="36">
        <v>4</v>
      </c>
      <c r="E328" s="3" t="s">
        <v>223</v>
      </c>
      <c r="F328" s="3" t="s">
        <v>224</v>
      </c>
      <c r="G328" s="3" t="s">
        <v>225</v>
      </c>
      <c r="H328" s="3" t="s">
        <v>226</v>
      </c>
      <c r="I328" s="3" t="s">
        <v>227</v>
      </c>
      <c r="J328" s="3" t="s">
        <v>228</v>
      </c>
      <c r="K328" s="3"/>
      <c r="L328" s="3">
        <v>116</v>
      </c>
      <c r="M328" s="3" t="s">
        <v>229</v>
      </c>
      <c r="N328" s="3" t="s">
        <v>228</v>
      </c>
      <c r="O328" s="3">
        <v>237</v>
      </c>
      <c r="P328" s="3">
        <f t="shared" si="18"/>
        <v>48.945147679324897</v>
      </c>
      <c r="Q328" s="65">
        <v>4743.96628216504</v>
      </c>
      <c r="R328" s="8">
        <f t="shared" si="19"/>
        <v>2321.9413026630577</v>
      </c>
      <c r="S328" s="36">
        <v>4753.4861740378701</v>
      </c>
      <c r="T328" s="60">
        <f t="shared" si="20"/>
        <v>48.847124355695229</v>
      </c>
      <c r="U328" s="111"/>
      <c r="V328" s="3">
        <v>250</v>
      </c>
      <c r="W328" s="3" t="s">
        <v>496</v>
      </c>
      <c r="X328" s="3"/>
      <c r="Y328" s="3"/>
      <c r="Z328" s="3"/>
      <c r="AA328" s="3"/>
      <c r="AB328" s="3"/>
      <c r="AC328" s="3"/>
      <c r="AD328" s="3"/>
      <c r="AE328" s="3"/>
    </row>
    <row r="329" spans="1:31" ht="20.25" customHeight="1">
      <c r="A329" s="13">
        <v>41912</v>
      </c>
      <c r="B329" s="72" t="s">
        <v>157</v>
      </c>
      <c r="C329" s="168">
        <v>2014</v>
      </c>
      <c r="D329" s="36">
        <v>4</v>
      </c>
      <c r="E329" s="3" t="s">
        <v>223</v>
      </c>
      <c r="F329" s="3" t="s">
        <v>303</v>
      </c>
      <c r="G329" s="3" t="s">
        <v>304</v>
      </c>
      <c r="H329" s="3" t="s">
        <v>305</v>
      </c>
      <c r="I329" s="3" t="s">
        <v>306</v>
      </c>
      <c r="J329" s="3" t="s">
        <v>307</v>
      </c>
      <c r="K329" s="3"/>
      <c r="L329" s="3">
        <v>10</v>
      </c>
      <c r="M329" s="3" t="s">
        <v>229</v>
      </c>
      <c r="N329" s="3" t="s">
        <v>307</v>
      </c>
      <c r="O329" s="3">
        <v>237</v>
      </c>
      <c r="P329" s="3">
        <f t="shared" si="18"/>
        <v>4.2194092827004219</v>
      </c>
      <c r="Q329" s="65">
        <v>4743.96628216504</v>
      </c>
      <c r="R329" s="8">
        <f t="shared" si="19"/>
        <v>200.16735367784977</v>
      </c>
      <c r="S329" s="36">
        <v>4753.4861740378701</v>
      </c>
      <c r="T329" s="60">
        <f t="shared" si="20"/>
        <v>4.2109589961806231</v>
      </c>
      <c r="U329" s="111"/>
      <c r="V329" s="3">
        <v>250</v>
      </c>
      <c r="W329" s="36" t="s">
        <v>308</v>
      </c>
      <c r="X329" s="3"/>
      <c r="Y329" s="3"/>
      <c r="Z329" s="3"/>
      <c r="AA329" s="3"/>
      <c r="AB329" s="3"/>
      <c r="AC329" s="3"/>
      <c r="AD329" s="3"/>
      <c r="AE329" s="3"/>
    </row>
    <row r="330" spans="1:31" ht="20.25" customHeight="1">
      <c r="A330" s="13">
        <v>41912</v>
      </c>
      <c r="B330" s="35" t="s">
        <v>157</v>
      </c>
      <c r="C330" s="168">
        <v>2014</v>
      </c>
      <c r="D330" s="36">
        <v>4</v>
      </c>
      <c r="E330" s="3" t="s">
        <v>223</v>
      </c>
      <c r="F330" s="3" t="s">
        <v>224</v>
      </c>
      <c r="G330" s="3" t="s">
        <v>225</v>
      </c>
      <c r="H330" s="3" t="s">
        <v>226</v>
      </c>
      <c r="I330" s="3" t="s">
        <v>232</v>
      </c>
      <c r="J330" s="3" t="s">
        <v>233</v>
      </c>
      <c r="K330" s="3"/>
      <c r="L330" s="3">
        <v>1</v>
      </c>
      <c r="M330" s="3" t="s">
        <v>229</v>
      </c>
      <c r="N330" s="3" t="s">
        <v>233</v>
      </c>
      <c r="O330" s="3">
        <v>237</v>
      </c>
      <c r="P330" s="3">
        <f t="shared" si="18"/>
        <v>0.42194092827004215</v>
      </c>
      <c r="Q330" s="65">
        <v>4743.96628216504</v>
      </c>
      <c r="R330" s="8">
        <f t="shared" si="19"/>
        <v>20.016735367784978</v>
      </c>
      <c r="S330" s="36">
        <v>4753.4861740378701</v>
      </c>
      <c r="T330" s="60">
        <f t="shared" si="20"/>
        <v>0.42109589961806221</v>
      </c>
      <c r="U330" s="111"/>
      <c r="V330" s="3">
        <v>250</v>
      </c>
      <c r="W330" s="3"/>
      <c r="X330" s="3"/>
      <c r="Y330" s="3"/>
      <c r="Z330" s="3"/>
      <c r="AA330" s="3"/>
      <c r="AB330" s="3"/>
      <c r="AC330" s="3"/>
      <c r="AD330" s="3"/>
      <c r="AE330" s="3"/>
    </row>
    <row r="331" spans="1:31" s="38" customFormat="1" ht="20.25" customHeight="1">
      <c r="A331" s="13">
        <v>41912</v>
      </c>
      <c r="B331" s="35" t="s">
        <v>157</v>
      </c>
      <c r="C331" s="168">
        <v>2014</v>
      </c>
      <c r="D331" s="36">
        <v>4</v>
      </c>
      <c r="E331" s="51" t="s">
        <v>223</v>
      </c>
      <c r="F331" s="51" t="s">
        <v>224</v>
      </c>
      <c r="G331" s="51" t="s">
        <v>225</v>
      </c>
      <c r="H331" s="51" t="s">
        <v>226</v>
      </c>
      <c r="I331" s="51" t="s">
        <v>235</v>
      </c>
      <c r="J331" s="3" t="s">
        <v>236</v>
      </c>
      <c r="K331" s="3"/>
      <c r="L331" s="3">
        <v>41</v>
      </c>
      <c r="M331" s="3" t="s">
        <v>229</v>
      </c>
      <c r="N331" s="3" t="s">
        <v>236</v>
      </c>
      <c r="O331" s="3">
        <v>237</v>
      </c>
      <c r="P331" s="3">
        <f t="shared" si="18"/>
        <v>17.299578059071731</v>
      </c>
      <c r="Q331" s="65">
        <v>4743.96628216504</v>
      </c>
      <c r="R331" s="8">
        <f t="shared" si="19"/>
        <v>820.68615007918413</v>
      </c>
      <c r="S331" s="36">
        <v>4753.4861740378701</v>
      </c>
      <c r="T331" s="60">
        <f t="shared" si="20"/>
        <v>17.264931884340555</v>
      </c>
      <c r="U331" s="111"/>
      <c r="V331" s="3">
        <v>250</v>
      </c>
      <c r="W331" s="3"/>
      <c r="X331" s="3"/>
      <c r="Y331" s="3"/>
      <c r="Z331" s="36"/>
      <c r="AA331" s="36"/>
      <c r="AB331" s="36"/>
      <c r="AC331" s="36"/>
      <c r="AD331" s="36"/>
      <c r="AE331" s="36"/>
    </row>
    <row r="332" spans="1:31" ht="20.25" customHeight="1">
      <c r="A332" s="35">
        <v>41912</v>
      </c>
      <c r="B332" s="35" t="s">
        <v>157</v>
      </c>
      <c r="C332" s="168">
        <v>2014</v>
      </c>
      <c r="D332" s="76">
        <v>4</v>
      </c>
      <c r="E332" s="36" t="s">
        <v>223</v>
      </c>
      <c r="F332" s="36" t="s">
        <v>267</v>
      </c>
      <c r="G332" s="36"/>
      <c r="H332" s="36" t="s">
        <v>273</v>
      </c>
      <c r="I332" s="36" t="s">
        <v>274</v>
      </c>
      <c r="J332" s="36" t="s">
        <v>275</v>
      </c>
      <c r="K332" s="36" t="s">
        <v>276</v>
      </c>
      <c r="L332" s="36">
        <v>4</v>
      </c>
      <c r="M332" s="36" t="s">
        <v>247</v>
      </c>
      <c r="N332" s="36" t="s">
        <v>275</v>
      </c>
      <c r="O332" s="36">
        <v>108</v>
      </c>
      <c r="P332" s="36">
        <f t="shared" si="18"/>
        <v>3.7037037037037033</v>
      </c>
      <c r="Q332" s="65">
        <v>9.5198918728330497</v>
      </c>
      <c r="R332" s="40">
        <f t="shared" si="19"/>
        <v>0.35258858788270553</v>
      </c>
      <c r="S332" s="36">
        <v>4753.4861740378728</v>
      </c>
      <c r="T332" s="40">
        <f t="shared" si="20"/>
        <v>7.4174737229370617E-3</v>
      </c>
      <c r="U332" s="110">
        <f>SUM(T333+T336+T344)</f>
        <v>22.491784330338469</v>
      </c>
      <c r="V332" s="36">
        <v>1000</v>
      </c>
      <c r="W332" s="36" t="s">
        <v>580</v>
      </c>
      <c r="X332" s="36"/>
      <c r="Y332" s="3"/>
      <c r="Z332" s="3"/>
      <c r="AA332" s="3"/>
      <c r="AB332" s="3"/>
      <c r="AC332" s="3"/>
      <c r="AD332" s="3"/>
      <c r="AE332" s="3"/>
    </row>
    <row r="333" spans="1:31" ht="20.25" customHeight="1">
      <c r="A333" s="71">
        <v>41912</v>
      </c>
      <c r="B333" s="72" t="s">
        <v>157</v>
      </c>
      <c r="C333" s="168">
        <v>2014</v>
      </c>
      <c r="D333" s="36">
        <v>4</v>
      </c>
      <c r="E333" s="36" t="s">
        <v>223</v>
      </c>
      <c r="F333" s="36" t="s">
        <v>224</v>
      </c>
      <c r="G333" s="36" t="s">
        <v>225</v>
      </c>
      <c r="H333" s="36" t="s">
        <v>226</v>
      </c>
      <c r="I333" s="36" t="s">
        <v>239</v>
      </c>
      <c r="J333" s="36" t="s">
        <v>240</v>
      </c>
      <c r="K333" s="3"/>
      <c r="L333" s="3">
        <v>53</v>
      </c>
      <c r="M333" s="3" t="s">
        <v>229</v>
      </c>
      <c r="N333" s="3" t="s">
        <v>240</v>
      </c>
      <c r="O333" s="3">
        <v>237</v>
      </c>
      <c r="P333" s="3">
        <f t="shared" si="18"/>
        <v>22.362869198312236</v>
      </c>
      <c r="Q333" s="65">
        <v>4743.96628216504</v>
      </c>
      <c r="R333" s="8">
        <f t="shared" si="19"/>
        <v>1060.8869744926037</v>
      </c>
      <c r="S333" s="36">
        <v>4753.4861740378701</v>
      </c>
      <c r="T333" s="60">
        <f t="shared" si="20"/>
        <v>22.318082679757296</v>
      </c>
      <c r="U333" s="111"/>
      <c r="V333" s="65">
        <v>250</v>
      </c>
      <c r="W333" s="51"/>
      <c r="X333" s="51"/>
      <c r="Y333" s="51"/>
      <c r="Z333" s="3"/>
      <c r="AA333" s="3"/>
      <c r="AB333" s="3"/>
      <c r="AC333" s="3"/>
      <c r="AD333" s="3"/>
      <c r="AE333" s="3"/>
    </row>
    <row r="334" spans="1:31" ht="20.25" customHeight="1">
      <c r="A334" s="72">
        <v>41912</v>
      </c>
      <c r="B334" s="72" t="s">
        <v>157</v>
      </c>
      <c r="C334" s="168">
        <v>2014</v>
      </c>
      <c r="D334" s="76">
        <v>4</v>
      </c>
      <c r="E334" s="65" t="s">
        <v>288</v>
      </c>
      <c r="F334" s="65" t="s">
        <v>289</v>
      </c>
      <c r="G334" s="65"/>
      <c r="H334" s="65"/>
      <c r="I334" s="65"/>
      <c r="J334" s="36"/>
      <c r="K334" s="36"/>
      <c r="L334" s="36">
        <v>6</v>
      </c>
      <c r="M334" s="36" t="s">
        <v>221</v>
      </c>
      <c r="N334" s="36" t="s">
        <v>294</v>
      </c>
      <c r="O334" s="36">
        <v>108</v>
      </c>
      <c r="P334" s="36">
        <f t="shared" si="18"/>
        <v>5.5555555555555554</v>
      </c>
      <c r="Q334" s="65">
        <v>9.5198918728330497</v>
      </c>
      <c r="R334" s="40">
        <f t="shared" si="19"/>
        <v>0.52888288182405829</v>
      </c>
      <c r="S334" s="65">
        <v>4753.4861740378728</v>
      </c>
      <c r="T334" s="40">
        <f t="shared" si="20"/>
        <v>1.1126210584405594E-2</v>
      </c>
      <c r="U334" s="110"/>
      <c r="V334" s="36">
        <v>1000</v>
      </c>
      <c r="W334" s="36"/>
      <c r="X334" s="36"/>
      <c r="Y334" s="3"/>
      <c r="Z334" s="3"/>
      <c r="AA334" s="3"/>
      <c r="AB334" s="3"/>
      <c r="AC334" s="3"/>
      <c r="AD334" s="3"/>
      <c r="AE334" s="3"/>
    </row>
    <row r="335" spans="1:31" ht="20.25" customHeight="1">
      <c r="A335" s="72">
        <v>41912</v>
      </c>
      <c r="B335" s="35" t="s">
        <v>157</v>
      </c>
      <c r="C335" s="168">
        <v>2014</v>
      </c>
      <c r="D335" s="76">
        <v>4</v>
      </c>
      <c r="E335" s="65" t="s">
        <v>223</v>
      </c>
      <c r="F335" s="65" t="s">
        <v>267</v>
      </c>
      <c r="G335" s="65"/>
      <c r="H335" s="65" t="s">
        <v>273</v>
      </c>
      <c r="I335" s="65"/>
      <c r="J335" s="36" t="s">
        <v>537</v>
      </c>
      <c r="K335" s="36" t="s">
        <v>538</v>
      </c>
      <c r="L335" s="36">
        <v>1</v>
      </c>
      <c r="M335" s="36" t="s">
        <v>247</v>
      </c>
      <c r="N335" s="36" t="s">
        <v>539</v>
      </c>
      <c r="O335" s="36">
        <v>108</v>
      </c>
      <c r="P335" s="36">
        <f t="shared" si="18"/>
        <v>0.92592592592592582</v>
      </c>
      <c r="Q335" s="65">
        <v>9.5198918728330497</v>
      </c>
      <c r="R335" s="40">
        <f t="shared" si="19"/>
        <v>8.8147146970676382E-2</v>
      </c>
      <c r="S335" s="36">
        <v>4753.4861740378701</v>
      </c>
      <c r="T335" s="40">
        <f t="shared" si="20"/>
        <v>1.8543684307342665E-3</v>
      </c>
      <c r="U335" s="110"/>
      <c r="V335" s="36">
        <v>1000</v>
      </c>
      <c r="W335" s="36"/>
      <c r="X335" s="36"/>
      <c r="Y335" s="32"/>
      <c r="Z335" s="3"/>
      <c r="AA335" s="3"/>
      <c r="AB335" s="3"/>
      <c r="AC335" s="3"/>
      <c r="AD335" s="3"/>
      <c r="AE335" s="3"/>
    </row>
    <row r="336" spans="1:31" ht="20.25" customHeight="1">
      <c r="A336" s="72">
        <v>41912</v>
      </c>
      <c r="B336" s="35" t="s">
        <v>157</v>
      </c>
      <c r="C336" s="168">
        <v>2014</v>
      </c>
      <c r="D336" s="76">
        <v>4</v>
      </c>
      <c r="E336" s="65" t="s">
        <v>223</v>
      </c>
      <c r="F336" s="65" t="s">
        <v>267</v>
      </c>
      <c r="G336" s="65" t="s">
        <v>278</v>
      </c>
      <c r="H336" s="65" t="s">
        <v>279</v>
      </c>
      <c r="I336" s="65" t="s">
        <v>280</v>
      </c>
      <c r="J336" s="36" t="s">
        <v>284</v>
      </c>
      <c r="K336" s="36" t="s">
        <v>285</v>
      </c>
      <c r="L336" s="36">
        <v>93</v>
      </c>
      <c r="M336" s="36" t="s">
        <v>247</v>
      </c>
      <c r="N336" s="36" t="s">
        <v>283</v>
      </c>
      <c r="O336" s="36">
        <v>108</v>
      </c>
      <c r="P336" s="36">
        <f t="shared" si="18"/>
        <v>86.111111111111114</v>
      </c>
      <c r="Q336" s="65">
        <v>9.5198918728330497</v>
      </c>
      <c r="R336" s="40">
        <f t="shared" si="19"/>
        <v>8.1976846682729043</v>
      </c>
      <c r="S336" s="36">
        <v>4753.4861740378701</v>
      </c>
      <c r="T336" s="40">
        <f t="shared" si="20"/>
        <v>0.17245626405828682</v>
      </c>
      <c r="U336" s="110"/>
      <c r="V336" s="36">
        <v>1000</v>
      </c>
      <c r="W336" s="36"/>
      <c r="X336" s="36"/>
      <c r="Y336" s="174"/>
      <c r="Z336" s="3"/>
      <c r="AA336" s="3"/>
      <c r="AB336" s="3"/>
      <c r="AC336" s="3"/>
      <c r="AD336" s="3"/>
      <c r="AE336" s="3"/>
    </row>
    <row r="337" spans="1:31" ht="20.25" customHeight="1">
      <c r="A337" s="72">
        <v>41912</v>
      </c>
      <c r="B337" s="72" t="s">
        <v>157</v>
      </c>
      <c r="C337" s="168">
        <v>2014</v>
      </c>
      <c r="D337" s="76">
        <v>4</v>
      </c>
      <c r="E337" s="36" t="s">
        <v>223</v>
      </c>
      <c r="F337" s="36" t="s">
        <v>267</v>
      </c>
      <c r="G337" s="36" t="s">
        <v>278</v>
      </c>
      <c r="H337" s="36" t="s">
        <v>279</v>
      </c>
      <c r="I337" s="36" t="s">
        <v>280</v>
      </c>
      <c r="J337" s="36"/>
      <c r="K337" s="36"/>
      <c r="L337" s="36">
        <v>4</v>
      </c>
      <c r="M337" s="36" t="s">
        <v>247</v>
      </c>
      <c r="N337" s="36" t="s">
        <v>283</v>
      </c>
      <c r="O337" s="36">
        <v>108</v>
      </c>
      <c r="P337" s="36">
        <f t="shared" si="18"/>
        <v>3.7037037037037033</v>
      </c>
      <c r="Q337" s="65">
        <v>9.5198918728330497</v>
      </c>
      <c r="R337" s="40">
        <f t="shared" si="19"/>
        <v>0.35258858788270553</v>
      </c>
      <c r="S337" s="36">
        <v>4753.4861740378701</v>
      </c>
      <c r="T337" s="40">
        <f t="shared" si="20"/>
        <v>7.4174737229370661E-3</v>
      </c>
      <c r="U337" s="110"/>
      <c r="V337" s="36">
        <v>1000</v>
      </c>
      <c r="W337" s="36"/>
      <c r="X337" s="36"/>
      <c r="Y337" s="3"/>
      <c r="Z337" s="3"/>
      <c r="AA337" s="3"/>
      <c r="AB337" s="3"/>
      <c r="AC337" s="3"/>
      <c r="AD337" s="3"/>
      <c r="AE337" s="3"/>
    </row>
    <row r="338" spans="1:31" ht="20.25" customHeight="1">
      <c r="A338" s="71">
        <v>41912</v>
      </c>
      <c r="B338" s="35" t="s">
        <v>157</v>
      </c>
      <c r="C338" s="168">
        <v>2014</v>
      </c>
      <c r="D338" s="65">
        <v>4</v>
      </c>
      <c r="E338" s="65" t="s">
        <v>323</v>
      </c>
      <c r="F338" s="65" t="s">
        <v>489</v>
      </c>
      <c r="G338" s="65"/>
      <c r="H338" s="65" t="s">
        <v>490</v>
      </c>
      <c r="I338" s="65" t="s">
        <v>491</v>
      </c>
      <c r="J338" s="36" t="s">
        <v>371</v>
      </c>
      <c r="K338" s="36" t="s">
        <v>372</v>
      </c>
      <c r="L338" s="3">
        <v>5</v>
      </c>
      <c r="M338" s="3" t="s">
        <v>247</v>
      </c>
      <c r="N338" s="3" t="s">
        <v>371</v>
      </c>
      <c r="O338" s="3">
        <v>237</v>
      </c>
      <c r="P338" s="3">
        <f t="shared" si="18"/>
        <v>2.109704641350211</v>
      </c>
      <c r="Q338" s="36">
        <v>4743.96628216504</v>
      </c>
      <c r="R338" s="8">
        <f t="shared" si="19"/>
        <v>100.08367683892489</v>
      </c>
      <c r="S338" s="65">
        <v>4753.4861740378701</v>
      </c>
      <c r="T338" s="60">
        <f t="shared" si="20"/>
        <v>2.1054794980903115</v>
      </c>
      <c r="U338" s="111"/>
      <c r="V338" s="65">
        <v>250</v>
      </c>
      <c r="W338" s="51"/>
      <c r="X338" s="51"/>
      <c r="Y338" s="51"/>
      <c r="Z338" s="3"/>
      <c r="AA338" s="3"/>
      <c r="AB338" s="3"/>
      <c r="AC338" s="3"/>
      <c r="AD338" s="3"/>
      <c r="AE338" s="3"/>
    </row>
    <row r="339" spans="1:31" ht="20.25" customHeight="1">
      <c r="A339" s="71">
        <v>41912</v>
      </c>
      <c r="B339" s="35" t="s">
        <v>157</v>
      </c>
      <c r="C339" s="168">
        <v>2014</v>
      </c>
      <c r="D339" s="65">
        <v>4</v>
      </c>
      <c r="E339" s="51" t="s">
        <v>223</v>
      </c>
      <c r="F339" s="51" t="s">
        <v>224</v>
      </c>
      <c r="G339" s="51" t="s">
        <v>225</v>
      </c>
      <c r="H339" s="51" t="s">
        <v>226</v>
      </c>
      <c r="I339" s="51" t="s">
        <v>355</v>
      </c>
      <c r="J339" s="3" t="s">
        <v>356</v>
      </c>
      <c r="K339" s="3"/>
      <c r="L339" s="51">
        <v>2</v>
      </c>
      <c r="M339" s="51" t="s">
        <v>229</v>
      </c>
      <c r="N339" s="51" t="s">
        <v>356</v>
      </c>
      <c r="O339" s="3">
        <v>237</v>
      </c>
      <c r="P339" s="3">
        <f t="shared" si="18"/>
        <v>0.8438818565400843</v>
      </c>
      <c r="Q339" s="36">
        <v>4743.96628216504</v>
      </c>
      <c r="R339" s="8">
        <f t="shared" si="19"/>
        <v>40.033470735569956</v>
      </c>
      <c r="S339" s="65">
        <v>4753.4861740378701</v>
      </c>
      <c r="T339" s="60">
        <f t="shared" si="20"/>
        <v>0.84219179923612442</v>
      </c>
      <c r="U339" s="111"/>
      <c r="V339" s="51">
        <v>250</v>
      </c>
      <c r="W339" s="51"/>
      <c r="X339" s="51"/>
      <c r="Y339" s="51"/>
      <c r="Z339" s="3"/>
      <c r="AA339" s="3"/>
      <c r="AB339" s="3"/>
      <c r="AC339" s="3"/>
      <c r="AD339" s="3"/>
      <c r="AE339" s="3"/>
    </row>
    <row r="340" spans="1:31" ht="20.25" customHeight="1">
      <c r="A340" s="71">
        <v>41912</v>
      </c>
      <c r="B340" s="35" t="s">
        <v>157</v>
      </c>
      <c r="C340" s="168">
        <v>2014</v>
      </c>
      <c r="D340" s="65">
        <v>4</v>
      </c>
      <c r="E340" s="51" t="s">
        <v>216</v>
      </c>
      <c r="F340" s="51" t="s">
        <v>217</v>
      </c>
      <c r="G340" s="51"/>
      <c r="H340" s="51"/>
      <c r="I340" s="51"/>
      <c r="J340" s="3" t="s">
        <v>219</v>
      </c>
      <c r="K340" s="3"/>
      <c r="L340" s="3">
        <v>1</v>
      </c>
      <c r="M340" s="36" t="s">
        <v>229</v>
      </c>
      <c r="N340" s="3" t="s">
        <v>219</v>
      </c>
      <c r="O340" s="3">
        <v>237</v>
      </c>
      <c r="P340" s="3">
        <f t="shared" si="18"/>
        <v>0.42194092827004215</v>
      </c>
      <c r="Q340" s="36">
        <v>4743.96628216504</v>
      </c>
      <c r="R340" s="8">
        <f t="shared" si="19"/>
        <v>20.016735367784978</v>
      </c>
      <c r="S340" s="65">
        <v>4753.4861740378701</v>
      </c>
      <c r="T340" s="60">
        <f t="shared" si="20"/>
        <v>0.42109589961806221</v>
      </c>
      <c r="U340" s="111"/>
      <c r="V340" s="65">
        <v>250</v>
      </c>
      <c r="W340" s="51"/>
      <c r="X340" s="51"/>
      <c r="Y340" s="51"/>
      <c r="Z340" s="3"/>
      <c r="AA340" s="3"/>
      <c r="AB340" s="3"/>
      <c r="AC340" s="3"/>
      <c r="AD340" s="3"/>
      <c r="AE340" s="3"/>
    </row>
    <row r="341" spans="1:31" ht="20.25" customHeight="1">
      <c r="A341" s="71">
        <v>41912</v>
      </c>
      <c r="B341" s="35" t="s">
        <v>157</v>
      </c>
      <c r="C341" s="168">
        <v>2014</v>
      </c>
      <c r="D341" s="65">
        <v>4</v>
      </c>
      <c r="E341" s="36" t="s">
        <v>223</v>
      </c>
      <c r="F341" s="36" t="s">
        <v>224</v>
      </c>
      <c r="G341" s="36" t="s">
        <v>225</v>
      </c>
      <c r="H341" s="36" t="s">
        <v>226</v>
      </c>
      <c r="I341" s="65" t="s">
        <v>253</v>
      </c>
      <c r="J341" s="65" t="s">
        <v>256</v>
      </c>
      <c r="K341" s="3"/>
      <c r="L341" s="3">
        <v>7</v>
      </c>
      <c r="M341" s="3" t="s">
        <v>229</v>
      </c>
      <c r="N341" s="3" t="s">
        <v>256</v>
      </c>
      <c r="O341" s="3">
        <v>237</v>
      </c>
      <c r="P341" s="3">
        <f t="shared" si="18"/>
        <v>2.9535864978902953</v>
      </c>
      <c r="Q341" s="36">
        <v>4743.96628216504</v>
      </c>
      <c r="R341" s="8">
        <f t="shared" si="19"/>
        <v>140.11714757449485</v>
      </c>
      <c r="S341" s="65">
        <v>4753.4861740378701</v>
      </c>
      <c r="T341" s="60">
        <f t="shared" si="20"/>
        <v>2.9476712973264361</v>
      </c>
      <c r="U341" s="111"/>
      <c r="V341" s="65">
        <v>250</v>
      </c>
      <c r="W341" s="51"/>
      <c r="X341" s="51"/>
      <c r="Y341" s="51"/>
      <c r="Z341" s="3"/>
      <c r="AA341" s="3"/>
      <c r="AB341" s="3"/>
      <c r="AC341" s="3"/>
      <c r="AD341" s="3"/>
      <c r="AE341" s="3"/>
    </row>
    <row r="342" spans="1:31" ht="20.25" customHeight="1">
      <c r="A342" s="71">
        <v>41912</v>
      </c>
      <c r="B342" s="35" t="s">
        <v>157</v>
      </c>
      <c r="C342" s="168">
        <v>2014</v>
      </c>
      <c r="D342" s="65">
        <v>4</v>
      </c>
      <c r="E342" s="51" t="s">
        <v>223</v>
      </c>
      <c r="F342" s="51" t="s">
        <v>224</v>
      </c>
      <c r="G342" s="51" t="s">
        <v>225</v>
      </c>
      <c r="H342" s="51" t="s">
        <v>226</v>
      </c>
      <c r="I342" s="51" t="s">
        <v>239</v>
      </c>
      <c r="J342" s="51" t="s">
        <v>258</v>
      </c>
      <c r="K342" s="3" t="s">
        <v>259</v>
      </c>
      <c r="L342" s="3">
        <v>1</v>
      </c>
      <c r="M342" s="3" t="s">
        <v>247</v>
      </c>
      <c r="N342" s="3" t="s">
        <v>258</v>
      </c>
      <c r="O342" s="3">
        <v>237</v>
      </c>
      <c r="P342" s="3">
        <f t="shared" si="18"/>
        <v>0.42194092827004215</v>
      </c>
      <c r="Q342" s="36">
        <v>4743.96628216504</v>
      </c>
      <c r="R342" s="8">
        <f t="shared" si="19"/>
        <v>20.016735367784978</v>
      </c>
      <c r="S342" s="65">
        <v>4753.4861740378701</v>
      </c>
      <c r="T342" s="60">
        <f t="shared" si="20"/>
        <v>0.42109589961806221</v>
      </c>
      <c r="U342" s="111"/>
      <c r="V342" s="65">
        <v>250</v>
      </c>
      <c r="W342" s="51"/>
      <c r="X342" s="51"/>
      <c r="Y342" s="51"/>
      <c r="Z342" s="3"/>
      <c r="AA342" s="3"/>
      <c r="AB342" s="3"/>
      <c r="AC342" s="3"/>
      <c r="AD342" s="3"/>
      <c r="AE342" s="3"/>
    </row>
    <row r="343" spans="1:31" ht="20.25" customHeight="1">
      <c r="A343" s="63">
        <v>41912</v>
      </c>
      <c r="B343" s="35" t="s">
        <v>157</v>
      </c>
      <c r="C343" s="168">
        <v>2014</v>
      </c>
      <c r="D343" s="65">
        <v>2</v>
      </c>
      <c r="E343" s="51" t="s">
        <v>223</v>
      </c>
      <c r="F343" s="51" t="s">
        <v>224</v>
      </c>
      <c r="G343" s="51" t="s">
        <v>225</v>
      </c>
      <c r="H343" s="51" t="s">
        <v>226</v>
      </c>
      <c r="I343" s="51" t="s">
        <v>227</v>
      </c>
      <c r="J343" s="3" t="s">
        <v>228</v>
      </c>
      <c r="K343" s="3"/>
      <c r="L343" s="3">
        <v>183</v>
      </c>
      <c r="M343" s="3" t="s">
        <v>229</v>
      </c>
      <c r="N343" s="3" t="s">
        <v>228</v>
      </c>
      <c r="O343" s="3">
        <v>232</v>
      </c>
      <c r="P343" s="3">
        <f t="shared" si="18"/>
        <v>78.879310344827587</v>
      </c>
      <c r="Q343" s="36">
        <v>8354.6798029556576</v>
      </c>
      <c r="R343" s="8">
        <f t="shared" si="19"/>
        <v>6590.1138100900234</v>
      </c>
      <c r="S343" s="36">
        <v>8364.7846713493</v>
      </c>
      <c r="T343" s="60">
        <f t="shared" si="20"/>
        <v>78.784022171690765</v>
      </c>
      <c r="U343" s="111"/>
      <c r="V343" s="36">
        <v>250</v>
      </c>
      <c r="W343" s="3"/>
      <c r="X343" s="3"/>
      <c r="Y343" s="3"/>
      <c r="Z343" s="3"/>
      <c r="AA343" s="3"/>
      <c r="AB343" s="3"/>
      <c r="AC343" s="3"/>
      <c r="AD343" s="3"/>
      <c r="AE343" s="3"/>
    </row>
    <row r="344" spans="1:31" s="70" customFormat="1" ht="20.25" customHeight="1">
      <c r="A344" s="35">
        <v>41912</v>
      </c>
      <c r="B344" s="72" t="s">
        <v>157</v>
      </c>
      <c r="C344" s="168">
        <v>2014</v>
      </c>
      <c r="D344" s="76">
        <v>2</v>
      </c>
      <c r="E344" s="65" t="s">
        <v>223</v>
      </c>
      <c r="F344" s="65" t="s">
        <v>267</v>
      </c>
      <c r="G344" s="65" t="s">
        <v>278</v>
      </c>
      <c r="H344" s="65" t="s">
        <v>269</v>
      </c>
      <c r="I344" s="65" t="s">
        <v>333</v>
      </c>
      <c r="J344" s="36" t="s">
        <v>334</v>
      </c>
      <c r="K344" s="36"/>
      <c r="L344" s="36">
        <v>1</v>
      </c>
      <c r="M344" s="36" t="s">
        <v>229</v>
      </c>
      <c r="N344" s="36" t="s">
        <v>270</v>
      </c>
      <c r="O344" s="36">
        <v>97</v>
      </c>
      <c r="P344" s="36">
        <f t="shared" si="18"/>
        <v>1.0309278350515463</v>
      </c>
      <c r="Q344" s="36">
        <v>10.104868393638448</v>
      </c>
      <c r="R344" s="40">
        <f t="shared" si="19"/>
        <v>0.1041739009653448</v>
      </c>
      <c r="S344" s="36">
        <v>8364.7846713492963</v>
      </c>
      <c r="T344" s="40">
        <f t="shared" si="20"/>
        <v>1.2453865228851235E-3</v>
      </c>
      <c r="U344" s="110">
        <f>SUM(T347+T351)</f>
        <v>18.942606423794498</v>
      </c>
      <c r="V344" s="36">
        <v>1000</v>
      </c>
      <c r="W344" s="36"/>
      <c r="X344" s="36"/>
      <c r="Y344" s="3"/>
      <c r="Z344" s="67"/>
      <c r="AA344" s="67"/>
      <c r="AB344" s="67"/>
      <c r="AC344" s="67"/>
      <c r="AD344" s="67"/>
      <c r="AE344" s="67"/>
    </row>
    <row r="345" spans="1:31" ht="20.25" customHeight="1">
      <c r="A345" s="63">
        <v>41912</v>
      </c>
      <c r="B345" s="35" t="s">
        <v>157</v>
      </c>
      <c r="C345" s="168">
        <v>2014</v>
      </c>
      <c r="D345" s="65">
        <v>2</v>
      </c>
      <c r="E345" s="51" t="s">
        <v>223</v>
      </c>
      <c r="F345" s="51" t="s">
        <v>224</v>
      </c>
      <c r="G345" s="51" t="s">
        <v>225</v>
      </c>
      <c r="H345" s="51" t="s">
        <v>226</v>
      </c>
      <c r="I345" s="51" t="s">
        <v>235</v>
      </c>
      <c r="J345" s="3" t="s">
        <v>236</v>
      </c>
      <c r="K345" s="3"/>
      <c r="L345" s="3">
        <v>3</v>
      </c>
      <c r="M345" s="3" t="s">
        <v>229</v>
      </c>
      <c r="N345" s="3" t="s">
        <v>236</v>
      </c>
      <c r="O345" s="3">
        <v>232</v>
      </c>
      <c r="P345" s="3">
        <f t="shared" si="18"/>
        <v>1.2931034482758621</v>
      </c>
      <c r="Q345" s="36">
        <v>8354.6798029556576</v>
      </c>
      <c r="R345" s="8">
        <f t="shared" si="19"/>
        <v>108.0346526244266</v>
      </c>
      <c r="S345" s="36">
        <v>8364.7846713493</v>
      </c>
      <c r="T345" s="60">
        <f t="shared" si="20"/>
        <v>1.2915413470768977</v>
      </c>
      <c r="U345" s="111"/>
      <c r="V345" s="36">
        <v>250</v>
      </c>
      <c r="W345" s="3" t="s">
        <v>497</v>
      </c>
      <c r="X345" s="3"/>
      <c r="Y345" s="3"/>
      <c r="Z345" s="3"/>
      <c r="AA345" s="3"/>
      <c r="AB345" s="3"/>
      <c r="AC345" s="3"/>
      <c r="AD345" s="3"/>
      <c r="AE345" s="3"/>
    </row>
    <row r="346" spans="1:31" ht="20.25" customHeight="1">
      <c r="A346" s="35">
        <v>41912</v>
      </c>
      <c r="B346" s="35" t="s">
        <v>157</v>
      </c>
      <c r="C346" s="168">
        <v>2014</v>
      </c>
      <c r="D346" s="76">
        <v>2</v>
      </c>
      <c r="E346" s="36" t="s">
        <v>223</v>
      </c>
      <c r="F346" s="36" t="s">
        <v>267</v>
      </c>
      <c r="G346" s="36"/>
      <c r="H346" s="36" t="s">
        <v>273</v>
      </c>
      <c r="I346" s="36" t="s">
        <v>274</v>
      </c>
      <c r="J346" s="36" t="s">
        <v>275</v>
      </c>
      <c r="K346" s="36" t="s">
        <v>276</v>
      </c>
      <c r="L346" s="36">
        <v>33</v>
      </c>
      <c r="M346" s="36" t="s">
        <v>247</v>
      </c>
      <c r="N346" s="36" t="s">
        <v>519</v>
      </c>
      <c r="O346" s="36">
        <v>97</v>
      </c>
      <c r="P346" s="36">
        <f t="shared" si="18"/>
        <v>34.020618556701031</v>
      </c>
      <c r="Q346" s="36">
        <v>10.104868393638448</v>
      </c>
      <c r="R346" s="40">
        <f t="shared" si="19"/>
        <v>3.4377387318563795</v>
      </c>
      <c r="S346" s="36">
        <v>8364.7846713492963</v>
      </c>
      <c r="T346" s="40">
        <f t="shared" si="20"/>
        <v>4.109775525520909E-2</v>
      </c>
      <c r="U346" s="110"/>
      <c r="V346" s="36">
        <v>1000</v>
      </c>
      <c r="W346" s="36" t="s">
        <v>580</v>
      </c>
      <c r="X346" s="36"/>
      <c r="Y346" s="3"/>
      <c r="Z346" s="3"/>
      <c r="AA346" s="3"/>
      <c r="AB346" s="3"/>
      <c r="AC346" s="3"/>
      <c r="AD346" s="3"/>
      <c r="AE346" s="3"/>
    </row>
    <row r="347" spans="1:31" ht="20.25" customHeight="1">
      <c r="A347" s="63">
        <v>41912</v>
      </c>
      <c r="B347" s="72" t="s">
        <v>157</v>
      </c>
      <c r="C347" s="168">
        <v>2014</v>
      </c>
      <c r="D347" s="65">
        <v>2</v>
      </c>
      <c r="E347" s="36" t="s">
        <v>223</v>
      </c>
      <c r="F347" s="36" t="s">
        <v>224</v>
      </c>
      <c r="G347" s="36" t="s">
        <v>225</v>
      </c>
      <c r="H347" s="36" t="s">
        <v>226</v>
      </c>
      <c r="I347" s="36" t="s">
        <v>239</v>
      </c>
      <c r="J347" s="36" t="s">
        <v>240</v>
      </c>
      <c r="K347" s="3"/>
      <c r="L347" s="3">
        <v>43</v>
      </c>
      <c r="M347" s="3" t="s">
        <v>229</v>
      </c>
      <c r="N347" s="3" t="s">
        <v>240</v>
      </c>
      <c r="O347" s="3">
        <v>232</v>
      </c>
      <c r="P347" s="3">
        <f t="shared" si="18"/>
        <v>18.53448275862069</v>
      </c>
      <c r="Q347" s="36">
        <v>8354.6798029556576</v>
      </c>
      <c r="R347" s="8">
        <f t="shared" si="19"/>
        <v>1548.4966876167814</v>
      </c>
      <c r="S347" s="36">
        <v>8364.7846713493</v>
      </c>
      <c r="T347" s="60">
        <f t="shared" si="20"/>
        <v>18.512092641435533</v>
      </c>
      <c r="U347" s="111"/>
      <c r="V347" s="3">
        <v>250</v>
      </c>
      <c r="W347" s="3"/>
      <c r="X347" s="3"/>
      <c r="Y347" s="3"/>
      <c r="Z347" s="3"/>
      <c r="AA347" s="3"/>
      <c r="AB347" s="3"/>
      <c r="AC347" s="3"/>
      <c r="AD347" s="3"/>
      <c r="AE347" s="3"/>
    </row>
    <row r="348" spans="1:31" ht="20.25" customHeight="1">
      <c r="A348" s="35">
        <v>41912</v>
      </c>
      <c r="B348" s="35" t="s">
        <v>157</v>
      </c>
      <c r="C348" s="168">
        <v>2014</v>
      </c>
      <c r="D348" s="76">
        <v>2</v>
      </c>
      <c r="E348" s="36" t="s">
        <v>223</v>
      </c>
      <c r="F348" s="36" t="s">
        <v>267</v>
      </c>
      <c r="G348" s="36" t="s">
        <v>278</v>
      </c>
      <c r="H348" s="36" t="s">
        <v>279</v>
      </c>
      <c r="I348" s="36" t="s">
        <v>280</v>
      </c>
      <c r="J348" s="36" t="s">
        <v>284</v>
      </c>
      <c r="K348" s="36" t="s">
        <v>285</v>
      </c>
      <c r="L348" s="36">
        <v>55</v>
      </c>
      <c r="M348" s="36" t="s">
        <v>247</v>
      </c>
      <c r="N348" s="36" t="s">
        <v>283</v>
      </c>
      <c r="O348" s="36">
        <v>97</v>
      </c>
      <c r="P348" s="36">
        <f t="shared" si="18"/>
        <v>56.701030927835049</v>
      </c>
      <c r="Q348" s="36">
        <v>10.104868393638448</v>
      </c>
      <c r="R348" s="40">
        <f t="shared" si="19"/>
        <v>5.7295645530939652</v>
      </c>
      <c r="S348" s="36">
        <v>8364.7846713493</v>
      </c>
      <c r="T348" s="40">
        <f t="shared" si="20"/>
        <v>6.8496258758681774E-2</v>
      </c>
      <c r="U348" s="110"/>
      <c r="V348" s="36">
        <v>1000</v>
      </c>
      <c r="W348" s="36"/>
      <c r="X348" s="36"/>
      <c r="Y348" s="3"/>
      <c r="Z348" s="3"/>
      <c r="AA348" s="3"/>
      <c r="AB348" s="3"/>
      <c r="AC348" s="3"/>
      <c r="AD348" s="3"/>
      <c r="AE348" s="3"/>
    </row>
    <row r="349" spans="1:31" ht="20.25" customHeight="1">
      <c r="A349" s="35">
        <v>41912</v>
      </c>
      <c r="B349" s="35" t="s">
        <v>157</v>
      </c>
      <c r="C349" s="168">
        <v>2014</v>
      </c>
      <c r="D349" s="76">
        <v>2</v>
      </c>
      <c r="E349" s="65" t="s">
        <v>223</v>
      </c>
      <c r="F349" s="65" t="s">
        <v>267</v>
      </c>
      <c r="G349" s="65" t="s">
        <v>278</v>
      </c>
      <c r="H349" s="65" t="s">
        <v>279</v>
      </c>
      <c r="I349" s="65" t="s">
        <v>280</v>
      </c>
      <c r="J349" s="36"/>
      <c r="K349" s="36"/>
      <c r="L349" s="36">
        <v>8</v>
      </c>
      <c r="M349" s="36" t="s">
        <v>594</v>
      </c>
      <c r="N349" s="36" t="s">
        <v>283</v>
      </c>
      <c r="O349" s="36">
        <v>97</v>
      </c>
      <c r="P349" s="36">
        <f t="shared" si="18"/>
        <v>8.2474226804123703</v>
      </c>
      <c r="Q349" s="36">
        <v>10.104868393638448</v>
      </c>
      <c r="R349" s="40">
        <f t="shared" si="19"/>
        <v>0.83339120772275843</v>
      </c>
      <c r="S349" s="36">
        <v>8364.7846713493</v>
      </c>
      <c r="T349" s="40">
        <f t="shared" si="20"/>
        <v>9.9630921830809842E-3</v>
      </c>
      <c r="U349" s="110"/>
      <c r="V349" s="36">
        <v>1000</v>
      </c>
      <c r="W349" s="36" t="s">
        <v>579</v>
      </c>
      <c r="X349" s="36"/>
      <c r="Y349" s="3"/>
      <c r="Z349" s="3"/>
      <c r="AA349" s="3"/>
      <c r="AB349" s="3"/>
      <c r="AC349" s="3"/>
      <c r="AD349" s="3"/>
      <c r="AE349" s="3"/>
    </row>
    <row r="350" spans="1:31" s="33" customFormat="1" ht="20.25" customHeight="1">
      <c r="A350" s="63">
        <v>41912</v>
      </c>
      <c r="B350" s="35" t="s">
        <v>157</v>
      </c>
      <c r="C350" s="168">
        <v>2014</v>
      </c>
      <c r="D350" s="65">
        <v>2</v>
      </c>
      <c r="E350" s="51" t="s">
        <v>216</v>
      </c>
      <c r="F350" s="3" t="s">
        <v>217</v>
      </c>
      <c r="G350" s="3"/>
      <c r="H350" s="51"/>
      <c r="I350" s="51"/>
      <c r="J350" s="51" t="s">
        <v>219</v>
      </c>
      <c r="K350" s="51"/>
      <c r="L350" s="51">
        <v>2</v>
      </c>
      <c r="M350" s="65" t="s">
        <v>229</v>
      </c>
      <c r="N350" s="51" t="s">
        <v>219</v>
      </c>
      <c r="O350" s="3">
        <v>232</v>
      </c>
      <c r="P350" s="3">
        <f t="shared" si="18"/>
        <v>0.86206896551724133</v>
      </c>
      <c r="Q350" s="36">
        <v>8354.6798029556576</v>
      </c>
      <c r="R350" s="8">
        <f t="shared" si="19"/>
        <v>72.023101749617737</v>
      </c>
      <c r="S350" s="36">
        <v>8364.7846713493</v>
      </c>
      <c r="T350" s="60">
        <f t="shared" si="20"/>
        <v>0.86102756471793196</v>
      </c>
      <c r="U350" s="111"/>
      <c r="V350" s="3">
        <v>250</v>
      </c>
      <c r="W350" s="3"/>
      <c r="X350" s="3"/>
      <c r="Y350" s="3"/>
      <c r="Z350" s="32"/>
      <c r="AA350" s="32"/>
      <c r="AB350" s="32"/>
      <c r="AC350" s="32"/>
      <c r="AD350" s="32"/>
      <c r="AE350" s="32"/>
    </row>
    <row r="351" spans="1:31" s="38" customFormat="1" ht="20.25" customHeight="1">
      <c r="A351" s="63">
        <v>41912</v>
      </c>
      <c r="B351" s="35" t="s">
        <v>157</v>
      </c>
      <c r="C351" s="168">
        <v>2014</v>
      </c>
      <c r="D351" s="65">
        <v>2</v>
      </c>
      <c r="E351" s="65" t="s">
        <v>223</v>
      </c>
      <c r="F351" s="65" t="s">
        <v>224</v>
      </c>
      <c r="G351" s="65" t="s">
        <v>225</v>
      </c>
      <c r="H351" s="65" t="s">
        <v>226</v>
      </c>
      <c r="I351" s="65" t="s">
        <v>261</v>
      </c>
      <c r="J351" s="65" t="s">
        <v>262</v>
      </c>
      <c r="K351" s="3"/>
      <c r="L351" s="3">
        <v>1</v>
      </c>
      <c r="M351" s="3" t="s">
        <v>229</v>
      </c>
      <c r="N351" s="3" t="s">
        <v>264</v>
      </c>
      <c r="O351" s="3">
        <v>232</v>
      </c>
      <c r="P351" s="3">
        <f t="shared" si="18"/>
        <v>0.43103448275862066</v>
      </c>
      <c r="Q351" s="36">
        <v>8354.6798029556576</v>
      </c>
      <c r="R351" s="8">
        <f t="shared" si="19"/>
        <v>36.011550874808869</v>
      </c>
      <c r="S351" s="36">
        <v>8364.7846713493</v>
      </c>
      <c r="T351" s="60">
        <f t="shared" si="20"/>
        <v>0.43051378235896598</v>
      </c>
      <c r="U351" s="111"/>
      <c r="V351" s="3">
        <v>250</v>
      </c>
      <c r="W351" s="3"/>
      <c r="X351" s="3"/>
      <c r="Y351" s="3"/>
      <c r="Z351" s="36"/>
      <c r="AA351" s="36"/>
      <c r="AB351" s="36"/>
      <c r="AC351" s="36"/>
      <c r="AD351" s="36"/>
      <c r="AE351" s="36"/>
    </row>
    <row r="352" spans="1:31" s="61" customFormat="1" ht="20.25" customHeight="1">
      <c r="A352" s="175">
        <v>42144</v>
      </c>
      <c r="B352" s="64" t="s">
        <v>144</v>
      </c>
      <c r="C352" s="165">
        <v>2015</v>
      </c>
      <c r="D352" s="113">
        <v>8</v>
      </c>
      <c r="E352" s="57" t="s">
        <v>323</v>
      </c>
      <c r="F352" s="57" t="s">
        <v>324</v>
      </c>
      <c r="G352" s="57"/>
      <c r="H352" s="57" t="s">
        <v>325</v>
      </c>
      <c r="I352" s="57" t="s">
        <v>326</v>
      </c>
      <c r="J352" s="57" t="s">
        <v>327</v>
      </c>
      <c r="K352" s="57"/>
      <c r="L352" s="57">
        <v>1</v>
      </c>
      <c r="M352" s="57" t="s">
        <v>229</v>
      </c>
      <c r="N352" s="57" t="s">
        <v>327</v>
      </c>
      <c r="O352" s="57">
        <v>17</v>
      </c>
      <c r="P352" s="57">
        <f t="shared" si="18"/>
        <v>5.8823529411764701</v>
      </c>
      <c r="Q352" s="57">
        <v>2.1645021645021645</v>
      </c>
      <c r="R352" s="87">
        <f t="shared" si="19"/>
        <v>0.12732365673542143</v>
      </c>
      <c r="S352" s="158">
        <v>2.1645021645021645</v>
      </c>
      <c r="T352" s="92">
        <f t="shared" si="20"/>
        <v>5.8823529411764701</v>
      </c>
      <c r="U352" s="92"/>
      <c r="V352" s="57">
        <v>1000</v>
      </c>
      <c r="W352" s="57" t="s">
        <v>616</v>
      </c>
      <c r="X352" s="57"/>
      <c r="Y352" s="57"/>
      <c r="Z352" s="57"/>
      <c r="AA352" s="57"/>
      <c r="AB352" s="57"/>
      <c r="AC352" s="57"/>
      <c r="AD352" s="57"/>
      <c r="AE352" s="57"/>
    </row>
    <row r="353" spans="1:31" s="61" customFormat="1" ht="20.25" customHeight="1">
      <c r="A353" s="58">
        <v>42144</v>
      </c>
      <c r="B353" s="64" t="s">
        <v>144</v>
      </c>
      <c r="C353" s="165">
        <v>2015</v>
      </c>
      <c r="D353" s="113">
        <v>8</v>
      </c>
      <c r="E353" s="57" t="s">
        <v>288</v>
      </c>
      <c r="F353" s="57" t="s">
        <v>289</v>
      </c>
      <c r="G353" s="57"/>
      <c r="H353" s="57"/>
      <c r="I353" s="57"/>
      <c r="J353" s="57"/>
      <c r="K353" s="57"/>
      <c r="L353" s="57">
        <v>16</v>
      </c>
      <c r="M353" s="57" t="s">
        <v>221</v>
      </c>
      <c r="N353" s="57" t="s">
        <v>294</v>
      </c>
      <c r="O353" s="57">
        <v>17</v>
      </c>
      <c r="P353" s="57">
        <f t="shared" si="18"/>
        <v>94.117647058823522</v>
      </c>
      <c r="Q353" s="57">
        <v>2.1645021645021645</v>
      </c>
      <c r="R353" s="87">
        <f t="shared" si="19"/>
        <v>2.0371785077667428</v>
      </c>
      <c r="S353" s="57">
        <v>2.1645021645021645</v>
      </c>
      <c r="T353" s="92">
        <f t="shared" si="20"/>
        <v>94.117647058823522</v>
      </c>
      <c r="U353" s="92"/>
      <c r="V353" s="57">
        <v>1000</v>
      </c>
      <c r="W353" s="57"/>
      <c r="X353" s="57"/>
      <c r="Y353" s="57"/>
      <c r="Z353" s="57"/>
      <c r="AA353" s="57"/>
      <c r="AB353" s="57"/>
      <c r="AC353" s="57"/>
      <c r="AD353" s="57"/>
      <c r="AE353" s="57"/>
    </row>
    <row r="354" spans="1:31" s="38" customFormat="1" ht="20.25" customHeight="1">
      <c r="A354" s="35">
        <v>42144</v>
      </c>
      <c r="B354" s="64" t="s">
        <v>144</v>
      </c>
      <c r="C354" s="165">
        <v>2015</v>
      </c>
      <c r="D354" s="36">
        <v>5</v>
      </c>
      <c r="E354" s="65" t="s">
        <v>223</v>
      </c>
      <c r="F354" s="65" t="s">
        <v>224</v>
      </c>
      <c r="G354" s="65" t="s">
        <v>225</v>
      </c>
      <c r="H354" s="65" t="s">
        <v>226</v>
      </c>
      <c r="I354" s="65" t="s">
        <v>227</v>
      </c>
      <c r="J354" s="36" t="s">
        <v>228</v>
      </c>
      <c r="K354" s="36"/>
      <c r="L354" s="36">
        <v>20</v>
      </c>
      <c r="M354" s="36" t="s">
        <v>229</v>
      </c>
      <c r="N354" s="36" t="s">
        <v>228</v>
      </c>
      <c r="O354" s="36">
        <v>327</v>
      </c>
      <c r="P354" s="36">
        <f t="shared" si="18"/>
        <v>6.1162079510703364</v>
      </c>
      <c r="Q354" s="36">
        <v>2033.4065934065934</v>
      </c>
      <c r="R354" s="53">
        <f t="shared" si="19"/>
        <v>124.36737574352253</v>
      </c>
      <c r="S354" s="65">
        <v>2034.1549446951601</v>
      </c>
      <c r="T354" s="108">
        <f t="shared" si="20"/>
        <v>6.1139578412086166</v>
      </c>
      <c r="U354" s="111"/>
      <c r="V354" s="36">
        <v>250</v>
      </c>
      <c r="W354" s="36" t="s">
        <v>504</v>
      </c>
      <c r="X354" s="36"/>
      <c r="Y354" s="36"/>
      <c r="Z354" s="36"/>
      <c r="AA354" s="36"/>
      <c r="AB354" s="36"/>
      <c r="AC354" s="36"/>
      <c r="AD354" s="36"/>
      <c r="AE354" s="36"/>
    </row>
    <row r="355" spans="1:31" s="38" customFormat="1" ht="20.25" customHeight="1">
      <c r="A355" s="35">
        <v>42144</v>
      </c>
      <c r="B355" s="64" t="s">
        <v>144</v>
      </c>
      <c r="C355" s="165">
        <v>2015</v>
      </c>
      <c r="D355" s="36">
        <v>5</v>
      </c>
      <c r="E355" s="65" t="s">
        <v>223</v>
      </c>
      <c r="F355" s="65" t="s">
        <v>267</v>
      </c>
      <c r="G355" s="65" t="s">
        <v>278</v>
      </c>
      <c r="H355" s="65" t="s">
        <v>269</v>
      </c>
      <c r="I355" s="65" t="s">
        <v>333</v>
      </c>
      <c r="J355" s="36" t="s">
        <v>334</v>
      </c>
      <c r="K355" s="36"/>
      <c r="L355" s="36">
        <v>1</v>
      </c>
      <c r="M355" s="36" t="s">
        <v>229</v>
      </c>
      <c r="N355" s="36" t="s">
        <v>270</v>
      </c>
      <c r="O355" s="36">
        <v>8</v>
      </c>
      <c r="P355" s="36">
        <f t="shared" si="18"/>
        <v>12.5</v>
      </c>
      <c r="Q355" s="65">
        <v>0.74835128856737498</v>
      </c>
      <c r="R355" s="53">
        <f t="shared" si="19"/>
        <v>9.3543911070921873E-2</v>
      </c>
      <c r="S355" s="65">
        <v>2034.1549446951608</v>
      </c>
      <c r="T355" s="108">
        <f t="shared" si="20"/>
        <v>4.5986620298946986E-3</v>
      </c>
      <c r="U355" s="111"/>
      <c r="V355" s="36">
        <v>1000</v>
      </c>
      <c r="W355" s="36"/>
      <c r="X355" s="36"/>
      <c r="Y355" s="36"/>
      <c r="Z355" s="36"/>
      <c r="AA355" s="36"/>
      <c r="AB355" s="36"/>
      <c r="AC355" s="36"/>
      <c r="AD355" s="36"/>
      <c r="AE355" s="36"/>
    </row>
    <row r="356" spans="1:31" s="38" customFormat="1" ht="20.25" customHeight="1">
      <c r="A356" s="72">
        <v>42144</v>
      </c>
      <c r="B356" s="64" t="s">
        <v>144</v>
      </c>
      <c r="C356" s="165">
        <v>2015</v>
      </c>
      <c r="D356" s="36">
        <v>5</v>
      </c>
      <c r="E356" s="65" t="s">
        <v>223</v>
      </c>
      <c r="F356" s="65" t="s">
        <v>303</v>
      </c>
      <c r="G356" s="65" t="s">
        <v>304</v>
      </c>
      <c r="H356" s="65" t="s">
        <v>305</v>
      </c>
      <c r="I356" s="65" t="s">
        <v>306</v>
      </c>
      <c r="J356" s="36" t="s">
        <v>307</v>
      </c>
      <c r="K356" s="36"/>
      <c r="L356" s="36">
        <v>3</v>
      </c>
      <c r="M356" s="36" t="s">
        <v>229</v>
      </c>
      <c r="N356" s="36" t="s">
        <v>307</v>
      </c>
      <c r="O356" s="36">
        <v>327</v>
      </c>
      <c r="P356" s="36">
        <f t="shared" si="18"/>
        <v>0.91743119266055051</v>
      </c>
      <c r="Q356" s="36">
        <v>2033.4065934065934</v>
      </c>
      <c r="R356" s="53">
        <f t="shared" si="19"/>
        <v>18.655106361528382</v>
      </c>
      <c r="S356" s="65">
        <v>2034.1549446951601</v>
      </c>
      <c r="T356" s="108">
        <f t="shared" si="20"/>
        <v>0.91709367618129267</v>
      </c>
      <c r="U356" s="111"/>
      <c r="V356" s="36">
        <v>250</v>
      </c>
      <c r="W356" s="36" t="s">
        <v>620</v>
      </c>
      <c r="X356" s="36"/>
      <c r="Y356" s="36"/>
      <c r="Z356" s="36"/>
      <c r="AA356" s="36"/>
      <c r="AB356" s="36"/>
      <c r="AC356" s="36"/>
      <c r="AD356" s="36"/>
      <c r="AE356" s="36"/>
    </row>
    <row r="357" spans="1:31" s="38" customFormat="1" ht="20.25" customHeight="1">
      <c r="A357" s="72">
        <v>42144</v>
      </c>
      <c r="B357" s="64" t="s">
        <v>144</v>
      </c>
      <c r="C357" s="165">
        <v>2015</v>
      </c>
      <c r="D357" s="36">
        <v>5</v>
      </c>
      <c r="E357" s="36" t="s">
        <v>223</v>
      </c>
      <c r="F357" s="36" t="s">
        <v>310</v>
      </c>
      <c r="G357" s="36" t="s">
        <v>314</v>
      </c>
      <c r="H357" s="36" t="s">
        <v>311</v>
      </c>
      <c r="I357" s="36" t="s">
        <v>315</v>
      </c>
      <c r="J357" s="36" t="s">
        <v>347</v>
      </c>
      <c r="K357" s="36"/>
      <c r="L357" s="36">
        <v>1</v>
      </c>
      <c r="M357" s="36" t="s">
        <v>229</v>
      </c>
      <c r="N357" s="36" t="s">
        <v>345</v>
      </c>
      <c r="O357" s="36">
        <v>327</v>
      </c>
      <c r="P357" s="36">
        <f t="shared" si="18"/>
        <v>0.3058103975535168</v>
      </c>
      <c r="Q357" s="65">
        <v>2033.4065934065934</v>
      </c>
      <c r="R357" s="53">
        <f t="shared" si="19"/>
        <v>6.218368787176126</v>
      </c>
      <c r="S357" s="65">
        <v>2034.1549446951601</v>
      </c>
      <c r="T357" s="108">
        <f t="shared" si="20"/>
        <v>0.3056978920604308</v>
      </c>
      <c r="U357" s="111"/>
      <c r="V357" s="36">
        <v>250</v>
      </c>
      <c r="W357" s="36"/>
      <c r="X357" s="36"/>
      <c r="Y357" s="36"/>
      <c r="Z357" s="36"/>
      <c r="AA357" s="36"/>
      <c r="AB357" s="36"/>
      <c r="AC357" s="36"/>
      <c r="AD357" s="36"/>
      <c r="AE357" s="36"/>
    </row>
    <row r="358" spans="1:31" s="38" customFormat="1" ht="20.25" customHeight="1">
      <c r="A358" s="72">
        <v>42144</v>
      </c>
      <c r="B358" s="64" t="s">
        <v>144</v>
      </c>
      <c r="C358" s="165">
        <v>2015</v>
      </c>
      <c r="D358" s="36">
        <v>5</v>
      </c>
      <c r="E358" s="36" t="s">
        <v>223</v>
      </c>
      <c r="F358" s="36" t="s">
        <v>224</v>
      </c>
      <c r="G358" s="36" t="s">
        <v>225</v>
      </c>
      <c r="H358" s="36" t="s">
        <v>226</v>
      </c>
      <c r="I358" s="36" t="s">
        <v>239</v>
      </c>
      <c r="J358" s="36" t="s">
        <v>240</v>
      </c>
      <c r="K358" s="36"/>
      <c r="L358" s="36">
        <v>54</v>
      </c>
      <c r="M358" s="36" t="s">
        <v>229</v>
      </c>
      <c r="N358" s="36" t="s">
        <v>240</v>
      </c>
      <c r="O358" s="36">
        <v>327</v>
      </c>
      <c r="P358" s="36">
        <f t="shared" si="18"/>
        <v>16.513761467889911</v>
      </c>
      <c r="Q358" s="36">
        <v>2033.4065934065934</v>
      </c>
      <c r="R358" s="53">
        <f t="shared" si="19"/>
        <v>335.79191450751085</v>
      </c>
      <c r="S358" s="65">
        <v>2034.1549446951601</v>
      </c>
      <c r="T358" s="108">
        <f t="shared" si="20"/>
        <v>16.507686171263263</v>
      </c>
      <c r="U358" s="111"/>
      <c r="V358" s="36">
        <v>250</v>
      </c>
      <c r="W358" s="36"/>
      <c r="X358" s="36"/>
      <c r="Y358" s="36"/>
      <c r="Z358" s="36"/>
      <c r="AA358" s="36"/>
      <c r="AB358" s="36"/>
      <c r="AC358" s="36"/>
      <c r="AD358" s="36"/>
      <c r="AE358" s="36"/>
    </row>
    <row r="359" spans="1:31" s="38" customFormat="1" ht="20.25" customHeight="1">
      <c r="A359" s="35">
        <v>42144</v>
      </c>
      <c r="B359" s="64" t="s">
        <v>144</v>
      </c>
      <c r="C359" s="165">
        <v>2015</v>
      </c>
      <c r="D359" s="36">
        <v>5</v>
      </c>
      <c r="E359" s="36" t="s">
        <v>323</v>
      </c>
      <c r="F359" s="36" t="s">
        <v>324</v>
      </c>
      <c r="G359" s="36"/>
      <c r="H359" s="36" t="s">
        <v>325</v>
      </c>
      <c r="I359" s="36" t="s">
        <v>326</v>
      </c>
      <c r="J359" s="36" t="s">
        <v>327</v>
      </c>
      <c r="K359" s="36"/>
      <c r="L359" s="36">
        <v>5</v>
      </c>
      <c r="M359" s="36" t="s">
        <v>229</v>
      </c>
      <c r="N359" s="36" t="s">
        <v>532</v>
      </c>
      <c r="O359" s="36">
        <v>8</v>
      </c>
      <c r="P359" s="36">
        <f t="shared" si="18"/>
        <v>62.5</v>
      </c>
      <c r="Q359" s="65">
        <v>0.74835128856737498</v>
      </c>
      <c r="R359" s="53">
        <f t="shared" si="19"/>
        <v>0.46771955535460935</v>
      </c>
      <c r="S359" s="65">
        <v>2034.1549446951608</v>
      </c>
      <c r="T359" s="108">
        <f t="shared" si="20"/>
        <v>2.2993310149473492E-2</v>
      </c>
      <c r="U359" s="111">
        <f>SUM(T359+T362)</f>
        <v>4.6084616910559362</v>
      </c>
      <c r="V359" s="36">
        <v>1000</v>
      </c>
      <c r="W359" s="36"/>
      <c r="X359" s="36"/>
      <c r="Y359" s="36"/>
      <c r="Z359" s="36"/>
      <c r="AA359" s="36"/>
      <c r="AB359" s="36"/>
      <c r="AC359" s="36"/>
      <c r="AD359" s="36"/>
      <c r="AE359" s="36"/>
    </row>
    <row r="360" spans="1:31" s="38" customFormat="1" ht="20.25" customHeight="1">
      <c r="A360" s="35">
        <v>42144</v>
      </c>
      <c r="B360" s="64" t="s">
        <v>144</v>
      </c>
      <c r="C360" s="165">
        <v>2015</v>
      </c>
      <c r="D360" s="65">
        <v>5</v>
      </c>
      <c r="E360" s="36" t="s">
        <v>223</v>
      </c>
      <c r="F360" s="36" t="s">
        <v>267</v>
      </c>
      <c r="G360" s="36" t="s">
        <v>278</v>
      </c>
      <c r="H360" s="36" t="s">
        <v>279</v>
      </c>
      <c r="I360" s="36" t="s">
        <v>280</v>
      </c>
      <c r="J360" s="36" t="s">
        <v>284</v>
      </c>
      <c r="K360" s="36" t="s">
        <v>285</v>
      </c>
      <c r="L360" s="36">
        <v>1</v>
      </c>
      <c r="M360" s="36" t="s">
        <v>247</v>
      </c>
      <c r="N360" s="36" t="s">
        <v>283</v>
      </c>
      <c r="O360" s="36">
        <v>8</v>
      </c>
      <c r="P360" s="36">
        <f t="shared" si="18"/>
        <v>12.5</v>
      </c>
      <c r="Q360" s="65">
        <v>0.74835128856737498</v>
      </c>
      <c r="R360" s="53">
        <f t="shared" si="19"/>
        <v>9.3543911070921873E-2</v>
      </c>
      <c r="S360" s="65">
        <v>2034.1549446951601</v>
      </c>
      <c r="T360" s="108">
        <f t="shared" si="20"/>
        <v>4.5986620298947003E-3</v>
      </c>
      <c r="U360" s="111"/>
      <c r="V360" s="36">
        <v>1000</v>
      </c>
      <c r="W360" s="36"/>
      <c r="X360" s="36"/>
      <c r="Y360" s="36"/>
      <c r="Z360" s="36"/>
      <c r="AA360" s="36"/>
      <c r="AB360" s="36"/>
      <c r="AC360" s="36"/>
      <c r="AD360" s="36"/>
      <c r="AE360" s="36"/>
    </row>
    <row r="361" spans="1:31" s="38" customFormat="1" ht="20.25" customHeight="1">
      <c r="A361" s="35">
        <v>42144</v>
      </c>
      <c r="B361" s="64" t="s">
        <v>144</v>
      </c>
      <c r="C361" s="165">
        <v>2015</v>
      </c>
      <c r="D361" s="36">
        <v>5</v>
      </c>
      <c r="E361" s="36" t="s">
        <v>223</v>
      </c>
      <c r="F361" s="36" t="s">
        <v>267</v>
      </c>
      <c r="G361" s="36" t="s">
        <v>278</v>
      </c>
      <c r="H361" s="36" t="s">
        <v>279</v>
      </c>
      <c r="I361" s="36" t="s">
        <v>280</v>
      </c>
      <c r="J361" s="36"/>
      <c r="K361" s="36"/>
      <c r="L361" s="36">
        <v>1</v>
      </c>
      <c r="M361" s="36" t="s">
        <v>594</v>
      </c>
      <c r="N361" s="36" t="s">
        <v>283</v>
      </c>
      <c r="O361" s="36">
        <v>8</v>
      </c>
      <c r="P361" s="36">
        <f t="shared" si="18"/>
        <v>12.5</v>
      </c>
      <c r="Q361" s="65">
        <v>0.74835128856737498</v>
      </c>
      <c r="R361" s="53">
        <f t="shared" si="19"/>
        <v>9.3543911070921873E-2</v>
      </c>
      <c r="S361" s="65">
        <v>2034.1549446951601</v>
      </c>
      <c r="T361" s="108">
        <f t="shared" si="20"/>
        <v>4.5986620298947003E-3</v>
      </c>
      <c r="U361" s="111"/>
      <c r="V361" s="36">
        <v>1000</v>
      </c>
      <c r="W361" s="36"/>
      <c r="X361" s="36"/>
      <c r="Y361" s="36"/>
      <c r="Z361" s="36"/>
      <c r="AA361" s="36"/>
      <c r="AB361" s="36"/>
      <c r="AC361" s="36"/>
      <c r="AD361" s="36"/>
      <c r="AE361" s="36"/>
    </row>
    <row r="362" spans="1:31" s="38" customFormat="1" ht="20.25" customHeight="1">
      <c r="A362" s="72">
        <v>42144</v>
      </c>
      <c r="B362" s="64" t="s">
        <v>144</v>
      </c>
      <c r="C362" s="165">
        <v>2015</v>
      </c>
      <c r="D362" s="36">
        <v>5</v>
      </c>
      <c r="E362" s="65" t="s">
        <v>223</v>
      </c>
      <c r="F362" s="65" t="s">
        <v>224</v>
      </c>
      <c r="G362" s="65" t="s">
        <v>225</v>
      </c>
      <c r="H362" s="65" t="s">
        <v>248</v>
      </c>
      <c r="I362" s="65" t="s">
        <v>249</v>
      </c>
      <c r="J362" s="65" t="s">
        <v>250</v>
      </c>
      <c r="K362" s="36"/>
      <c r="L362" s="36">
        <v>15</v>
      </c>
      <c r="M362" s="36" t="s">
        <v>229</v>
      </c>
      <c r="N362" s="36" t="s">
        <v>250</v>
      </c>
      <c r="O362" s="36">
        <v>327</v>
      </c>
      <c r="P362" s="36">
        <f t="shared" si="18"/>
        <v>4.5871559633027523</v>
      </c>
      <c r="Q362" s="36">
        <v>2033.4065934065934</v>
      </c>
      <c r="R362" s="53">
        <f t="shared" si="19"/>
        <v>93.275531807641897</v>
      </c>
      <c r="S362" s="65">
        <v>2034.1549446951601</v>
      </c>
      <c r="T362" s="108">
        <f t="shared" si="20"/>
        <v>4.5854683809064625</v>
      </c>
      <c r="U362" s="111"/>
      <c r="V362" s="36">
        <v>250</v>
      </c>
      <c r="W362" s="36"/>
      <c r="X362" s="36"/>
      <c r="Y362" s="36"/>
      <c r="Z362" s="36"/>
      <c r="AA362" s="36"/>
      <c r="AB362" s="36"/>
      <c r="AC362" s="36"/>
      <c r="AD362" s="36"/>
      <c r="AE362" s="36"/>
    </row>
    <row r="363" spans="1:31" s="38" customFormat="1" ht="20.25" customHeight="1">
      <c r="A363" s="72">
        <v>42144</v>
      </c>
      <c r="B363" s="64" t="s">
        <v>144</v>
      </c>
      <c r="C363" s="165">
        <v>2015</v>
      </c>
      <c r="D363" s="65">
        <v>5</v>
      </c>
      <c r="E363" s="65" t="s">
        <v>216</v>
      </c>
      <c r="F363" s="65" t="s">
        <v>217</v>
      </c>
      <c r="G363" s="65"/>
      <c r="H363" s="65"/>
      <c r="I363" s="65"/>
      <c r="J363" s="36" t="s">
        <v>647</v>
      </c>
      <c r="K363" s="36"/>
      <c r="L363" s="36">
        <v>97</v>
      </c>
      <c r="M363" s="36" t="s">
        <v>229</v>
      </c>
      <c r="N363" s="36" t="s">
        <v>219</v>
      </c>
      <c r="O363" s="36">
        <v>327</v>
      </c>
      <c r="P363" s="36">
        <f t="shared" si="18"/>
        <v>29.663608562691131</v>
      </c>
      <c r="Q363" s="36">
        <v>2033.4065934065934</v>
      </c>
      <c r="R363" s="53">
        <f t="shared" si="19"/>
        <v>603.18177235608425</v>
      </c>
      <c r="S363" s="65">
        <v>2034.1549446951601</v>
      </c>
      <c r="T363" s="108">
        <f t="shared" si="20"/>
        <v>29.652695529861788</v>
      </c>
      <c r="U363" s="111"/>
      <c r="V363" s="36">
        <v>250</v>
      </c>
      <c r="W363" s="36"/>
      <c r="X363" s="36"/>
      <c r="Y363" s="36"/>
      <c r="Z363" s="36"/>
      <c r="AA363" s="36"/>
      <c r="AB363" s="36"/>
      <c r="AC363" s="36"/>
      <c r="AD363" s="36"/>
      <c r="AE363" s="36"/>
    </row>
    <row r="364" spans="1:31" s="38" customFormat="1" ht="20.25" customHeight="1">
      <c r="A364" s="72">
        <v>42144</v>
      </c>
      <c r="B364" s="64" t="s">
        <v>144</v>
      </c>
      <c r="C364" s="165">
        <v>2015</v>
      </c>
      <c r="D364" s="65">
        <v>5</v>
      </c>
      <c r="E364" s="65" t="s">
        <v>223</v>
      </c>
      <c r="F364" s="65" t="s">
        <v>224</v>
      </c>
      <c r="G364" s="65" t="s">
        <v>225</v>
      </c>
      <c r="H364" s="65" t="s">
        <v>226</v>
      </c>
      <c r="I364" s="65" t="s">
        <v>253</v>
      </c>
      <c r="J364" s="36" t="s">
        <v>256</v>
      </c>
      <c r="K364" s="36"/>
      <c r="L364" s="36">
        <v>110</v>
      </c>
      <c r="M364" s="36" t="s">
        <v>229</v>
      </c>
      <c r="N364" s="36" t="s">
        <v>256</v>
      </c>
      <c r="O364" s="36">
        <v>327</v>
      </c>
      <c r="P364" s="36">
        <f t="shared" si="18"/>
        <v>33.63914373088685</v>
      </c>
      <c r="Q364" s="36">
        <v>2033.4065934065934</v>
      </c>
      <c r="R364" s="53">
        <f t="shared" si="19"/>
        <v>684.02056658937397</v>
      </c>
      <c r="S364" s="65">
        <v>2034.1549446951601</v>
      </c>
      <c r="T364" s="108">
        <f t="shared" si="20"/>
        <v>33.626768126647391</v>
      </c>
      <c r="U364" s="111"/>
      <c r="V364" s="36">
        <v>250</v>
      </c>
      <c r="W364" s="36"/>
      <c r="X364" s="36"/>
      <c r="Y364" s="36"/>
      <c r="Z364" s="36"/>
      <c r="AA364" s="36"/>
      <c r="AB364" s="36"/>
      <c r="AC364" s="36"/>
      <c r="AD364" s="36"/>
      <c r="AE364" s="36"/>
    </row>
    <row r="365" spans="1:31" s="38" customFormat="1" ht="20.25" customHeight="1">
      <c r="A365" s="72">
        <v>42144</v>
      </c>
      <c r="B365" s="64" t="s">
        <v>144</v>
      </c>
      <c r="C365" s="165">
        <v>2015</v>
      </c>
      <c r="D365" s="65">
        <v>5</v>
      </c>
      <c r="E365" s="65" t="s">
        <v>223</v>
      </c>
      <c r="F365" s="65" t="s">
        <v>224</v>
      </c>
      <c r="G365" s="65" t="s">
        <v>225</v>
      </c>
      <c r="H365" s="65" t="s">
        <v>226</v>
      </c>
      <c r="I365" s="65" t="s">
        <v>261</v>
      </c>
      <c r="J365" s="36" t="s">
        <v>262</v>
      </c>
      <c r="K365" s="36"/>
      <c r="L365" s="36">
        <v>27</v>
      </c>
      <c r="M365" s="36" t="s">
        <v>229</v>
      </c>
      <c r="N365" s="36" t="s">
        <v>264</v>
      </c>
      <c r="O365" s="36">
        <v>327</v>
      </c>
      <c r="P365" s="36">
        <f t="shared" si="18"/>
        <v>8.2568807339449553</v>
      </c>
      <c r="Q365" s="36">
        <v>2033.4065934065934</v>
      </c>
      <c r="R365" s="53">
        <f t="shared" si="19"/>
        <v>167.89595725375543</v>
      </c>
      <c r="S365" s="65">
        <v>2034.1549446951601</v>
      </c>
      <c r="T365" s="108">
        <f t="shared" si="20"/>
        <v>8.2538430856316314</v>
      </c>
      <c r="U365" s="111"/>
      <c r="V365" s="36">
        <v>250</v>
      </c>
      <c r="W365" s="36"/>
      <c r="X365" s="36"/>
      <c r="Y365" s="36"/>
      <c r="Z365" s="36"/>
      <c r="AA365" s="36"/>
      <c r="AB365" s="36"/>
      <c r="AC365" s="36"/>
      <c r="AD365" s="36"/>
      <c r="AE365" s="36"/>
    </row>
    <row r="366" spans="1:31" s="38" customFormat="1" ht="20.25" customHeight="1">
      <c r="A366" s="35">
        <v>42144</v>
      </c>
      <c r="B366" s="64" t="s">
        <v>144</v>
      </c>
      <c r="C366" s="165">
        <v>2015</v>
      </c>
      <c r="D366" s="36">
        <v>4</v>
      </c>
      <c r="E366" s="36" t="s">
        <v>223</v>
      </c>
      <c r="F366" s="36" t="s">
        <v>224</v>
      </c>
      <c r="G366" s="36" t="s">
        <v>225</v>
      </c>
      <c r="H366" s="36" t="s">
        <v>226</v>
      </c>
      <c r="I366" s="36" t="s">
        <v>227</v>
      </c>
      <c r="J366" s="36" t="s">
        <v>228</v>
      </c>
      <c r="K366" s="36"/>
      <c r="L366" s="36">
        <v>20</v>
      </c>
      <c r="M366" s="36" t="s">
        <v>229</v>
      </c>
      <c r="N366" s="36" t="s">
        <v>228</v>
      </c>
      <c r="O366" s="36">
        <v>229</v>
      </c>
      <c r="P366" s="36">
        <f t="shared" si="18"/>
        <v>8.7336244541484707</v>
      </c>
      <c r="Q366" s="36">
        <v>2994.66472303207</v>
      </c>
      <c r="R366" s="53">
        <f t="shared" si="19"/>
        <v>261.54277057048643</v>
      </c>
      <c r="S366" s="36">
        <v>2997.3385198235101</v>
      </c>
      <c r="T366" s="108">
        <f t="shared" si="20"/>
        <v>8.7258335633669653</v>
      </c>
      <c r="U366" s="108"/>
      <c r="V366" s="65">
        <v>250</v>
      </c>
      <c r="W366" s="65"/>
      <c r="X366" s="65"/>
      <c r="Y366" s="65"/>
      <c r="Z366" s="36"/>
      <c r="AA366" s="36"/>
      <c r="AB366" s="36"/>
      <c r="AC366" s="36"/>
      <c r="AD366" s="36"/>
      <c r="AE366" s="36"/>
    </row>
    <row r="367" spans="1:31" s="38" customFormat="1" ht="20.25" customHeight="1">
      <c r="A367" s="72">
        <v>42144</v>
      </c>
      <c r="B367" s="64" t="s">
        <v>144</v>
      </c>
      <c r="C367" s="165">
        <v>2015</v>
      </c>
      <c r="D367" s="36">
        <v>4</v>
      </c>
      <c r="E367" s="65" t="s">
        <v>223</v>
      </c>
      <c r="F367" s="65" t="s">
        <v>267</v>
      </c>
      <c r="G367" s="65" t="s">
        <v>268</v>
      </c>
      <c r="H367" s="65" t="s">
        <v>269</v>
      </c>
      <c r="I367" s="65"/>
      <c r="J367" s="65" t="s">
        <v>542</v>
      </c>
      <c r="K367" s="36" t="s">
        <v>543</v>
      </c>
      <c r="L367" s="65">
        <v>1</v>
      </c>
      <c r="M367" s="65" t="s">
        <v>247</v>
      </c>
      <c r="N367" s="65" t="s">
        <v>270</v>
      </c>
      <c r="O367" s="36">
        <v>21</v>
      </c>
      <c r="P367" s="36">
        <f t="shared" si="18"/>
        <v>4.7619047619047619</v>
      </c>
      <c r="Q367" s="65">
        <v>2.6737967914438503</v>
      </c>
      <c r="R367" s="53">
        <f t="shared" si="19"/>
        <v>0.12732365673542143</v>
      </c>
      <c r="S367" s="65">
        <v>2997.3385198235137</v>
      </c>
      <c r="T367" s="108">
        <f t="shared" si="20"/>
        <v>4.2478904499221653E-3</v>
      </c>
      <c r="U367" s="111">
        <f>SUM(T369+T371)</f>
        <v>71.115543541440772</v>
      </c>
      <c r="V367" s="65">
        <v>1000</v>
      </c>
      <c r="W367" s="65">
        <f>SUM(T367:T383)</f>
        <v>91.574388748677222</v>
      </c>
      <c r="X367" s="65"/>
      <c r="Y367" s="65"/>
      <c r="Z367" s="36"/>
      <c r="AA367" s="36"/>
      <c r="AB367" s="36"/>
      <c r="AC367" s="36"/>
      <c r="AD367" s="36"/>
      <c r="AE367" s="36"/>
    </row>
    <row r="368" spans="1:31" s="38" customFormat="1" ht="20.25" customHeight="1">
      <c r="A368" s="72">
        <v>42144</v>
      </c>
      <c r="B368" s="64" t="s">
        <v>144</v>
      </c>
      <c r="C368" s="165">
        <v>2015</v>
      </c>
      <c r="D368" s="36">
        <v>4</v>
      </c>
      <c r="E368" s="36" t="s">
        <v>209</v>
      </c>
      <c r="F368" s="36" t="s">
        <v>210</v>
      </c>
      <c r="G368" s="36"/>
      <c r="H368" s="36" t="s">
        <v>211</v>
      </c>
      <c r="I368" s="36" t="s">
        <v>212</v>
      </c>
      <c r="J368" s="36" t="s">
        <v>213</v>
      </c>
      <c r="K368" s="36" t="s">
        <v>214</v>
      </c>
      <c r="L368" s="36">
        <v>1</v>
      </c>
      <c r="M368" s="36" t="s">
        <v>247</v>
      </c>
      <c r="N368" s="36" t="s">
        <v>215</v>
      </c>
      <c r="O368" s="36">
        <v>21</v>
      </c>
      <c r="P368" s="36">
        <f t="shared" si="18"/>
        <v>4.7619047619047619</v>
      </c>
      <c r="Q368" s="65">
        <v>2.6737967914438503</v>
      </c>
      <c r="R368" s="53">
        <f t="shared" si="19"/>
        <v>0.12732365673542143</v>
      </c>
      <c r="S368" s="36">
        <v>2997.3385198235137</v>
      </c>
      <c r="T368" s="108">
        <f t="shared" si="20"/>
        <v>4.2478904499221653E-3</v>
      </c>
      <c r="U368" s="111"/>
      <c r="V368" s="65">
        <v>1000</v>
      </c>
      <c r="W368" s="65"/>
      <c r="X368" s="65"/>
      <c r="Y368" s="145"/>
      <c r="Z368" s="36"/>
      <c r="AA368" s="36"/>
      <c r="AB368" s="36"/>
      <c r="AC368" s="36"/>
      <c r="AD368" s="36"/>
      <c r="AE368" s="36"/>
    </row>
    <row r="369" spans="1:31" s="38" customFormat="1" ht="20.25" customHeight="1">
      <c r="A369" s="35">
        <v>42144</v>
      </c>
      <c r="B369" s="64" t="s">
        <v>144</v>
      </c>
      <c r="C369" s="165">
        <v>2015</v>
      </c>
      <c r="D369" s="36">
        <v>4</v>
      </c>
      <c r="E369" s="36" t="s">
        <v>223</v>
      </c>
      <c r="F369" s="36" t="s">
        <v>224</v>
      </c>
      <c r="G369" s="36" t="s">
        <v>225</v>
      </c>
      <c r="H369" s="36" t="s">
        <v>226</v>
      </c>
      <c r="I369" s="65" t="s">
        <v>232</v>
      </c>
      <c r="J369" s="65" t="s">
        <v>233</v>
      </c>
      <c r="K369" s="36"/>
      <c r="L369" s="36">
        <v>1</v>
      </c>
      <c r="M369" s="36" t="s">
        <v>229</v>
      </c>
      <c r="N369" s="36" t="s">
        <v>233</v>
      </c>
      <c r="O369" s="36">
        <v>229</v>
      </c>
      <c r="P369" s="36">
        <f t="shared" si="18"/>
        <v>0.43668122270742354</v>
      </c>
      <c r="Q369" s="36">
        <v>2994.66472303207</v>
      </c>
      <c r="R369" s="53">
        <f t="shared" si="19"/>
        <v>13.077138528524323</v>
      </c>
      <c r="S369" s="36">
        <v>2997.3385198235101</v>
      </c>
      <c r="T369" s="108">
        <f t="shared" si="20"/>
        <v>0.43629167816834835</v>
      </c>
      <c r="U369" s="108"/>
      <c r="V369" s="65">
        <v>250</v>
      </c>
      <c r="W369" s="65"/>
      <c r="X369" s="65"/>
      <c r="Y369" s="65"/>
      <c r="Z369" s="36"/>
      <c r="AA369" s="36"/>
      <c r="AB369" s="36"/>
      <c r="AC369" s="36"/>
      <c r="AD369" s="36"/>
      <c r="AE369" s="36"/>
    </row>
    <row r="370" spans="1:31" s="38" customFormat="1" ht="20.25" customHeight="1">
      <c r="A370" s="35">
        <v>42144</v>
      </c>
      <c r="B370" s="64" t="s">
        <v>144</v>
      </c>
      <c r="C370" s="165">
        <v>2015</v>
      </c>
      <c r="D370" s="36">
        <v>4</v>
      </c>
      <c r="E370" s="65" t="s">
        <v>223</v>
      </c>
      <c r="F370" s="65" t="s">
        <v>310</v>
      </c>
      <c r="G370" s="65" t="s">
        <v>314</v>
      </c>
      <c r="H370" s="65" t="s">
        <v>311</v>
      </c>
      <c r="I370" s="65" t="s">
        <v>315</v>
      </c>
      <c r="J370" s="65" t="s">
        <v>316</v>
      </c>
      <c r="K370" s="36"/>
      <c r="L370" s="36">
        <v>1</v>
      </c>
      <c r="M370" s="36" t="s">
        <v>229</v>
      </c>
      <c r="N370" s="36" t="s">
        <v>345</v>
      </c>
      <c r="O370" s="36">
        <v>229</v>
      </c>
      <c r="P370" s="36">
        <f t="shared" si="18"/>
        <v>0.43668122270742354</v>
      </c>
      <c r="Q370" s="65">
        <v>2994.66472303207</v>
      </c>
      <c r="R370" s="53">
        <f t="shared" si="19"/>
        <v>13.077138528524323</v>
      </c>
      <c r="S370" s="36">
        <v>2997.3385198235101</v>
      </c>
      <c r="T370" s="108">
        <f t="shared" si="20"/>
        <v>0.43629167816834835</v>
      </c>
      <c r="U370" s="108"/>
      <c r="V370" s="65">
        <v>250</v>
      </c>
      <c r="W370" s="65"/>
      <c r="X370" s="65"/>
      <c r="Y370" s="65"/>
      <c r="Z370" s="36"/>
      <c r="AA370" s="36"/>
      <c r="AB370" s="36"/>
      <c r="AC370" s="36"/>
      <c r="AD370" s="36"/>
      <c r="AE370" s="36"/>
    </row>
    <row r="371" spans="1:31" s="38" customFormat="1" ht="20.25" customHeight="1">
      <c r="A371" s="72">
        <v>42144</v>
      </c>
      <c r="B371" s="64" t="s">
        <v>144</v>
      </c>
      <c r="C371" s="165">
        <v>2015</v>
      </c>
      <c r="D371" s="36">
        <v>4</v>
      </c>
      <c r="E371" s="65" t="s">
        <v>223</v>
      </c>
      <c r="F371" s="65" t="s">
        <v>224</v>
      </c>
      <c r="G371" s="65" t="s">
        <v>225</v>
      </c>
      <c r="H371" s="65" t="s">
        <v>226</v>
      </c>
      <c r="I371" s="65" t="s">
        <v>239</v>
      </c>
      <c r="J371" s="65" t="s">
        <v>240</v>
      </c>
      <c r="K371" s="36"/>
      <c r="L371" s="36">
        <v>162</v>
      </c>
      <c r="M371" s="36" t="s">
        <v>229</v>
      </c>
      <c r="N371" s="36" t="s">
        <v>240</v>
      </c>
      <c r="O371" s="36">
        <v>229</v>
      </c>
      <c r="P371" s="36">
        <f t="shared" si="18"/>
        <v>70.742358078602621</v>
      </c>
      <c r="Q371" s="65">
        <v>2994.66472303207</v>
      </c>
      <c r="R371" s="53">
        <f t="shared" si="19"/>
        <v>2118.4964416209405</v>
      </c>
      <c r="S371" s="36">
        <v>2997.3385198235101</v>
      </c>
      <c r="T371" s="108">
        <f t="shared" si="20"/>
        <v>70.679251863272427</v>
      </c>
      <c r="U371" s="108"/>
      <c r="V371" s="65">
        <v>250</v>
      </c>
      <c r="W371" s="65"/>
      <c r="X371" s="65"/>
      <c r="Y371" s="65"/>
      <c r="Z371" s="36"/>
      <c r="AA371" s="36"/>
      <c r="AB371" s="36"/>
      <c r="AC371" s="36"/>
      <c r="AD371" s="36"/>
      <c r="AE371" s="36"/>
    </row>
    <row r="372" spans="1:31" s="38" customFormat="1" ht="20.25" customHeight="1">
      <c r="A372" s="72">
        <v>42144</v>
      </c>
      <c r="B372" s="64" t="s">
        <v>144</v>
      </c>
      <c r="C372" s="165">
        <v>2015</v>
      </c>
      <c r="D372" s="36">
        <v>4</v>
      </c>
      <c r="E372" s="36" t="s">
        <v>323</v>
      </c>
      <c r="F372" s="36" t="s">
        <v>324</v>
      </c>
      <c r="G372" s="36"/>
      <c r="H372" s="36" t="s">
        <v>325</v>
      </c>
      <c r="I372" s="65" t="s">
        <v>326</v>
      </c>
      <c r="J372" s="65" t="s">
        <v>327</v>
      </c>
      <c r="K372" s="36"/>
      <c r="L372" s="36">
        <v>7</v>
      </c>
      <c r="M372" s="36" t="s">
        <v>229</v>
      </c>
      <c r="N372" s="36" t="s">
        <v>532</v>
      </c>
      <c r="O372" s="36">
        <v>21</v>
      </c>
      <c r="P372" s="36">
        <f t="shared" si="18"/>
        <v>33.333333333333329</v>
      </c>
      <c r="Q372" s="65">
        <v>2.6737967914438503</v>
      </c>
      <c r="R372" s="53">
        <f t="shared" si="19"/>
        <v>0.89126559714794995</v>
      </c>
      <c r="S372" s="36">
        <v>2997.3385198235101</v>
      </c>
      <c r="T372" s="108">
        <f t="shared" si="20"/>
        <v>2.9735233149455195E-2</v>
      </c>
      <c r="U372" s="111"/>
      <c r="V372" s="65">
        <v>1000</v>
      </c>
      <c r="W372" s="65"/>
      <c r="X372" s="65"/>
      <c r="Y372" s="145"/>
      <c r="Z372" s="36"/>
      <c r="AA372" s="36"/>
      <c r="AB372" s="36"/>
      <c r="AC372" s="36"/>
      <c r="AD372" s="36"/>
      <c r="AE372" s="36"/>
    </row>
    <row r="373" spans="1:31" s="38" customFormat="1" ht="20.25" customHeight="1">
      <c r="A373" s="35">
        <v>42144</v>
      </c>
      <c r="B373" s="64" t="s">
        <v>144</v>
      </c>
      <c r="C373" s="165">
        <v>2015</v>
      </c>
      <c r="D373" s="36">
        <v>4</v>
      </c>
      <c r="E373" s="65" t="s">
        <v>223</v>
      </c>
      <c r="F373" s="65" t="s">
        <v>224</v>
      </c>
      <c r="G373" s="65" t="s">
        <v>225</v>
      </c>
      <c r="H373" s="65" t="s">
        <v>243</v>
      </c>
      <c r="I373" s="65" t="s">
        <v>244</v>
      </c>
      <c r="J373" s="36" t="s">
        <v>245</v>
      </c>
      <c r="K373" s="36" t="s">
        <v>246</v>
      </c>
      <c r="L373" s="36">
        <v>1</v>
      </c>
      <c r="M373" s="36" t="s">
        <v>247</v>
      </c>
      <c r="N373" s="36" t="s">
        <v>673</v>
      </c>
      <c r="O373" s="36">
        <v>229</v>
      </c>
      <c r="P373" s="36">
        <f t="shared" si="18"/>
        <v>0.43668122270742354</v>
      </c>
      <c r="Q373" s="65">
        <v>2994.66472303207</v>
      </c>
      <c r="R373" s="53">
        <f t="shared" si="19"/>
        <v>13.077138528524323</v>
      </c>
      <c r="S373" s="36">
        <v>2997.3385198235101</v>
      </c>
      <c r="T373" s="108">
        <f t="shared" si="20"/>
        <v>0.43629167816834835</v>
      </c>
      <c r="U373" s="108"/>
      <c r="V373" s="65">
        <v>250</v>
      </c>
      <c r="W373" s="65"/>
      <c r="X373" s="65"/>
      <c r="Y373" s="65"/>
      <c r="Z373" s="36"/>
      <c r="AA373" s="36"/>
      <c r="AB373" s="36"/>
      <c r="AC373" s="36"/>
      <c r="AD373" s="36"/>
      <c r="AE373" s="36"/>
    </row>
    <row r="374" spans="1:31" s="38" customFormat="1" ht="20.25" customHeight="1">
      <c r="A374" s="35">
        <v>42144</v>
      </c>
      <c r="B374" s="64" t="s">
        <v>144</v>
      </c>
      <c r="C374" s="165">
        <v>2015</v>
      </c>
      <c r="D374" s="36">
        <v>4</v>
      </c>
      <c r="E374" s="36" t="s">
        <v>288</v>
      </c>
      <c r="F374" s="36" t="s">
        <v>289</v>
      </c>
      <c r="G374" s="36"/>
      <c r="H374" s="36"/>
      <c r="I374" s="65"/>
      <c r="J374" s="65" t="s">
        <v>293</v>
      </c>
      <c r="K374" s="36" t="s">
        <v>541</v>
      </c>
      <c r="L374" s="36">
        <v>3</v>
      </c>
      <c r="M374" s="36" t="s">
        <v>247</v>
      </c>
      <c r="N374" s="36" t="s">
        <v>294</v>
      </c>
      <c r="O374" s="36">
        <v>21</v>
      </c>
      <c r="P374" s="36">
        <f t="shared" si="18"/>
        <v>14.285714285714285</v>
      </c>
      <c r="Q374" s="65">
        <v>2.6737967914438503</v>
      </c>
      <c r="R374" s="53">
        <f t="shared" si="19"/>
        <v>0.3819709702062643</v>
      </c>
      <c r="S374" s="65">
        <v>2997.3385198235101</v>
      </c>
      <c r="T374" s="108">
        <f t="shared" si="20"/>
        <v>1.2743671349766512E-2</v>
      </c>
      <c r="U374" s="111"/>
      <c r="V374" s="65">
        <v>1000</v>
      </c>
      <c r="W374" s="65"/>
      <c r="X374" s="65"/>
      <c r="Y374" s="65"/>
      <c r="Z374" s="36"/>
      <c r="AA374" s="36"/>
      <c r="AB374" s="36"/>
      <c r="AC374" s="36"/>
      <c r="AD374" s="36"/>
      <c r="AE374" s="36"/>
    </row>
    <row r="375" spans="1:31" s="38" customFormat="1" ht="20.25" customHeight="1">
      <c r="A375" s="35">
        <v>42144</v>
      </c>
      <c r="B375" s="64" t="s">
        <v>144</v>
      </c>
      <c r="C375" s="165">
        <v>2015</v>
      </c>
      <c r="D375" s="36">
        <v>4</v>
      </c>
      <c r="E375" s="36" t="s">
        <v>223</v>
      </c>
      <c r="F375" s="36" t="s">
        <v>267</v>
      </c>
      <c r="G375" s="36" t="s">
        <v>278</v>
      </c>
      <c r="H375" s="36" t="s">
        <v>279</v>
      </c>
      <c r="I375" s="65" t="s">
        <v>280</v>
      </c>
      <c r="J375" s="65"/>
      <c r="K375" s="36"/>
      <c r="L375" s="36">
        <v>1</v>
      </c>
      <c r="M375" s="36" t="s">
        <v>509</v>
      </c>
      <c r="N375" s="36" t="s">
        <v>283</v>
      </c>
      <c r="O375" s="36">
        <v>21</v>
      </c>
      <c r="P375" s="36">
        <f t="shared" si="18"/>
        <v>4.7619047619047619</v>
      </c>
      <c r="Q375" s="65">
        <v>2.6737967914438503</v>
      </c>
      <c r="R375" s="53">
        <f t="shared" si="19"/>
        <v>0.12732365673542143</v>
      </c>
      <c r="S375" s="36">
        <v>2997.3385198235101</v>
      </c>
      <c r="T375" s="108">
        <f t="shared" si="20"/>
        <v>4.2478904499221705E-3</v>
      </c>
      <c r="U375" s="111"/>
      <c r="V375" s="65">
        <v>1000</v>
      </c>
      <c r="W375" s="65"/>
      <c r="X375" s="65"/>
      <c r="Y375" s="65"/>
      <c r="Z375" s="36"/>
      <c r="AA375" s="36"/>
      <c r="AB375" s="36"/>
      <c r="AC375" s="36"/>
      <c r="AD375" s="36"/>
      <c r="AE375" s="36"/>
    </row>
    <row r="376" spans="1:31" s="38" customFormat="1" ht="20.25" customHeight="1">
      <c r="A376" s="35">
        <v>42144</v>
      </c>
      <c r="B376" s="64" t="s">
        <v>144</v>
      </c>
      <c r="C376" s="165">
        <v>2015</v>
      </c>
      <c r="D376" s="65">
        <v>4</v>
      </c>
      <c r="E376" s="65" t="s">
        <v>223</v>
      </c>
      <c r="F376" s="65" t="s">
        <v>267</v>
      </c>
      <c r="G376" s="65" t="s">
        <v>278</v>
      </c>
      <c r="H376" s="65" t="s">
        <v>279</v>
      </c>
      <c r="I376" s="65" t="s">
        <v>280</v>
      </c>
      <c r="J376" s="65" t="s">
        <v>284</v>
      </c>
      <c r="K376" s="36" t="s">
        <v>285</v>
      </c>
      <c r="L376" s="36">
        <v>8</v>
      </c>
      <c r="M376" s="36" t="s">
        <v>247</v>
      </c>
      <c r="N376" s="36" t="s">
        <v>283</v>
      </c>
      <c r="O376" s="36">
        <v>21</v>
      </c>
      <c r="P376" s="36">
        <f t="shared" si="18"/>
        <v>38.095238095238095</v>
      </c>
      <c r="Q376" s="65">
        <v>2.6737967914438503</v>
      </c>
      <c r="R376" s="53">
        <f t="shared" si="19"/>
        <v>1.0185892538833714</v>
      </c>
      <c r="S376" s="36">
        <v>2997.3385198235101</v>
      </c>
      <c r="T376" s="108">
        <f t="shared" si="20"/>
        <v>3.3983123599377364E-2</v>
      </c>
      <c r="U376" s="111"/>
      <c r="V376" s="65">
        <v>1000</v>
      </c>
      <c r="W376" s="65"/>
      <c r="X376" s="65"/>
      <c r="Y376" s="65"/>
      <c r="Z376" s="36"/>
      <c r="AA376" s="36"/>
      <c r="AB376" s="36"/>
      <c r="AC376" s="36"/>
      <c r="AD376" s="36"/>
      <c r="AE376" s="36"/>
    </row>
    <row r="377" spans="1:31" s="38" customFormat="1" ht="20.25" customHeight="1">
      <c r="A377" s="35">
        <v>42144</v>
      </c>
      <c r="B377" s="64" t="s">
        <v>144</v>
      </c>
      <c r="C377" s="165">
        <v>2015</v>
      </c>
      <c r="D377" s="65">
        <v>4</v>
      </c>
      <c r="E377" s="36" t="s">
        <v>223</v>
      </c>
      <c r="F377" s="36" t="s">
        <v>224</v>
      </c>
      <c r="G377" s="36" t="s">
        <v>225</v>
      </c>
      <c r="H377" s="36" t="s">
        <v>248</v>
      </c>
      <c r="I377" s="36" t="s">
        <v>249</v>
      </c>
      <c r="J377" s="36" t="s">
        <v>250</v>
      </c>
      <c r="K377" s="36"/>
      <c r="L377" s="36">
        <v>5</v>
      </c>
      <c r="M377" s="36" t="s">
        <v>229</v>
      </c>
      <c r="N377" s="36" t="s">
        <v>250</v>
      </c>
      <c r="O377" s="36">
        <v>229</v>
      </c>
      <c r="P377" s="36">
        <f t="shared" si="18"/>
        <v>2.1834061135371177</v>
      </c>
      <c r="Q377" s="65">
        <v>2994.66472303207</v>
      </c>
      <c r="R377" s="53">
        <f t="shared" si="19"/>
        <v>65.385692642621606</v>
      </c>
      <c r="S377" s="65">
        <v>2997.3385198235101</v>
      </c>
      <c r="T377" s="108">
        <f t="shared" si="20"/>
        <v>2.1814583908417413</v>
      </c>
      <c r="U377" s="108"/>
      <c r="V377" s="36">
        <v>250</v>
      </c>
      <c r="W377" s="36"/>
      <c r="X377" s="36"/>
      <c r="Y377" s="36"/>
      <c r="Z377" s="36"/>
      <c r="AA377" s="36"/>
      <c r="AB377" s="36"/>
      <c r="AC377" s="36"/>
      <c r="AD377" s="36"/>
      <c r="AE377" s="36"/>
    </row>
    <row r="378" spans="1:31" s="38" customFormat="1" ht="20.25" customHeight="1">
      <c r="A378" s="35">
        <v>42144</v>
      </c>
      <c r="B378" s="64" t="s">
        <v>144</v>
      </c>
      <c r="C378" s="165">
        <v>2015</v>
      </c>
      <c r="D378" s="65">
        <v>4</v>
      </c>
      <c r="E378" s="65" t="s">
        <v>223</v>
      </c>
      <c r="F378" s="65" t="s">
        <v>224</v>
      </c>
      <c r="G378" s="65" t="s">
        <v>225</v>
      </c>
      <c r="H378" s="65" t="s">
        <v>226</v>
      </c>
      <c r="I378" s="65" t="s">
        <v>355</v>
      </c>
      <c r="J378" s="36" t="s">
        <v>356</v>
      </c>
      <c r="K378" s="36"/>
      <c r="L378" s="36">
        <v>1</v>
      </c>
      <c r="M378" s="36" t="s">
        <v>229</v>
      </c>
      <c r="N378" s="36" t="s">
        <v>356</v>
      </c>
      <c r="O378" s="36">
        <v>229</v>
      </c>
      <c r="P378" s="36">
        <f t="shared" si="18"/>
        <v>0.43668122270742354</v>
      </c>
      <c r="Q378" s="65">
        <v>2994.66472303207</v>
      </c>
      <c r="R378" s="53">
        <f t="shared" si="19"/>
        <v>13.077138528524323</v>
      </c>
      <c r="S378" s="65">
        <v>2997.3385198235101</v>
      </c>
      <c r="T378" s="108">
        <f t="shared" si="20"/>
        <v>0.43629167816834835</v>
      </c>
      <c r="U378" s="108"/>
      <c r="V378" s="36">
        <v>250</v>
      </c>
      <c r="W378" s="36"/>
      <c r="X378" s="36"/>
      <c r="Y378" s="36"/>
      <c r="Z378" s="36"/>
      <c r="AA378" s="36"/>
      <c r="AB378" s="36"/>
      <c r="AC378" s="36"/>
      <c r="AD378" s="36"/>
      <c r="AE378" s="36"/>
    </row>
    <row r="379" spans="1:31" s="38" customFormat="1" ht="20.25" customHeight="1">
      <c r="A379" s="35">
        <v>42144</v>
      </c>
      <c r="B379" s="64" t="s">
        <v>144</v>
      </c>
      <c r="C379" s="165">
        <v>2015</v>
      </c>
      <c r="D379" s="65">
        <v>4</v>
      </c>
      <c r="E379" s="65" t="s">
        <v>216</v>
      </c>
      <c r="F379" s="65" t="s">
        <v>217</v>
      </c>
      <c r="G379" s="65"/>
      <c r="H379" s="65"/>
      <c r="I379" s="65"/>
      <c r="J379" s="36" t="s">
        <v>647</v>
      </c>
      <c r="K379" s="36"/>
      <c r="L379" s="36">
        <v>8</v>
      </c>
      <c r="M379" s="36" t="s">
        <v>229</v>
      </c>
      <c r="N379" s="36" t="s">
        <v>219</v>
      </c>
      <c r="O379" s="36">
        <v>229</v>
      </c>
      <c r="P379" s="36">
        <f t="shared" si="18"/>
        <v>3.4934497816593884</v>
      </c>
      <c r="Q379" s="65">
        <v>2994.66472303207</v>
      </c>
      <c r="R379" s="53">
        <f t="shared" si="19"/>
        <v>104.61710822819458</v>
      </c>
      <c r="S379" s="65">
        <v>2997.3385198235101</v>
      </c>
      <c r="T379" s="108">
        <f t="shared" si="20"/>
        <v>3.4903334253467868</v>
      </c>
      <c r="U379" s="108"/>
      <c r="V379" s="36">
        <v>250</v>
      </c>
      <c r="W379" s="36"/>
      <c r="X379" s="36"/>
      <c r="Y379" s="36"/>
      <c r="Z379" s="36"/>
      <c r="AA379" s="36"/>
      <c r="AB379" s="36"/>
      <c r="AC379" s="36"/>
      <c r="AD379" s="36"/>
      <c r="AE379" s="36"/>
    </row>
    <row r="380" spans="1:31" s="38" customFormat="1" ht="20.25" customHeight="1">
      <c r="A380" s="35">
        <v>42144</v>
      </c>
      <c r="B380" s="64" t="s">
        <v>144</v>
      </c>
      <c r="C380" s="165">
        <v>2015</v>
      </c>
      <c r="D380" s="65">
        <v>4</v>
      </c>
      <c r="E380" s="53" t="s">
        <v>223</v>
      </c>
      <c r="F380" s="53" t="s">
        <v>224</v>
      </c>
      <c r="G380" s="53" t="s">
        <v>225</v>
      </c>
      <c r="H380" s="53" t="s">
        <v>226</v>
      </c>
      <c r="I380" s="53" t="s">
        <v>253</v>
      </c>
      <c r="J380" s="65" t="s">
        <v>256</v>
      </c>
      <c r="K380" s="36"/>
      <c r="L380" s="36">
        <v>25</v>
      </c>
      <c r="M380" s="36" t="s">
        <v>229</v>
      </c>
      <c r="N380" s="36" t="s">
        <v>256</v>
      </c>
      <c r="O380" s="36">
        <v>229</v>
      </c>
      <c r="P380" s="36">
        <f t="shared" si="18"/>
        <v>10.91703056768559</v>
      </c>
      <c r="Q380" s="65">
        <v>2994.66472303207</v>
      </c>
      <c r="R380" s="53">
        <f t="shared" si="19"/>
        <v>326.9284632131081</v>
      </c>
      <c r="S380" s="65">
        <v>2997.3385198235101</v>
      </c>
      <c r="T380" s="108">
        <f t="shared" si="20"/>
        <v>10.907291954208709</v>
      </c>
      <c r="U380" s="108"/>
      <c r="V380" s="36">
        <v>250</v>
      </c>
      <c r="W380" s="36"/>
      <c r="X380" s="36"/>
      <c r="Y380" s="36"/>
      <c r="Z380" s="36"/>
      <c r="AA380" s="36"/>
      <c r="AB380" s="36"/>
      <c r="AC380" s="36"/>
      <c r="AD380" s="36"/>
      <c r="AE380" s="36"/>
    </row>
    <row r="381" spans="1:31" s="38" customFormat="1" ht="20.25" customHeight="1">
      <c r="A381" s="35">
        <v>42144</v>
      </c>
      <c r="B381" s="64" t="s">
        <v>144</v>
      </c>
      <c r="C381" s="165">
        <v>2015</v>
      </c>
      <c r="D381" s="65">
        <v>4</v>
      </c>
      <c r="E381" s="36" t="s">
        <v>223</v>
      </c>
      <c r="F381" s="36" t="s">
        <v>224</v>
      </c>
      <c r="G381" s="36" t="s">
        <v>225</v>
      </c>
      <c r="H381" s="36" t="s">
        <v>226</v>
      </c>
      <c r="I381" s="36" t="s">
        <v>239</v>
      </c>
      <c r="J381" s="36" t="s">
        <v>258</v>
      </c>
      <c r="K381" s="36" t="s">
        <v>259</v>
      </c>
      <c r="L381" s="36">
        <v>1</v>
      </c>
      <c r="M381" s="36" t="s">
        <v>247</v>
      </c>
      <c r="N381" s="36" t="s">
        <v>258</v>
      </c>
      <c r="O381" s="36">
        <v>229</v>
      </c>
      <c r="P381" s="36">
        <f t="shared" si="18"/>
        <v>0.43668122270742354</v>
      </c>
      <c r="Q381" s="65">
        <v>2994.66472303207</v>
      </c>
      <c r="R381" s="53">
        <f t="shared" si="19"/>
        <v>13.077138528524323</v>
      </c>
      <c r="S381" s="65">
        <v>2997.3385198235101</v>
      </c>
      <c r="T381" s="108">
        <f t="shared" si="20"/>
        <v>0.43629167816834835</v>
      </c>
      <c r="U381" s="108"/>
      <c r="V381" s="36">
        <v>250</v>
      </c>
      <c r="W381" s="36"/>
      <c r="X381" s="36"/>
      <c r="Y381" s="36"/>
      <c r="Z381" s="36"/>
      <c r="AA381" s="36"/>
      <c r="AB381" s="36"/>
      <c r="AC381" s="36"/>
      <c r="AD381" s="36"/>
      <c r="AE381" s="36"/>
    </row>
    <row r="382" spans="1:31" s="38" customFormat="1" ht="20.25" customHeight="1">
      <c r="A382" s="35">
        <v>42144</v>
      </c>
      <c r="B382" s="64" t="s">
        <v>144</v>
      </c>
      <c r="C382" s="165">
        <v>2015</v>
      </c>
      <c r="D382" s="65">
        <v>4</v>
      </c>
      <c r="E382" s="36" t="s">
        <v>223</v>
      </c>
      <c r="F382" s="36" t="s">
        <v>224</v>
      </c>
      <c r="G382" s="36" t="s">
        <v>225</v>
      </c>
      <c r="H382" s="36" t="s">
        <v>226</v>
      </c>
      <c r="I382" s="36" t="s">
        <v>261</v>
      </c>
      <c r="J382" s="36" t="s">
        <v>262</v>
      </c>
      <c r="K382" s="36"/>
      <c r="L382" s="36">
        <v>4</v>
      </c>
      <c r="M382" s="36" t="s">
        <v>229</v>
      </c>
      <c r="N382" s="36" t="s">
        <v>264</v>
      </c>
      <c r="O382" s="36">
        <v>229</v>
      </c>
      <c r="P382" s="36">
        <f t="shared" si="18"/>
        <v>1.7467248908296942</v>
      </c>
      <c r="Q382" s="65">
        <v>2994.66472303207</v>
      </c>
      <c r="R382" s="53">
        <f t="shared" si="19"/>
        <v>52.308554114097291</v>
      </c>
      <c r="S382" s="65">
        <v>2997.3385198235101</v>
      </c>
      <c r="T382" s="108">
        <f t="shared" si="20"/>
        <v>1.7451667126733934</v>
      </c>
      <c r="U382" s="108"/>
      <c r="V382" s="36">
        <v>250</v>
      </c>
      <c r="W382" s="36"/>
      <c r="X382" s="36"/>
      <c r="Y382" s="36"/>
      <c r="Z382" s="36"/>
      <c r="AA382" s="36"/>
      <c r="AB382" s="36"/>
      <c r="AC382" s="36"/>
      <c r="AD382" s="36"/>
      <c r="AE382" s="36"/>
    </row>
    <row r="383" spans="1:31" ht="20.25" customHeight="1">
      <c r="A383" s="71">
        <v>42144</v>
      </c>
      <c r="B383" s="64" t="s">
        <v>144</v>
      </c>
      <c r="C383" s="165">
        <v>2015</v>
      </c>
      <c r="D383" s="65">
        <v>2</v>
      </c>
      <c r="E383" s="3" t="s">
        <v>223</v>
      </c>
      <c r="F383" s="3" t="s">
        <v>303</v>
      </c>
      <c r="G383" s="3" t="s">
        <v>304</v>
      </c>
      <c r="H383" s="3" t="s">
        <v>305</v>
      </c>
      <c r="I383" s="3" t="s">
        <v>306</v>
      </c>
      <c r="J383" s="3" t="s">
        <v>307</v>
      </c>
      <c r="K383" s="3"/>
      <c r="L383" s="3">
        <v>1</v>
      </c>
      <c r="M383" s="3" t="s">
        <v>229</v>
      </c>
      <c r="N383" s="3" t="s">
        <v>307</v>
      </c>
      <c r="O383" s="3">
        <v>333</v>
      </c>
      <c r="P383" s="3">
        <f t="shared" si="18"/>
        <v>0.3003003003003003</v>
      </c>
      <c r="Q383" s="65">
        <v>3250.4224015187469</v>
      </c>
      <c r="R383" s="8">
        <f t="shared" si="19"/>
        <v>9.7610282327890303</v>
      </c>
      <c r="S383" s="65">
        <v>3251.2667584002556</v>
      </c>
      <c r="T383" s="60">
        <f t="shared" si="20"/>
        <v>0.30022231204405447</v>
      </c>
      <c r="U383" s="111"/>
      <c r="V383" s="3">
        <v>250</v>
      </c>
      <c r="W383" s="36" t="s">
        <v>620</v>
      </c>
      <c r="X383" s="3"/>
      <c r="Y383" s="3"/>
      <c r="Z383" s="3"/>
      <c r="AA383" s="3"/>
      <c r="AB383" s="3"/>
      <c r="AC383" s="3"/>
      <c r="AD383" s="3"/>
      <c r="AE383" s="3"/>
    </row>
    <row r="384" spans="1:31" ht="20.25" customHeight="1">
      <c r="A384" s="71">
        <v>42144</v>
      </c>
      <c r="B384" s="64" t="s">
        <v>144</v>
      </c>
      <c r="C384" s="165">
        <v>2015</v>
      </c>
      <c r="D384" s="65">
        <v>2</v>
      </c>
      <c r="E384" s="3" t="s">
        <v>223</v>
      </c>
      <c r="F384" s="3" t="s">
        <v>310</v>
      </c>
      <c r="G384" s="3" t="s">
        <v>314</v>
      </c>
      <c r="H384" s="3" t="s">
        <v>311</v>
      </c>
      <c r="I384" s="3" t="s">
        <v>315</v>
      </c>
      <c r="J384" s="3" t="s">
        <v>347</v>
      </c>
      <c r="K384" s="3"/>
      <c r="L384" s="3">
        <v>1</v>
      </c>
      <c r="M384" s="36" t="s">
        <v>229</v>
      </c>
      <c r="N384" s="3" t="s">
        <v>345</v>
      </c>
      <c r="O384" s="3">
        <v>333</v>
      </c>
      <c r="P384" s="3">
        <f t="shared" si="18"/>
        <v>0.3003003003003003</v>
      </c>
      <c r="Q384" s="65">
        <v>3250.4224015187469</v>
      </c>
      <c r="R384" s="8">
        <f t="shared" si="19"/>
        <v>9.7610282327890303</v>
      </c>
      <c r="S384" s="65">
        <v>3251.2667584002556</v>
      </c>
      <c r="T384" s="60">
        <f t="shared" si="20"/>
        <v>0.30022231204405447</v>
      </c>
      <c r="U384" s="111"/>
      <c r="V384" s="3">
        <v>250</v>
      </c>
      <c r="W384" s="3"/>
      <c r="X384" s="3"/>
      <c r="Y384" s="3"/>
      <c r="Z384" s="3"/>
      <c r="AA384" s="3"/>
      <c r="AB384" s="3"/>
      <c r="AC384" s="3"/>
      <c r="AD384" s="3"/>
      <c r="AE384" s="3"/>
    </row>
    <row r="385" spans="1:31" ht="20.25" customHeight="1">
      <c r="A385" s="84">
        <v>42144</v>
      </c>
      <c r="B385" s="64" t="s">
        <v>144</v>
      </c>
      <c r="C385" s="165">
        <v>2015</v>
      </c>
      <c r="D385" s="65">
        <v>2</v>
      </c>
      <c r="E385" s="65" t="s">
        <v>223</v>
      </c>
      <c r="F385" s="36" t="s">
        <v>224</v>
      </c>
      <c r="G385" s="36" t="s">
        <v>225</v>
      </c>
      <c r="H385" s="65" t="s">
        <v>226</v>
      </c>
      <c r="I385" s="65" t="s">
        <v>239</v>
      </c>
      <c r="J385" s="65" t="s">
        <v>240</v>
      </c>
      <c r="K385" s="3"/>
      <c r="L385" s="3">
        <v>287</v>
      </c>
      <c r="M385" s="3" t="s">
        <v>229</v>
      </c>
      <c r="N385" s="3" t="s">
        <v>481</v>
      </c>
      <c r="O385" s="3">
        <v>333</v>
      </c>
      <c r="P385" s="3">
        <f t="shared" si="18"/>
        <v>86.186186186186191</v>
      </c>
      <c r="Q385" s="65">
        <v>3250.4224015187469</v>
      </c>
      <c r="R385" s="8">
        <f t="shared" si="19"/>
        <v>2801.4151028104516</v>
      </c>
      <c r="S385" s="65">
        <v>3251.2667584002556</v>
      </c>
      <c r="T385" s="60">
        <f t="shared" si="20"/>
        <v>86.163803556643643</v>
      </c>
      <c r="U385" s="111"/>
      <c r="V385" s="36">
        <v>250</v>
      </c>
      <c r="W385" s="3" t="s">
        <v>502</v>
      </c>
      <c r="X385" s="3"/>
      <c r="Y385" s="41"/>
      <c r="Z385" s="3"/>
      <c r="AA385" s="3"/>
      <c r="AB385" s="3"/>
      <c r="AC385" s="3"/>
      <c r="AD385" s="3"/>
      <c r="AE385" s="3"/>
    </row>
    <row r="386" spans="1:31" s="70" customFormat="1" ht="20.25" customHeight="1">
      <c r="A386" s="64">
        <v>42144</v>
      </c>
      <c r="B386" s="64" t="s">
        <v>144</v>
      </c>
      <c r="C386" s="165">
        <v>2015</v>
      </c>
      <c r="D386" s="65">
        <v>2</v>
      </c>
      <c r="E386" s="36" t="s">
        <v>323</v>
      </c>
      <c r="F386" s="36" t="s">
        <v>324</v>
      </c>
      <c r="G386" s="36"/>
      <c r="H386" s="36" t="s">
        <v>325</v>
      </c>
      <c r="I386" s="36" t="s">
        <v>326</v>
      </c>
      <c r="J386" s="36" t="s">
        <v>327</v>
      </c>
      <c r="K386" s="36"/>
      <c r="L386" s="36">
        <v>4</v>
      </c>
      <c r="M386" s="36" t="s">
        <v>229</v>
      </c>
      <c r="N386" s="36" t="s">
        <v>532</v>
      </c>
      <c r="O386" s="36">
        <v>7</v>
      </c>
      <c r="P386" s="36">
        <f t="shared" ref="P386:P449" si="21">L386/O386*100</f>
        <v>57.142857142857139</v>
      </c>
      <c r="Q386" s="65">
        <v>0.84435688150858434</v>
      </c>
      <c r="R386" s="40">
        <f t="shared" ref="R386:R449" si="22">(P386/100)*Q386</f>
        <v>0.48248964657633386</v>
      </c>
      <c r="S386" s="36">
        <v>3251.2667584002556</v>
      </c>
      <c r="T386" s="60">
        <f t="shared" ref="T386:T449" si="23">R386/S386*100</f>
        <v>1.4840051045634186E-2</v>
      </c>
      <c r="U386" s="111">
        <f>SUM(T386)</f>
        <v>1.4840051045634186E-2</v>
      </c>
      <c r="V386" s="36">
        <v>1000</v>
      </c>
      <c r="W386" s="36"/>
      <c r="X386" s="36"/>
      <c r="Y386" s="3"/>
      <c r="Z386" s="67"/>
      <c r="AA386" s="67"/>
      <c r="AB386" s="67"/>
      <c r="AC386" s="67"/>
      <c r="AD386" s="67"/>
      <c r="AE386" s="67"/>
    </row>
    <row r="387" spans="1:31" ht="20.25" customHeight="1">
      <c r="A387" s="64">
        <v>42144</v>
      </c>
      <c r="B387" s="64" t="s">
        <v>144</v>
      </c>
      <c r="C387" s="165">
        <v>2015</v>
      </c>
      <c r="D387" s="65">
        <v>2</v>
      </c>
      <c r="E387" s="36" t="s">
        <v>288</v>
      </c>
      <c r="F387" s="36" t="s">
        <v>289</v>
      </c>
      <c r="G387" s="36"/>
      <c r="H387" s="36"/>
      <c r="I387" s="36"/>
      <c r="J387" s="36" t="s">
        <v>293</v>
      </c>
      <c r="K387" s="36" t="s">
        <v>541</v>
      </c>
      <c r="L387" s="36">
        <v>1</v>
      </c>
      <c r="M387" s="36" t="s">
        <v>247</v>
      </c>
      <c r="N387" s="36" t="s">
        <v>294</v>
      </c>
      <c r="O387" s="36">
        <v>7</v>
      </c>
      <c r="P387" s="36">
        <f t="shared" si="21"/>
        <v>14.285714285714285</v>
      </c>
      <c r="Q387" s="65">
        <v>0.84435688150858434</v>
      </c>
      <c r="R387" s="40">
        <f t="shared" si="22"/>
        <v>0.12062241164408347</v>
      </c>
      <c r="S387" s="36">
        <v>3251.2667584002556</v>
      </c>
      <c r="T387" s="60">
        <f t="shared" si="23"/>
        <v>3.7100127614085464E-3</v>
      </c>
      <c r="U387" s="111"/>
      <c r="V387" s="36">
        <v>1000</v>
      </c>
      <c r="W387" s="36"/>
      <c r="X387" s="36"/>
      <c r="Y387" s="36"/>
      <c r="Z387" s="3"/>
      <c r="AA387" s="3"/>
      <c r="AB387" s="3"/>
      <c r="AC387" s="3"/>
      <c r="AD387" s="3"/>
      <c r="AE387" s="3"/>
    </row>
    <row r="388" spans="1:31" ht="20.25" customHeight="1">
      <c r="A388" s="64">
        <v>42144</v>
      </c>
      <c r="B388" s="64" t="s">
        <v>144</v>
      </c>
      <c r="C388" s="165">
        <v>2015</v>
      </c>
      <c r="D388" s="65">
        <v>2</v>
      </c>
      <c r="E388" s="65" t="s">
        <v>223</v>
      </c>
      <c r="F388" s="65" t="s">
        <v>267</v>
      </c>
      <c r="G388" s="65" t="s">
        <v>278</v>
      </c>
      <c r="H388" s="65" t="s">
        <v>279</v>
      </c>
      <c r="I388" s="65" t="s">
        <v>280</v>
      </c>
      <c r="J388" s="36" t="s">
        <v>284</v>
      </c>
      <c r="K388" s="36" t="s">
        <v>285</v>
      </c>
      <c r="L388" s="36">
        <v>2</v>
      </c>
      <c r="M388" s="36" t="s">
        <v>544</v>
      </c>
      <c r="N388" s="36" t="s">
        <v>283</v>
      </c>
      <c r="O388" s="36">
        <v>7</v>
      </c>
      <c r="P388" s="36">
        <f t="shared" si="21"/>
        <v>28.571428571428569</v>
      </c>
      <c r="Q388" s="65">
        <v>0.84435688150858434</v>
      </c>
      <c r="R388" s="40">
        <f t="shared" si="22"/>
        <v>0.24124482328816693</v>
      </c>
      <c r="S388" s="36">
        <v>3251.2667584002556</v>
      </c>
      <c r="T388" s="60">
        <f t="shared" si="23"/>
        <v>7.4200255228170928E-3</v>
      </c>
      <c r="U388" s="111"/>
      <c r="V388" s="36">
        <v>1000</v>
      </c>
      <c r="W388" s="36"/>
      <c r="X388" s="36"/>
      <c r="Y388" s="3"/>
      <c r="Z388" s="3"/>
      <c r="AA388" s="3"/>
      <c r="AB388" s="3"/>
      <c r="AC388" s="3"/>
      <c r="AD388" s="3"/>
      <c r="AE388" s="3"/>
    </row>
    <row r="389" spans="1:31" ht="20.25" customHeight="1">
      <c r="A389" s="84">
        <v>42144</v>
      </c>
      <c r="B389" s="64" t="s">
        <v>144</v>
      </c>
      <c r="C389" s="165">
        <v>2015</v>
      </c>
      <c r="D389" s="65">
        <v>2</v>
      </c>
      <c r="E389" s="3" t="s">
        <v>223</v>
      </c>
      <c r="F389" s="3" t="s">
        <v>224</v>
      </c>
      <c r="G389" s="3" t="s">
        <v>225</v>
      </c>
      <c r="H389" s="3" t="s">
        <v>248</v>
      </c>
      <c r="I389" s="3" t="s">
        <v>249</v>
      </c>
      <c r="J389" s="3" t="s">
        <v>250</v>
      </c>
      <c r="K389" s="3"/>
      <c r="L389" s="3">
        <v>1</v>
      </c>
      <c r="M389" s="3" t="s">
        <v>229</v>
      </c>
      <c r="N389" s="3" t="s">
        <v>250</v>
      </c>
      <c r="O389" s="3">
        <v>333</v>
      </c>
      <c r="P389" s="3">
        <f t="shared" si="21"/>
        <v>0.3003003003003003</v>
      </c>
      <c r="Q389" s="65">
        <v>3250.4224015187469</v>
      </c>
      <c r="R389" s="8">
        <f t="shared" si="22"/>
        <v>9.7610282327890303</v>
      </c>
      <c r="S389" s="65">
        <v>3251.2667584002556</v>
      </c>
      <c r="T389" s="60">
        <f t="shared" si="23"/>
        <v>0.30022231204405447</v>
      </c>
      <c r="U389" s="111"/>
      <c r="V389" s="36">
        <v>250</v>
      </c>
      <c r="W389" s="3" t="s">
        <v>503</v>
      </c>
      <c r="X389" s="3"/>
      <c r="Y389" s="3"/>
      <c r="Z389" s="3"/>
      <c r="AA389" s="3"/>
      <c r="AB389" s="3"/>
      <c r="AC389" s="3"/>
      <c r="AD389" s="3"/>
      <c r="AE389" s="3"/>
    </row>
    <row r="390" spans="1:31" s="70" customFormat="1" ht="20.25" customHeight="1">
      <c r="A390" s="84">
        <v>42144</v>
      </c>
      <c r="B390" s="64" t="s">
        <v>144</v>
      </c>
      <c r="C390" s="165">
        <v>2015</v>
      </c>
      <c r="D390" s="65">
        <v>2</v>
      </c>
      <c r="E390" s="51" t="s">
        <v>216</v>
      </c>
      <c r="F390" s="51" t="s">
        <v>217</v>
      </c>
      <c r="G390" s="51"/>
      <c r="H390" s="51"/>
      <c r="I390" s="51"/>
      <c r="J390" s="3" t="s">
        <v>647</v>
      </c>
      <c r="K390" s="3"/>
      <c r="L390" s="3">
        <v>37</v>
      </c>
      <c r="M390" s="36" t="s">
        <v>229</v>
      </c>
      <c r="N390" s="3" t="s">
        <v>219</v>
      </c>
      <c r="O390" s="3">
        <v>333</v>
      </c>
      <c r="P390" s="3">
        <f t="shared" si="21"/>
        <v>11.111111111111111</v>
      </c>
      <c r="Q390" s="65">
        <v>3250.4224015187469</v>
      </c>
      <c r="R390" s="8">
        <f t="shared" si="22"/>
        <v>361.15804461319408</v>
      </c>
      <c r="S390" s="36">
        <v>3251.2667584002556</v>
      </c>
      <c r="T390" s="60">
        <f t="shared" si="23"/>
        <v>11.108225545630015</v>
      </c>
      <c r="U390" s="111"/>
      <c r="V390" s="3">
        <v>250</v>
      </c>
      <c r="W390" s="3"/>
      <c r="X390" s="3"/>
      <c r="Y390" s="3"/>
      <c r="Z390" s="67"/>
      <c r="AA390" s="67"/>
      <c r="AB390" s="67"/>
      <c r="AC390" s="67"/>
      <c r="AD390" s="67"/>
      <c r="AE390" s="67"/>
    </row>
    <row r="391" spans="1:31" s="42" customFormat="1" ht="20.25" customHeight="1">
      <c r="A391" s="84">
        <v>42144</v>
      </c>
      <c r="B391" s="64" t="s">
        <v>144</v>
      </c>
      <c r="C391" s="165">
        <v>2015</v>
      </c>
      <c r="D391" s="65">
        <v>2</v>
      </c>
      <c r="E391" s="36" t="s">
        <v>223</v>
      </c>
      <c r="F391" s="36" t="s">
        <v>224</v>
      </c>
      <c r="G391" s="36" t="s">
        <v>225</v>
      </c>
      <c r="H391" s="36" t="s">
        <v>226</v>
      </c>
      <c r="I391" s="36" t="s">
        <v>253</v>
      </c>
      <c r="J391" s="36" t="s">
        <v>256</v>
      </c>
      <c r="K391" s="3"/>
      <c r="L391" s="3">
        <v>4</v>
      </c>
      <c r="M391" s="3" t="s">
        <v>229</v>
      </c>
      <c r="N391" s="3" t="s">
        <v>256</v>
      </c>
      <c r="O391" s="3">
        <v>333</v>
      </c>
      <c r="P391" s="3">
        <f t="shared" si="21"/>
        <v>1.2012012012012012</v>
      </c>
      <c r="Q391" s="65">
        <v>3250.4224015187469</v>
      </c>
      <c r="R391" s="8">
        <f t="shared" si="22"/>
        <v>39.044112931156121</v>
      </c>
      <c r="S391" s="36">
        <v>3251.2667584002556</v>
      </c>
      <c r="T391" s="60">
        <f t="shared" si="23"/>
        <v>1.2008892481762179</v>
      </c>
      <c r="U391" s="111"/>
      <c r="V391" s="36">
        <v>250</v>
      </c>
      <c r="W391" s="3"/>
      <c r="X391" s="3"/>
      <c r="Y391" s="3"/>
      <c r="Z391" s="41"/>
      <c r="AA391" s="41"/>
      <c r="AB391" s="41"/>
      <c r="AC391" s="41"/>
      <c r="AD391" s="41"/>
      <c r="AE391" s="41"/>
    </row>
    <row r="392" spans="1:31" s="42" customFormat="1" ht="20.25" customHeight="1">
      <c r="A392" s="13">
        <v>42144</v>
      </c>
      <c r="B392" s="64" t="s">
        <v>144</v>
      </c>
      <c r="C392" s="165">
        <v>2015</v>
      </c>
      <c r="D392" s="65">
        <v>2</v>
      </c>
      <c r="E392" s="36" t="s">
        <v>223</v>
      </c>
      <c r="F392" s="36" t="s">
        <v>224</v>
      </c>
      <c r="G392" s="36" t="s">
        <v>225</v>
      </c>
      <c r="H392" s="36" t="s">
        <v>226</v>
      </c>
      <c r="I392" s="36" t="s">
        <v>261</v>
      </c>
      <c r="J392" s="36" t="s">
        <v>262</v>
      </c>
      <c r="K392" s="3"/>
      <c r="L392" s="3">
        <v>2</v>
      </c>
      <c r="M392" s="3" t="s">
        <v>229</v>
      </c>
      <c r="N392" s="3" t="s">
        <v>264</v>
      </c>
      <c r="O392" s="3">
        <v>333</v>
      </c>
      <c r="P392" s="3">
        <f t="shared" si="21"/>
        <v>0.60060060060060061</v>
      </c>
      <c r="Q392" s="65">
        <v>3250.4224015187469</v>
      </c>
      <c r="R392" s="8">
        <f t="shared" si="22"/>
        <v>19.522056465578061</v>
      </c>
      <c r="S392" s="36">
        <v>3251.2667584002556</v>
      </c>
      <c r="T392" s="60">
        <f t="shared" si="23"/>
        <v>0.60044462408810895</v>
      </c>
      <c r="U392" s="111"/>
      <c r="V392" s="36">
        <v>250</v>
      </c>
      <c r="W392" s="3"/>
      <c r="X392" s="3"/>
      <c r="Y392" s="3"/>
      <c r="Z392" s="41"/>
      <c r="AA392" s="41"/>
      <c r="AB392" s="41"/>
      <c r="AC392" s="41"/>
      <c r="AD392" s="41"/>
      <c r="AE392" s="41"/>
    </row>
    <row r="393" spans="1:31" ht="20.25" customHeight="1">
      <c r="A393" s="71">
        <v>42206</v>
      </c>
      <c r="B393" s="35" t="s">
        <v>154</v>
      </c>
      <c r="C393" s="165">
        <v>2015</v>
      </c>
      <c r="D393" s="65">
        <v>8</v>
      </c>
      <c r="E393" s="3" t="s">
        <v>223</v>
      </c>
      <c r="F393" s="3" t="s">
        <v>224</v>
      </c>
      <c r="G393" s="3" t="s">
        <v>225</v>
      </c>
      <c r="H393" s="3" t="s">
        <v>226</v>
      </c>
      <c r="I393" s="3" t="s">
        <v>227</v>
      </c>
      <c r="J393" s="3" t="s">
        <v>228</v>
      </c>
      <c r="K393" s="3"/>
      <c r="L393" s="3">
        <v>68</v>
      </c>
      <c r="M393" s="3" t="s">
        <v>229</v>
      </c>
      <c r="N393" s="36" t="s">
        <v>228</v>
      </c>
      <c r="O393" s="3">
        <v>199</v>
      </c>
      <c r="P393" s="3">
        <f t="shared" si="21"/>
        <v>34.170854271356781</v>
      </c>
      <c r="Q393" s="65">
        <v>879.08163265306121</v>
      </c>
      <c r="R393" s="8">
        <f t="shared" si="22"/>
        <v>300.38970362014152</v>
      </c>
      <c r="S393" s="36">
        <v>879.84557459347377</v>
      </c>
      <c r="T393" s="60">
        <f t="shared" si="23"/>
        <v>34.141184804951074</v>
      </c>
      <c r="U393" s="111"/>
      <c r="V393" s="3">
        <v>250</v>
      </c>
      <c r="W393" s="3" t="s">
        <v>477</v>
      </c>
      <c r="X393" s="3"/>
      <c r="Y393" s="3"/>
      <c r="Z393" s="3"/>
      <c r="AA393" s="3"/>
      <c r="AB393" s="3"/>
      <c r="AC393" s="3"/>
      <c r="AD393" s="3"/>
      <c r="AE393" s="3"/>
    </row>
    <row r="394" spans="1:31" ht="20.25" customHeight="1">
      <c r="A394" s="35">
        <v>42206</v>
      </c>
      <c r="B394" s="35" t="s">
        <v>154</v>
      </c>
      <c r="C394" s="165">
        <v>2015</v>
      </c>
      <c r="D394" s="65">
        <v>8</v>
      </c>
      <c r="E394" s="65" t="s">
        <v>223</v>
      </c>
      <c r="F394" s="65" t="s">
        <v>267</v>
      </c>
      <c r="G394" s="65" t="s">
        <v>278</v>
      </c>
      <c r="H394" s="65" t="s">
        <v>269</v>
      </c>
      <c r="I394" s="65" t="s">
        <v>333</v>
      </c>
      <c r="J394" s="36" t="s">
        <v>334</v>
      </c>
      <c r="K394" s="36"/>
      <c r="L394" s="36">
        <v>2</v>
      </c>
      <c r="M394" s="36" t="s">
        <v>229</v>
      </c>
      <c r="N394" s="36" t="s">
        <v>270</v>
      </c>
      <c r="O394" s="36">
        <v>7</v>
      </c>
      <c r="P394" s="36">
        <f t="shared" si="21"/>
        <v>28.571428571428569</v>
      </c>
      <c r="Q394" s="36">
        <v>0.76394194041252861</v>
      </c>
      <c r="R394" s="40">
        <f t="shared" si="22"/>
        <v>0.21826912583215102</v>
      </c>
      <c r="S394" s="36">
        <v>879.84557459347377</v>
      </c>
      <c r="T394" s="60">
        <f t="shared" si="23"/>
        <v>2.4807663087127615E-2</v>
      </c>
      <c r="U394" s="111">
        <f>SUM(T396+T407)</f>
        <v>10.543601189764303</v>
      </c>
      <c r="V394" s="36">
        <v>1000</v>
      </c>
      <c r="W394" s="36"/>
      <c r="X394" s="36"/>
      <c r="Y394" s="3"/>
      <c r="Z394" s="3"/>
      <c r="AA394" s="3"/>
      <c r="AB394" s="3"/>
      <c r="AC394" s="3"/>
      <c r="AD394" s="3"/>
      <c r="AE394" s="3"/>
    </row>
    <row r="395" spans="1:31" ht="20.25" customHeight="1">
      <c r="A395" s="35">
        <v>42206</v>
      </c>
      <c r="B395" s="72" t="s">
        <v>154</v>
      </c>
      <c r="C395" s="165">
        <v>2015</v>
      </c>
      <c r="D395" s="65">
        <v>8</v>
      </c>
      <c r="E395" s="65" t="s">
        <v>223</v>
      </c>
      <c r="F395" s="65" t="s">
        <v>267</v>
      </c>
      <c r="G395" s="65" t="s">
        <v>278</v>
      </c>
      <c r="H395" s="65" t="s">
        <v>269</v>
      </c>
      <c r="I395" s="65" t="s">
        <v>554</v>
      </c>
      <c r="J395" s="36" t="s">
        <v>552</v>
      </c>
      <c r="K395" s="36" t="s">
        <v>553</v>
      </c>
      <c r="L395" s="36">
        <v>1</v>
      </c>
      <c r="M395" s="36" t="s">
        <v>544</v>
      </c>
      <c r="N395" s="36" t="s">
        <v>270</v>
      </c>
      <c r="O395" s="36">
        <v>7</v>
      </c>
      <c r="P395" s="36">
        <f t="shared" si="21"/>
        <v>14.285714285714285</v>
      </c>
      <c r="Q395" s="36">
        <v>0.76394194041252861</v>
      </c>
      <c r="R395" s="40">
        <f t="shared" si="22"/>
        <v>0.10913456291607551</v>
      </c>
      <c r="S395" s="36">
        <v>879.84557459347377</v>
      </c>
      <c r="T395" s="60">
        <f t="shared" si="23"/>
        <v>1.2403831543563807E-2</v>
      </c>
      <c r="U395" s="111"/>
      <c r="V395" s="36">
        <v>1000</v>
      </c>
      <c r="W395" s="36"/>
      <c r="X395" s="36"/>
      <c r="Y395" s="36"/>
      <c r="Z395" s="3"/>
      <c r="AA395" s="3"/>
      <c r="AB395" s="3"/>
      <c r="AC395" s="3"/>
      <c r="AD395" s="3"/>
      <c r="AE395" s="3"/>
    </row>
    <row r="396" spans="1:31" ht="20.25" customHeight="1">
      <c r="A396" s="71">
        <v>42206</v>
      </c>
      <c r="B396" s="72" t="s">
        <v>154</v>
      </c>
      <c r="C396" s="165">
        <v>2015</v>
      </c>
      <c r="D396" s="65">
        <v>8</v>
      </c>
      <c r="E396" s="3" t="s">
        <v>223</v>
      </c>
      <c r="F396" s="3" t="s">
        <v>303</v>
      </c>
      <c r="G396" s="3" t="s">
        <v>304</v>
      </c>
      <c r="H396" s="3" t="s">
        <v>305</v>
      </c>
      <c r="I396" s="3" t="s">
        <v>306</v>
      </c>
      <c r="J396" s="3" t="s">
        <v>307</v>
      </c>
      <c r="K396" s="3"/>
      <c r="L396" s="3">
        <v>13</v>
      </c>
      <c r="M396" s="3" t="s">
        <v>229</v>
      </c>
      <c r="N396" s="3" t="s">
        <v>307</v>
      </c>
      <c r="O396" s="3">
        <v>199</v>
      </c>
      <c r="P396" s="3">
        <f t="shared" si="21"/>
        <v>6.5326633165829149</v>
      </c>
      <c r="Q396" s="65">
        <v>879.08163265306121</v>
      </c>
      <c r="R396" s="8">
        <f t="shared" si="22"/>
        <v>57.427443339144709</v>
      </c>
      <c r="S396" s="36">
        <v>879.84557459347377</v>
      </c>
      <c r="T396" s="60">
        <f t="shared" si="23"/>
        <v>6.5269912127112351</v>
      </c>
      <c r="U396" s="111"/>
      <c r="V396" s="36">
        <v>250</v>
      </c>
      <c r="W396" s="36" t="s">
        <v>308</v>
      </c>
      <c r="X396" s="3"/>
      <c r="Y396" s="3"/>
      <c r="Z396" s="3"/>
      <c r="AA396" s="3"/>
      <c r="AB396" s="3"/>
      <c r="AC396" s="3"/>
      <c r="AD396" s="3"/>
      <c r="AE396" s="3"/>
    </row>
    <row r="397" spans="1:31" ht="20.25" customHeight="1">
      <c r="A397" s="13">
        <v>42206</v>
      </c>
      <c r="B397" s="72" t="s">
        <v>154</v>
      </c>
      <c r="C397" s="165">
        <v>2015</v>
      </c>
      <c r="D397" s="65">
        <v>8</v>
      </c>
      <c r="E397" s="3" t="s">
        <v>223</v>
      </c>
      <c r="F397" s="3" t="s">
        <v>303</v>
      </c>
      <c r="G397" s="3" t="s">
        <v>304</v>
      </c>
      <c r="H397" s="3" t="s">
        <v>305</v>
      </c>
      <c r="I397" s="3" t="s">
        <v>306</v>
      </c>
      <c r="J397" s="3" t="s">
        <v>307</v>
      </c>
      <c r="K397" s="3"/>
      <c r="L397" s="3">
        <v>11</v>
      </c>
      <c r="M397" s="3" t="s">
        <v>229</v>
      </c>
      <c r="N397" s="3" t="s">
        <v>307</v>
      </c>
      <c r="O397" s="3">
        <v>199</v>
      </c>
      <c r="P397" s="3">
        <f t="shared" si="21"/>
        <v>5.5276381909547743</v>
      </c>
      <c r="Q397" s="65">
        <v>879.08163265306121</v>
      </c>
      <c r="R397" s="8">
        <f t="shared" si="22"/>
        <v>48.592452056199363</v>
      </c>
      <c r="S397" s="36">
        <v>879.84557459347377</v>
      </c>
      <c r="T397" s="60">
        <f t="shared" si="23"/>
        <v>5.5228387184479679</v>
      </c>
      <c r="U397" s="111"/>
      <c r="V397" s="3">
        <v>250</v>
      </c>
      <c r="W397" s="36" t="s">
        <v>620</v>
      </c>
      <c r="X397" s="3"/>
      <c r="Y397" s="3"/>
      <c r="Z397" s="3"/>
      <c r="AA397" s="3"/>
      <c r="AB397" s="3"/>
      <c r="AC397" s="3"/>
      <c r="AD397" s="3"/>
      <c r="AE397" s="3"/>
    </row>
    <row r="398" spans="1:31" ht="20.25" customHeight="1">
      <c r="A398" s="35">
        <v>42206</v>
      </c>
      <c r="B398" s="72" t="s">
        <v>154</v>
      </c>
      <c r="C398" s="165">
        <v>2015</v>
      </c>
      <c r="D398" s="65">
        <v>8</v>
      </c>
      <c r="E398" s="65" t="s">
        <v>300</v>
      </c>
      <c r="F398" s="65" t="s">
        <v>320</v>
      </c>
      <c r="G398" s="65"/>
      <c r="H398" s="65"/>
      <c r="I398" s="65"/>
      <c r="J398" s="36"/>
      <c r="K398" s="36"/>
      <c r="L398" s="36">
        <v>1</v>
      </c>
      <c r="M398" s="36" t="s">
        <v>221</v>
      </c>
      <c r="N398" s="36" t="s">
        <v>322</v>
      </c>
      <c r="O398" s="36">
        <v>7</v>
      </c>
      <c r="P398" s="36">
        <f t="shared" si="21"/>
        <v>14.285714285714285</v>
      </c>
      <c r="Q398" s="36">
        <v>0.76394194041252861</v>
      </c>
      <c r="R398" s="40">
        <f t="shared" si="22"/>
        <v>0.10913456291607551</v>
      </c>
      <c r="S398" s="36">
        <v>879.84557459347377</v>
      </c>
      <c r="T398" s="60">
        <f t="shared" si="23"/>
        <v>1.2403831543563807E-2</v>
      </c>
      <c r="U398" s="111"/>
      <c r="V398" s="36">
        <v>1000</v>
      </c>
      <c r="W398" s="36"/>
      <c r="X398" s="36"/>
      <c r="Y398" s="36"/>
      <c r="Z398" s="3"/>
      <c r="AA398" s="3"/>
      <c r="AB398" s="3"/>
      <c r="AC398" s="3"/>
      <c r="AD398" s="3"/>
      <c r="AE398" s="3"/>
    </row>
    <row r="399" spans="1:31" ht="20.25" customHeight="1">
      <c r="A399" s="13">
        <v>42206</v>
      </c>
      <c r="B399" s="72" t="s">
        <v>154</v>
      </c>
      <c r="C399" s="165">
        <v>2015</v>
      </c>
      <c r="D399" s="65">
        <v>8</v>
      </c>
      <c r="E399" s="76" t="s">
        <v>295</v>
      </c>
      <c r="F399" s="38" t="s">
        <v>296</v>
      </c>
      <c r="G399" s="38"/>
      <c r="H399" s="76" t="s">
        <v>297</v>
      </c>
      <c r="I399" s="76" t="s">
        <v>298</v>
      </c>
      <c r="J399" s="76" t="s">
        <v>299</v>
      </c>
      <c r="K399" s="36"/>
      <c r="L399" s="36">
        <v>9</v>
      </c>
      <c r="M399" s="36" t="s">
        <v>229</v>
      </c>
      <c r="N399" s="36" t="s">
        <v>369</v>
      </c>
      <c r="O399" s="3">
        <v>199</v>
      </c>
      <c r="P399" s="3">
        <f t="shared" si="21"/>
        <v>4.5226130653266337</v>
      </c>
      <c r="Q399" s="65">
        <v>879.08163265306121</v>
      </c>
      <c r="R399" s="8">
        <f t="shared" si="22"/>
        <v>39.757460773254024</v>
      </c>
      <c r="S399" s="36">
        <v>879.84557459347377</v>
      </c>
      <c r="T399" s="60">
        <f t="shared" si="23"/>
        <v>4.5186862241847008</v>
      </c>
      <c r="U399" s="111"/>
      <c r="V399" s="3">
        <v>250</v>
      </c>
      <c r="W399" s="32"/>
      <c r="X399" s="32"/>
      <c r="Y399" s="3"/>
      <c r="Z399" s="3"/>
      <c r="AA399" s="3"/>
      <c r="AB399" s="3"/>
      <c r="AC399" s="3"/>
      <c r="AD399" s="3"/>
      <c r="AE399" s="3"/>
    </row>
    <row r="400" spans="1:31" ht="20.25" customHeight="1">
      <c r="A400" s="71">
        <v>42206</v>
      </c>
      <c r="B400" s="35" t="s">
        <v>154</v>
      </c>
      <c r="C400" s="165">
        <v>2015</v>
      </c>
      <c r="D400" s="65">
        <v>8</v>
      </c>
      <c r="E400" s="3" t="s">
        <v>223</v>
      </c>
      <c r="F400" s="3" t="s">
        <v>224</v>
      </c>
      <c r="G400" s="3" t="s">
        <v>225</v>
      </c>
      <c r="H400" s="3" t="s">
        <v>226</v>
      </c>
      <c r="I400" s="3" t="s">
        <v>235</v>
      </c>
      <c r="J400" s="3" t="s">
        <v>236</v>
      </c>
      <c r="K400" s="3"/>
      <c r="L400" s="3">
        <v>2</v>
      </c>
      <c r="M400" s="3" t="s">
        <v>229</v>
      </c>
      <c r="N400" s="36" t="s">
        <v>236</v>
      </c>
      <c r="O400" s="3">
        <v>199</v>
      </c>
      <c r="P400" s="3">
        <f t="shared" si="21"/>
        <v>1.0050251256281406</v>
      </c>
      <c r="Q400" s="65">
        <v>879.08163265306121</v>
      </c>
      <c r="R400" s="8">
        <f t="shared" si="22"/>
        <v>8.834991282945337</v>
      </c>
      <c r="S400" s="36">
        <v>879.84557459347377</v>
      </c>
      <c r="T400" s="60">
        <f t="shared" si="23"/>
        <v>1.0041524942632667</v>
      </c>
      <c r="U400" s="111"/>
      <c r="V400" s="3">
        <v>250</v>
      </c>
      <c r="W400" s="3"/>
      <c r="X400" s="3"/>
      <c r="Y400" s="3"/>
      <c r="Z400" s="3"/>
      <c r="AA400" s="3"/>
      <c r="AB400" s="3"/>
      <c r="AC400" s="3"/>
      <c r="AD400" s="3"/>
      <c r="AE400" s="3"/>
    </row>
    <row r="401" spans="1:31" ht="20.25" customHeight="1">
      <c r="A401" s="71">
        <v>42206</v>
      </c>
      <c r="B401" s="72" t="s">
        <v>154</v>
      </c>
      <c r="C401" s="165">
        <v>2015</v>
      </c>
      <c r="D401" s="65">
        <v>8</v>
      </c>
      <c r="E401" s="3" t="s">
        <v>223</v>
      </c>
      <c r="F401" s="3" t="s">
        <v>317</v>
      </c>
      <c r="G401" s="3" t="s">
        <v>314</v>
      </c>
      <c r="H401" s="3" t="s">
        <v>346</v>
      </c>
      <c r="I401" s="3" t="s">
        <v>315</v>
      </c>
      <c r="J401" s="3" t="s">
        <v>347</v>
      </c>
      <c r="K401" s="3"/>
      <c r="L401" s="3">
        <v>10</v>
      </c>
      <c r="M401" s="3" t="s">
        <v>229</v>
      </c>
      <c r="N401" s="36" t="s">
        <v>345</v>
      </c>
      <c r="O401" s="3">
        <v>199</v>
      </c>
      <c r="P401" s="3">
        <f t="shared" si="21"/>
        <v>5.025125628140704</v>
      </c>
      <c r="Q401" s="65">
        <v>879.08163265306121</v>
      </c>
      <c r="R401" s="8">
        <f t="shared" si="22"/>
        <v>44.174956414726694</v>
      </c>
      <c r="S401" s="36">
        <v>879.84557459347377</v>
      </c>
      <c r="T401" s="60">
        <f t="shared" si="23"/>
        <v>5.0207624713163339</v>
      </c>
      <c r="U401" s="111"/>
      <c r="V401" s="3">
        <v>250</v>
      </c>
      <c r="W401" s="3" t="s">
        <v>478</v>
      </c>
      <c r="X401" s="3"/>
      <c r="Y401" s="3"/>
      <c r="Z401" s="3"/>
      <c r="AA401" s="3"/>
      <c r="AB401" s="3"/>
      <c r="AC401" s="3"/>
      <c r="AD401" s="3"/>
      <c r="AE401" s="3"/>
    </row>
    <row r="402" spans="1:31" ht="20.25" customHeight="1">
      <c r="A402" s="71">
        <v>42206</v>
      </c>
      <c r="B402" s="35" t="s">
        <v>154</v>
      </c>
      <c r="C402" s="165">
        <v>2015</v>
      </c>
      <c r="D402" s="65">
        <v>8</v>
      </c>
      <c r="E402" s="65" t="s">
        <v>223</v>
      </c>
      <c r="F402" s="65" t="s">
        <v>310</v>
      </c>
      <c r="G402" s="65" t="s">
        <v>314</v>
      </c>
      <c r="H402" s="65" t="s">
        <v>311</v>
      </c>
      <c r="I402" s="65" t="s">
        <v>315</v>
      </c>
      <c r="J402" s="36" t="s">
        <v>316</v>
      </c>
      <c r="K402" s="3"/>
      <c r="L402" s="3">
        <v>5</v>
      </c>
      <c r="M402" s="3" t="s">
        <v>229</v>
      </c>
      <c r="N402" s="36" t="s">
        <v>345</v>
      </c>
      <c r="O402" s="3">
        <v>199</v>
      </c>
      <c r="P402" s="3">
        <f t="shared" si="21"/>
        <v>2.512562814070352</v>
      </c>
      <c r="Q402" s="65">
        <v>879.08163265306121</v>
      </c>
      <c r="R402" s="8">
        <f t="shared" si="22"/>
        <v>22.087478207363347</v>
      </c>
      <c r="S402" s="36">
        <v>879.84557459347377</v>
      </c>
      <c r="T402" s="60">
        <f t="shared" si="23"/>
        <v>2.510381235658167</v>
      </c>
      <c r="U402" s="111"/>
      <c r="V402" s="36">
        <v>250</v>
      </c>
      <c r="W402" s="3"/>
      <c r="X402" s="3"/>
      <c r="Y402" s="3"/>
      <c r="Z402" s="3"/>
      <c r="AA402" s="3"/>
      <c r="AB402" s="3"/>
      <c r="AC402" s="3"/>
      <c r="AD402" s="3"/>
      <c r="AE402" s="3"/>
    </row>
    <row r="403" spans="1:31" ht="20.25" customHeight="1">
      <c r="A403" s="71">
        <v>42206</v>
      </c>
      <c r="B403" s="35" t="s">
        <v>154</v>
      </c>
      <c r="C403" s="165">
        <v>2015</v>
      </c>
      <c r="D403" s="65">
        <v>8</v>
      </c>
      <c r="E403" s="65" t="s">
        <v>223</v>
      </c>
      <c r="F403" s="65" t="s">
        <v>224</v>
      </c>
      <c r="G403" s="65" t="s">
        <v>225</v>
      </c>
      <c r="H403" s="65" t="s">
        <v>226</v>
      </c>
      <c r="I403" s="65" t="s">
        <v>239</v>
      </c>
      <c r="J403" s="36" t="s">
        <v>240</v>
      </c>
      <c r="K403" s="3"/>
      <c r="L403" s="3">
        <v>9</v>
      </c>
      <c r="M403" s="3" t="s">
        <v>229</v>
      </c>
      <c r="N403" s="36" t="s">
        <v>240</v>
      </c>
      <c r="O403" s="3">
        <v>199</v>
      </c>
      <c r="P403" s="3">
        <f t="shared" si="21"/>
        <v>4.5226130653266337</v>
      </c>
      <c r="Q403" s="65">
        <v>879.08163265306121</v>
      </c>
      <c r="R403" s="8">
        <f t="shared" si="22"/>
        <v>39.757460773254024</v>
      </c>
      <c r="S403" s="36">
        <v>879.84557459347377</v>
      </c>
      <c r="T403" s="60">
        <f t="shared" si="23"/>
        <v>4.5186862241847008</v>
      </c>
      <c r="U403" s="111"/>
      <c r="V403" s="36">
        <v>250</v>
      </c>
      <c r="W403" s="3"/>
      <c r="X403" s="3"/>
      <c r="Y403" s="3"/>
      <c r="Z403" s="3"/>
      <c r="AA403" s="3"/>
      <c r="AB403" s="3"/>
      <c r="AC403" s="3"/>
      <c r="AD403" s="3"/>
      <c r="AE403" s="3"/>
    </row>
    <row r="404" spans="1:31" ht="20.25" customHeight="1">
      <c r="A404" s="35">
        <v>42206</v>
      </c>
      <c r="B404" s="72" t="s">
        <v>154</v>
      </c>
      <c r="C404" s="165">
        <v>2015</v>
      </c>
      <c r="D404" s="65">
        <v>8</v>
      </c>
      <c r="E404" s="65" t="s">
        <v>223</v>
      </c>
      <c r="F404" s="65" t="s">
        <v>267</v>
      </c>
      <c r="G404" s="65" t="s">
        <v>278</v>
      </c>
      <c r="H404" s="65" t="s">
        <v>279</v>
      </c>
      <c r="I404" s="65" t="s">
        <v>280</v>
      </c>
      <c r="J404" s="36" t="s">
        <v>284</v>
      </c>
      <c r="K404" s="36" t="s">
        <v>285</v>
      </c>
      <c r="L404" s="36">
        <v>3</v>
      </c>
      <c r="M404" s="36" t="s">
        <v>247</v>
      </c>
      <c r="N404" s="36" t="s">
        <v>283</v>
      </c>
      <c r="O404" s="36">
        <v>7</v>
      </c>
      <c r="P404" s="36">
        <f t="shared" si="21"/>
        <v>42.857142857142854</v>
      </c>
      <c r="Q404" s="36">
        <v>0.76394194041252861</v>
      </c>
      <c r="R404" s="40">
        <f t="shared" si="22"/>
        <v>0.32740368874822651</v>
      </c>
      <c r="S404" s="36">
        <v>879.84557459347377</v>
      </c>
      <c r="T404" s="60">
        <f t="shared" si="23"/>
        <v>3.7211494630691413E-2</v>
      </c>
      <c r="U404" s="111"/>
      <c r="V404" s="36">
        <v>1000</v>
      </c>
      <c r="W404" s="36"/>
      <c r="X404" s="36"/>
      <c r="Y404" s="3"/>
      <c r="Z404" s="3"/>
      <c r="AA404" s="3"/>
      <c r="AB404" s="3"/>
      <c r="AC404" s="3"/>
      <c r="AD404" s="3"/>
      <c r="AE404" s="3"/>
    </row>
    <row r="405" spans="1:31" ht="20.25" customHeight="1">
      <c r="A405" s="71">
        <v>42206</v>
      </c>
      <c r="B405" s="72" t="s">
        <v>154</v>
      </c>
      <c r="C405" s="165">
        <v>2015</v>
      </c>
      <c r="D405" s="65">
        <v>8</v>
      </c>
      <c r="E405" s="3" t="s">
        <v>223</v>
      </c>
      <c r="F405" s="3" t="s">
        <v>224</v>
      </c>
      <c r="G405" s="3" t="s">
        <v>225</v>
      </c>
      <c r="H405" s="3" t="s">
        <v>248</v>
      </c>
      <c r="I405" s="3" t="s">
        <v>249</v>
      </c>
      <c r="J405" s="3" t="s">
        <v>250</v>
      </c>
      <c r="K405" s="3"/>
      <c r="L405" s="3">
        <v>26</v>
      </c>
      <c r="M405" s="3" t="s">
        <v>229</v>
      </c>
      <c r="N405" s="36" t="s">
        <v>250</v>
      </c>
      <c r="O405" s="3">
        <v>199</v>
      </c>
      <c r="P405" s="3">
        <f t="shared" si="21"/>
        <v>13.06532663316583</v>
      </c>
      <c r="Q405" s="65">
        <v>879.08163265306121</v>
      </c>
      <c r="R405" s="8">
        <f t="shared" si="22"/>
        <v>114.85488667828942</v>
      </c>
      <c r="S405" s="36">
        <v>879.84557459347377</v>
      </c>
      <c r="T405" s="60">
        <f t="shared" si="23"/>
        <v>13.05398242542247</v>
      </c>
      <c r="U405" s="111"/>
      <c r="V405" s="3">
        <v>250</v>
      </c>
      <c r="W405" s="3"/>
      <c r="X405" s="3"/>
      <c r="Y405" s="36"/>
      <c r="Z405" s="3"/>
      <c r="AA405" s="3"/>
      <c r="AB405" s="3"/>
      <c r="AC405" s="3"/>
      <c r="AD405" s="3"/>
      <c r="AE405" s="3"/>
    </row>
    <row r="406" spans="1:31" ht="20.25" customHeight="1">
      <c r="A406" s="71">
        <v>42206</v>
      </c>
      <c r="B406" s="72" t="s">
        <v>154</v>
      </c>
      <c r="C406" s="165">
        <v>2015</v>
      </c>
      <c r="D406" s="65">
        <v>8</v>
      </c>
      <c r="E406" s="3" t="s">
        <v>216</v>
      </c>
      <c r="F406" s="3" t="s">
        <v>217</v>
      </c>
      <c r="G406" s="3"/>
      <c r="H406" s="3"/>
      <c r="I406" s="3"/>
      <c r="J406" s="3" t="s">
        <v>219</v>
      </c>
      <c r="K406" s="3"/>
      <c r="L406" s="3">
        <v>1</v>
      </c>
      <c r="M406" s="36" t="s">
        <v>229</v>
      </c>
      <c r="N406" s="36" t="s">
        <v>219</v>
      </c>
      <c r="O406" s="3">
        <v>199</v>
      </c>
      <c r="P406" s="3">
        <f t="shared" si="21"/>
        <v>0.50251256281407031</v>
      </c>
      <c r="Q406" s="65">
        <v>879.08163265306121</v>
      </c>
      <c r="R406" s="8">
        <f t="shared" si="22"/>
        <v>4.4174956414726685</v>
      </c>
      <c r="S406" s="36">
        <v>879.84557459347377</v>
      </c>
      <c r="T406" s="60">
        <f t="shared" si="23"/>
        <v>0.50207624713163335</v>
      </c>
      <c r="U406" s="111"/>
      <c r="V406" s="36">
        <v>250</v>
      </c>
      <c r="W406" s="3"/>
      <c r="X406" s="3"/>
      <c r="Y406" s="3"/>
      <c r="Z406" s="3"/>
      <c r="AA406" s="3"/>
      <c r="AB406" s="3"/>
      <c r="AC406" s="3"/>
      <c r="AD406" s="3"/>
      <c r="AE406" s="3"/>
    </row>
    <row r="407" spans="1:31" ht="20.25" customHeight="1">
      <c r="A407" s="71">
        <v>42206</v>
      </c>
      <c r="B407" s="72" t="s">
        <v>154</v>
      </c>
      <c r="C407" s="165">
        <v>2015</v>
      </c>
      <c r="D407" s="65">
        <v>8</v>
      </c>
      <c r="E407" s="36" t="s">
        <v>223</v>
      </c>
      <c r="F407" s="36" t="s">
        <v>224</v>
      </c>
      <c r="G407" s="36" t="s">
        <v>225</v>
      </c>
      <c r="H407" s="36" t="s">
        <v>226</v>
      </c>
      <c r="I407" s="36" t="s">
        <v>253</v>
      </c>
      <c r="J407" s="36" t="s">
        <v>256</v>
      </c>
      <c r="K407" s="3"/>
      <c r="L407" s="3">
        <v>8</v>
      </c>
      <c r="M407" s="3" t="s">
        <v>229</v>
      </c>
      <c r="N407" s="36" t="s">
        <v>256</v>
      </c>
      <c r="O407" s="3">
        <v>199</v>
      </c>
      <c r="P407" s="3">
        <f t="shared" si="21"/>
        <v>4.0201005025125625</v>
      </c>
      <c r="Q407" s="65">
        <v>879.08163265306121</v>
      </c>
      <c r="R407" s="8">
        <f t="shared" si="22"/>
        <v>35.339965131781348</v>
      </c>
      <c r="S407" s="36">
        <v>879.84557459347377</v>
      </c>
      <c r="T407" s="60">
        <f t="shared" si="23"/>
        <v>4.0166099770530668</v>
      </c>
      <c r="U407" s="111"/>
      <c r="V407" s="3">
        <v>250</v>
      </c>
      <c r="W407" s="3"/>
      <c r="X407" s="3"/>
      <c r="Y407" s="3"/>
      <c r="Z407" s="3"/>
      <c r="AA407" s="3"/>
      <c r="AB407" s="3"/>
      <c r="AC407" s="3"/>
      <c r="AD407" s="3"/>
      <c r="AE407" s="3"/>
    </row>
    <row r="408" spans="1:31" ht="20.25" customHeight="1">
      <c r="A408" s="13">
        <v>42206</v>
      </c>
      <c r="B408" s="35" t="s">
        <v>154</v>
      </c>
      <c r="C408" s="165">
        <v>2015</v>
      </c>
      <c r="D408" s="65">
        <v>8</v>
      </c>
      <c r="E408" s="3" t="s">
        <v>223</v>
      </c>
      <c r="F408" s="3" t="s">
        <v>224</v>
      </c>
      <c r="G408" s="3" t="s">
        <v>225</v>
      </c>
      <c r="H408" s="3" t="s">
        <v>226</v>
      </c>
      <c r="I408" s="3" t="s">
        <v>239</v>
      </c>
      <c r="J408" s="3" t="s">
        <v>258</v>
      </c>
      <c r="K408" s="3" t="s">
        <v>259</v>
      </c>
      <c r="L408" s="3">
        <v>15</v>
      </c>
      <c r="M408" s="3" t="s">
        <v>247</v>
      </c>
      <c r="N408" s="36" t="s">
        <v>258</v>
      </c>
      <c r="O408" s="3">
        <v>199</v>
      </c>
      <c r="P408" s="3">
        <f t="shared" si="21"/>
        <v>7.5376884422110546</v>
      </c>
      <c r="Q408" s="65">
        <v>879.08163265306121</v>
      </c>
      <c r="R408" s="8">
        <f t="shared" si="22"/>
        <v>66.262434622090041</v>
      </c>
      <c r="S408" s="65">
        <v>879.84557459347377</v>
      </c>
      <c r="T408" s="60">
        <f t="shared" si="23"/>
        <v>7.5311437069745013</v>
      </c>
      <c r="U408" s="111"/>
      <c r="V408" s="36">
        <v>250</v>
      </c>
      <c r="W408" s="3"/>
      <c r="X408" s="3"/>
      <c r="Y408" s="3"/>
      <c r="Z408" s="3"/>
      <c r="AA408" s="3"/>
      <c r="AB408" s="3"/>
      <c r="AC408" s="3"/>
      <c r="AD408" s="3"/>
      <c r="AE408" s="3"/>
    </row>
    <row r="409" spans="1:31" ht="20.25" customHeight="1">
      <c r="A409" s="13">
        <v>42206</v>
      </c>
      <c r="B409" s="35" t="s">
        <v>154</v>
      </c>
      <c r="C409" s="165">
        <v>2015</v>
      </c>
      <c r="D409" s="65">
        <v>8</v>
      </c>
      <c r="E409" s="65" t="s">
        <v>223</v>
      </c>
      <c r="F409" s="65" t="s">
        <v>224</v>
      </c>
      <c r="G409" s="65" t="s">
        <v>225</v>
      </c>
      <c r="H409" s="65" t="s">
        <v>226</v>
      </c>
      <c r="I409" s="65" t="s">
        <v>261</v>
      </c>
      <c r="J409" s="36" t="s">
        <v>262</v>
      </c>
      <c r="K409" s="3"/>
      <c r="L409" s="3">
        <v>22</v>
      </c>
      <c r="M409" s="3" t="s">
        <v>229</v>
      </c>
      <c r="N409" s="36" t="s">
        <v>264</v>
      </c>
      <c r="O409" s="3">
        <v>199</v>
      </c>
      <c r="P409" s="3">
        <f t="shared" si="21"/>
        <v>11.055276381909549</v>
      </c>
      <c r="Q409" s="65">
        <v>879.08163265306121</v>
      </c>
      <c r="R409" s="8">
        <f t="shared" si="22"/>
        <v>97.184904112398726</v>
      </c>
      <c r="S409" s="65">
        <v>879.84557459347377</v>
      </c>
      <c r="T409" s="60">
        <f t="shared" si="23"/>
        <v>11.045677436895936</v>
      </c>
      <c r="U409" s="111"/>
      <c r="V409" s="36">
        <v>250</v>
      </c>
      <c r="W409" s="3"/>
      <c r="X409" s="3"/>
      <c r="Y409" s="3"/>
      <c r="Z409" s="3"/>
      <c r="AA409" s="3"/>
      <c r="AB409" s="3"/>
      <c r="AC409" s="3"/>
      <c r="AD409" s="3"/>
      <c r="AE409" s="3"/>
    </row>
    <row r="410" spans="1:31" ht="20.25" customHeight="1">
      <c r="A410" s="71">
        <v>42206</v>
      </c>
      <c r="B410" s="35" t="s">
        <v>154</v>
      </c>
      <c r="C410" s="165">
        <v>2015</v>
      </c>
      <c r="D410" s="36">
        <v>5</v>
      </c>
      <c r="E410" s="3" t="s">
        <v>223</v>
      </c>
      <c r="F410" s="3" t="s">
        <v>224</v>
      </c>
      <c r="G410" s="3" t="s">
        <v>225</v>
      </c>
      <c r="H410" s="3" t="s">
        <v>226</v>
      </c>
      <c r="I410" s="3" t="s">
        <v>227</v>
      </c>
      <c r="J410" s="3" t="s">
        <v>228</v>
      </c>
      <c r="K410" s="3"/>
      <c r="L410" s="3">
        <v>40</v>
      </c>
      <c r="M410" s="3" t="s">
        <v>229</v>
      </c>
      <c r="N410" s="36" t="s">
        <v>228</v>
      </c>
      <c r="O410" s="3">
        <v>251</v>
      </c>
      <c r="P410" s="3">
        <f t="shared" si="21"/>
        <v>15.936254980079681</v>
      </c>
      <c r="Q410" s="65">
        <v>4828.6641929499074</v>
      </c>
      <c r="R410" s="8">
        <f t="shared" si="22"/>
        <v>769.50823792030394</v>
      </c>
      <c r="S410" s="65">
        <v>4829.7642693441012</v>
      </c>
      <c r="T410" s="40">
        <f t="shared" si="23"/>
        <v>15.932625176027603</v>
      </c>
      <c r="U410" s="110"/>
      <c r="V410" s="3">
        <v>250</v>
      </c>
      <c r="W410" s="3"/>
      <c r="X410" s="3"/>
      <c r="Y410" s="36"/>
      <c r="Z410" s="3"/>
      <c r="AA410" s="3"/>
      <c r="AB410" s="3"/>
      <c r="AC410" s="3"/>
      <c r="AD410" s="3"/>
      <c r="AE410" s="3"/>
    </row>
    <row r="411" spans="1:31" ht="20.25" customHeight="1">
      <c r="A411" s="13">
        <v>42206</v>
      </c>
      <c r="B411" s="72" t="s">
        <v>154</v>
      </c>
      <c r="C411" s="165">
        <v>2015</v>
      </c>
      <c r="D411" s="36">
        <v>5</v>
      </c>
      <c r="E411" s="51" t="s">
        <v>223</v>
      </c>
      <c r="F411" s="51" t="s">
        <v>303</v>
      </c>
      <c r="G411" s="51" t="s">
        <v>304</v>
      </c>
      <c r="H411" s="51" t="s">
        <v>305</v>
      </c>
      <c r="I411" s="51" t="s">
        <v>306</v>
      </c>
      <c r="J411" s="3" t="s">
        <v>307</v>
      </c>
      <c r="K411" s="3"/>
      <c r="L411" s="3">
        <v>11</v>
      </c>
      <c r="M411" s="3" t="s">
        <v>229</v>
      </c>
      <c r="N411" s="3" t="s">
        <v>307</v>
      </c>
      <c r="O411" s="3">
        <v>251</v>
      </c>
      <c r="P411" s="3">
        <f t="shared" si="21"/>
        <v>4.3824701195219129</v>
      </c>
      <c r="Q411" s="65">
        <v>4828.6641929499074</v>
      </c>
      <c r="R411" s="8">
        <f t="shared" si="22"/>
        <v>211.61476542808362</v>
      </c>
      <c r="S411" s="65">
        <v>4829.7642693441012</v>
      </c>
      <c r="T411" s="60">
        <f t="shared" si="23"/>
        <v>4.3814719234075916</v>
      </c>
      <c r="U411" s="111"/>
      <c r="V411" s="3">
        <v>250</v>
      </c>
      <c r="W411" s="36" t="s">
        <v>308</v>
      </c>
      <c r="X411" s="3"/>
      <c r="Y411" s="3"/>
      <c r="Z411" s="3"/>
      <c r="AA411" s="3"/>
      <c r="AB411" s="3"/>
      <c r="AC411" s="3"/>
      <c r="AD411" s="3"/>
      <c r="AE411" s="3"/>
    </row>
    <row r="412" spans="1:31" ht="20.25" customHeight="1">
      <c r="A412" s="13">
        <v>42206</v>
      </c>
      <c r="B412" s="72" t="s">
        <v>154</v>
      </c>
      <c r="C412" s="165">
        <v>2015</v>
      </c>
      <c r="D412" s="36">
        <v>5</v>
      </c>
      <c r="E412" s="3" t="s">
        <v>223</v>
      </c>
      <c r="F412" s="3" t="s">
        <v>303</v>
      </c>
      <c r="G412" s="3" t="s">
        <v>304</v>
      </c>
      <c r="H412" s="3" t="s">
        <v>305</v>
      </c>
      <c r="I412" s="3" t="s">
        <v>306</v>
      </c>
      <c r="J412" s="3" t="s">
        <v>307</v>
      </c>
      <c r="K412" s="3"/>
      <c r="L412" s="3">
        <v>1</v>
      </c>
      <c r="M412" s="3" t="s">
        <v>229</v>
      </c>
      <c r="N412" s="3" t="s">
        <v>307</v>
      </c>
      <c r="O412" s="3">
        <v>251</v>
      </c>
      <c r="P412" s="3">
        <f t="shared" si="21"/>
        <v>0.39840637450199201</v>
      </c>
      <c r="Q412" s="65">
        <v>4828.6641929499074</v>
      </c>
      <c r="R412" s="8">
        <f t="shared" si="22"/>
        <v>19.237705948007598</v>
      </c>
      <c r="S412" s="65">
        <v>4829.7642693441012</v>
      </c>
      <c r="T412" s="60">
        <f t="shared" si="23"/>
        <v>0.3983156294006901</v>
      </c>
      <c r="U412" s="111"/>
      <c r="V412" s="36">
        <v>250</v>
      </c>
      <c r="W412" s="36" t="s">
        <v>620</v>
      </c>
      <c r="X412" s="3"/>
      <c r="Y412" s="57"/>
      <c r="Z412" s="3"/>
      <c r="AA412" s="3"/>
      <c r="AB412" s="3"/>
      <c r="AC412" s="3"/>
      <c r="AD412" s="3"/>
      <c r="AE412" s="3"/>
    </row>
    <row r="413" spans="1:31" ht="20.25" customHeight="1">
      <c r="A413" s="13">
        <v>42206</v>
      </c>
      <c r="B413" s="35" t="s">
        <v>154</v>
      </c>
      <c r="C413" s="165">
        <v>2015</v>
      </c>
      <c r="D413" s="36">
        <v>5</v>
      </c>
      <c r="E413" s="51" t="s">
        <v>223</v>
      </c>
      <c r="F413" s="51" t="s">
        <v>224</v>
      </c>
      <c r="G413" s="51" t="s">
        <v>225</v>
      </c>
      <c r="H413" s="51" t="s">
        <v>226</v>
      </c>
      <c r="I413" s="51" t="s">
        <v>232</v>
      </c>
      <c r="J413" s="3" t="s">
        <v>233</v>
      </c>
      <c r="K413" s="3"/>
      <c r="L413" s="3">
        <v>1</v>
      </c>
      <c r="M413" s="3" t="s">
        <v>229</v>
      </c>
      <c r="N413" s="36" t="s">
        <v>233</v>
      </c>
      <c r="O413" s="3">
        <v>251</v>
      </c>
      <c r="P413" s="3">
        <f t="shared" si="21"/>
        <v>0.39840637450199201</v>
      </c>
      <c r="Q413" s="65">
        <v>4828.6641929499074</v>
      </c>
      <c r="R413" s="8">
        <f t="shared" si="22"/>
        <v>19.237705948007598</v>
      </c>
      <c r="S413" s="65">
        <v>4829.7642693441012</v>
      </c>
      <c r="T413" s="60">
        <f t="shared" si="23"/>
        <v>0.3983156294006901</v>
      </c>
      <c r="U413" s="111"/>
      <c r="V413" s="36">
        <v>250</v>
      </c>
      <c r="W413" s="3"/>
      <c r="X413" s="3"/>
      <c r="Y413" s="3"/>
      <c r="Z413" s="3"/>
      <c r="AA413" s="3"/>
      <c r="AB413" s="3"/>
      <c r="AC413" s="3"/>
      <c r="AD413" s="3"/>
      <c r="AE413" s="3"/>
    </row>
    <row r="414" spans="1:31" ht="20.25" customHeight="1">
      <c r="A414" s="13">
        <v>42206</v>
      </c>
      <c r="B414" s="35" t="s">
        <v>154</v>
      </c>
      <c r="C414" s="165">
        <v>2015</v>
      </c>
      <c r="D414" s="36">
        <v>5</v>
      </c>
      <c r="E414" s="51" t="s">
        <v>223</v>
      </c>
      <c r="F414" s="51" t="s">
        <v>224</v>
      </c>
      <c r="G414" s="51" t="s">
        <v>225</v>
      </c>
      <c r="H414" s="51" t="s">
        <v>226</v>
      </c>
      <c r="I414" s="51" t="s">
        <v>235</v>
      </c>
      <c r="J414" s="3" t="s">
        <v>236</v>
      </c>
      <c r="K414" s="3"/>
      <c r="L414" s="3">
        <v>2</v>
      </c>
      <c r="M414" s="3" t="s">
        <v>229</v>
      </c>
      <c r="N414" s="36" t="s">
        <v>236</v>
      </c>
      <c r="O414" s="3">
        <v>251</v>
      </c>
      <c r="P414" s="3">
        <f t="shared" si="21"/>
        <v>0.79681274900398402</v>
      </c>
      <c r="Q414" s="65">
        <v>4828.6641929499074</v>
      </c>
      <c r="R414" s="8">
        <f t="shared" si="22"/>
        <v>38.475411896015196</v>
      </c>
      <c r="S414" s="36">
        <v>4829.7642693441012</v>
      </c>
      <c r="T414" s="60">
        <f t="shared" si="23"/>
        <v>0.79663125880138019</v>
      </c>
      <c r="U414" s="111"/>
      <c r="V414" s="36">
        <v>250</v>
      </c>
      <c r="W414" s="3"/>
      <c r="X414" s="3"/>
      <c r="Y414" s="3"/>
      <c r="Z414" s="3"/>
      <c r="AA414" s="3"/>
      <c r="AB414" s="3"/>
      <c r="AC414" s="3"/>
      <c r="AD414" s="3"/>
      <c r="AE414" s="3"/>
    </row>
    <row r="415" spans="1:31" ht="20.25" customHeight="1">
      <c r="A415" s="13">
        <v>42206</v>
      </c>
      <c r="B415" s="35" t="s">
        <v>154</v>
      </c>
      <c r="C415" s="165">
        <v>2015</v>
      </c>
      <c r="D415" s="36">
        <v>5</v>
      </c>
      <c r="E415" s="3" t="s">
        <v>223</v>
      </c>
      <c r="F415" s="3" t="s">
        <v>317</v>
      </c>
      <c r="G415" s="3" t="s">
        <v>314</v>
      </c>
      <c r="H415" s="3" t="s">
        <v>346</v>
      </c>
      <c r="I415" s="3" t="s">
        <v>315</v>
      </c>
      <c r="J415" s="3" t="s">
        <v>347</v>
      </c>
      <c r="K415" s="3"/>
      <c r="L415" s="3">
        <v>1</v>
      </c>
      <c r="M415" s="3" t="s">
        <v>229</v>
      </c>
      <c r="N415" s="36" t="s">
        <v>345</v>
      </c>
      <c r="O415" s="3">
        <v>251</v>
      </c>
      <c r="P415" s="3">
        <f t="shared" si="21"/>
        <v>0.39840637450199201</v>
      </c>
      <c r="Q415" s="65">
        <v>4828.6641929499074</v>
      </c>
      <c r="R415" s="8">
        <f t="shared" si="22"/>
        <v>19.237705948007598</v>
      </c>
      <c r="S415" s="36">
        <v>4829.7642693441012</v>
      </c>
      <c r="T415" s="60">
        <f t="shared" si="23"/>
        <v>0.3983156294006901</v>
      </c>
      <c r="U415" s="111"/>
      <c r="V415" s="36">
        <v>250</v>
      </c>
      <c r="W415" s="3"/>
      <c r="X415" s="3"/>
      <c r="Y415" s="3"/>
      <c r="Z415" s="3"/>
      <c r="AA415" s="3"/>
      <c r="AB415" s="3"/>
      <c r="AC415" s="3"/>
      <c r="AD415" s="3"/>
      <c r="AE415" s="3"/>
    </row>
    <row r="416" spans="1:31" ht="20.25" customHeight="1">
      <c r="A416" s="13">
        <v>42206</v>
      </c>
      <c r="B416" s="35" t="s">
        <v>154</v>
      </c>
      <c r="C416" s="165">
        <v>2015</v>
      </c>
      <c r="D416" s="36">
        <v>5</v>
      </c>
      <c r="E416" s="65" t="s">
        <v>223</v>
      </c>
      <c r="F416" s="65" t="s">
        <v>310</v>
      </c>
      <c r="G416" s="65" t="s">
        <v>314</v>
      </c>
      <c r="H416" s="65" t="s">
        <v>311</v>
      </c>
      <c r="I416" s="65" t="s">
        <v>315</v>
      </c>
      <c r="J416" s="36" t="s">
        <v>316</v>
      </c>
      <c r="K416" s="3"/>
      <c r="L416" s="3">
        <v>3</v>
      </c>
      <c r="M416" s="3" t="s">
        <v>229</v>
      </c>
      <c r="N416" s="36" t="s">
        <v>345</v>
      </c>
      <c r="O416" s="3">
        <v>251</v>
      </c>
      <c r="P416" s="3">
        <f t="shared" si="21"/>
        <v>1.1952191235059761</v>
      </c>
      <c r="Q416" s="65">
        <v>4828.6641929499074</v>
      </c>
      <c r="R416" s="8">
        <f t="shared" si="22"/>
        <v>57.713117844022797</v>
      </c>
      <c r="S416" s="36">
        <v>4829.7642693441012</v>
      </c>
      <c r="T416" s="60">
        <f t="shared" si="23"/>
        <v>1.1949468882020704</v>
      </c>
      <c r="U416" s="111"/>
      <c r="V416" s="3">
        <v>250</v>
      </c>
      <c r="W416" s="3"/>
      <c r="X416" s="3"/>
      <c r="Y416" s="3"/>
      <c r="Z416" s="3"/>
      <c r="AA416" s="3"/>
      <c r="AB416" s="3"/>
      <c r="AC416" s="3"/>
      <c r="AD416" s="3"/>
      <c r="AE416" s="3"/>
    </row>
    <row r="417" spans="1:31" s="70" customFormat="1" ht="20.25" customHeight="1">
      <c r="A417" s="72">
        <v>42206</v>
      </c>
      <c r="B417" s="35" t="s">
        <v>154</v>
      </c>
      <c r="C417" s="165">
        <v>2015</v>
      </c>
      <c r="D417" s="36">
        <v>5</v>
      </c>
      <c r="E417" s="65" t="s">
        <v>223</v>
      </c>
      <c r="F417" s="36" t="s">
        <v>267</v>
      </c>
      <c r="G417" s="36"/>
      <c r="H417" s="65" t="s">
        <v>273</v>
      </c>
      <c r="I417" s="65" t="s">
        <v>274</v>
      </c>
      <c r="J417" s="65" t="s">
        <v>275</v>
      </c>
      <c r="K417" s="36" t="s">
        <v>276</v>
      </c>
      <c r="L417" s="36">
        <v>1</v>
      </c>
      <c r="M417" s="36" t="s">
        <v>247</v>
      </c>
      <c r="N417" s="36" t="s">
        <v>275</v>
      </c>
      <c r="O417" s="36">
        <v>12</v>
      </c>
      <c r="P417" s="36">
        <f t="shared" si="21"/>
        <v>8.3333333333333321</v>
      </c>
      <c r="Q417" s="65">
        <v>1.1000763941940412</v>
      </c>
      <c r="R417" s="40">
        <f t="shared" si="22"/>
        <v>9.1673032849503414E-2</v>
      </c>
      <c r="S417" s="65">
        <v>4829.7642693441012</v>
      </c>
      <c r="T417" s="40">
        <f t="shared" si="23"/>
        <v>1.8980850355653678E-3</v>
      </c>
      <c r="U417" s="110">
        <f>SUM(T418+T419+T432)</f>
        <v>23.780041940894151</v>
      </c>
      <c r="V417" s="36">
        <v>1000</v>
      </c>
      <c r="W417" s="36" t="s">
        <v>222</v>
      </c>
      <c r="X417" s="36"/>
      <c r="Y417" s="36"/>
      <c r="Z417" s="67"/>
      <c r="AA417" s="67"/>
      <c r="AB417" s="67"/>
      <c r="AC417" s="67"/>
      <c r="AD417" s="67"/>
      <c r="AE417" s="67"/>
    </row>
    <row r="418" spans="1:31" ht="20.25" customHeight="1">
      <c r="A418" s="13">
        <v>42206</v>
      </c>
      <c r="B418" s="35" t="s">
        <v>154</v>
      </c>
      <c r="C418" s="165">
        <v>2015</v>
      </c>
      <c r="D418" s="36">
        <v>5</v>
      </c>
      <c r="E418" s="65" t="s">
        <v>223</v>
      </c>
      <c r="F418" s="65" t="s">
        <v>224</v>
      </c>
      <c r="G418" s="65" t="s">
        <v>225</v>
      </c>
      <c r="H418" s="65" t="s">
        <v>226</v>
      </c>
      <c r="I418" s="65" t="s">
        <v>239</v>
      </c>
      <c r="J418" s="36" t="s">
        <v>240</v>
      </c>
      <c r="K418" s="36"/>
      <c r="L418" s="36">
        <v>37</v>
      </c>
      <c r="M418" s="36" t="s">
        <v>229</v>
      </c>
      <c r="N418" s="36" t="s">
        <v>240</v>
      </c>
      <c r="O418" s="3">
        <v>251</v>
      </c>
      <c r="P418" s="3">
        <f t="shared" si="21"/>
        <v>14.741035856573706</v>
      </c>
      <c r="Q418" s="65">
        <v>4828.6641929499074</v>
      </c>
      <c r="R418" s="8">
        <f t="shared" si="22"/>
        <v>711.79512007628125</v>
      </c>
      <c r="S418" s="36">
        <v>4829.7642693441012</v>
      </c>
      <c r="T418" s="60">
        <f t="shared" si="23"/>
        <v>14.737678287825537</v>
      </c>
      <c r="U418" s="111"/>
      <c r="V418" s="36">
        <v>250</v>
      </c>
      <c r="W418" s="3"/>
      <c r="X418" s="3"/>
      <c r="Y418" s="3"/>
      <c r="Z418" s="3"/>
      <c r="AA418" s="3"/>
      <c r="AB418" s="3"/>
      <c r="AC418" s="3"/>
      <c r="AD418" s="3"/>
      <c r="AE418" s="3"/>
    </row>
    <row r="419" spans="1:31" ht="20.25" customHeight="1">
      <c r="A419" s="72">
        <v>42206</v>
      </c>
      <c r="B419" s="35" t="s">
        <v>154</v>
      </c>
      <c r="C419" s="165">
        <v>2015</v>
      </c>
      <c r="D419" s="36">
        <v>5</v>
      </c>
      <c r="E419" s="36" t="s">
        <v>323</v>
      </c>
      <c r="F419" s="36" t="s">
        <v>324</v>
      </c>
      <c r="G419" s="36"/>
      <c r="H419" s="36" t="s">
        <v>325</v>
      </c>
      <c r="I419" s="36" t="s">
        <v>326</v>
      </c>
      <c r="J419" s="36" t="s">
        <v>327</v>
      </c>
      <c r="K419" s="36"/>
      <c r="L419" s="36">
        <v>4</v>
      </c>
      <c r="M419" s="36" t="s">
        <v>229</v>
      </c>
      <c r="N419" s="36" t="s">
        <v>327</v>
      </c>
      <c r="O419" s="36">
        <v>12</v>
      </c>
      <c r="P419" s="36">
        <f t="shared" si="21"/>
        <v>33.333333333333329</v>
      </c>
      <c r="Q419" s="36">
        <v>1.1000763941940412</v>
      </c>
      <c r="R419" s="40">
        <f t="shared" si="22"/>
        <v>0.36669213139801365</v>
      </c>
      <c r="S419" s="65">
        <v>4829.7642693441012</v>
      </c>
      <c r="T419" s="40">
        <f t="shared" si="23"/>
        <v>7.5923401422614712E-3</v>
      </c>
      <c r="U419" s="110"/>
      <c r="V419" s="36">
        <v>1000</v>
      </c>
      <c r="W419" s="36"/>
      <c r="X419" s="36"/>
      <c r="Y419" s="3"/>
      <c r="Z419" s="3"/>
      <c r="AA419" s="3"/>
      <c r="AB419" s="3"/>
      <c r="AC419" s="3"/>
      <c r="AD419" s="3"/>
      <c r="AE419" s="3"/>
    </row>
    <row r="420" spans="1:31" s="61" customFormat="1" ht="20.25" customHeight="1">
      <c r="A420" s="13">
        <v>42206</v>
      </c>
      <c r="B420" s="35" t="s">
        <v>154</v>
      </c>
      <c r="C420" s="165">
        <v>2015</v>
      </c>
      <c r="D420" s="36">
        <v>5</v>
      </c>
      <c r="E420" s="65" t="s">
        <v>223</v>
      </c>
      <c r="F420" s="65" t="s">
        <v>224</v>
      </c>
      <c r="G420" s="65" t="s">
        <v>225</v>
      </c>
      <c r="H420" s="65"/>
      <c r="I420" s="65"/>
      <c r="J420" s="36" t="s">
        <v>476</v>
      </c>
      <c r="K420" s="36"/>
      <c r="L420" s="36">
        <v>1</v>
      </c>
      <c r="M420" s="36" t="s">
        <v>229</v>
      </c>
      <c r="N420" s="36" t="s">
        <v>476</v>
      </c>
      <c r="O420" s="3">
        <v>251</v>
      </c>
      <c r="P420" s="3">
        <f t="shared" si="21"/>
        <v>0.39840637450199201</v>
      </c>
      <c r="Q420" s="65">
        <v>4828.6641929499074</v>
      </c>
      <c r="R420" s="8">
        <f t="shared" si="22"/>
        <v>19.237705948007598</v>
      </c>
      <c r="S420" s="36">
        <v>4829.7642693441012</v>
      </c>
      <c r="T420" s="60">
        <f t="shared" si="23"/>
        <v>0.3983156294006901</v>
      </c>
      <c r="U420" s="111"/>
      <c r="V420" s="3">
        <v>250</v>
      </c>
      <c r="W420" s="32"/>
      <c r="X420" s="32"/>
      <c r="Y420" s="3"/>
      <c r="Z420" s="57"/>
      <c r="AA420" s="57"/>
      <c r="AB420" s="57"/>
      <c r="AC420" s="57"/>
      <c r="AD420" s="57"/>
      <c r="AE420" s="57"/>
    </row>
    <row r="421" spans="1:31" s="61" customFormat="1" ht="20.25" customHeight="1">
      <c r="A421" s="72">
        <v>42206</v>
      </c>
      <c r="B421" s="72" t="s">
        <v>154</v>
      </c>
      <c r="C421" s="165">
        <v>2015</v>
      </c>
      <c r="D421" s="65">
        <v>5</v>
      </c>
      <c r="E421" s="36" t="s">
        <v>223</v>
      </c>
      <c r="F421" s="36" t="s">
        <v>267</v>
      </c>
      <c r="G421" s="36" t="s">
        <v>278</v>
      </c>
      <c r="H421" s="36" t="s">
        <v>279</v>
      </c>
      <c r="I421" s="36" t="s">
        <v>280</v>
      </c>
      <c r="J421" s="36"/>
      <c r="K421" s="36"/>
      <c r="L421" s="36">
        <v>4</v>
      </c>
      <c r="M421" s="36" t="s">
        <v>509</v>
      </c>
      <c r="N421" s="36" t="s">
        <v>283</v>
      </c>
      <c r="O421" s="36">
        <v>12</v>
      </c>
      <c r="P421" s="36">
        <f t="shared" si="21"/>
        <v>33.333333333333329</v>
      </c>
      <c r="Q421" s="36">
        <v>1.1000763941940412</v>
      </c>
      <c r="R421" s="40">
        <f t="shared" si="22"/>
        <v>0.36669213139801365</v>
      </c>
      <c r="S421" s="65">
        <v>4829.7642693441012</v>
      </c>
      <c r="T421" s="40">
        <f t="shared" si="23"/>
        <v>7.5923401422614712E-3</v>
      </c>
      <c r="U421" s="110"/>
      <c r="V421" s="36">
        <v>1000</v>
      </c>
      <c r="W421" s="36"/>
      <c r="X421" s="36"/>
      <c r="Y421" s="3"/>
      <c r="Z421" s="57"/>
      <c r="AA421" s="57"/>
      <c r="AB421" s="57"/>
      <c r="AC421" s="57"/>
      <c r="AD421" s="57"/>
      <c r="AE421" s="57"/>
    </row>
    <row r="422" spans="1:31" ht="20.25" customHeight="1">
      <c r="A422" s="35">
        <v>42206</v>
      </c>
      <c r="B422" s="72" t="s">
        <v>154</v>
      </c>
      <c r="C422" s="165">
        <v>2015</v>
      </c>
      <c r="D422" s="36">
        <v>5</v>
      </c>
      <c r="E422" s="65" t="s">
        <v>223</v>
      </c>
      <c r="F422" s="65" t="s">
        <v>267</v>
      </c>
      <c r="G422" s="65" t="s">
        <v>278</v>
      </c>
      <c r="H422" s="65" t="s">
        <v>279</v>
      </c>
      <c r="I422" s="65" t="s">
        <v>280</v>
      </c>
      <c r="J422" s="36" t="s">
        <v>284</v>
      </c>
      <c r="K422" s="36" t="s">
        <v>285</v>
      </c>
      <c r="L422" s="36">
        <v>3</v>
      </c>
      <c r="M422" s="36" t="s">
        <v>247</v>
      </c>
      <c r="N422" s="36" t="s">
        <v>283</v>
      </c>
      <c r="O422" s="36">
        <v>12</v>
      </c>
      <c r="P422" s="36">
        <f t="shared" si="21"/>
        <v>25</v>
      </c>
      <c r="Q422" s="36">
        <v>1.1000763941940412</v>
      </c>
      <c r="R422" s="40">
        <f t="shared" si="22"/>
        <v>0.27501909854851031</v>
      </c>
      <c r="S422" s="65">
        <v>4829.7642693441012</v>
      </c>
      <c r="T422" s="40">
        <f t="shared" si="23"/>
        <v>5.6942551066961047E-3</v>
      </c>
      <c r="U422" s="110"/>
      <c r="V422" s="36">
        <v>1000</v>
      </c>
      <c r="W422" s="36"/>
      <c r="X422" s="36"/>
      <c r="Y422" s="3"/>
      <c r="Z422" s="3"/>
      <c r="AA422" s="3"/>
      <c r="AB422" s="3"/>
      <c r="AC422" s="3"/>
      <c r="AD422" s="3"/>
      <c r="AE422" s="3"/>
    </row>
    <row r="423" spans="1:31" ht="20.25" customHeight="1">
      <c r="A423" s="71">
        <v>42206</v>
      </c>
      <c r="B423" s="72" t="s">
        <v>154</v>
      </c>
      <c r="C423" s="165">
        <v>2015</v>
      </c>
      <c r="D423" s="36">
        <v>5</v>
      </c>
      <c r="E423" s="65" t="s">
        <v>223</v>
      </c>
      <c r="F423" s="65" t="s">
        <v>224</v>
      </c>
      <c r="G423" s="65" t="s">
        <v>225</v>
      </c>
      <c r="H423" s="65" t="s">
        <v>248</v>
      </c>
      <c r="I423" s="65" t="s">
        <v>249</v>
      </c>
      <c r="J423" s="36" t="s">
        <v>250</v>
      </c>
      <c r="K423" s="36"/>
      <c r="L423" s="36">
        <v>2</v>
      </c>
      <c r="M423" s="36" t="s">
        <v>229</v>
      </c>
      <c r="N423" s="36" t="s">
        <v>250</v>
      </c>
      <c r="O423" s="3">
        <v>251</v>
      </c>
      <c r="P423" s="3">
        <f t="shared" si="21"/>
        <v>0.79681274900398402</v>
      </c>
      <c r="Q423" s="65">
        <v>4828.6641929499074</v>
      </c>
      <c r="R423" s="8">
        <f t="shared" si="22"/>
        <v>38.475411896015196</v>
      </c>
      <c r="S423" s="36">
        <v>4829.7642693441012</v>
      </c>
      <c r="T423" s="60">
        <f t="shared" si="23"/>
        <v>0.79663125880138019</v>
      </c>
      <c r="U423" s="111"/>
      <c r="V423" s="36">
        <v>250</v>
      </c>
      <c r="W423" s="3"/>
      <c r="X423" s="3"/>
      <c r="Y423" s="36"/>
      <c r="Z423" s="3"/>
      <c r="AA423" s="3"/>
      <c r="AB423" s="3"/>
      <c r="AC423" s="3"/>
      <c r="AD423" s="3"/>
      <c r="AE423" s="3"/>
    </row>
    <row r="424" spans="1:31" ht="20.25" customHeight="1">
      <c r="A424" s="71">
        <v>42206</v>
      </c>
      <c r="B424" s="72" t="s">
        <v>154</v>
      </c>
      <c r="C424" s="165">
        <v>2015</v>
      </c>
      <c r="D424" s="65">
        <v>5</v>
      </c>
      <c r="E424" s="65" t="s">
        <v>223</v>
      </c>
      <c r="F424" s="65" t="s">
        <v>224</v>
      </c>
      <c r="G424" s="65" t="s">
        <v>225</v>
      </c>
      <c r="H424" s="65" t="s">
        <v>226</v>
      </c>
      <c r="I424" s="65" t="s">
        <v>355</v>
      </c>
      <c r="J424" s="36" t="s">
        <v>356</v>
      </c>
      <c r="K424" s="36"/>
      <c r="L424" s="36">
        <v>1</v>
      </c>
      <c r="M424" s="36" t="s">
        <v>229</v>
      </c>
      <c r="N424" s="36" t="s">
        <v>356</v>
      </c>
      <c r="O424" s="3">
        <v>251</v>
      </c>
      <c r="P424" s="3">
        <f t="shared" si="21"/>
        <v>0.39840637450199201</v>
      </c>
      <c r="Q424" s="65">
        <v>4828.6641929499074</v>
      </c>
      <c r="R424" s="8">
        <f t="shared" si="22"/>
        <v>19.237705948007598</v>
      </c>
      <c r="S424" s="36">
        <v>4829.7642693441012</v>
      </c>
      <c r="T424" s="60">
        <f t="shared" si="23"/>
        <v>0.3983156294006901</v>
      </c>
      <c r="U424" s="111"/>
      <c r="V424" s="36">
        <v>250</v>
      </c>
      <c r="W424" s="3"/>
      <c r="X424" s="3"/>
      <c r="Y424" s="3"/>
      <c r="Z424" s="3"/>
      <c r="AA424" s="3"/>
      <c r="AB424" s="3"/>
      <c r="AC424" s="3"/>
      <c r="AD424" s="3"/>
      <c r="AE424" s="3"/>
    </row>
    <row r="425" spans="1:31" ht="20.25" customHeight="1">
      <c r="A425" s="71">
        <v>42206</v>
      </c>
      <c r="B425" s="72" t="s">
        <v>154</v>
      </c>
      <c r="C425" s="165">
        <v>2015</v>
      </c>
      <c r="D425" s="65">
        <v>5</v>
      </c>
      <c r="E425" s="3" t="s">
        <v>216</v>
      </c>
      <c r="F425" s="3" t="s">
        <v>217</v>
      </c>
      <c r="G425" s="3"/>
      <c r="H425" s="3"/>
      <c r="I425" s="3"/>
      <c r="J425" s="3" t="s">
        <v>219</v>
      </c>
      <c r="K425" s="3"/>
      <c r="L425" s="3">
        <v>6</v>
      </c>
      <c r="M425" s="36" t="s">
        <v>229</v>
      </c>
      <c r="N425" s="36" t="s">
        <v>219</v>
      </c>
      <c r="O425" s="3">
        <v>251</v>
      </c>
      <c r="P425" s="3">
        <f t="shared" si="21"/>
        <v>2.3904382470119523</v>
      </c>
      <c r="Q425" s="65">
        <v>4828.6641929499074</v>
      </c>
      <c r="R425" s="8">
        <f t="shared" si="22"/>
        <v>115.42623568804559</v>
      </c>
      <c r="S425" s="36">
        <v>4829.7642693441012</v>
      </c>
      <c r="T425" s="60">
        <f t="shared" si="23"/>
        <v>2.3898937764041408</v>
      </c>
      <c r="U425" s="111"/>
      <c r="V425" s="3">
        <v>250</v>
      </c>
      <c r="W425" s="3"/>
      <c r="X425" s="3"/>
      <c r="Y425" s="3"/>
      <c r="Z425" s="3"/>
      <c r="AA425" s="3"/>
      <c r="AB425" s="3"/>
      <c r="AC425" s="3"/>
      <c r="AD425" s="3"/>
      <c r="AE425" s="3"/>
    </row>
    <row r="426" spans="1:31" ht="20.25" customHeight="1">
      <c r="A426" s="13">
        <v>42206</v>
      </c>
      <c r="B426" s="35" t="s">
        <v>154</v>
      </c>
      <c r="C426" s="165">
        <v>2015</v>
      </c>
      <c r="D426" s="65">
        <v>5</v>
      </c>
      <c r="E426" s="36" t="s">
        <v>223</v>
      </c>
      <c r="F426" s="36" t="s">
        <v>224</v>
      </c>
      <c r="G426" s="36" t="s">
        <v>225</v>
      </c>
      <c r="H426" s="36" t="s">
        <v>226</v>
      </c>
      <c r="I426" s="36" t="s">
        <v>253</v>
      </c>
      <c r="J426" s="36" t="s">
        <v>256</v>
      </c>
      <c r="K426" s="3"/>
      <c r="L426" s="3">
        <v>121</v>
      </c>
      <c r="M426" s="3" t="s">
        <v>229</v>
      </c>
      <c r="N426" s="36" t="s">
        <v>256</v>
      </c>
      <c r="O426" s="3">
        <v>251</v>
      </c>
      <c r="P426" s="3">
        <f t="shared" si="21"/>
        <v>48.207171314741039</v>
      </c>
      <c r="Q426" s="65">
        <v>4828.6641929499074</v>
      </c>
      <c r="R426" s="8">
        <f t="shared" si="22"/>
        <v>2327.7624197089194</v>
      </c>
      <c r="S426" s="36">
        <v>4829.7642693441012</v>
      </c>
      <c r="T426" s="60">
        <f t="shared" si="23"/>
        <v>48.196191157483504</v>
      </c>
      <c r="U426" s="111"/>
      <c r="V426" s="3">
        <v>250</v>
      </c>
      <c r="W426" s="3"/>
      <c r="X426" s="3"/>
      <c r="Y426" s="3"/>
      <c r="Z426" s="3"/>
      <c r="AA426" s="3"/>
      <c r="AB426" s="3"/>
      <c r="AC426" s="3"/>
      <c r="AD426" s="3"/>
      <c r="AE426" s="3"/>
    </row>
    <row r="427" spans="1:31" ht="20.25" customHeight="1">
      <c r="A427" s="13">
        <v>42206</v>
      </c>
      <c r="B427" s="35" t="s">
        <v>154</v>
      </c>
      <c r="C427" s="165">
        <v>2015</v>
      </c>
      <c r="D427" s="65">
        <v>5</v>
      </c>
      <c r="E427" s="3" t="s">
        <v>223</v>
      </c>
      <c r="F427" s="3" t="s">
        <v>224</v>
      </c>
      <c r="G427" s="3" t="s">
        <v>225</v>
      </c>
      <c r="H427" s="3" t="s">
        <v>226</v>
      </c>
      <c r="I427" s="3" t="s">
        <v>239</v>
      </c>
      <c r="J427" s="3" t="s">
        <v>258</v>
      </c>
      <c r="K427" s="3" t="s">
        <v>259</v>
      </c>
      <c r="L427" s="3">
        <v>11</v>
      </c>
      <c r="M427" s="3" t="s">
        <v>247</v>
      </c>
      <c r="N427" s="36" t="s">
        <v>258</v>
      </c>
      <c r="O427" s="3">
        <v>251</v>
      </c>
      <c r="P427" s="3">
        <f t="shared" si="21"/>
        <v>4.3824701195219129</v>
      </c>
      <c r="Q427" s="65">
        <v>4828.6641929499074</v>
      </c>
      <c r="R427" s="8">
        <f t="shared" si="22"/>
        <v>211.61476542808362</v>
      </c>
      <c r="S427" s="36">
        <v>4829.7642693441012</v>
      </c>
      <c r="T427" s="60">
        <f t="shared" si="23"/>
        <v>4.3814719234075916</v>
      </c>
      <c r="U427" s="111"/>
      <c r="V427" s="3">
        <v>250</v>
      </c>
      <c r="W427" s="3"/>
      <c r="X427" s="3"/>
      <c r="Y427" s="3"/>
      <c r="Z427" s="3"/>
      <c r="AA427" s="3"/>
      <c r="AB427" s="3"/>
      <c r="AC427" s="3"/>
      <c r="AD427" s="3"/>
      <c r="AE427" s="3"/>
    </row>
    <row r="428" spans="1:31" ht="20.25" customHeight="1">
      <c r="A428" s="13">
        <v>42206</v>
      </c>
      <c r="B428" s="35" t="s">
        <v>154</v>
      </c>
      <c r="C428" s="165">
        <v>2015</v>
      </c>
      <c r="D428" s="65">
        <v>5</v>
      </c>
      <c r="E428" s="36" t="s">
        <v>223</v>
      </c>
      <c r="F428" s="36" t="s">
        <v>224</v>
      </c>
      <c r="G428" s="36" t="s">
        <v>225</v>
      </c>
      <c r="H428" s="36" t="s">
        <v>226</v>
      </c>
      <c r="I428" s="36" t="s">
        <v>261</v>
      </c>
      <c r="J428" s="36" t="s">
        <v>262</v>
      </c>
      <c r="K428" s="3"/>
      <c r="L428" s="3">
        <v>13</v>
      </c>
      <c r="M428" s="3" t="s">
        <v>229</v>
      </c>
      <c r="N428" s="36" t="s">
        <v>264</v>
      </c>
      <c r="O428" s="3">
        <v>251</v>
      </c>
      <c r="P428" s="3">
        <f t="shared" si="21"/>
        <v>5.1792828685258963</v>
      </c>
      <c r="Q428" s="65">
        <v>4828.6641929499074</v>
      </c>
      <c r="R428" s="8">
        <f t="shared" si="22"/>
        <v>250.09017732409876</v>
      </c>
      <c r="S428" s="36">
        <v>4829.7642693441012</v>
      </c>
      <c r="T428" s="60">
        <f t="shared" si="23"/>
        <v>5.1781031822089707</v>
      </c>
      <c r="U428" s="111"/>
      <c r="V428" s="3">
        <v>250</v>
      </c>
      <c r="W428" s="3"/>
      <c r="X428" s="3"/>
      <c r="Y428" s="3"/>
      <c r="Z428" s="3"/>
      <c r="AA428" s="3"/>
      <c r="AB428" s="3"/>
      <c r="AC428" s="3"/>
      <c r="AD428" s="3"/>
      <c r="AE428" s="3"/>
    </row>
    <row r="429" spans="1:31" ht="20.25" customHeight="1">
      <c r="A429" s="71">
        <v>42206</v>
      </c>
      <c r="B429" s="35" t="s">
        <v>154</v>
      </c>
      <c r="C429" s="165">
        <v>2015</v>
      </c>
      <c r="D429" s="36">
        <v>4</v>
      </c>
      <c r="E429" s="3" t="s">
        <v>223</v>
      </c>
      <c r="F429" s="3" t="s">
        <v>224</v>
      </c>
      <c r="G429" s="3" t="s">
        <v>225</v>
      </c>
      <c r="H429" s="3" t="s">
        <v>226</v>
      </c>
      <c r="I429" s="3" t="s">
        <v>227</v>
      </c>
      <c r="J429" s="3" t="s">
        <v>228</v>
      </c>
      <c r="K429" s="3"/>
      <c r="L429" s="3">
        <v>53</v>
      </c>
      <c r="M429" s="3" t="s">
        <v>229</v>
      </c>
      <c r="N429" s="36" t="s">
        <v>228</v>
      </c>
      <c r="O429" s="3">
        <v>273</v>
      </c>
      <c r="P429" s="3">
        <f t="shared" si="21"/>
        <v>19.413919413919416</v>
      </c>
      <c r="Q429" s="65">
        <v>2100.3401360544217</v>
      </c>
      <c r="R429" s="8">
        <f t="shared" si="22"/>
        <v>407.75834143181089</v>
      </c>
      <c r="S429" s="36">
        <v>2128.8733675288299</v>
      </c>
      <c r="T429" s="40">
        <f t="shared" si="23"/>
        <v>19.153715183403875</v>
      </c>
      <c r="U429" s="110"/>
      <c r="V429" s="51">
        <v>250</v>
      </c>
      <c r="W429" s="51" t="s">
        <v>472</v>
      </c>
      <c r="X429" s="51"/>
      <c r="Y429" s="51"/>
      <c r="Z429" s="3"/>
      <c r="AA429" s="3"/>
      <c r="AB429" s="3"/>
      <c r="AC429" s="3"/>
      <c r="AD429" s="3"/>
      <c r="AE429" s="3"/>
    </row>
    <row r="430" spans="1:31" ht="20.25" customHeight="1">
      <c r="A430" s="35">
        <v>42206</v>
      </c>
      <c r="B430" s="35" t="s">
        <v>154</v>
      </c>
      <c r="C430" s="165">
        <v>2015</v>
      </c>
      <c r="D430" s="36">
        <v>4</v>
      </c>
      <c r="E430" s="36" t="s">
        <v>223</v>
      </c>
      <c r="F430" s="36" t="s">
        <v>267</v>
      </c>
      <c r="G430" s="36" t="s">
        <v>278</v>
      </c>
      <c r="H430" s="36" t="s">
        <v>269</v>
      </c>
      <c r="I430" s="36" t="s">
        <v>333</v>
      </c>
      <c r="J430" s="36" t="s">
        <v>334</v>
      </c>
      <c r="K430" s="36"/>
      <c r="L430" s="36">
        <v>2</v>
      </c>
      <c r="M430" s="36" t="s">
        <v>229</v>
      </c>
      <c r="N430" s="36" t="s">
        <v>270</v>
      </c>
      <c r="O430" s="36">
        <v>249</v>
      </c>
      <c r="P430" s="36">
        <f t="shared" si="21"/>
        <v>0.80321285140562237</v>
      </c>
      <c r="Q430" s="36">
        <v>28.533231474407945</v>
      </c>
      <c r="R430" s="40">
        <f t="shared" si="22"/>
        <v>0.22918258212375858</v>
      </c>
      <c r="S430" s="65">
        <v>2128.8733675288295</v>
      </c>
      <c r="T430" s="40">
        <f t="shared" si="23"/>
        <v>1.076543986220237E-2</v>
      </c>
      <c r="U430" s="110">
        <f>SUM(T443)</f>
        <v>14.817024953199221</v>
      </c>
      <c r="V430" s="36">
        <v>1000</v>
      </c>
      <c r="W430" s="36"/>
      <c r="X430" s="36">
        <f>SUM(T430:T446)</f>
        <v>101.0176767204579</v>
      </c>
      <c r="Y430" s="3"/>
      <c r="Z430" s="3"/>
      <c r="AA430" s="3"/>
      <c r="AB430" s="3"/>
      <c r="AC430" s="3"/>
      <c r="AD430" s="3"/>
      <c r="AE430" s="3"/>
    </row>
    <row r="431" spans="1:31" ht="20.25" customHeight="1">
      <c r="A431" s="35">
        <v>42206</v>
      </c>
      <c r="B431" s="72" t="s">
        <v>154</v>
      </c>
      <c r="C431" s="165">
        <v>2015</v>
      </c>
      <c r="D431" s="36">
        <v>4</v>
      </c>
      <c r="E431" s="65" t="s">
        <v>223</v>
      </c>
      <c r="F431" s="65" t="s">
        <v>267</v>
      </c>
      <c r="G431" s="65" t="s">
        <v>278</v>
      </c>
      <c r="H431" s="65" t="s">
        <v>269</v>
      </c>
      <c r="I431" s="65" t="s">
        <v>554</v>
      </c>
      <c r="J431" s="36" t="s">
        <v>552</v>
      </c>
      <c r="K431" s="36" t="s">
        <v>553</v>
      </c>
      <c r="L431" s="36">
        <v>1</v>
      </c>
      <c r="M431" s="36" t="s">
        <v>544</v>
      </c>
      <c r="N431" s="36" t="s">
        <v>270</v>
      </c>
      <c r="O431" s="36">
        <v>249</v>
      </c>
      <c r="P431" s="36">
        <f t="shared" si="21"/>
        <v>0.40160642570281119</v>
      </c>
      <c r="Q431" s="36">
        <v>28.533231474407945</v>
      </c>
      <c r="R431" s="40">
        <f t="shared" si="22"/>
        <v>0.11459129106187929</v>
      </c>
      <c r="S431" s="36">
        <v>2128.8733675288295</v>
      </c>
      <c r="T431" s="40">
        <f t="shared" si="23"/>
        <v>5.3827199311011851E-3</v>
      </c>
      <c r="U431" s="110"/>
      <c r="V431" s="36">
        <v>1000</v>
      </c>
      <c r="W431" s="36"/>
      <c r="X431" s="36"/>
      <c r="Y431" s="3"/>
      <c r="Z431" s="3"/>
      <c r="AA431" s="3"/>
      <c r="AB431" s="3"/>
      <c r="AC431" s="3"/>
      <c r="AD431" s="3"/>
      <c r="AE431" s="3"/>
    </row>
    <row r="432" spans="1:31" ht="20.25" customHeight="1">
      <c r="A432" s="13">
        <v>42206</v>
      </c>
      <c r="B432" s="72" t="s">
        <v>154</v>
      </c>
      <c r="C432" s="165">
        <v>2015</v>
      </c>
      <c r="D432" s="36">
        <v>4</v>
      </c>
      <c r="E432" s="51" t="s">
        <v>223</v>
      </c>
      <c r="F432" s="51" t="s">
        <v>303</v>
      </c>
      <c r="G432" s="51" t="s">
        <v>304</v>
      </c>
      <c r="H432" s="51" t="s">
        <v>305</v>
      </c>
      <c r="I432" s="51" t="s">
        <v>306</v>
      </c>
      <c r="J432" s="3" t="s">
        <v>307</v>
      </c>
      <c r="K432" s="3"/>
      <c r="L432" s="51">
        <v>25</v>
      </c>
      <c r="M432" s="51" t="s">
        <v>229</v>
      </c>
      <c r="N432" s="51" t="s">
        <v>307</v>
      </c>
      <c r="O432" s="3">
        <v>273</v>
      </c>
      <c r="P432" s="3">
        <f t="shared" si="21"/>
        <v>9.1575091575091569</v>
      </c>
      <c r="Q432" s="65">
        <v>2100.3401360544217</v>
      </c>
      <c r="R432" s="8">
        <f t="shared" si="22"/>
        <v>192.33884029802394</v>
      </c>
      <c r="S432" s="36">
        <v>2128.8733675288299</v>
      </c>
      <c r="T432" s="40">
        <f t="shared" si="23"/>
        <v>9.0347713129263525</v>
      </c>
      <c r="U432" s="110"/>
      <c r="V432" s="65">
        <v>250</v>
      </c>
      <c r="W432" s="65" t="s">
        <v>308</v>
      </c>
      <c r="X432" s="51"/>
      <c r="Y432" s="65"/>
      <c r="Z432" s="3"/>
      <c r="AA432" s="3"/>
      <c r="AB432" s="3"/>
      <c r="AC432" s="3"/>
      <c r="AD432" s="3"/>
      <c r="AE432" s="3"/>
    </row>
    <row r="433" spans="1:31" ht="20.25" customHeight="1">
      <c r="A433" s="35">
        <v>42206</v>
      </c>
      <c r="B433" s="35" t="s">
        <v>154</v>
      </c>
      <c r="C433" s="165">
        <v>2015</v>
      </c>
      <c r="D433" s="36">
        <v>4</v>
      </c>
      <c r="E433" s="65" t="s">
        <v>223</v>
      </c>
      <c r="F433" s="65" t="s">
        <v>224</v>
      </c>
      <c r="G433" s="65" t="s">
        <v>225</v>
      </c>
      <c r="H433" s="65" t="s">
        <v>226</v>
      </c>
      <c r="I433" s="65" t="s">
        <v>232</v>
      </c>
      <c r="J433" s="36" t="s">
        <v>233</v>
      </c>
      <c r="K433" s="36"/>
      <c r="L433" s="36">
        <v>1</v>
      </c>
      <c r="M433" s="36" t="s">
        <v>229</v>
      </c>
      <c r="N433" s="36" t="s">
        <v>233</v>
      </c>
      <c r="O433" s="36">
        <v>273</v>
      </c>
      <c r="P433" s="36">
        <f t="shared" si="21"/>
        <v>0.36630036630036628</v>
      </c>
      <c r="Q433" s="65">
        <v>2100.3401360544217</v>
      </c>
      <c r="R433" s="40">
        <f t="shared" si="22"/>
        <v>7.693553611920958</v>
      </c>
      <c r="S433" s="36">
        <v>2128.8733675288299</v>
      </c>
      <c r="T433" s="60">
        <f t="shared" si="23"/>
        <v>0.36139085251705416</v>
      </c>
      <c r="U433" s="111"/>
      <c r="V433" s="65">
        <v>250</v>
      </c>
      <c r="W433" s="65" t="s">
        <v>475</v>
      </c>
      <c r="X433" s="65"/>
      <c r="Y433" s="65"/>
      <c r="Z433" s="3"/>
      <c r="AA433" s="3"/>
      <c r="AB433" s="3"/>
      <c r="AC433" s="3"/>
      <c r="AD433" s="3"/>
      <c r="AE433" s="3"/>
    </row>
    <row r="434" spans="1:31" ht="20.25" customHeight="1">
      <c r="A434" s="13">
        <v>42206</v>
      </c>
      <c r="B434" s="35" t="s">
        <v>154</v>
      </c>
      <c r="C434" s="165">
        <v>2015</v>
      </c>
      <c r="D434" s="36">
        <v>4</v>
      </c>
      <c r="E434" s="3" t="s">
        <v>223</v>
      </c>
      <c r="F434" s="3" t="s">
        <v>224</v>
      </c>
      <c r="G434" s="3" t="s">
        <v>225</v>
      </c>
      <c r="H434" s="3" t="s">
        <v>226</v>
      </c>
      <c r="I434" s="51" t="s">
        <v>235</v>
      </c>
      <c r="J434" s="51" t="s">
        <v>236</v>
      </c>
      <c r="K434" s="3"/>
      <c r="L434" s="3">
        <v>38</v>
      </c>
      <c r="M434" s="3" t="s">
        <v>229</v>
      </c>
      <c r="N434" s="36" t="s">
        <v>236</v>
      </c>
      <c r="O434" s="3">
        <v>273</v>
      </c>
      <c r="P434" s="3">
        <f t="shared" si="21"/>
        <v>13.91941391941392</v>
      </c>
      <c r="Q434" s="65">
        <v>2100.3401360544217</v>
      </c>
      <c r="R434" s="8">
        <f t="shared" si="22"/>
        <v>292.35503725299645</v>
      </c>
      <c r="S434" s="36">
        <v>2128.8733675288299</v>
      </c>
      <c r="T434" s="40">
        <f t="shared" si="23"/>
        <v>13.732852395648059</v>
      </c>
      <c r="U434" s="110"/>
      <c r="V434" s="51">
        <v>250</v>
      </c>
      <c r="W434" s="51"/>
      <c r="X434" s="51"/>
      <c r="Y434" s="51"/>
      <c r="Z434" s="3"/>
      <c r="AA434" s="3"/>
      <c r="AB434" s="3"/>
      <c r="AC434" s="3"/>
      <c r="AD434" s="3"/>
      <c r="AE434" s="3"/>
    </row>
    <row r="435" spans="1:31" ht="20.25" customHeight="1">
      <c r="A435" s="35">
        <v>42206</v>
      </c>
      <c r="B435" s="35" t="s">
        <v>154</v>
      </c>
      <c r="C435" s="165">
        <v>2015</v>
      </c>
      <c r="D435" s="36">
        <v>4</v>
      </c>
      <c r="E435" s="65" t="s">
        <v>223</v>
      </c>
      <c r="F435" s="65" t="s">
        <v>267</v>
      </c>
      <c r="G435" s="65"/>
      <c r="H435" s="65" t="s">
        <v>273</v>
      </c>
      <c r="I435" s="65" t="s">
        <v>274</v>
      </c>
      <c r="J435" s="36" t="s">
        <v>275</v>
      </c>
      <c r="K435" s="36" t="s">
        <v>276</v>
      </c>
      <c r="L435" s="36">
        <v>2</v>
      </c>
      <c r="M435" s="36" t="s">
        <v>247</v>
      </c>
      <c r="N435" s="36" t="s">
        <v>275</v>
      </c>
      <c r="O435" s="36">
        <v>249</v>
      </c>
      <c r="P435" s="36">
        <f t="shared" si="21"/>
        <v>0.80321285140562237</v>
      </c>
      <c r="Q435" s="36">
        <v>28.533231474407945</v>
      </c>
      <c r="R435" s="40">
        <f t="shared" si="22"/>
        <v>0.22918258212375858</v>
      </c>
      <c r="S435" s="36">
        <v>2128.8733675288295</v>
      </c>
      <c r="T435" s="40">
        <f t="shared" si="23"/>
        <v>1.076543986220237E-2</v>
      </c>
      <c r="U435" s="110"/>
      <c r="V435" s="36">
        <v>1000</v>
      </c>
      <c r="W435" s="36" t="s">
        <v>550</v>
      </c>
      <c r="X435" s="36"/>
      <c r="Y435" s="36"/>
      <c r="Z435" s="3"/>
      <c r="AA435" s="3"/>
      <c r="AB435" s="3"/>
      <c r="AC435" s="3"/>
      <c r="AD435" s="3"/>
      <c r="AE435" s="3"/>
    </row>
    <row r="436" spans="1:31" ht="20.25" customHeight="1">
      <c r="A436" s="13">
        <v>42206</v>
      </c>
      <c r="B436" s="72" t="s">
        <v>154</v>
      </c>
      <c r="C436" s="165">
        <v>2015</v>
      </c>
      <c r="D436" s="36">
        <v>4</v>
      </c>
      <c r="E436" s="36" t="s">
        <v>223</v>
      </c>
      <c r="F436" s="36" t="s">
        <v>224</v>
      </c>
      <c r="G436" s="36" t="s">
        <v>225</v>
      </c>
      <c r="H436" s="36" t="s">
        <v>226</v>
      </c>
      <c r="I436" s="65" t="s">
        <v>239</v>
      </c>
      <c r="J436" s="65" t="s">
        <v>240</v>
      </c>
      <c r="K436" s="3"/>
      <c r="L436" s="3">
        <v>94</v>
      </c>
      <c r="M436" s="3" t="s">
        <v>229</v>
      </c>
      <c r="N436" s="36" t="s">
        <v>240</v>
      </c>
      <c r="O436" s="3">
        <v>273</v>
      </c>
      <c r="P436" s="3">
        <f t="shared" si="21"/>
        <v>34.432234432234431</v>
      </c>
      <c r="Q436" s="65">
        <v>2100.3401360544217</v>
      </c>
      <c r="R436" s="8">
        <f t="shared" si="22"/>
        <v>723.19403952057007</v>
      </c>
      <c r="S436" s="36">
        <v>2128.8733675288299</v>
      </c>
      <c r="T436" s="40">
        <f t="shared" si="23"/>
        <v>33.970740136603091</v>
      </c>
      <c r="U436" s="110"/>
      <c r="V436" s="65">
        <v>250</v>
      </c>
      <c r="W436" s="51"/>
      <c r="X436" s="51"/>
      <c r="Y436" s="51"/>
      <c r="Z436" s="3"/>
      <c r="AA436" s="3"/>
      <c r="AB436" s="3"/>
      <c r="AC436" s="3"/>
      <c r="AD436" s="3"/>
      <c r="AE436" s="3"/>
    </row>
    <row r="437" spans="1:31" ht="20.25" customHeight="1">
      <c r="A437" s="35">
        <v>42206</v>
      </c>
      <c r="B437" s="35" t="s">
        <v>154</v>
      </c>
      <c r="C437" s="165">
        <v>2015</v>
      </c>
      <c r="D437" s="36">
        <v>4</v>
      </c>
      <c r="E437" s="36" t="s">
        <v>223</v>
      </c>
      <c r="F437" s="36" t="s">
        <v>224</v>
      </c>
      <c r="G437" s="36" t="s">
        <v>225</v>
      </c>
      <c r="H437" s="36" t="s">
        <v>521</v>
      </c>
      <c r="I437" s="36" t="s">
        <v>522</v>
      </c>
      <c r="J437" s="36" t="s">
        <v>523</v>
      </c>
      <c r="K437" s="36" t="s">
        <v>551</v>
      </c>
      <c r="L437" s="36">
        <v>1</v>
      </c>
      <c r="M437" s="36" t="s">
        <v>247</v>
      </c>
      <c r="N437" s="36" t="s">
        <v>524</v>
      </c>
      <c r="O437" s="36">
        <v>249</v>
      </c>
      <c r="P437" s="36">
        <f t="shared" si="21"/>
        <v>0.40160642570281119</v>
      </c>
      <c r="Q437" s="36">
        <v>28.533231474407945</v>
      </c>
      <c r="R437" s="40">
        <f t="shared" si="22"/>
        <v>0.11459129106187929</v>
      </c>
      <c r="S437" s="36">
        <v>2128.8733675288295</v>
      </c>
      <c r="T437" s="40">
        <f t="shared" si="23"/>
        <v>5.3827199311011851E-3</v>
      </c>
      <c r="U437" s="110"/>
      <c r="V437" s="36">
        <v>1000</v>
      </c>
      <c r="W437" s="36"/>
      <c r="X437" s="36"/>
      <c r="Y437" s="3"/>
      <c r="Z437" s="3"/>
      <c r="AA437" s="3"/>
      <c r="AB437" s="3"/>
      <c r="AC437" s="3"/>
      <c r="AD437" s="3"/>
      <c r="AE437" s="3"/>
    </row>
    <row r="438" spans="1:31" s="38" customFormat="1" ht="20.25" customHeight="1">
      <c r="A438" s="35">
        <v>42206</v>
      </c>
      <c r="B438" s="35" t="s">
        <v>154</v>
      </c>
      <c r="C438" s="165">
        <v>2015</v>
      </c>
      <c r="D438" s="36">
        <v>4</v>
      </c>
      <c r="E438" s="36" t="s">
        <v>223</v>
      </c>
      <c r="F438" s="36" t="s">
        <v>267</v>
      </c>
      <c r="G438" s="36" t="s">
        <v>278</v>
      </c>
      <c r="H438" s="36" t="s">
        <v>279</v>
      </c>
      <c r="I438" s="36" t="s">
        <v>280</v>
      </c>
      <c r="J438" s="36" t="s">
        <v>284</v>
      </c>
      <c r="K438" s="36" t="s">
        <v>285</v>
      </c>
      <c r="L438" s="36">
        <v>100</v>
      </c>
      <c r="M438" s="36" t="s">
        <v>247</v>
      </c>
      <c r="N438" s="36" t="s">
        <v>283</v>
      </c>
      <c r="O438" s="36">
        <v>249</v>
      </c>
      <c r="P438" s="36">
        <f t="shared" si="21"/>
        <v>40.160642570281126</v>
      </c>
      <c r="Q438" s="36">
        <v>28.533231474407945</v>
      </c>
      <c r="R438" s="40">
        <f t="shared" si="22"/>
        <v>11.45912910618793</v>
      </c>
      <c r="S438" s="36">
        <v>2128.8733675288299</v>
      </c>
      <c r="T438" s="40">
        <f t="shared" si="23"/>
        <v>0.53827199311011842</v>
      </c>
      <c r="U438" s="110"/>
      <c r="V438" s="36">
        <v>1000</v>
      </c>
      <c r="W438" s="36" t="s">
        <v>599</v>
      </c>
      <c r="X438" s="36"/>
      <c r="Y438" s="3"/>
      <c r="Z438" s="36"/>
      <c r="AA438" s="36"/>
      <c r="AB438" s="36"/>
      <c r="AC438" s="36"/>
      <c r="AD438" s="36"/>
      <c r="AE438" s="36"/>
    </row>
    <row r="439" spans="1:31" s="38" customFormat="1" ht="20.25" customHeight="1">
      <c r="A439" s="35">
        <v>42206</v>
      </c>
      <c r="B439" s="35" t="s">
        <v>154</v>
      </c>
      <c r="C439" s="165">
        <v>2015</v>
      </c>
      <c r="D439" s="36">
        <v>4</v>
      </c>
      <c r="E439" s="36" t="s">
        <v>223</v>
      </c>
      <c r="F439" s="36" t="s">
        <v>267</v>
      </c>
      <c r="G439" s="36" t="s">
        <v>278</v>
      </c>
      <c r="H439" s="36" t="s">
        <v>279</v>
      </c>
      <c r="I439" s="36" t="s">
        <v>280</v>
      </c>
      <c r="J439" s="36" t="s">
        <v>284</v>
      </c>
      <c r="K439" s="36" t="s">
        <v>285</v>
      </c>
      <c r="L439" s="36">
        <v>143</v>
      </c>
      <c r="M439" s="36" t="s">
        <v>247</v>
      </c>
      <c r="N439" s="36" t="s">
        <v>283</v>
      </c>
      <c r="O439" s="36">
        <v>249</v>
      </c>
      <c r="P439" s="36">
        <f t="shared" si="21"/>
        <v>57.429718875502012</v>
      </c>
      <c r="Q439" s="65">
        <v>28.533231474407945</v>
      </c>
      <c r="R439" s="40">
        <f t="shared" si="22"/>
        <v>16.386554621848742</v>
      </c>
      <c r="S439" s="36">
        <v>2128.8733675288299</v>
      </c>
      <c r="T439" s="40">
        <f t="shared" si="23"/>
        <v>0.76972895014746945</v>
      </c>
      <c r="U439" s="110"/>
      <c r="V439" s="65">
        <v>1000</v>
      </c>
      <c r="W439" s="65" t="s">
        <v>599</v>
      </c>
      <c r="X439" s="65"/>
      <c r="Y439" s="51"/>
      <c r="Z439" s="36"/>
      <c r="AA439" s="36"/>
      <c r="AB439" s="36"/>
      <c r="AC439" s="36"/>
      <c r="AD439" s="36"/>
      <c r="AE439" s="36"/>
    </row>
    <row r="440" spans="1:31" s="38" customFormat="1" ht="20.25" customHeight="1">
      <c r="A440" s="71">
        <v>42206</v>
      </c>
      <c r="B440" s="35" t="s">
        <v>154</v>
      </c>
      <c r="C440" s="165">
        <v>2015</v>
      </c>
      <c r="D440" s="65">
        <v>4</v>
      </c>
      <c r="E440" s="34" t="s">
        <v>223</v>
      </c>
      <c r="F440" s="34" t="s">
        <v>224</v>
      </c>
      <c r="G440" s="34" t="s">
        <v>225</v>
      </c>
      <c r="H440" s="34" t="s">
        <v>248</v>
      </c>
      <c r="I440" s="34" t="s">
        <v>249</v>
      </c>
      <c r="J440" s="51" t="s">
        <v>250</v>
      </c>
      <c r="K440" s="3"/>
      <c r="L440" s="3">
        <v>2</v>
      </c>
      <c r="M440" s="3" t="s">
        <v>229</v>
      </c>
      <c r="N440" s="36" t="s">
        <v>250</v>
      </c>
      <c r="O440" s="3">
        <v>273</v>
      </c>
      <c r="P440" s="3">
        <f t="shared" si="21"/>
        <v>0.73260073260073255</v>
      </c>
      <c r="Q440" s="65">
        <v>2100.3401360544217</v>
      </c>
      <c r="R440" s="8">
        <f t="shared" si="22"/>
        <v>15.387107223841916</v>
      </c>
      <c r="S440" s="36">
        <v>2128.8733675288299</v>
      </c>
      <c r="T440" s="40">
        <f t="shared" si="23"/>
        <v>0.72278170503410832</v>
      </c>
      <c r="U440" s="110"/>
      <c r="V440" s="51">
        <v>250</v>
      </c>
      <c r="W440" s="51"/>
      <c r="X440" s="51"/>
      <c r="Y440" s="51"/>
      <c r="Z440" s="36"/>
      <c r="AA440" s="36"/>
      <c r="AB440" s="36"/>
      <c r="AC440" s="36"/>
      <c r="AD440" s="36"/>
      <c r="AE440" s="36"/>
    </row>
    <row r="441" spans="1:31" s="38" customFormat="1" ht="20.25" customHeight="1">
      <c r="A441" s="71">
        <v>42206</v>
      </c>
      <c r="B441" s="35" t="s">
        <v>154</v>
      </c>
      <c r="C441" s="165">
        <v>2015</v>
      </c>
      <c r="D441" s="65">
        <v>4</v>
      </c>
      <c r="E441" s="51" t="s">
        <v>223</v>
      </c>
      <c r="F441" s="51" t="s">
        <v>224</v>
      </c>
      <c r="G441" s="51" t="s">
        <v>225</v>
      </c>
      <c r="H441" s="51" t="s">
        <v>226</v>
      </c>
      <c r="I441" s="51" t="s">
        <v>355</v>
      </c>
      <c r="J441" s="3" t="s">
        <v>356</v>
      </c>
      <c r="K441" s="3"/>
      <c r="L441" s="3">
        <v>3</v>
      </c>
      <c r="M441" s="3" t="s">
        <v>229</v>
      </c>
      <c r="N441" s="36" t="s">
        <v>356</v>
      </c>
      <c r="O441" s="3">
        <v>273</v>
      </c>
      <c r="P441" s="3">
        <f t="shared" si="21"/>
        <v>1.098901098901099</v>
      </c>
      <c r="Q441" s="65">
        <v>2100.3401360544217</v>
      </c>
      <c r="R441" s="8">
        <f t="shared" si="22"/>
        <v>23.080660835762878</v>
      </c>
      <c r="S441" s="36">
        <v>2128.8733675288299</v>
      </c>
      <c r="T441" s="40">
        <f t="shared" si="23"/>
        <v>1.0841725575511627</v>
      </c>
      <c r="U441" s="110"/>
      <c r="V441" s="51">
        <v>250</v>
      </c>
      <c r="W441" s="51"/>
      <c r="X441" s="51"/>
      <c r="Y441" s="51"/>
      <c r="Z441" s="36"/>
      <c r="AA441" s="36"/>
      <c r="AB441" s="36"/>
      <c r="AC441" s="36"/>
      <c r="AD441" s="36"/>
      <c r="AE441" s="36"/>
    </row>
    <row r="442" spans="1:31" s="38" customFormat="1" ht="20.25" customHeight="1">
      <c r="A442" s="71">
        <v>42206</v>
      </c>
      <c r="B442" s="35" t="s">
        <v>154</v>
      </c>
      <c r="C442" s="165">
        <v>2015</v>
      </c>
      <c r="D442" s="65">
        <v>4</v>
      </c>
      <c r="E442" s="51" t="s">
        <v>216</v>
      </c>
      <c r="F442" s="51" t="s">
        <v>217</v>
      </c>
      <c r="G442" s="51"/>
      <c r="H442" s="51"/>
      <c r="I442" s="51"/>
      <c r="J442" s="3" t="s">
        <v>219</v>
      </c>
      <c r="K442" s="3"/>
      <c r="L442" s="3">
        <v>2</v>
      </c>
      <c r="M442" s="36" t="s">
        <v>229</v>
      </c>
      <c r="N442" s="36" t="s">
        <v>219</v>
      </c>
      <c r="O442" s="3">
        <v>273</v>
      </c>
      <c r="P442" s="3">
        <f t="shared" si="21"/>
        <v>0.73260073260073255</v>
      </c>
      <c r="Q442" s="65">
        <v>2100.3401360544217</v>
      </c>
      <c r="R442" s="8">
        <f t="shared" si="22"/>
        <v>15.387107223841916</v>
      </c>
      <c r="S442" s="36">
        <v>2128.8733675288299</v>
      </c>
      <c r="T442" s="60">
        <f t="shared" si="23"/>
        <v>0.72278170503410832</v>
      </c>
      <c r="U442" s="111"/>
      <c r="V442" s="65">
        <v>250</v>
      </c>
      <c r="W442" s="51"/>
      <c r="X442" s="51"/>
      <c r="Y442" s="51"/>
      <c r="Z442" s="36"/>
      <c r="AA442" s="36"/>
      <c r="AB442" s="36"/>
      <c r="AC442" s="36"/>
      <c r="AD442" s="36"/>
      <c r="AE442" s="36"/>
    </row>
    <row r="443" spans="1:31" s="38" customFormat="1" ht="20.25" customHeight="1">
      <c r="A443" s="71">
        <v>42206</v>
      </c>
      <c r="B443" s="35" t="s">
        <v>154</v>
      </c>
      <c r="C443" s="165">
        <v>2015</v>
      </c>
      <c r="D443" s="65">
        <v>4</v>
      </c>
      <c r="E443" s="36" t="s">
        <v>223</v>
      </c>
      <c r="F443" s="36" t="s">
        <v>224</v>
      </c>
      <c r="G443" s="36" t="s">
        <v>225</v>
      </c>
      <c r="H443" s="36" t="s">
        <v>226</v>
      </c>
      <c r="I443" s="65" t="s">
        <v>253</v>
      </c>
      <c r="J443" s="65" t="s">
        <v>256</v>
      </c>
      <c r="K443" s="3"/>
      <c r="L443" s="3">
        <v>41</v>
      </c>
      <c r="M443" s="3" t="s">
        <v>229</v>
      </c>
      <c r="N443" s="36" t="s">
        <v>256</v>
      </c>
      <c r="O443" s="3">
        <v>273</v>
      </c>
      <c r="P443" s="3">
        <f t="shared" si="21"/>
        <v>15.018315018315018</v>
      </c>
      <c r="Q443" s="65">
        <v>2100.3401360544217</v>
      </c>
      <c r="R443" s="8">
        <f t="shared" si="22"/>
        <v>315.4356980887593</v>
      </c>
      <c r="S443" s="36">
        <v>2128.8733675288299</v>
      </c>
      <c r="T443" s="40">
        <f t="shared" si="23"/>
        <v>14.817024953199221</v>
      </c>
      <c r="U443" s="110"/>
      <c r="V443" s="51">
        <v>250</v>
      </c>
      <c r="W443" s="51" t="s">
        <v>473</v>
      </c>
      <c r="X443" s="51"/>
      <c r="Y443" s="65"/>
      <c r="Z443" s="36"/>
      <c r="AA443" s="36"/>
      <c r="AB443" s="36"/>
      <c r="AC443" s="36"/>
      <c r="AD443" s="36"/>
      <c r="AE443" s="36"/>
    </row>
    <row r="444" spans="1:31" s="38" customFormat="1" ht="20.25" customHeight="1">
      <c r="A444" s="71">
        <v>42206</v>
      </c>
      <c r="B444" s="35" t="s">
        <v>154</v>
      </c>
      <c r="C444" s="165">
        <v>2015</v>
      </c>
      <c r="D444" s="65">
        <v>4</v>
      </c>
      <c r="E444" s="51" t="s">
        <v>223</v>
      </c>
      <c r="F444" s="51" t="s">
        <v>224</v>
      </c>
      <c r="G444" s="51" t="s">
        <v>225</v>
      </c>
      <c r="H444" s="51" t="s">
        <v>226</v>
      </c>
      <c r="I444" s="51" t="s">
        <v>239</v>
      </c>
      <c r="J444" s="51" t="s">
        <v>258</v>
      </c>
      <c r="K444" s="3" t="s">
        <v>259</v>
      </c>
      <c r="L444" s="3">
        <v>3</v>
      </c>
      <c r="M444" s="3" t="s">
        <v>247</v>
      </c>
      <c r="N444" s="36" t="s">
        <v>258</v>
      </c>
      <c r="O444" s="3">
        <v>273</v>
      </c>
      <c r="P444" s="3">
        <f t="shared" si="21"/>
        <v>1.098901098901099</v>
      </c>
      <c r="Q444" s="65">
        <v>2100.3401360544217</v>
      </c>
      <c r="R444" s="8">
        <f t="shared" si="22"/>
        <v>23.080660835762878</v>
      </c>
      <c r="S444" s="36">
        <v>2128.8733675288299</v>
      </c>
      <c r="T444" s="40">
        <f t="shared" si="23"/>
        <v>1.0841725575511627</v>
      </c>
      <c r="U444" s="110"/>
      <c r="V444" s="65">
        <v>250</v>
      </c>
      <c r="W444" s="51"/>
      <c r="X444" s="51"/>
      <c r="Y444" s="51"/>
      <c r="Z444" s="36"/>
      <c r="AA444" s="36"/>
      <c r="AB444" s="36"/>
      <c r="AC444" s="36"/>
      <c r="AD444" s="36"/>
      <c r="AE444" s="36"/>
    </row>
    <row r="445" spans="1:31" s="38" customFormat="1" ht="20.25" customHeight="1">
      <c r="A445" s="71">
        <v>42206</v>
      </c>
      <c r="B445" s="35" t="s">
        <v>154</v>
      </c>
      <c r="C445" s="165">
        <v>2015</v>
      </c>
      <c r="D445" s="65">
        <v>4</v>
      </c>
      <c r="E445" s="36" t="s">
        <v>223</v>
      </c>
      <c r="F445" s="36" t="s">
        <v>224</v>
      </c>
      <c r="G445" s="36" t="s">
        <v>225</v>
      </c>
      <c r="H445" s="36" t="s">
        <v>226</v>
      </c>
      <c r="I445" s="65" t="s">
        <v>261</v>
      </c>
      <c r="J445" s="65" t="s">
        <v>262</v>
      </c>
      <c r="K445" s="3"/>
      <c r="L445" s="3">
        <v>11</v>
      </c>
      <c r="M445" s="3" t="s">
        <v>229</v>
      </c>
      <c r="N445" s="36" t="s">
        <v>264</v>
      </c>
      <c r="O445" s="3">
        <v>273</v>
      </c>
      <c r="P445" s="3">
        <f t="shared" si="21"/>
        <v>4.0293040293040292</v>
      </c>
      <c r="Q445" s="65">
        <v>2100.3401360544217</v>
      </c>
      <c r="R445" s="8">
        <f t="shared" si="22"/>
        <v>84.629089731130534</v>
      </c>
      <c r="S445" s="36">
        <v>2128.8733675288299</v>
      </c>
      <c r="T445" s="40">
        <f t="shared" si="23"/>
        <v>3.9752993776875951</v>
      </c>
      <c r="U445" s="110"/>
      <c r="V445" s="65">
        <v>250</v>
      </c>
      <c r="W445" s="51"/>
      <c r="X445" s="51"/>
      <c r="Y445" s="51"/>
      <c r="Z445" s="36"/>
      <c r="AA445" s="36"/>
      <c r="AB445" s="36"/>
      <c r="AC445" s="36"/>
      <c r="AD445" s="36"/>
      <c r="AE445" s="36"/>
    </row>
    <row r="446" spans="1:31" s="38" customFormat="1" ht="20.25" customHeight="1">
      <c r="A446" s="72">
        <v>42206</v>
      </c>
      <c r="B446" s="35" t="s">
        <v>154</v>
      </c>
      <c r="C446" s="165">
        <v>2015</v>
      </c>
      <c r="D446" s="65">
        <v>2</v>
      </c>
      <c r="E446" s="36" t="s">
        <v>223</v>
      </c>
      <c r="F446" s="36" t="s">
        <v>224</v>
      </c>
      <c r="G446" s="36" t="s">
        <v>225</v>
      </c>
      <c r="H446" s="36" t="s">
        <v>226</v>
      </c>
      <c r="I446" s="36" t="s">
        <v>227</v>
      </c>
      <c r="J446" s="36" t="s">
        <v>228</v>
      </c>
      <c r="K446" s="36"/>
      <c r="L446" s="36">
        <v>68</v>
      </c>
      <c r="M446" s="36" t="s">
        <v>229</v>
      </c>
      <c r="N446" s="36" t="s">
        <v>228</v>
      </c>
      <c r="O446" s="36">
        <v>337</v>
      </c>
      <c r="P446" s="36">
        <f t="shared" si="21"/>
        <v>20.178041543026705</v>
      </c>
      <c r="Q446" s="36">
        <v>970.06802721088434</v>
      </c>
      <c r="R446" s="53">
        <f t="shared" si="22"/>
        <v>195.74072952623183</v>
      </c>
      <c r="S446" s="65">
        <v>970.38781686035929</v>
      </c>
      <c r="T446" s="53">
        <f t="shared" si="23"/>
        <v>20.171391903861803</v>
      </c>
      <c r="U446" s="110"/>
      <c r="V446" s="36">
        <v>250</v>
      </c>
      <c r="W446" s="36"/>
      <c r="X446" s="36"/>
      <c r="Y446" s="36"/>
      <c r="Z446" s="36"/>
      <c r="AA446" s="36"/>
      <c r="AB446" s="36"/>
      <c r="AC446" s="36"/>
      <c r="AD446" s="36"/>
      <c r="AE446" s="36"/>
    </row>
    <row r="447" spans="1:31" s="38" customFormat="1" ht="20.25" customHeight="1">
      <c r="A447" s="35">
        <v>42206</v>
      </c>
      <c r="B447" s="72" t="s">
        <v>154</v>
      </c>
      <c r="C447" s="165">
        <v>2015</v>
      </c>
      <c r="D447" s="76">
        <v>2</v>
      </c>
      <c r="E447" s="36" t="s">
        <v>223</v>
      </c>
      <c r="F447" s="36" t="s">
        <v>267</v>
      </c>
      <c r="G447" s="36" t="s">
        <v>278</v>
      </c>
      <c r="H447" s="36" t="s">
        <v>269</v>
      </c>
      <c r="I447" s="36" t="s">
        <v>333</v>
      </c>
      <c r="J447" s="36" t="s">
        <v>334</v>
      </c>
      <c r="K447" s="36"/>
      <c r="L447" s="36">
        <v>1</v>
      </c>
      <c r="M447" s="36" t="s">
        <v>229</v>
      </c>
      <c r="N447" s="36" t="s">
        <v>270</v>
      </c>
      <c r="O447" s="36">
        <v>3</v>
      </c>
      <c r="P447" s="36">
        <f t="shared" si="21"/>
        <v>33.333333333333329</v>
      </c>
      <c r="Q447" s="36">
        <v>0.31978964947501198</v>
      </c>
      <c r="R447" s="53">
        <f t="shared" si="22"/>
        <v>0.10659654982500397</v>
      </c>
      <c r="S447" s="65">
        <v>970.38781686035929</v>
      </c>
      <c r="T447" s="53">
        <f t="shared" si="23"/>
        <v>1.0984943130251956E-2</v>
      </c>
      <c r="U447" s="110">
        <v>0</v>
      </c>
      <c r="V447" s="36">
        <v>1000</v>
      </c>
      <c r="W447" s="36">
        <f>SUM(T447:T456)</f>
        <v>123.27123104695787</v>
      </c>
      <c r="X447" s="36"/>
      <c r="Y447" s="36"/>
      <c r="Z447" s="36"/>
      <c r="AA447" s="36"/>
      <c r="AB447" s="36"/>
      <c r="AC447" s="36"/>
      <c r="AD447" s="36"/>
      <c r="AE447" s="36"/>
    </row>
    <row r="448" spans="1:31" s="38" customFormat="1" ht="20.25" customHeight="1">
      <c r="A448" s="35">
        <v>42206</v>
      </c>
      <c r="B448" s="72" t="s">
        <v>154</v>
      </c>
      <c r="C448" s="165">
        <v>2015</v>
      </c>
      <c r="D448" s="65">
        <v>2</v>
      </c>
      <c r="E448" s="36" t="s">
        <v>223</v>
      </c>
      <c r="F448" s="36" t="s">
        <v>303</v>
      </c>
      <c r="G448" s="36" t="s">
        <v>304</v>
      </c>
      <c r="H448" s="36" t="s">
        <v>305</v>
      </c>
      <c r="I448" s="36" t="s">
        <v>306</v>
      </c>
      <c r="J448" s="36" t="s">
        <v>307</v>
      </c>
      <c r="K448" s="36"/>
      <c r="L448" s="36">
        <v>21</v>
      </c>
      <c r="M448" s="36" t="s">
        <v>229</v>
      </c>
      <c r="N448" s="36" t="s">
        <v>307</v>
      </c>
      <c r="O448" s="36">
        <v>337</v>
      </c>
      <c r="P448" s="36">
        <f t="shared" si="21"/>
        <v>6.2314540059347179</v>
      </c>
      <c r="Q448" s="36">
        <v>970.06802721088434</v>
      </c>
      <c r="R448" s="53">
        <f t="shared" si="22"/>
        <v>60.449342941924542</v>
      </c>
      <c r="S448" s="65">
        <v>970.38781686035929</v>
      </c>
      <c r="T448" s="53">
        <f t="shared" si="23"/>
        <v>6.2294004408984991</v>
      </c>
      <c r="U448" s="110"/>
      <c r="V448" s="36">
        <v>250</v>
      </c>
      <c r="W448" s="36" t="s">
        <v>308</v>
      </c>
      <c r="X448" s="36"/>
      <c r="Y448" s="36"/>
      <c r="Z448" s="36"/>
      <c r="AA448" s="36"/>
      <c r="AB448" s="36"/>
      <c r="AC448" s="36"/>
      <c r="AD448" s="36"/>
      <c r="AE448" s="36"/>
    </row>
    <row r="449" spans="1:31" s="38" customFormat="1" ht="20.25" customHeight="1">
      <c r="A449" s="72">
        <v>42206</v>
      </c>
      <c r="B449" s="35" t="s">
        <v>154</v>
      </c>
      <c r="C449" s="165">
        <v>2015</v>
      </c>
      <c r="D449" s="65">
        <v>2</v>
      </c>
      <c r="E449" s="36" t="s">
        <v>223</v>
      </c>
      <c r="F449" s="36" t="s">
        <v>224</v>
      </c>
      <c r="G449" s="36" t="s">
        <v>225</v>
      </c>
      <c r="H449" s="36" t="s">
        <v>226</v>
      </c>
      <c r="I449" s="36" t="s">
        <v>235</v>
      </c>
      <c r="J449" s="36" t="s">
        <v>236</v>
      </c>
      <c r="K449" s="36"/>
      <c r="L449" s="36">
        <v>1</v>
      </c>
      <c r="M449" s="36" t="s">
        <v>229</v>
      </c>
      <c r="N449" s="36" t="s">
        <v>238</v>
      </c>
      <c r="O449" s="36">
        <v>337</v>
      </c>
      <c r="P449" s="36">
        <f t="shared" si="21"/>
        <v>0.29673590504451042</v>
      </c>
      <c r="Q449" s="36">
        <v>970.06802721088434</v>
      </c>
      <c r="R449" s="53">
        <f t="shared" si="22"/>
        <v>2.878540140091645</v>
      </c>
      <c r="S449" s="65">
        <v>970.38781686035929</v>
      </c>
      <c r="T449" s="53">
        <f t="shared" si="23"/>
        <v>0.29663811623326186</v>
      </c>
      <c r="U449" s="110"/>
      <c r="V449" s="36">
        <v>250</v>
      </c>
      <c r="W449" s="36"/>
      <c r="X449" s="36"/>
      <c r="Y449" s="36"/>
      <c r="Z449" s="36"/>
      <c r="AA449" s="36"/>
      <c r="AB449" s="36"/>
      <c r="AC449" s="36"/>
      <c r="AD449" s="36"/>
      <c r="AE449" s="36"/>
    </row>
    <row r="450" spans="1:31" s="38" customFormat="1" ht="20.25" customHeight="1">
      <c r="A450" s="35">
        <v>42206</v>
      </c>
      <c r="B450" s="35" t="s">
        <v>154</v>
      </c>
      <c r="C450" s="165">
        <v>2015</v>
      </c>
      <c r="D450" s="76">
        <v>2</v>
      </c>
      <c r="E450" s="36" t="s">
        <v>223</v>
      </c>
      <c r="F450" s="36" t="s">
        <v>267</v>
      </c>
      <c r="G450" s="36"/>
      <c r="H450" s="36" t="s">
        <v>273</v>
      </c>
      <c r="I450" s="36"/>
      <c r="J450" s="36" t="s">
        <v>558</v>
      </c>
      <c r="K450" s="36" t="s">
        <v>559</v>
      </c>
      <c r="L450" s="36">
        <v>1</v>
      </c>
      <c r="M450" s="36" t="s">
        <v>247</v>
      </c>
      <c r="N450" s="36" t="s">
        <v>494</v>
      </c>
      <c r="O450" s="36">
        <v>3</v>
      </c>
      <c r="P450" s="36">
        <f t="shared" ref="P450:P513" si="24">L450/O450*100</f>
        <v>33.333333333333329</v>
      </c>
      <c r="Q450" s="36">
        <v>0.31978964947501198</v>
      </c>
      <c r="R450" s="53">
        <f t="shared" ref="R450:R513" si="25">(P450/100)*Q450</f>
        <v>0.10659654982500397</v>
      </c>
      <c r="S450" s="65">
        <v>970.38781686035929</v>
      </c>
      <c r="T450" s="53">
        <f t="shared" ref="T450:T513" si="26">R450/S450*100</f>
        <v>1.0984943130251956E-2</v>
      </c>
      <c r="U450" s="110"/>
      <c r="V450" s="36">
        <v>1000</v>
      </c>
      <c r="W450" s="36"/>
      <c r="X450" s="36"/>
      <c r="Y450" s="36"/>
      <c r="Z450" s="36"/>
      <c r="AA450" s="36"/>
      <c r="AB450" s="36"/>
      <c r="AC450" s="36"/>
      <c r="AD450" s="36"/>
      <c r="AE450" s="36"/>
    </row>
    <row r="451" spans="1:31" s="38" customFormat="1" ht="20.25" customHeight="1">
      <c r="A451" s="72">
        <v>42206</v>
      </c>
      <c r="B451" s="72" t="s">
        <v>154</v>
      </c>
      <c r="C451" s="165">
        <v>2015</v>
      </c>
      <c r="D451" s="65">
        <v>2</v>
      </c>
      <c r="E451" s="65" t="s">
        <v>223</v>
      </c>
      <c r="F451" s="36" t="s">
        <v>224</v>
      </c>
      <c r="G451" s="36" t="s">
        <v>225</v>
      </c>
      <c r="H451" s="65" t="s">
        <v>226</v>
      </c>
      <c r="I451" s="65" t="s">
        <v>239</v>
      </c>
      <c r="J451" s="65" t="s">
        <v>240</v>
      </c>
      <c r="K451" s="36"/>
      <c r="L451" s="36">
        <v>233</v>
      </c>
      <c r="M451" s="36" t="s">
        <v>229</v>
      </c>
      <c r="N451" s="36" t="s">
        <v>240</v>
      </c>
      <c r="O451" s="36">
        <v>337</v>
      </c>
      <c r="P451" s="36">
        <f t="shared" si="24"/>
        <v>69.139465875370917</v>
      </c>
      <c r="Q451" s="36">
        <v>970.06802721088434</v>
      </c>
      <c r="R451" s="53">
        <f t="shared" si="25"/>
        <v>670.69985264135323</v>
      </c>
      <c r="S451" s="65">
        <v>970.38781686035929</v>
      </c>
      <c r="T451" s="53">
        <f t="shared" si="26"/>
        <v>69.116681082350013</v>
      </c>
      <c r="U451" s="110"/>
      <c r="V451" s="36">
        <v>250</v>
      </c>
      <c r="W451" s="36"/>
      <c r="X451" s="36"/>
      <c r="Y451" s="36"/>
      <c r="Z451" s="36"/>
      <c r="AA451" s="36"/>
      <c r="AB451" s="36"/>
      <c r="AC451" s="36"/>
      <c r="AD451" s="36"/>
      <c r="AE451" s="36"/>
    </row>
    <row r="452" spans="1:31" s="38" customFormat="1" ht="20.25" customHeight="1">
      <c r="A452" s="72">
        <v>42206</v>
      </c>
      <c r="B452" s="35" t="s">
        <v>154</v>
      </c>
      <c r="C452" s="165">
        <v>2015</v>
      </c>
      <c r="D452" s="76">
        <v>2</v>
      </c>
      <c r="E452" s="36" t="s">
        <v>323</v>
      </c>
      <c r="F452" s="36" t="s">
        <v>324</v>
      </c>
      <c r="G452" s="36"/>
      <c r="H452" s="36" t="s">
        <v>325</v>
      </c>
      <c r="I452" s="36" t="s">
        <v>326</v>
      </c>
      <c r="J452" s="36" t="s">
        <v>327</v>
      </c>
      <c r="K452" s="36"/>
      <c r="L452" s="36">
        <v>1</v>
      </c>
      <c r="M452" s="36" t="s">
        <v>229</v>
      </c>
      <c r="N452" s="36" t="s">
        <v>327</v>
      </c>
      <c r="O452" s="36">
        <v>3</v>
      </c>
      <c r="P452" s="36">
        <f t="shared" si="24"/>
        <v>33.333333333333329</v>
      </c>
      <c r="Q452" s="36">
        <v>0.31978964947501198</v>
      </c>
      <c r="R452" s="53">
        <f t="shared" si="25"/>
        <v>0.10659654982500397</v>
      </c>
      <c r="S452" s="65">
        <v>970.38781686035929</v>
      </c>
      <c r="T452" s="53">
        <f t="shared" si="26"/>
        <v>1.0984943130251956E-2</v>
      </c>
      <c r="U452" s="110"/>
      <c r="V452" s="36">
        <v>1000</v>
      </c>
      <c r="W452" s="36"/>
      <c r="X452" s="36"/>
      <c r="Y452" s="36"/>
      <c r="Z452" s="36"/>
      <c r="AA452" s="36"/>
      <c r="AB452" s="36"/>
      <c r="AC452" s="36"/>
      <c r="AD452" s="36"/>
      <c r="AE452" s="36"/>
    </row>
    <row r="453" spans="1:31" s="38" customFormat="1" ht="20.25" customHeight="1">
      <c r="A453" s="35">
        <v>42206</v>
      </c>
      <c r="B453" s="35" t="s">
        <v>154</v>
      </c>
      <c r="C453" s="165">
        <v>2015</v>
      </c>
      <c r="D453" s="65">
        <v>2</v>
      </c>
      <c r="E453" s="65" t="s">
        <v>223</v>
      </c>
      <c r="F453" s="65" t="s">
        <v>224</v>
      </c>
      <c r="G453" s="65" t="s">
        <v>225</v>
      </c>
      <c r="H453" s="65" t="s">
        <v>226</v>
      </c>
      <c r="I453" s="65" t="s">
        <v>253</v>
      </c>
      <c r="J453" s="36" t="s">
        <v>256</v>
      </c>
      <c r="K453" s="36"/>
      <c r="L453" s="36">
        <v>7</v>
      </c>
      <c r="M453" s="36" t="s">
        <v>229</v>
      </c>
      <c r="N453" s="36" t="s">
        <v>256</v>
      </c>
      <c r="O453" s="36">
        <v>337</v>
      </c>
      <c r="P453" s="36">
        <f t="shared" si="24"/>
        <v>2.0771513353115725</v>
      </c>
      <c r="Q453" s="36">
        <v>970.06802721088434</v>
      </c>
      <c r="R453" s="53">
        <f t="shared" si="25"/>
        <v>20.149780980641513</v>
      </c>
      <c r="S453" s="65">
        <v>970.38781686035929</v>
      </c>
      <c r="T453" s="53">
        <f t="shared" si="26"/>
        <v>2.076466813632833</v>
      </c>
      <c r="U453" s="110"/>
      <c r="V453" s="36">
        <v>250</v>
      </c>
      <c r="W453" s="36" t="s">
        <v>471</v>
      </c>
      <c r="X453" s="36"/>
      <c r="Y453" s="36"/>
      <c r="Z453" s="36"/>
      <c r="AA453" s="36"/>
      <c r="AB453" s="36"/>
      <c r="AC453" s="36"/>
      <c r="AD453" s="36"/>
      <c r="AE453" s="36"/>
    </row>
    <row r="454" spans="1:31" s="38" customFormat="1" ht="20.25" customHeight="1">
      <c r="A454" s="35">
        <v>42206</v>
      </c>
      <c r="B454" s="35" t="s">
        <v>154</v>
      </c>
      <c r="C454" s="165">
        <v>2015</v>
      </c>
      <c r="D454" s="65">
        <v>2</v>
      </c>
      <c r="E454" s="36" t="s">
        <v>223</v>
      </c>
      <c r="F454" s="36" t="s">
        <v>224</v>
      </c>
      <c r="G454" s="36" t="s">
        <v>225</v>
      </c>
      <c r="H454" s="36" t="s">
        <v>226</v>
      </c>
      <c r="I454" s="36" t="s">
        <v>239</v>
      </c>
      <c r="J454" s="36" t="s">
        <v>258</v>
      </c>
      <c r="K454" s="36" t="s">
        <v>259</v>
      </c>
      <c r="L454" s="36">
        <v>3</v>
      </c>
      <c r="M454" s="36" t="s">
        <v>247</v>
      </c>
      <c r="N454" s="36" t="s">
        <v>258</v>
      </c>
      <c r="O454" s="36">
        <v>337</v>
      </c>
      <c r="P454" s="36">
        <f t="shared" si="24"/>
        <v>0.89020771513353114</v>
      </c>
      <c r="Q454" s="36">
        <v>970.06802721088434</v>
      </c>
      <c r="R454" s="53">
        <f t="shared" si="25"/>
        <v>8.6356204202749343</v>
      </c>
      <c r="S454" s="53">
        <v>970.38781686035929</v>
      </c>
      <c r="T454" s="53">
        <f t="shared" si="26"/>
        <v>0.88991434869978547</v>
      </c>
      <c r="U454" s="110"/>
      <c r="V454" s="36">
        <v>250</v>
      </c>
      <c r="W454" s="36"/>
      <c r="X454" s="36"/>
      <c r="Y454" s="36"/>
      <c r="Z454" s="36"/>
      <c r="AA454" s="36"/>
      <c r="AB454" s="36"/>
      <c r="AC454" s="36"/>
      <c r="AD454" s="36"/>
      <c r="AE454" s="36"/>
    </row>
    <row r="455" spans="1:31" s="38" customFormat="1" ht="20.25" customHeight="1">
      <c r="A455" s="35">
        <v>42206</v>
      </c>
      <c r="B455" s="35" t="s">
        <v>154</v>
      </c>
      <c r="C455" s="165">
        <v>2015</v>
      </c>
      <c r="D455" s="65">
        <v>2</v>
      </c>
      <c r="E455" s="65" t="s">
        <v>223</v>
      </c>
      <c r="F455" s="65" t="s">
        <v>224</v>
      </c>
      <c r="G455" s="65" t="s">
        <v>225</v>
      </c>
      <c r="H455" s="65" t="s">
        <v>226</v>
      </c>
      <c r="I455" s="65" t="s">
        <v>261</v>
      </c>
      <c r="J455" s="36" t="s">
        <v>262</v>
      </c>
      <c r="K455" s="36"/>
      <c r="L455" s="36">
        <v>4</v>
      </c>
      <c r="M455" s="36" t="s">
        <v>229</v>
      </c>
      <c r="N455" s="36" t="s">
        <v>264</v>
      </c>
      <c r="O455" s="36">
        <v>337</v>
      </c>
      <c r="P455" s="36">
        <f t="shared" si="24"/>
        <v>1.1869436201780417</v>
      </c>
      <c r="Q455" s="36">
        <v>970.06802721088434</v>
      </c>
      <c r="R455" s="53">
        <f t="shared" si="25"/>
        <v>11.51416056036658</v>
      </c>
      <c r="S455" s="53">
        <v>970.38781686035929</v>
      </c>
      <c r="T455" s="53">
        <f t="shared" si="26"/>
        <v>1.1865524649330474</v>
      </c>
      <c r="U455" s="110"/>
      <c r="V455" s="36">
        <v>250</v>
      </c>
      <c r="W455" s="36"/>
      <c r="X455" s="36"/>
      <c r="Y455" s="36"/>
      <c r="Z455" s="36"/>
      <c r="AA455" s="36"/>
      <c r="AB455" s="36"/>
      <c r="AC455" s="36"/>
      <c r="AD455" s="36"/>
      <c r="AE455" s="36"/>
    </row>
    <row r="456" spans="1:31" s="38" customFormat="1" ht="20.25" customHeight="1">
      <c r="A456" s="13">
        <v>42263</v>
      </c>
      <c r="B456" s="35" t="s">
        <v>157</v>
      </c>
      <c r="C456" s="165">
        <v>2015</v>
      </c>
      <c r="D456" s="65">
        <v>8</v>
      </c>
      <c r="E456" s="3" t="s">
        <v>223</v>
      </c>
      <c r="F456" s="3" t="s">
        <v>224</v>
      </c>
      <c r="G456" s="3" t="s">
        <v>225</v>
      </c>
      <c r="H456" s="3" t="s">
        <v>226</v>
      </c>
      <c r="I456" s="3" t="s">
        <v>227</v>
      </c>
      <c r="J456" s="3" t="s">
        <v>228</v>
      </c>
      <c r="K456" s="3"/>
      <c r="L456" s="36">
        <v>106</v>
      </c>
      <c r="M456" s="3" t="s">
        <v>229</v>
      </c>
      <c r="N456" s="3" t="s">
        <v>228</v>
      </c>
      <c r="O456" s="3">
        <v>244</v>
      </c>
      <c r="P456" s="3">
        <f t="shared" si="24"/>
        <v>43.442622950819668</v>
      </c>
      <c r="Q456" s="36">
        <v>988.77551020408168</v>
      </c>
      <c r="R456" s="8">
        <f t="shared" si="25"/>
        <v>429.55001672800267</v>
      </c>
      <c r="S456" s="53">
        <v>988.77551020408168</v>
      </c>
      <c r="T456" s="60">
        <f t="shared" si="26"/>
        <v>43.442622950819668</v>
      </c>
      <c r="U456" s="111">
        <f>SUM(T468)</f>
        <v>0.81967213114754101</v>
      </c>
      <c r="V456" s="36">
        <v>250</v>
      </c>
      <c r="W456" s="3" t="s">
        <v>615</v>
      </c>
      <c r="X456" s="3"/>
      <c r="Y456" s="36"/>
      <c r="Z456" s="36"/>
      <c r="AA456" s="36"/>
      <c r="AB456" s="36"/>
      <c r="AC456" s="36"/>
      <c r="AD456" s="36"/>
      <c r="AE456" s="36"/>
    </row>
    <row r="457" spans="1:31" s="38" customFormat="1" ht="20.25" customHeight="1">
      <c r="A457" s="13">
        <v>42263</v>
      </c>
      <c r="B457" s="72" t="s">
        <v>157</v>
      </c>
      <c r="C457" s="165">
        <v>2015</v>
      </c>
      <c r="D457" s="65">
        <v>8</v>
      </c>
      <c r="E457" s="3" t="s">
        <v>223</v>
      </c>
      <c r="F457" s="3" t="s">
        <v>303</v>
      </c>
      <c r="G457" s="3" t="s">
        <v>304</v>
      </c>
      <c r="H457" s="3" t="s">
        <v>305</v>
      </c>
      <c r="I457" s="3" t="s">
        <v>306</v>
      </c>
      <c r="J457" s="3" t="s">
        <v>307</v>
      </c>
      <c r="K457" s="3"/>
      <c r="L457" s="3">
        <v>6</v>
      </c>
      <c r="M457" s="3" t="s">
        <v>229</v>
      </c>
      <c r="N457" s="3" t="s">
        <v>307</v>
      </c>
      <c r="O457" s="3">
        <v>244</v>
      </c>
      <c r="P457" s="3">
        <f t="shared" si="24"/>
        <v>2.459016393442623</v>
      </c>
      <c r="Q457" s="36">
        <v>988.77551020408168</v>
      </c>
      <c r="R457" s="8">
        <f t="shared" si="25"/>
        <v>24.314151890264302</v>
      </c>
      <c r="S457" s="53">
        <v>988.77551020408168</v>
      </c>
      <c r="T457" s="60">
        <f t="shared" si="26"/>
        <v>2.459016393442623</v>
      </c>
      <c r="U457" s="111"/>
      <c r="V457" s="3">
        <v>250</v>
      </c>
      <c r="W457" s="36" t="s">
        <v>308</v>
      </c>
      <c r="X457" s="3"/>
      <c r="Y457" s="3"/>
      <c r="Z457" s="36"/>
      <c r="AA457" s="36"/>
      <c r="AB457" s="36"/>
      <c r="AC457" s="36"/>
      <c r="AD457" s="36"/>
      <c r="AE457" s="36"/>
    </row>
    <row r="458" spans="1:31" s="38" customFormat="1" ht="20.25" customHeight="1">
      <c r="A458" s="13">
        <v>42263</v>
      </c>
      <c r="B458" s="72" t="s">
        <v>157</v>
      </c>
      <c r="C458" s="165">
        <v>2015</v>
      </c>
      <c r="D458" s="65">
        <v>8</v>
      </c>
      <c r="E458" s="3" t="s">
        <v>223</v>
      </c>
      <c r="F458" s="3" t="s">
        <v>303</v>
      </c>
      <c r="G458" s="3" t="s">
        <v>304</v>
      </c>
      <c r="H458" s="3" t="s">
        <v>305</v>
      </c>
      <c r="I458" s="3" t="s">
        <v>306</v>
      </c>
      <c r="J458" s="3" t="s">
        <v>307</v>
      </c>
      <c r="K458" s="3"/>
      <c r="L458" s="3">
        <v>2</v>
      </c>
      <c r="M458" s="3" t="s">
        <v>229</v>
      </c>
      <c r="N458" s="3" t="s">
        <v>307</v>
      </c>
      <c r="O458" s="3">
        <v>244</v>
      </c>
      <c r="P458" s="3">
        <f t="shared" si="24"/>
        <v>0.81967213114754101</v>
      </c>
      <c r="Q458" s="36">
        <v>988.77551020408168</v>
      </c>
      <c r="R458" s="8">
        <f t="shared" si="25"/>
        <v>8.1047172967547692</v>
      </c>
      <c r="S458" s="53">
        <v>988.77551020408168</v>
      </c>
      <c r="T458" s="60">
        <f t="shared" si="26"/>
        <v>0.81967213114754101</v>
      </c>
      <c r="U458" s="111"/>
      <c r="V458" s="36">
        <v>250</v>
      </c>
      <c r="W458" s="36" t="s">
        <v>620</v>
      </c>
      <c r="X458" s="3"/>
      <c r="Y458" s="41"/>
      <c r="Z458" s="36"/>
      <c r="AA458" s="36"/>
      <c r="AB458" s="36"/>
      <c r="AC458" s="36"/>
      <c r="AD458" s="36"/>
      <c r="AE458" s="36"/>
    </row>
    <row r="459" spans="1:31" s="38" customFormat="1" ht="20.25" customHeight="1">
      <c r="A459" s="13">
        <v>42263</v>
      </c>
      <c r="B459" s="35" t="s">
        <v>157</v>
      </c>
      <c r="C459" s="165">
        <v>2015</v>
      </c>
      <c r="D459" s="65">
        <v>8</v>
      </c>
      <c r="E459" s="51" t="s">
        <v>223</v>
      </c>
      <c r="F459" s="51" t="s">
        <v>224</v>
      </c>
      <c r="G459" s="51" t="s">
        <v>225</v>
      </c>
      <c r="H459" s="51" t="s">
        <v>226</v>
      </c>
      <c r="I459" s="51" t="s">
        <v>235</v>
      </c>
      <c r="J459" s="3" t="s">
        <v>236</v>
      </c>
      <c r="K459" s="3"/>
      <c r="L459" s="3">
        <v>20</v>
      </c>
      <c r="M459" s="3" t="s">
        <v>229</v>
      </c>
      <c r="N459" s="3" t="s">
        <v>236</v>
      </c>
      <c r="O459" s="3">
        <v>244</v>
      </c>
      <c r="P459" s="3">
        <f t="shared" si="24"/>
        <v>8.1967213114754092</v>
      </c>
      <c r="Q459" s="36">
        <v>988.77551020408168</v>
      </c>
      <c r="R459" s="8">
        <f t="shared" si="25"/>
        <v>81.047172967547667</v>
      </c>
      <c r="S459" s="53">
        <v>988.77551020408168</v>
      </c>
      <c r="T459" s="60">
        <f t="shared" si="26"/>
        <v>8.1967213114754092</v>
      </c>
      <c r="U459" s="111"/>
      <c r="V459" s="36">
        <v>250</v>
      </c>
      <c r="W459" s="3"/>
      <c r="X459" s="3"/>
      <c r="Y459" s="32"/>
      <c r="Z459" s="36"/>
      <c r="AA459" s="36"/>
      <c r="AB459" s="36"/>
      <c r="AC459" s="36"/>
      <c r="AD459" s="36"/>
      <c r="AE459" s="36"/>
    </row>
    <row r="460" spans="1:31" s="38" customFormat="1" ht="20.25" customHeight="1">
      <c r="A460" s="13">
        <v>42263</v>
      </c>
      <c r="B460" s="72" t="s">
        <v>157</v>
      </c>
      <c r="C460" s="165">
        <v>2015</v>
      </c>
      <c r="D460" s="65">
        <v>8</v>
      </c>
      <c r="E460" s="52" t="s">
        <v>223</v>
      </c>
      <c r="F460" s="52" t="s">
        <v>317</v>
      </c>
      <c r="G460" s="52" t="s">
        <v>314</v>
      </c>
      <c r="H460" s="52" t="s">
        <v>346</v>
      </c>
      <c r="I460" s="52" t="s">
        <v>315</v>
      </c>
      <c r="J460" s="51" t="s">
        <v>365</v>
      </c>
      <c r="K460" s="3" t="s">
        <v>366</v>
      </c>
      <c r="L460" s="3">
        <v>1</v>
      </c>
      <c r="M460" s="36" t="s">
        <v>247</v>
      </c>
      <c r="N460" s="3" t="s">
        <v>345</v>
      </c>
      <c r="O460" s="3">
        <v>244</v>
      </c>
      <c r="P460" s="3">
        <f t="shared" si="24"/>
        <v>0.4098360655737705</v>
      </c>
      <c r="Q460" s="36">
        <v>988.77551020408168</v>
      </c>
      <c r="R460" s="8">
        <f t="shared" si="25"/>
        <v>4.0523586483773846</v>
      </c>
      <c r="S460" s="53">
        <v>988.77551020408168</v>
      </c>
      <c r="T460" s="60">
        <f t="shared" si="26"/>
        <v>0.4098360655737705</v>
      </c>
      <c r="U460" s="111"/>
      <c r="V460" s="36">
        <v>250</v>
      </c>
      <c r="W460" s="3"/>
      <c r="X460" s="3"/>
      <c r="Y460" s="3"/>
      <c r="Z460" s="36"/>
      <c r="AA460" s="36"/>
      <c r="AB460" s="36"/>
      <c r="AC460" s="36"/>
      <c r="AD460" s="36"/>
      <c r="AE460" s="36"/>
    </row>
    <row r="461" spans="1:31" s="38" customFormat="1" ht="20.25" customHeight="1">
      <c r="A461" s="13">
        <v>42263</v>
      </c>
      <c r="B461" s="72" t="s">
        <v>157</v>
      </c>
      <c r="C461" s="165">
        <v>2015</v>
      </c>
      <c r="D461" s="65">
        <v>8</v>
      </c>
      <c r="E461" s="36" t="s">
        <v>223</v>
      </c>
      <c r="F461" s="36" t="s">
        <v>224</v>
      </c>
      <c r="G461" s="36" t="s">
        <v>225</v>
      </c>
      <c r="H461" s="36" t="s">
        <v>226</v>
      </c>
      <c r="I461" s="36" t="s">
        <v>239</v>
      </c>
      <c r="J461" s="36" t="s">
        <v>240</v>
      </c>
      <c r="K461" s="3"/>
      <c r="L461" s="3">
        <v>57</v>
      </c>
      <c r="M461" s="3" t="s">
        <v>229</v>
      </c>
      <c r="N461" s="3" t="s">
        <v>240</v>
      </c>
      <c r="O461" s="3">
        <v>244</v>
      </c>
      <c r="P461" s="3">
        <f t="shared" si="24"/>
        <v>23.360655737704921</v>
      </c>
      <c r="Q461" s="36">
        <v>988.77551020408168</v>
      </c>
      <c r="R461" s="8">
        <f t="shared" si="25"/>
        <v>230.98444295751094</v>
      </c>
      <c r="S461" s="53">
        <v>988.77551020408168</v>
      </c>
      <c r="T461" s="60">
        <f t="shared" si="26"/>
        <v>23.360655737704924</v>
      </c>
      <c r="U461" s="111"/>
      <c r="V461" s="3">
        <v>250</v>
      </c>
      <c r="W461" s="3"/>
      <c r="X461" s="3"/>
      <c r="Y461" s="67"/>
      <c r="Z461" s="36"/>
      <c r="AA461" s="36"/>
      <c r="AB461" s="36"/>
      <c r="AC461" s="36"/>
      <c r="AD461" s="36"/>
      <c r="AE461" s="36"/>
    </row>
    <row r="462" spans="1:31" s="38" customFormat="1" ht="20.25" customHeight="1">
      <c r="A462" s="71">
        <v>42263</v>
      </c>
      <c r="B462" s="72" t="s">
        <v>157</v>
      </c>
      <c r="C462" s="165">
        <v>2015</v>
      </c>
      <c r="D462" s="65">
        <v>8</v>
      </c>
      <c r="E462" s="3" t="s">
        <v>223</v>
      </c>
      <c r="F462" s="3" t="s">
        <v>224</v>
      </c>
      <c r="G462" s="3" t="s">
        <v>225</v>
      </c>
      <c r="H462" s="3" t="s">
        <v>248</v>
      </c>
      <c r="I462" s="3" t="s">
        <v>249</v>
      </c>
      <c r="J462" s="3" t="s">
        <v>250</v>
      </c>
      <c r="K462" s="3"/>
      <c r="L462" s="3">
        <v>4</v>
      </c>
      <c r="M462" s="3" t="s">
        <v>229</v>
      </c>
      <c r="N462" s="3" t="s">
        <v>250</v>
      </c>
      <c r="O462" s="3">
        <v>244</v>
      </c>
      <c r="P462" s="3">
        <f t="shared" si="24"/>
        <v>1.639344262295082</v>
      </c>
      <c r="Q462" s="36">
        <v>988.77551020408168</v>
      </c>
      <c r="R462" s="8">
        <f t="shared" si="25"/>
        <v>16.209434593509538</v>
      </c>
      <c r="S462" s="53">
        <v>988.77551020408168</v>
      </c>
      <c r="T462" s="60">
        <f t="shared" si="26"/>
        <v>1.639344262295082</v>
      </c>
      <c r="U462" s="111"/>
      <c r="V462" s="36">
        <v>250</v>
      </c>
      <c r="W462" s="3"/>
      <c r="X462" s="3"/>
      <c r="Y462" s="3"/>
      <c r="Z462" s="36"/>
      <c r="AA462" s="36"/>
      <c r="AB462" s="36"/>
      <c r="AC462" s="36"/>
      <c r="AD462" s="36"/>
      <c r="AE462" s="36"/>
    </row>
    <row r="463" spans="1:31" s="38" customFormat="1" ht="20.25" customHeight="1">
      <c r="A463" s="13">
        <v>42263</v>
      </c>
      <c r="B463" s="72" t="s">
        <v>157</v>
      </c>
      <c r="C463" s="165">
        <v>2015</v>
      </c>
      <c r="D463" s="65">
        <v>8</v>
      </c>
      <c r="E463" s="51" t="s">
        <v>216</v>
      </c>
      <c r="F463" s="3" t="s">
        <v>217</v>
      </c>
      <c r="G463" s="3"/>
      <c r="H463" s="51"/>
      <c r="I463" s="51"/>
      <c r="J463" s="51" t="s">
        <v>653</v>
      </c>
      <c r="K463" s="3"/>
      <c r="L463" s="3">
        <v>7</v>
      </c>
      <c r="M463" s="36" t="s">
        <v>229</v>
      </c>
      <c r="N463" s="3" t="s">
        <v>219</v>
      </c>
      <c r="O463" s="3">
        <v>244</v>
      </c>
      <c r="P463" s="3">
        <f t="shared" si="24"/>
        <v>2.8688524590163933</v>
      </c>
      <c r="Q463" s="36">
        <v>988.77551020408168</v>
      </c>
      <c r="R463" s="8">
        <f t="shared" si="25"/>
        <v>28.366510538641684</v>
      </c>
      <c r="S463" s="53">
        <v>988.77551020408168</v>
      </c>
      <c r="T463" s="60">
        <f t="shared" si="26"/>
        <v>2.8688524590163933</v>
      </c>
      <c r="U463" s="111"/>
      <c r="V463" s="3">
        <v>250</v>
      </c>
      <c r="W463" s="3"/>
      <c r="X463" s="3"/>
      <c r="Y463" s="3"/>
      <c r="Z463" s="36"/>
      <c r="AA463" s="36"/>
      <c r="AB463" s="36"/>
      <c r="AC463" s="36"/>
      <c r="AD463" s="36"/>
      <c r="AE463" s="36"/>
    </row>
    <row r="464" spans="1:31" s="38" customFormat="1" ht="20.25" customHeight="1">
      <c r="A464" s="13">
        <v>42263</v>
      </c>
      <c r="B464" s="72" t="s">
        <v>157</v>
      </c>
      <c r="C464" s="165">
        <v>2015</v>
      </c>
      <c r="D464" s="65">
        <v>8</v>
      </c>
      <c r="E464" s="65" t="s">
        <v>223</v>
      </c>
      <c r="F464" s="65" t="s">
        <v>224</v>
      </c>
      <c r="G464" s="65" t="s">
        <v>225</v>
      </c>
      <c r="H464" s="65" t="s">
        <v>226</v>
      </c>
      <c r="I464" s="65" t="s">
        <v>253</v>
      </c>
      <c r="J464" s="36" t="s">
        <v>256</v>
      </c>
      <c r="K464" s="3"/>
      <c r="L464" s="3">
        <v>33</v>
      </c>
      <c r="M464" s="3" t="s">
        <v>229</v>
      </c>
      <c r="N464" s="3" t="s">
        <v>256</v>
      </c>
      <c r="O464" s="3">
        <v>244</v>
      </c>
      <c r="P464" s="3">
        <f t="shared" si="24"/>
        <v>13.524590163934427</v>
      </c>
      <c r="Q464" s="36">
        <v>988.77551020408168</v>
      </c>
      <c r="R464" s="8">
        <f t="shared" si="25"/>
        <v>133.72783539645368</v>
      </c>
      <c r="S464" s="53">
        <v>988.77551020408168</v>
      </c>
      <c r="T464" s="60">
        <f t="shared" si="26"/>
        <v>13.524590163934427</v>
      </c>
      <c r="U464" s="111"/>
      <c r="V464" s="3">
        <v>250</v>
      </c>
      <c r="W464" s="3"/>
      <c r="X464" s="3"/>
      <c r="Y464" s="3"/>
      <c r="Z464" s="36"/>
      <c r="AA464" s="36"/>
      <c r="AB464" s="36"/>
      <c r="AC464" s="36"/>
      <c r="AD464" s="36"/>
      <c r="AE464" s="36"/>
    </row>
    <row r="465" spans="1:31" s="38" customFormat="1" ht="20.25" customHeight="1">
      <c r="A465" s="13">
        <v>42263</v>
      </c>
      <c r="B465" s="35" t="s">
        <v>157</v>
      </c>
      <c r="C465" s="165">
        <v>2015</v>
      </c>
      <c r="D465" s="65">
        <v>8</v>
      </c>
      <c r="E465" s="36" t="s">
        <v>223</v>
      </c>
      <c r="F465" s="36" t="s">
        <v>224</v>
      </c>
      <c r="G465" s="36" t="s">
        <v>225</v>
      </c>
      <c r="H465" s="36" t="s">
        <v>226</v>
      </c>
      <c r="I465" s="54" t="s">
        <v>487</v>
      </c>
      <c r="J465" s="36" t="s">
        <v>486</v>
      </c>
      <c r="K465" s="3"/>
      <c r="L465" s="3">
        <v>2</v>
      </c>
      <c r="M465" s="3" t="s">
        <v>229</v>
      </c>
      <c r="N465" s="3" t="s">
        <v>488</v>
      </c>
      <c r="O465" s="3">
        <v>244</v>
      </c>
      <c r="P465" s="3">
        <f t="shared" si="24"/>
        <v>0.81967213114754101</v>
      </c>
      <c r="Q465" s="36">
        <v>988.77551020408168</v>
      </c>
      <c r="R465" s="8">
        <f t="shared" si="25"/>
        <v>8.1047172967547692</v>
      </c>
      <c r="S465" s="36">
        <v>988.77551020408168</v>
      </c>
      <c r="T465" s="60">
        <f t="shared" si="26"/>
        <v>0.81967213114754101</v>
      </c>
      <c r="U465" s="111"/>
      <c r="V465" s="3">
        <v>250</v>
      </c>
      <c r="W465" s="3" t="s">
        <v>493</v>
      </c>
      <c r="X465" s="3"/>
      <c r="Y465" s="3"/>
      <c r="Z465" s="36"/>
      <c r="AA465" s="36"/>
      <c r="AB465" s="36"/>
      <c r="AC465" s="36"/>
      <c r="AD465" s="36"/>
      <c r="AE465" s="36"/>
    </row>
    <row r="466" spans="1:31" s="38" customFormat="1" ht="20.25" customHeight="1">
      <c r="A466" s="13">
        <v>42263</v>
      </c>
      <c r="B466" s="35" t="s">
        <v>157</v>
      </c>
      <c r="C466" s="165">
        <v>2015</v>
      </c>
      <c r="D466" s="65">
        <v>8</v>
      </c>
      <c r="E466" s="3" t="s">
        <v>223</v>
      </c>
      <c r="F466" s="3" t="s">
        <v>224</v>
      </c>
      <c r="G466" s="3" t="s">
        <v>225</v>
      </c>
      <c r="H466" s="3" t="s">
        <v>226</v>
      </c>
      <c r="I466" s="3" t="s">
        <v>239</v>
      </c>
      <c r="J466" s="3" t="s">
        <v>258</v>
      </c>
      <c r="K466" s="3" t="s">
        <v>259</v>
      </c>
      <c r="L466" s="3">
        <v>2</v>
      </c>
      <c r="M466" s="3" t="s">
        <v>247</v>
      </c>
      <c r="N466" s="3" t="s">
        <v>258</v>
      </c>
      <c r="O466" s="3">
        <v>244</v>
      </c>
      <c r="P466" s="3">
        <f t="shared" si="24"/>
        <v>0.81967213114754101</v>
      </c>
      <c r="Q466" s="36">
        <v>988.77551020408168</v>
      </c>
      <c r="R466" s="8">
        <f t="shared" si="25"/>
        <v>8.1047172967547692</v>
      </c>
      <c r="S466" s="36">
        <v>988.77551020408168</v>
      </c>
      <c r="T466" s="60">
        <f t="shared" si="26"/>
        <v>0.81967213114754101</v>
      </c>
      <c r="U466" s="111"/>
      <c r="V466" s="3">
        <v>250</v>
      </c>
      <c r="W466" s="3"/>
      <c r="X466" s="3"/>
      <c r="Y466" s="3"/>
      <c r="Z466" s="36"/>
      <c r="AA466" s="36"/>
      <c r="AB466" s="36"/>
      <c r="AC466" s="36"/>
      <c r="AD466" s="36"/>
      <c r="AE466" s="36"/>
    </row>
    <row r="467" spans="1:31" s="38" customFormat="1" ht="20.25" customHeight="1">
      <c r="A467" s="13">
        <v>42263</v>
      </c>
      <c r="B467" s="35" t="s">
        <v>157</v>
      </c>
      <c r="C467" s="165">
        <v>2015</v>
      </c>
      <c r="D467" s="65">
        <v>8</v>
      </c>
      <c r="E467" s="36" t="s">
        <v>223</v>
      </c>
      <c r="F467" s="36" t="s">
        <v>224</v>
      </c>
      <c r="G467" s="36" t="s">
        <v>225</v>
      </c>
      <c r="H467" s="36" t="s">
        <v>226</v>
      </c>
      <c r="I467" s="36" t="s">
        <v>261</v>
      </c>
      <c r="J467" s="36" t="s">
        <v>262</v>
      </c>
      <c r="K467" s="3"/>
      <c r="L467" s="3">
        <v>2</v>
      </c>
      <c r="M467" s="3" t="s">
        <v>229</v>
      </c>
      <c r="N467" s="3" t="s">
        <v>264</v>
      </c>
      <c r="O467" s="3">
        <v>244</v>
      </c>
      <c r="P467" s="3">
        <f t="shared" si="24"/>
        <v>0.81967213114754101</v>
      </c>
      <c r="Q467" s="36">
        <v>988.77551020408168</v>
      </c>
      <c r="R467" s="8">
        <f t="shared" si="25"/>
        <v>8.1047172967547692</v>
      </c>
      <c r="S467" s="36">
        <v>988.77551020408168</v>
      </c>
      <c r="T467" s="60">
        <f t="shared" si="26"/>
        <v>0.81967213114754101</v>
      </c>
      <c r="U467" s="111"/>
      <c r="V467" s="36">
        <v>250</v>
      </c>
      <c r="W467" s="3"/>
      <c r="X467" s="3"/>
      <c r="Y467" s="3"/>
      <c r="Z467" s="36"/>
      <c r="AA467" s="36"/>
      <c r="AB467" s="36"/>
      <c r="AC467" s="36"/>
      <c r="AD467" s="36"/>
      <c r="AE467" s="36"/>
    </row>
    <row r="468" spans="1:31" s="38" customFormat="1" ht="20.25" customHeight="1">
      <c r="A468" s="71">
        <v>42263</v>
      </c>
      <c r="B468" s="35" t="s">
        <v>157</v>
      </c>
      <c r="C468" s="165">
        <v>2015</v>
      </c>
      <c r="D468" s="65">
        <v>8</v>
      </c>
      <c r="E468" s="65" t="s">
        <v>223</v>
      </c>
      <c r="F468" s="65" t="s">
        <v>224</v>
      </c>
      <c r="G468" s="65" t="s">
        <v>225</v>
      </c>
      <c r="H468" s="65"/>
      <c r="I468" s="51"/>
      <c r="J468" s="3"/>
      <c r="K468" s="3"/>
      <c r="L468" s="3">
        <v>2</v>
      </c>
      <c r="M468" s="3" t="s">
        <v>328</v>
      </c>
      <c r="N468" s="36" t="s">
        <v>370</v>
      </c>
      <c r="O468" s="3">
        <v>244</v>
      </c>
      <c r="P468" s="3">
        <f t="shared" si="24"/>
        <v>0.81967213114754101</v>
      </c>
      <c r="Q468" s="36">
        <v>988.77551020408168</v>
      </c>
      <c r="R468" s="8">
        <f t="shared" si="25"/>
        <v>8.1047172967547692</v>
      </c>
      <c r="S468" s="36">
        <v>988.77551020408168</v>
      </c>
      <c r="T468" s="60">
        <f t="shared" si="26"/>
        <v>0.81967213114754101</v>
      </c>
      <c r="U468" s="111"/>
      <c r="V468" s="3">
        <v>250</v>
      </c>
      <c r="W468" s="3"/>
      <c r="X468" s="3"/>
      <c r="Y468" s="3"/>
      <c r="Z468" s="36"/>
      <c r="AA468" s="36"/>
      <c r="AB468" s="36"/>
      <c r="AC468" s="36"/>
      <c r="AD468" s="36"/>
      <c r="AE468" s="36"/>
    </row>
    <row r="469" spans="1:31" s="38" customFormat="1" ht="20.25" customHeight="1">
      <c r="A469" s="13">
        <v>42263</v>
      </c>
      <c r="B469" s="35" t="s">
        <v>157</v>
      </c>
      <c r="C469" s="165">
        <v>2015</v>
      </c>
      <c r="D469" s="36">
        <v>5</v>
      </c>
      <c r="E469" s="3" t="s">
        <v>223</v>
      </c>
      <c r="F469" s="3" t="s">
        <v>224</v>
      </c>
      <c r="G469" s="3" t="s">
        <v>225</v>
      </c>
      <c r="H469" s="3" t="s">
        <v>226</v>
      </c>
      <c r="I469" s="3" t="s">
        <v>227</v>
      </c>
      <c r="J469" s="3" t="s">
        <v>228</v>
      </c>
      <c r="K469" s="3"/>
      <c r="L469" s="36">
        <v>109</v>
      </c>
      <c r="M469" s="3" t="s">
        <v>229</v>
      </c>
      <c r="N469" s="3" t="s">
        <v>228</v>
      </c>
      <c r="O469" s="3">
        <v>222</v>
      </c>
      <c r="P469" s="3">
        <f t="shared" si="24"/>
        <v>49.099099099099099</v>
      </c>
      <c r="Q469" s="36">
        <v>715.21335807050093</v>
      </c>
      <c r="R469" s="8">
        <f t="shared" si="25"/>
        <v>351.16331544902971</v>
      </c>
      <c r="S469" s="36">
        <v>715.4155779959043</v>
      </c>
      <c r="T469" s="60">
        <f t="shared" si="26"/>
        <v>49.085220709443384</v>
      </c>
      <c r="U469" s="111"/>
      <c r="V469" s="3">
        <v>250</v>
      </c>
      <c r="W469" s="3" t="s">
        <v>485</v>
      </c>
      <c r="X469" s="3"/>
      <c r="Y469" s="3"/>
      <c r="Z469" s="36"/>
      <c r="AA469" s="36"/>
      <c r="AB469" s="36"/>
      <c r="AC469" s="36"/>
      <c r="AD469" s="36"/>
      <c r="AE469" s="36"/>
    </row>
    <row r="470" spans="1:31" s="38" customFormat="1" ht="20.25" customHeight="1">
      <c r="A470" s="35">
        <v>42263</v>
      </c>
      <c r="B470" s="72" t="s">
        <v>157</v>
      </c>
      <c r="C470" s="165">
        <v>2015</v>
      </c>
      <c r="D470" s="76">
        <v>5</v>
      </c>
      <c r="E470" s="36" t="s">
        <v>223</v>
      </c>
      <c r="F470" s="36" t="s">
        <v>267</v>
      </c>
      <c r="G470" s="36" t="s">
        <v>278</v>
      </c>
      <c r="H470" s="36" t="s">
        <v>269</v>
      </c>
      <c r="I470" s="36" t="s">
        <v>333</v>
      </c>
      <c r="J470" s="36" t="s">
        <v>334</v>
      </c>
      <c r="K470" s="36"/>
      <c r="L470" s="36">
        <v>1</v>
      </c>
      <c r="M470" s="36" t="s">
        <v>229</v>
      </c>
      <c r="N470" s="36" t="s">
        <v>270</v>
      </c>
      <c r="O470" s="36">
        <v>3</v>
      </c>
      <c r="P470" s="36">
        <f t="shared" si="24"/>
        <v>33.333333333333329</v>
      </c>
      <c r="Q470" s="36">
        <v>0.2022199254033164</v>
      </c>
      <c r="R470" s="40">
        <f t="shared" si="25"/>
        <v>6.7406641801105449E-2</v>
      </c>
      <c r="S470" s="36">
        <v>715.4155779959043</v>
      </c>
      <c r="T470" s="60">
        <f t="shared" si="26"/>
        <v>9.4220260047917694E-3</v>
      </c>
      <c r="U470" s="111">
        <f>SUM(T483+T487)</f>
        <v>35.100071871954242</v>
      </c>
      <c r="V470" s="36">
        <v>1000</v>
      </c>
      <c r="W470" s="36"/>
      <c r="X470" s="36"/>
      <c r="Y470" s="3"/>
      <c r="Z470" s="36"/>
      <c r="AA470" s="36"/>
      <c r="AB470" s="36"/>
      <c r="AC470" s="36"/>
      <c r="AD470" s="36"/>
      <c r="AE470" s="36"/>
    </row>
    <row r="471" spans="1:31" s="38" customFormat="1" ht="20.25" customHeight="1">
      <c r="A471" s="35">
        <v>42263</v>
      </c>
      <c r="B471" s="72" t="s">
        <v>157</v>
      </c>
      <c r="C471" s="165">
        <v>2015</v>
      </c>
      <c r="D471" s="76">
        <v>5</v>
      </c>
      <c r="E471" s="65" t="s">
        <v>209</v>
      </c>
      <c r="F471" s="65" t="s">
        <v>210</v>
      </c>
      <c r="G471" s="65"/>
      <c r="H471" s="65" t="s">
        <v>211</v>
      </c>
      <c r="I471" s="65" t="s">
        <v>212</v>
      </c>
      <c r="J471" s="36" t="s">
        <v>213</v>
      </c>
      <c r="K471" s="36" t="s">
        <v>214</v>
      </c>
      <c r="L471" s="36">
        <v>1</v>
      </c>
      <c r="M471" s="36" t="s">
        <v>247</v>
      </c>
      <c r="N471" s="36" t="s">
        <v>215</v>
      </c>
      <c r="O471" s="36">
        <v>3</v>
      </c>
      <c r="P471" s="36">
        <f t="shared" si="24"/>
        <v>33.333333333333329</v>
      </c>
      <c r="Q471" s="36">
        <v>0.2022199254033164</v>
      </c>
      <c r="R471" s="40">
        <f t="shared" si="25"/>
        <v>6.7406641801105449E-2</v>
      </c>
      <c r="S471" s="36">
        <v>715.4155779959043</v>
      </c>
      <c r="T471" s="60">
        <f t="shared" si="26"/>
        <v>9.4220260047917694E-3</v>
      </c>
      <c r="U471" s="111"/>
      <c r="V471" s="65">
        <v>1000</v>
      </c>
      <c r="W471" s="65"/>
      <c r="X471" s="65"/>
      <c r="Y471" s="51"/>
      <c r="Z471" s="36"/>
      <c r="AA471" s="36"/>
      <c r="AB471" s="36"/>
      <c r="AC471" s="36"/>
      <c r="AD471" s="36"/>
      <c r="AE471" s="36"/>
    </row>
    <row r="472" spans="1:31" s="38" customFormat="1" ht="20.25" customHeight="1">
      <c r="A472" s="35">
        <v>42263</v>
      </c>
      <c r="B472" s="35" t="s">
        <v>157</v>
      </c>
      <c r="C472" s="165">
        <v>2015</v>
      </c>
      <c r="D472" s="36">
        <v>5</v>
      </c>
      <c r="E472" s="36" t="s">
        <v>209</v>
      </c>
      <c r="F472" s="36" t="s">
        <v>210</v>
      </c>
      <c r="G472" s="36"/>
      <c r="H472" s="36" t="s">
        <v>211</v>
      </c>
      <c r="I472" s="65" t="s">
        <v>212</v>
      </c>
      <c r="J472" s="65" t="s">
        <v>213</v>
      </c>
      <c r="K472" s="36" t="s">
        <v>214</v>
      </c>
      <c r="L472" s="36">
        <v>11</v>
      </c>
      <c r="M472" s="36" t="s">
        <v>247</v>
      </c>
      <c r="N472" s="36" t="s">
        <v>215</v>
      </c>
      <c r="O472" s="36">
        <v>222</v>
      </c>
      <c r="P472" s="3">
        <f t="shared" si="24"/>
        <v>4.954954954954955</v>
      </c>
      <c r="Q472" s="36">
        <v>715.21335807050093</v>
      </c>
      <c r="R472" s="8">
        <f t="shared" si="25"/>
        <v>35.438499724214012</v>
      </c>
      <c r="S472" s="65">
        <v>715.4155779959043</v>
      </c>
      <c r="T472" s="60">
        <f t="shared" si="26"/>
        <v>4.9535543835218094</v>
      </c>
      <c r="U472" s="111"/>
      <c r="V472" s="51">
        <v>250</v>
      </c>
      <c r="W472" s="65"/>
      <c r="X472" s="65"/>
      <c r="Y472" s="51"/>
      <c r="Z472" s="36"/>
      <c r="AA472" s="36"/>
      <c r="AB472" s="36"/>
      <c r="AC472" s="36"/>
      <c r="AD472" s="36"/>
      <c r="AE472" s="36"/>
    </row>
    <row r="473" spans="1:31" s="38" customFormat="1" ht="20.25" customHeight="1">
      <c r="A473" s="13">
        <v>42263</v>
      </c>
      <c r="B473" s="72" t="s">
        <v>157</v>
      </c>
      <c r="C473" s="165">
        <v>2015</v>
      </c>
      <c r="D473" s="36">
        <v>5</v>
      </c>
      <c r="E473" s="3" t="s">
        <v>223</v>
      </c>
      <c r="F473" s="3" t="s">
        <v>303</v>
      </c>
      <c r="G473" s="3" t="s">
        <v>304</v>
      </c>
      <c r="H473" s="3" t="s">
        <v>305</v>
      </c>
      <c r="I473" s="3" t="s">
        <v>306</v>
      </c>
      <c r="J473" s="3" t="s">
        <v>307</v>
      </c>
      <c r="K473" s="3"/>
      <c r="L473" s="36">
        <v>10</v>
      </c>
      <c r="M473" s="3" t="s">
        <v>229</v>
      </c>
      <c r="N473" s="3" t="s">
        <v>307</v>
      </c>
      <c r="O473" s="3">
        <v>222</v>
      </c>
      <c r="P473" s="3">
        <f t="shared" si="24"/>
        <v>4.5045045045045047</v>
      </c>
      <c r="Q473" s="36">
        <v>715.21335807050093</v>
      </c>
      <c r="R473" s="8">
        <f t="shared" si="25"/>
        <v>32.216817931103648</v>
      </c>
      <c r="S473" s="36">
        <v>715.4155779959043</v>
      </c>
      <c r="T473" s="60">
        <f t="shared" si="26"/>
        <v>4.5032312577470996</v>
      </c>
      <c r="U473" s="111"/>
      <c r="V473" s="36">
        <v>250</v>
      </c>
      <c r="W473" s="36" t="s">
        <v>308</v>
      </c>
      <c r="X473" s="3"/>
      <c r="Y473" s="3"/>
      <c r="Z473" s="36"/>
      <c r="AA473" s="36"/>
      <c r="AB473" s="36"/>
      <c r="AC473" s="36"/>
      <c r="AD473" s="36"/>
      <c r="AE473" s="36"/>
    </row>
    <row r="474" spans="1:31" s="38" customFormat="1" ht="20.25" customHeight="1">
      <c r="A474" s="13">
        <v>42263</v>
      </c>
      <c r="B474" s="72" t="s">
        <v>157</v>
      </c>
      <c r="C474" s="165">
        <v>2015</v>
      </c>
      <c r="D474" s="36">
        <v>5</v>
      </c>
      <c r="E474" s="3" t="s">
        <v>223</v>
      </c>
      <c r="F474" s="3" t="s">
        <v>303</v>
      </c>
      <c r="G474" s="3" t="s">
        <v>304</v>
      </c>
      <c r="H474" s="3" t="s">
        <v>305</v>
      </c>
      <c r="I474" s="3" t="s">
        <v>306</v>
      </c>
      <c r="J474" s="3" t="s">
        <v>307</v>
      </c>
      <c r="K474" s="3"/>
      <c r="L474" s="36">
        <v>7</v>
      </c>
      <c r="M474" s="3" t="s">
        <v>229</v>
      </c>
      <c r="N474" s="3" t="s">
        <v>307</v>
      </c>
      <c r="O474" s="3">
        <v>222</v>
      </c>
      <c r="P474" s="3">
        <f t="shared" si="24"/>
        <v>3.1531531531531529</v>
      </c>
      <c r="Q474" s="36">
        <v>715.21335807050093</v>
      </c>
      <c r="R474" s="8">
        <f t="shared" si="25"/>
        <v>22.551772551772551</v>
      </c>
      <c r="S474" s="36">
        <v>715.4155779959043</v>
      </c>
      <c r="T474" s="60">
        <f t="shared" si="26"/>
        <v>3.1522618804229698</v>
      </c>
      <c r="U474" s="111"/>
      <c r="V474" s="3">
        <v>250</v>
      </c>
      <c r="W474" s="36" t="s">
        <v>620</v>
      </c>
      <c r="X474" s="3"/>
      <c r="Y474" s="3"/>
      <c r="Z474" s="36"/>
      <c r="AA474" s="36"/>
      <c r="AB474" s="36"/>
      <c r="AC474" s="36"/>
      <c r="AD474" s="36"/>
      <c r="AE474" s="36"/>
    </row>
    <row r="475" spans="1:31" s="38" customFormat="1" ht="20.25" customHeight="1">
      <c r="A475" s="35">
        <v>42263</v>
      </c>
      <c r="B475" s="35" t="s">
        <v>157</v>
      </c>
      <c r="C475" s="165">
        <v>2015</v>
      </c>
      <c r="D475" s="36">
        <v>5</v>
      </c>
      <c r="E475" s="65" t="s">
        <v>295</v>
      </c>
      <c r="F475" s="36" t="s">
        <v>296</v>
      </c>
      <c r="G475" s="36"/>
      <c r="H475" s="65" t="s">
        <v>297</v>
      </c>
      <c r="I475" s="65" t="s">
        <v>298</v>
      </c>
      <c r="J475" s="65" t="s">
        <v>299</v>
      </c>
      <c r="K475" s="36"/>
      <c r="L475" s="36">
        <v>2</v>
      </c>
      <c r="M475" s="36" t="s">
        <v>229</v>
      </c>
      <c r="N475" s="36" t="s">
        <v>479</v>
      </c>
      <c r="O475" s="36">
        <v>222</v>
      </c>
      <c r="P475" s="36">
        <f t="shared" si="24"/>
        <v>0.90090090090090091</v>
      </c>
      <c r="Q475" s="65">
        <v>715.21335807050093</v>
      </c>
      <c r="R475" s="8">
        <f t="shared" si="25"/>
        <v>6.4433635862207295</v>
      </c>
      <c r="S475" s="65">
        <v>715.4155779959043</v>
      </c>
      <c r="T475" s="60">
        <f t="shared" si="26"/>
        <v>0.90064625154942013</v>
      </c>
      <c r="U475" s="111"/>
      <c r="V475" s="36">
        <v>250</v>
      </c>
      <c r="W475" s="36"/>
      <c r="X475" s="36"/>
      <c r="Y475" s="3"/>
      <c r="Z475" s="36"/>
      <c r="AA475" s="36"/>
      <c r="AB475" s="36"/>
      <c r="AC475" s="36"/>
      <c r="AD475" s="36"/>
      <c r="AE475" s="36"/>
    </row>
    <row r="476" spans="1:31" s="38" customFormat="1" ht="20.25" customHeight="1">
      <c r="A476" s="13">
        <v>42263</v>
      </c>
      <c r="B476" s="35" t="s">
        <v>157</v>
      </c>
      <c r="C476" s="165">
        <v>2015</v>
      </c>
      <c r="D476" s="36">
        <v>5</v>
      </c>
      <c r="E476" s="51" t="s">
        <v>223</v>
      </c>
      <c r="F476" s="51" t="s">
        <v>224</v>
      </c>
      <c r="G476" s="51" t="s">
        <v>225</v>
      </c>
      <c r="H476" s="51" t="s">
        <v>226</v>
      </c>
      <c r="I476" s="51" t="s">
        <v>235</v>
      </c>
      <c r="J476" s="3" t="s">
        <v>236</v>
      </c>
      <c r="K476" s="3"/>
      <c r="L476" s="36">
        <v>6</v>
      </c>
      <c r="M476" s="3" t="s">
        <v>229</v>
      </c>
      <c r="N476" s="3" t="s">
        <v>236</v>
      </c>
      <c r="O476" s="3">
        <v>222</v>
      </c>
      <c r="P476" s="3">
        <f t="shared" si="24"/>
        <v>2.7027027027027026</v>
      </c>
      <c r="Q476" s="36">
        <v>715.21335807050093</v>
      </c>
      <c r="R476" s="8">
        <f t="shared" si="25"/>
        <v>19.330090758662188</v>
      </c>
      <c r="S476" s="65">
        <v>715.4155779959043</v>
      </c>
      <c r="T476" s="60">
        <f t="shared" si="26"/>
        <v>2.7019387546482601</v>
      </c>
      <c r="U476" s="111"/>
      <c r="V476" s="3">
        <v>250</v>
      </c>
      <c r="W476" s="3"/>
      <c r="X476" s="3"/>
      <c r="Y476" s="3"/>
      <c r="Z476" s="36"/>
      <c r="AA476" s="36"/>
      <c r="AB476" s="36"/>
      <c r="AC476" s="36"/>
      <c r="AD476" s="36"/>
      <c r="AE476" s="36"/>
    </row>
    <row r="477" spans="1:31" s="38" customFormat="1" ht="20.25" customHeight="1">
      <c r="A477" s="13">
        <v>42263</v>
      </c>
      <c r="B477" s="35" t="s">
        <v>157</v>
      </c>
      <c r="C477" s="165">
        <v>2015</v>
      </c>
      <c r="D477" s="36">
        <v>5</v>
      </c>
      <c r="E477" s="51" t="s">
        <v>223</v>
      </c>
      <c r="F477" s="51" t="s">
        <v>317</v>
      </c>
      <c r="G477" s="51" t="s">
        <v>314</v>
      </c>
      <c r="H477" s="51" t="s">
        <v>346</v>
      </c>
      <c r="I477" s="51" t="s">
        <v>315</v>
      </c>
      <c r="J477" s="3" t="s">
        <v>347</v>
      </c>
      <c r="K477" s="3" t="s">
        <v>480</v>
      </c>
      <c r="L477" s="36">
        <v>1</v>
      </c>
      <c r="M477" s="36" t="s">
        <v>247</v>
      </c>
      <c r="N477" s="3" t="s">
        <v>345</v>
      </c>
      <c r="O477" s="3">
        <v>222</v>
      </c>
      <c r="P477" s="3">
        <f t="shared" si="24"/>
        <v>0.45045045045045046</v>
      </c>
      <c r="Q477" s="36">
        <v>715.21335807050093</v>
      </c>
      <c r="R477" s="8">
        <f t="shared" si="25"/>
        <v>3.2216817931103647</v>
      </c>
      <c r="S477" s="65">
        <v>715.4155779959043</v>
      </c>
      <c r="T477" s="60">
        <f t="shared" si="26"/>
        <v>0.45032312577471006</v>
      </c>
      <c r="U477" s="111"/>
      <c r="V477" s="36">
        <v>250</v>
      </c>
      <c r="W477" s="3"/>
      <c r="X477" s="3"/>
      <c r="Y477" s="3"/>
      <c r="Z477" s="36"/>
      <c r="AA477" s="36"/>
      <c r="AB477" s="36"/>
      <c r="AC477" s="36"/>
      <c r="AD477" s="36"/>
      <c r="AE477" s="36"/>
    </row>
    <row r="478" spans="1:31" s="38" customFormat="1" ht="20.25" customHeight="1">
      <c r="A478" s="13">
        <v>42263</v>
      </c>
      <c r="B478" s="35" t="s">
        <v>157</v>
      </c>
      <c r="C478" s="165">
        <v>2015</v>
      </c>
      <c r="D478" s="36">
        <v>5</v>
      </c>
      <c r="E478" s="65" t="s">
        <v>223</v>
      </c>
      <c r="F478" s="36" t="s">
        <v>310</v>
      </c>
      <c r="G478" s="36" t="s">
        <v>314</v>
      </c>
      <c r="H478" s="65" t="s">
        <v>311</v>
      </c>
      <c r="I478" s="65" t="s">
        <v>315</v>
      </c>
      <c r="J478" s="65" t="s">
        <v>316</v>
      </c>
      <c r="K478" s="36" t="s">
        <v>484</v>
      </c>
      <c r="L478" s="36">
        <v>6</v>
      </c>
      <c r="M478" s="36" t="s">
        <v>247</v>
      </c>
      <c r="N478" s="3" t="s">
        <v>345</v>
      </c>
      <c r="O478" s="3">
        <v>222</v>
      </c>
      <c r="P478" s="3">
        <f t="shared" si="24"/>
        <v>2.7027027027027026</v>
      </c>
      <c r="Q478" s="36">
        <v>715.21335807050093</v>
      </c>
      <c r="R478" s="8">
        <f t="shared" si="25"/>
        <v>19.330090758662188</v>
      </c>
      <c r="S478" s="65">
        <v>715.4155779959043</v>
      </c>
      <c r="T478" s="60">
        <f t="shared" si="26"/>
        <v>2.7019387546482601</v>
      </c>
      <c r="U478" s="111"/>
      <c r="V478" s="3">
        <v>250</v>
      </c>
      <c r="W478" s="3"/>
      <c r="X478" s="3"/>
      <c r="Y478" s="3"/>
      <c r="Z478" s="36"/>
      <c r="AA478" s="36"/>
      <c r="AB478" s="36"/>
      <c r="AC478" s="36"/>
      <c r="AD478" s="36"/>
      <c r="AE478" s="36"/>
    </row>
    <row r="479" spans="1:31" s="38" customFormat="1" ht="20.25" customHeight="1">
      <c r="A479" s="71">
        <v>42263</v>
      </c>
      <c r="B479" s="35" t="s">
        <v>157</v>
      </c>
      <c r="C479" s="165">
        <v>2015</v>
      </c>
      <c r="D479" s="36">
        <v>5</v>
      </c>
      <c r="E479" s="65" t="s">
        <v>223</v>
      </c>
      <c r="F479" s="65" t="s">
        <v>224</v>
      </c>
      <c r="G479" s="65" t="s">
        <v>225</v>
      </c>
      <c r="H479" s="65" t="s">
        <v>226</v>
      </c>
      <c r="I479" s="65" t="s">
        <v>239</v>
      </c>
      <c r="J479" s="36" t="s">
        <v>240</v>
      </c>
      <c r="K479" s="3"/>
      <c r="L479" s="36">
        <v>34</v>
      </c>
      <c r="M479" s="3" t="s">
        <v>229</v>
      </c>
      <c r="N479" s="3" t="s">
        <v>240</v>
      </c>
      <c r="O479" s="3">
        <v>222</v>
      </c>
      <c r="P479" s="3">
        <f t="shared" si="24"/>
        <v>15.315315315315313</v>
      </c>
      <c r="Q479" s="36">
        <v>715.21335807050093</v>
      </c>
      <c r="R479" s="8">
        <f t="shared" si="25"/>
        <v>109.53718096575238</v>
      </c>
      <c r="S479" s="65">
        <v>715.4155779959043</v>
      </c>
      <c r="T479" s="60">
        <f t="shared" si="26"/>
        <v>15.310986276340138</v>
      </c>
      <c r="U479" s="111"/>
      <c r="V479" s="36">
        <v>250</v>
      </c>
      <c r="W479" s="3"/>
      <c r="X479" s="3"/>
      <c r="Y479" s="3"/>
      <c r="Z479" s="36"/>
      <c r="AA479" s="36"/>
      <c r="AB479" s="36"/>
      <c r="AC479" s="36"/>
      <c r="AD479" s="36"/>
      <c r="AE479" s="36"/>
    </row>
    <row r="480" spans="1:31" s="38" customFormat="1" ht="20.25" customHeight="1">
      <c r="A480" s="35">
        <v>42263</v>
      </c>
      <c r="B480" s="35" t="s">
        <v>157</v>
      </c>
      <c r="C480" s="165">
        <v>2015</v>
      </c>
      <c r="D480" s="76">
        <v>5</v>
      </c>
      <c r="E480" s="36" t="s">
        <v>223</v>
      </c>
      <c r="F480" s="36" t="s">
        <v>224</v>
      </c>
      <c r="G480" s="36" t="s">
        <v>225</v>
      </c>
      <c r="H480" s="36" t="s">
        <v>521</v>
      </c>
      <c r="I480" s="36" t="s">
        <v>522</v>
      </c>
      <c r="J480" s="36" t="s">
        <v>523</v>
      </c>
      <c r="K480" s="36" t="s">
        <v>551</v>
      </c>
      <c r="L480" s="36">
        <v>1</v>
      </c>
      <c r="M480" s="36" t="s">
        <v>544</v>
      </c>
      <c r="N480" s="36" t="s">
        <v>524</v>
      </c>
      <c r="O480" s="36">
        <v>3</v>
      </c>
      <c r="P480" s="36">
        <f t="shared" si="24"/>
        <v>33.333333333333329</v>
      </c>
      <c r="Q480" s="36">
        <v>0.2022199254033164</v>
      </c>
      <c r="R480" s="40">
        <f t="shared" si="25"/>
        <v>6.7406641801105449E-2</v>
      </c>
      <c r="S480" s="36">
        <v>715.4155779959043</v>
      </c>
      <c r="T480" s="60">
        <f t="shared" si="26"/>
        <v>9.4220260047917694E-3</v>
      </c>
      <c r="U480" s="111"/>
      <c r="V480" s="36">
        <v>1000</v>
      </c>
      <c r="W480" s="36"/>
      <c r="X480" s="36"/>
      <c r="Y480" s="3"/>
      <c r="Z480" s="36"/>
      <c r="AA480" s="36"/>
      <c r="AB480" s="36"/>
      <c r="AC480" s="36"/>
      <c r="AD480" s="36"/>
      <c r="AE480" s="36"/>
    </row>
    <row r="481" spans="1:31" s="38" customFormat="1" ht="20.25" customHeight="1">
      <c r="A481" s="71">
        <v>42263</v>
      </c>
      <c r="B481" s="72" t="s">
        <v>157</v>
      </c>
      <c r="C481" s="165">
        <v>2015</v>
      </c>
      <c r="D481" s="36">
        <v>5</v>
      </c>
      <c r="E481" s="3" t="s">
        <v>223</v>
      </c>
      <c r="F481" s="3" t="s">
        <v>224</v>
      </c>
      <c r="G481" s="3" t="s">
        <v>225</v>
      </c>
      <c r="H481" s="3" t="s">
        <v>248</v>
      </c>
      <c r="I481" s="3" t="s">
        <v>249</v>
      </c>
      <c r="J481" s="3" t="s">
        <v>250</v>
      </c>
      <c r="K481" s="3"/>
      <c r="L481" s="36">
        <v>3</v>
      </c>
      <c r="M481" s="3" t="s">
        <v>229</v>
      </c>
      <c r="N481" s="3" t="s">
        <v>250</v>
      </c>
      <c r="O481" s="3">
        <v>222</v>
      </c>
      <c r="P481" s="3">
        <f t="shared" si="24"/>
        <v>1.3513513513513513</v>
      </c>
      <c r="Q481" s="36">
        <v>715.21335807050093</v>
      </c>
      <c r="R481" s="8">
        <f t="shared" si="25"/>
        <v>9.6650453793310938</v>
      </c>
      <c r="S481" s="65">
        <v>715.4155779959043</v>
      </c>
      <c r="T481" s="60">
        <f t="shared" si="26"/>
        <v>1.35096937732413</v>
      </c>
      <c r="U481" s="111"/>
      <c r="V481" s="36">
        <v>250</v>
      </c>
      <c r="W481" s="3"/>
      <c r="X481" s="3"/>
      <c r="Y481" s="3"/>
      <c r="Z481" s="36"/>
      <c r="AA481" s="36"/>
      <c r="AB481" s="36"/>
      <c r="AC481" s="36"/>
      <c r="AD481" s="36"/>
      <c r="AE481" s="36"/>
    </row>
    <row r="482" spans="1:31" s="38" customFormat="1" ht="20.25" customHeight="1">
      <c r="A482" s="71">
        <v>42263</v>
      </c>
      <c r="B482" s="72" t="s">
        <v>157</v>
      </c>
      <c r="C482" s="165">
        <v>2015</v>
      </c>
      <c r="D482" s="65">
        <v>5</v>
      </c>
      <c r="E482" s="3" t="s">
        <v>216</v>
      </c>
      <c r="F482" s="3" t="s">
        <v>217</v>
      </c>
      <c r="G482" s="3"/>
      <c r="H482" s="3"/>
      <c r="I482" s="3"/>
      <c r="J482" s="3" t="s">
        <v>219</v>
      </c>
      <c r="K482" s="3"/>
      <c r="L482" s="36">
        <v>2</v>
      </c>
      <c r="M482" s="36" t="s">
        <v>229</v>
      </c>
      <c r="N482" s="3" t="s">
        <v>219</v>
      </c>
      <c r="O482" s="3">
        <v>222</v>
      </c>
      <c r="P482" s="3">
        <f t="shared" si="24"/>
        <v>0.90090090090090091</v>
      </c>
      <c r="Q482" s="36">
        <v>715.21335807050093</v>
      </c>
      <c r="R482" s="8">
        <f t="shared" si="25"/>
        <v>6.4433635862207295</v>
      </c>
      <c r="S482" s="65">
        <v>715.4155779959043</v>
      </c>
      <c r="T482" s="60">
        <f t="shared" si="26"/>
        <v>0.90064625154942013</v>
      </c>
      <c r="U482" s="111"/>
      <c r="V482" s="36">
        <v>250</v>
      </c>
      <c r="W482" s="3"/>
      <c r="X482" s="3"/>
      <c r="Y482" s="3"/>
      <c r="Z482" s="36"/>
      <c r="AA482" s="36"/>
      <c r="AB482" s="36"/>
      <c r="AC482" s="36"/>
      <c r="AD482" s="36"/>
      <c r="AE482" s="36"/>
    </row>
    <row r="483" spans="1:31" s="38" customFormat="1" ht="20.25" customHeight="1">
      <c r="A483" s="71">
        <v>42263</v>
      </c>
      <c r="B483" s="35" t="s">
        <v>157</v>
      </c>
      <c r="C483" s="165">
        <v>2015</v>
      </c>
      <c r="D483" s="65">
        <v>5</v>
      </c>
      <c r="E483" s="65" t="s">
        <v>223</v>
      </c>
      <c r="F483" s="65" t="s">
        <v>224</v>
      </c>
      <c r="G483" s="65" t="s">
        <v>225</v>
      </c>
      <c r="H483" s="65" t="s">
        <v>226</v>
      </c>
      <c r="I483" s="65" t="s">
        <v>253</v>
      </c>
      <c r="J483" s="36" t="s">
        <v>256</v>
      </c>
      <c r="K483" s="3"/>
      <c r="L483" s="36">
        <v>27</v>
      </c>
      <c r="M483" s="3" t="s">
        <v>229</v>
      </c>
      <c r="N483" s="3" t="s">
        <v>256</v>
      </c>
      <c r="O483" s="3">
        <v>222</v>
      </c>
      <c r="P483" s="3">
        <f t="shared" si="24"/>
        <v>12.162162162162163</v>
      </c>
      <c r="Q483" s="36">
        <v>715.21335807050093</v>
      </c>
      <c r="R483" s="8">
        <f t="shared" si="25"/>
        <v>86.985408413979854</v>
      </c>
      <c r="S483" s="65">
        <v>715.4155779959043</v>
      </c>
      <c r="T483" s="60">
        <f t="shared" si="26"/>
        <v>12.15872439591717</v>
      </c>
      <c r="U483" s="111"/>
      <c r="V483" s="3">
        <v>250</v>
      </c>
      <c r="W483" s="3"/>
      <c r="X483" s="3"/>
      <c r="Y483" s="3"/>
      <c r="Z483" s="36"/>
      <c r="AA483" s="36"/>
      <c r="AB483" s="36"/>
      <c r="AC483" s="36"/>
      <c r="AD483" s="36"/>
      <c r="AE483" s="36"/>
    </row>
    <row r="484" spans="1:31" s="38" customFormat="1" ht="20.25" customHeight="1">
      <c r="A484" s="71">
        <v>42263</v>
      </c>
      <c r="B484" s="35" t="s">
        <v>157</v>
      </c>
      <c r="C484" s="165">
        <v>2015</v>
      </c>
      <c r="D484" s="65">
        <v>5</v>
      </c>
      <c r="E484" s="51" t="s">
        <v>223</v>
      </c>
      <c r="F484" s="3" t="s">
        <v>224</v>
      </c>
      <c r="G484" s="3" t="s">
        <v>225</v>
      </c>
      <c r="H484" s="51" t="s">
        <v>226</v>
      </c>
      <c r="I484" s="51" t="s">
        <v>239</v>
      </c>
      <c r="J484" s="51" t="s">
        <v>258</v>
      </c>
      <c r="K484" s="3" t="s">
        <v>259</v>
      </c>
      <c r="L484" s="36">
        <v>1</v>
      </c>
      <c r="M484" s="3" t="s">
        <v>247</v>
      </c>
      <c r="N484" s="3" t="s">
        <v>258</v>
      </c>
      <c r="O484" s="3">
        <v>222</v>
      </c>
      <c r="P484" s="3">
        <f t="shared" si="24"/>
        <v>0.45045045045045046</v>
      </c>
      <c r="Q484" s="36">
        <v>715.21335807050093</v>
      </c>
      <c r="R484" s="8">
        <f t="shared" si="25"/>
        <v>3.2216817931103647</v>
      </c>
      <c r="S484" s="65">
        <v>715.4155779959043</v>
      </c>
      <c r="T484" s="60">
        <f t="shared" si="26"/>
        <v>0.45032312577471006</v>
      </c>
      <c r="U484" s="111"/>
      <c r="V484" s="3">
        <v>250</v>
      </c>
      <c r="W484" s="3"/>
      <c r="X484" s="3"/>
      <c r="Y484" s="3"/>
      <c r="Z484" s="36"/>
      <c r="AA484" s="36"/>
      <c r="AB484" s="36"/>
      <c r="AC484" s="36"/>
      <c r="AD484" s="36"/>
      <c r="AE484" s="36"/>
    </row>
    <row r="485" spans="1:31" s="38" customFormat="1" ht="20.25" customHeight="1">
      <c r="A485" s="71">
        <v>42263</v>
      </c>
      <c r="B485" s="35" t="s">
        <v>157</v>
      </c>
      <c r="C485" s="165">
        <v>2015</v>
      </c>
      <c r="D485" s="65">
        <v>5</v>
      </c>
      <c r="E485" s="36" t="s">
        <v>223</v>
      </c>
      <c r="F485" s="36" t="s">
        <v>224</v>
      </c>
      <c r="G485" s="36" t="s">
        <v>225</v>
      </c>
      <c r="H485" s="36" t="s">
        <v>226</v>
      </c>
      <c r="I485" s="36" t="s">
        <v>261</v>
      </c>
      <c r="J485" s="36" t="s">
        <v>262</v>
      </c>
      <c r="K485" s="3"/>
      <c r="L485" s="36">
        <v>2</v>
      </c>
      <c r="M485" s="3" t="s">
        <v>229</v>
      </c>
      <c r="N485" s="3" t="s">
        <v>264</v>
      </c>
      <c r="O485" s="3">
        <v>222</v>
      </c>
      <c r="P485" s="3">
        <f t="shared" si="24"/>
        <v>0.90090090090090091</v>
      </c>
      <c r="Q485" s="36">
        <v>715.21335807050093</v>
      </c>
      <c r="R485" s="8">
        <f t="shared" si="25"/>
        <v>6.4433635862207295</v>
      </c>
      <c r="S485" s="65">
        <v>715.4155779959043</v>
      </c>
      <c r="T485" s="60">
        <f t="shared" si="26"/>
        <v>0.90064625154942013</v>
      </c>
      <c r="U485" s="111"/>
      <c r="V485" s="36">
        <v>250</v>
      </c>
      <c r="W485" s="3"/>
      <c r="X485" s="3"/>
      <c r="Y485" s="3"/>
      <c r="Z485" s="36"/>
      <c r="AA485" s="36"/>
      <c r="AB485" s="36"/>
      <c r="AC485" s="36"/>
      <c r="AD485" s="36"/>
      <c r="AE485" s="36"/>
    </row>
    <row r="486" spans="1:31" s="38" customFormat="1" ht="20.25" customHeight="1">
      <c r="A486" s="71">
        <v>42263</v>
      </c>
      <c r="B486" s="35" t="s">
        <v>157</v>
      </c>
      <c r="C486" s="165">
        <v>2015</v>
      </c>
      <c r="D486" s="65">
        <v>5</v>
      </c>
      <c r="E486" s="65" t="s">
        <v>328</v>
      </c>
      <c r="F486" s="51"/>
      <c r="G486" s="51"/>
      <c r="H486" s="51"/>
      <c r="I486" s="51"/>
      <c r="J486" s="3"/>
      <c r="K486" s="3"/>
      <c r="L486" s="36">
        <v>1</v>
      </c>
      <c r="M486" s="3" t="s">
        <v>328</v>
      </c>
      <c r="N486" s="3" t="s">
        <v>370</v>
      </c>
      <c r="O486" s="3">
        <v>222</v>
      </c>
      <c r="P486" s="3">
        <f t="shared" si="24"/>
        <v>0.45045045045045046</v>
      </c>
      <c r="Q486" s="36">
        <v>715.21335807050093</v>
      </c>
      <c r="R486" s="8">
        <f t="shared" si="25"/>
        <v>3.2216817931103647</v>
      </c>
      <c r="S486" s="65">
        <v>715.4155779959043</v>
      </c>
      <c r="T486" s="60">
        <f t="shared" si="26"/>
        <v>0.45032312577471006</v>
      </c>
      <c r="U486" s="111"/>
      <c r="V486" s="3">
        <v>250</v>
      </c>
      <c r="W486" s="3"/>
      <c r="X486" s="3"/>
      <c r="Y486" s="3"/>
      <c r="Z486" s="36"/>
      <c r="AA486" s="36"/>
      <c r="AB486" s="36"/>
      <c r="AC486" s="36"/>
      <c r="AD486" s="36"/>
      <c r="AE486" s="36"/>
    </row>
    <row r="487" spans="1:31" s="38" customFormat="1" ht="20.25" customHeight="1">
      <c r="A487" s="13">
        <v>42263</v>
      </c>
      <c r="B487" s="35" t="s">
        <v>157</v>
      </c>
      <c r="C487" s="165">
        <v>2015</v>
      </c>
      <c r="D487" s="36">
        <v>4</v>
      </c>
      <c r="E487" s="51" t="s">
        <v>223</v>
      </c>
      <c r="F487" s="51" t="s">
        <v>224</v>
      </c>
      <c r="G487" s="51" t="s">
        <v>225</v>
      </c>
      <c r="H487" s="51" t="s">
        <v>226</v>
      </c>
      <c r="I487" s="51" t="s">
        <v>227</v>
      </c>
      <c r="J487" s="3" t="s">
        <v>228</v>
      </c>
      <c r="K487" s="3"/>
      <c r="L487" s="3">
        <v>37</v>
      </c>
      <c r="M487" s="3" t="s">
        <v>229</v>
      </c>
      <c r="N487" s="36" t="s">
        <v>228</v>
      </c>
      <c r="O487" s="3">
        <v>161</v>
      </c>
      <c r="P487" s="3">
        <f t="shared" si="24"/>
        <v>22.981366459627328</v>
      </c>
      <c r="Q487" s="65">
        <v>1930.5048335123522</v>
      </c>
      <c r="R487" s="8">
        <f t="shared" si="25"/>
        <v>443.65639031029212</v>
      </c>
      <c r="S487" s="36">
        <v>1933.8724143109055</v>
      </c>
      <c r="T487" s="60">
        <f t="shared" si="26"/>
        <v>22.941347476037073</v>
      </c>
      <c r="U487" s="111"/>
      <c r="V487" s="36">
        <v>250</v>
      </c>
      <c r="W487" s="3"/>
      <c r="X487" s="3"/>
      <c r="Y487" s="3"/>
      <c r="Z487" s="36"/>
      <c r="AA487" s="36"/>
      <c r="AB487" s="36"/>
      <c r="AC487" s="36"/>
      <c r="AD487" s="36"/>
      <c r="AE487" s="36"/>
    </row>
    <row r="488" spans="1:31" s="61" customFormat="1" ht="20.25" customHeight="1">
      <c r="A488" s="35">
        <v>42263</v>
      </c>
      <c r="B488" s="35" t="s">
        <v>157</v>
      </c>
      <c r="C488" s="165">
        <v>2015</v>
      </c>
      <c r="D488" s="76">
        <v>4</v>
      </c>
      <c r="E488" s="65" t="s">
        <v>209</v>
      </c>
      <c r="F488" s="65" t="s">
        <v>210</v>
      </c>
      <c r="G488" s="65"/>
      <c r="H488" s="65" t="s">
        <v>211</v>
      </c>
      <c r="I488" s="65" t="s">
        <v>212</v>
      </c>
      <c r="J488" s="36" t="s">
        <v>213</v>
      </c>
      <c r="K488" s="36" t="s">
        <v>214</v>
      </c>
      <c r="L488" s="36">
        <v>2</v>
      </c>
      <c r="M488" s="36" t="s">
        <v>247</v>
      </c>
      <c r="N488" s="36" t="s">
        <v>215</v>
      </c>
      <c r="O488" s="36">
        <v>36</v>
      </c>
      <c r="P488" s="36">
        <f t="shared" si="24"/>
        <v>5.5555555555555554</v>
      </c>
      <c r="Q488" s="65">
        <v>3.3675807985531878</v>
      </c>
      <c r="R488" s="40">
        <f t="shared" si="25"/>
        <v>0.18708782214184375</v>
      </c>
      <c r="S488" s="65">
        <v>1933.8724143109055</v>
      </c>
      <c r="T488" s="60">
        <f t="shared" si="26"/>
        <v>9.6742587958424612E-3</v>
      </c>
      <c r="U488" s="111">
        <f>SUM(T492+T498)</f>
        <v>62.623678245398509</v>
      </c>
      <c r="V488" s="36">
        <v>1000</v>
      </c>
      <c r="W488" s="36"/>
      <c r="X488" s="36"/>
      <c r="Y488" s="3"/>
      <c r="Z488" s="57"/>
      <c r="AA488" s="57"/>
      <c r="AB488" s="57"/>
      <c r="AC488" s="57"/>
      <c r="AD488" s="57"/>
      <c r="AE488" s="57"/>
    </row>
    <row r="489" spans="1:31" s="38" customFormat="1" ht="20.25" customHeight="1">
      <c r="A489" s="13">
        <v>42263</v>
      </c>
      <c r="B489" s="72" t="s">
        <v>157</v>
      </c>
      <c r="C489" s="165">
        <v>2015</v>
      </c>
      <c r="D489" s="36">
        <v>4</v>
      </c>
      <c r="E489" s="3" t="s">
        <v>223</v>
      </c>
      <c r="F489" s="3" t="s">
        <v>303</v>
      </c>
      <c r="G489" s="3" t="s">
        <v>304</v>
      </c>
      <c r="H489" s="3" t="s">
        <v>305</v>
      </c>
      <c r="I489" s="3" t="s">
        <v>306</v>
      </c>
      <c r="J489" s="3" t="s">
        <v>307</v>
      </c>
      <c r="K489" s="3"/>
      <c r="L489" s="3">
        <v>7</v>
      </c>
      <c r="M489" s="3" t="s">
        <v>229</v>
      </c>
      <c r="N489" s="3" t="s">
        <v>307</v>
      </c>
      <c r="O489" s="3">
        <v>161</v>
      </c>
      <c r="P489" s="3">
        <f t="shared" si="24"/>
        <v>4.3478260869565215</v>
      </c>
      <c r="Q489" s="65">
        <v>1930.5048335123522</v>
      </c>
      <c r="R489" s="8">
        <f t="shared" si="25"/>
        <v>83.934992761406619</v>
      </c>
      <c r="S489" s="36">
        <v>1933.8724143109055</v>
      </c>
      <c r="T489" s="60">
        <f t="shared" si="26"/>
        <v>4.340254927898906</v>
      </c>
      <c r="U489" s="111"/>
      <c r="V489" s="36">
        <v>250</v>
      </c>
      <c r="W489" s="36" t="s">
        <v>308</v>
      </c>
      <c r="X489" s="3"/>
      <c r="Y489" s="3"/>
      <c r="Z489" s="36"/>
      <c r="AA489" s="36"/>
      <c r="AB489" s="36"/>
      <c r="AC489" s="36"/>
      <c r="AD489" s="36"/>
      <c r="AE489" s="36"/>
    </row>
    <row r="490" spans="1:31" s="38" customFormat="1" ht="20.25" customHeight="1">
      <c r="A490" s="13">
        <v>42263</v>
      </c>
      <c r="B490" s="35" t="s">
        <v>157</v>
      </c>
      <c r="C490" s="165">
        <v>2015</v>
      </c>
      <c r="D490" s="36">
        <v>4</v>
      </c>
      <c r="E490" s="51" t="s">
        <v>223</v>
      </c>
      <c r="F490" s="51" t="s">
        <v>224</v>
      </c>
      <c r="G490" s="51" t="s">
        <v>225</v>
      </c>
      <c r="H490" s="51" t="s">
        <v>226</v>
      </c>
      <c r="I490" s="51" t="s">
        <v>235</v>
      </c>
      <c r="J490" s="51" t="s">
        <v>236</v>
      </c>
      <c r="K490" s="3"/>
      <c r="L490" s="3">
        <v>12</v>
      </c>
      <c r="M490" s="3" t="s">
        <v>229</v>
      </c>
      <c r="N490" s="36" t="s">
        <v>236</v>
      </c>
      <c r="O490" s="3">
        <v>161</v>
      </c>
      <c r="P490" s="3">
        <f t="shared" si="24"/>
        <v>7.4534161490683228</v>
      </c>
      <c r="Q490" s="65">
        <v>1930.5048335123522</v>
      </c>
      <c r="R490" s="8">
        <f t="shared" si="25"/>
        <v>143.88855901955421</v>
      </c>
      <c r="S490" s="36">
        <v>1933.8724143109055</v>
      </c>
      <c r="T490" s="60">
        <f t="shared" si="26"/>
        <v>7.4404370192552678</v>
      </c>
      <c r="U490" s="111"/>
      <c r="V490" s="3">
        <v>250</v>
      </c>
      <c r="W490" s="3"/>
      <c r="X490" s="3"/>
      <c r="Y490" s="3"/>
      <c r="Z490" s="36"/>
      <c r="AA490" s="36"/>
      <c r="AB490" s="36"/>
      <c r="AC490" s="36"/>
      <c r="AD490" s="36"/>
      <c r="AE490" s="36"/>
    </row>
    <row r="491" spans="1:31" s="38" customFormat="1" ht="20.25" customHeight="1">
      <c r="A491" s="35">
        <v>42263</v>
      </c>
      <c r="B491" s="35" t="s">
        <v>157</v>
      </c>
      <c r="C491" s="165">
        <v>2015</v>
      </c>
      <c r="D491" s="36">
        <v>4</v>
      </c>
      <c r="E491" s="65" t="s">
        <v>223</v>
      </c>
      <c r="F491" s="65" t="s">
        <v>267</v>
      </c>
      <c r="G491" s="65"/>
      <c r="H491" s="65" t="s">
        <v>273</v>
      </c>
      <c r="I491" s="65" t="s">
        <v>274</v>
      </c>
      <c r="J491" s="36" t="s">
        <v>275</v>
      </c>
      <c r="K491" s="36" t="s">
        <v>276</v>
      </c>
      <c r="L491" s="36">
        <v>5</v>
      </c>
      <c r="M491" s="36" t="s">
        <v>247</v>
      </c>
      <c r="N491" s="36" t="s">
        <v>519</v>
      </c>
      <c r="O491" s="36">
        <v>36</v>
      </c>
      <c r="P491" s="36">
        <f t="shared" si="24"/>
        <v>13.888888888888889</v>
      </c>
      <c r="Q491" s="65">
        <v>3.3675807985531878</v>
      </c>
      <c r="R491" s="40">
        <f t="shared" si="25"/>
        <v>0.46771955535460946</v>
      </c>
      <c r="S491" s="65">
        <v>1933.8724143109055</v>
      </c>
      <c r="T491" s="60">
        <f t="shared" si="26"/>
        <v>2.4185646989606159E-2</v>
      </c>
      <c r="U491" s="111"/>
      <c r="V491" s="36">
        <v>1000</v>
      </c>
      <c r="W491" s="36"/>
      <c r="X491" s="36"/>
      <c r="Y491" s="3"/>
      <c r="Z491" s="36"/>
      <c r="AA491" s="36"/>
      <c r="AB491" s="36"/>
      <c r="AC491" s="36"/>
      <c r="AD491" s="36"/>
      <c r="AE491" s="36"/>
    </row>
    <row r="492" spans="1:31" s="38" customFormat="1" ht="20.25" customHeight="1">
      <c r="A492" s="13">
        <v>42263</v>
      </c>
      <c r="B492" s="35" t="s">
        <v>157</v>
      </c>
      <c r="C492" s="165">
        <v>2015</v>
      </c>
      <c r="D492" s="36">
        <v>4</v>
      </c>
      <c r="E492" s="36" t="s">
        <v>223</v>
      </c>
      <c r="F492" s="36" t="s">
        <v>224</v>
      </c>
      <c r="G492" s="36" t="s">
        <v>225</v>
      </c>
      <c r="H492" s="36" t="s">
        <v>226</v>
      </c>
      <c r="I492" s="36" t="s">
        <v>239</v>
      </c>
      <c r="J492" s="36" t="s">
        <v>240</v>
      </c>
      <c r="K492" s="3"/>
      <c r="L492" s="3">
        <v>87</v>
      </c>
      <c r="M492" s="3" t="s">
        <v>229</v>
      </c>
      <c r="N492" s="36" t="s">
        <v>240</v>
      </c>
      <c r="O492" s="3">
        <v>161</v>
      </c>
      <c r="P492" s="3">
        <f t="shared" si="24"/>
        <v>54.037267080745345</v>
      </c>
      <c r="Q492" s="65">
        <v>1930.5048335123522</v>
      </c>
      <c r="R492" s="8">
        <f t="shared" si="25"/>
        <v>1043.1920528917681</v>
      </c>
      <c r="S492" s="36">
        <v>1933.8724143109055</v>
      </c>
      <c r="T492" s="60">
        <f t="shared" si="26"/>
        <v>53.943168389600693</v>
      </c>
      <c r="U492" s="111"/>
      <c r="V492" s="3">
        <v>250</v>
      </c>
      <c r="W492" s="3"/>
      <c r="X492" s="3"/>
      <c r="Y492" s="3"/>
      <c r="Z492" s="36"/>
      <c r="AA492" s="36"/>
      <c r="AB492" s="36"/>
      <c r="AC492" s="36"/>
      <c r="AD492" s="36"/>
      <c r="AE492" s="36"/>
    </row>
    <row r="493" spans="1:31" s="38" customFormat="1" ht="20.25" customHeight="1">
      <c r="A493" s="35">
        <v>42263</v>
      </c>
      <c r="B493" s="72" t="s">
        <v>157</v>
      </c>
      <c r="C493" s="165">
        <v>2015</v>
      </c>
      <c r="D493" s="76">
        <v>4</v>
      </c>
      <c r="E493" s="65" t="s">
        <v>223</v>
      </c>
      <c r="F493" s="65" t="s">
        <v>267</v>
      </c>
      <c r="G493" s="65"/>
      <c r="H493" s="65" t="s">
        <v>273</v>
      </c>
      <c r="I493" s="65"/>
      <c r="J493" s="36" t="s">
        <v>537</v>
      </c>
      <c r="K493" s="36" t="s">
        <v>538</v>
      </c>
      <c r="L493" s="36">
        <v>1</v>
      </c>
      <c r="M493" s="36" t="s">
        <v>247</v>
      </c>
      <c r="N493" s="36" t="s">
        <v>539</v>
      </c>
      <c r="O493" s="36">
        <v>36</v>
      </c>
      <c r="P493" s="36">
        <f t="shared" si="24"/>
        <v>2.7777777777777777</v>
      </c>
      <c r="Q493" s="65">
        <v>3.3675807985531878</v>
      </c>
      <c r="R493" s="40">
        <f t="shared" si="25"/>
        <v>9.3543911070921873E-2</v>
      </c>
      <c r="S493" s="65">
        <v>1933.8724143109055</v>
      </c>
      <c r="T493" s="60">
        <f t="shared" si="26"/>
        <v>4.8371293979212306E-3</v>
      </c>
      <c r="U493" s="111"/>
      <c r="V493" s="36">
        <v>1000</v>
      </c>
      <c r="W493" s="36"/>
      <c r="X493" s="36"/>
      <c r="Y493" s="3"/>
      <c r="Z493" s="36"/>
      <c r="AA493" s="36"/>
      <c r="AB493" s="36"/>
      <c r="AC493" s="36"/>
      <c r="AD493" s="36"/>
      <c r="AE493" s="36"/>
    </row>
    <row r="494" spans="1:31" s="38" customFormat="1" ht="20.25" customHeight="1">
      <c r="A494" s="35">
        <v>42263</v>
      </c>
      <c r="B494" s="35" t="s">
        <v>157</v>
      </c>
      <c r="C494" s="165">
        <v>2015</v>
      </c>
      <c r="D494" s="36">
        <v>4</v>
      </c>
      <c r="E494" s="36" t="s">
        <v>223</v>
      </c>
      <c r="F494" s="36" t="s">
        <v>267</v>
      </c>
      <c r="G494" s="36" t="s">
        <v>278</v>
      </c>
      <c r="H494" s="36" t="s">
        <v>279</v>
      </c>
      <c r="I494" s="36" t="s">
        <v>280</v>
      </c>
      <c r="J494" s="36" t="s">
        <v>284</v>
      </c>
      <c r="K494" s="36" t="s">
        <v>285</v>
      </c>
      <c r="L494" s="36">
        <v>27</v>
      </c>
      <c r="M494" s="36" t="s">
        <v>247</v>
      </c>
      <c r="N494" s="36" t="s">
        <v>283</v>
      </c>
      <c r="O494" s="36">
        <v>36</v>
      </c>
      <c r="P494" s="36">
        <f t="shared" si="24"/>
        <v>75</v>
      </c>
      <c r="Q494" s="36">
        <v>3.3675807985531878</v>
      </c>
      <c r="R494" s="40">
        <f t="shared" si="25"/>
        <v>2.5256855989148908</v>
      </c>
      <c r="S494" s="65">
        <v>1933.8724143109055</v>
      </c>
      <c r="T494" s="60">
        <f t="shared" si="26"/>
        <v>0.13060249374387323</v>
      </c>
      <c r="U494" s="111"/>
      <c r="V494" s="36">
        <v>1000</v>
      </c>
      <c r="W494" s="36"/>
      <c r="X494" s="36"/>
      <c r="Y494" s="3"/>
      <c r="Z494" s="36"/>
      <c r="AA494" s="36"/>
      <c r="AB494" s="36"/>
      <c r="AC494" s="36"/>
      <c r="AD494" s="36"/>
      <c r="AE494" s="36"/>
    </row>
    <row r="495" spans="1:31" s="38" customFormat="1" ht="20.25" customHeight="1">
      <c r="A495" s="13">
        <v>42263</v>
      </c>
      <c r="B495" s="35" t="s">
        <v>157</v>
      </c>
      <c r="C495" s="165">
        <v>2015</v>
      </c>
      <c r="D495" s="65">
        <v>4</v>
      </c>
      <c r="E495" s="3" t="s">
        <v>223</v>
      </c>
      <c r="F495" s="3" t="s">
        <v>224</v>
      </c>
      <c r="G495" s="3" t="s">
        <v>225</v>
      </c>
      <c r="H495" s="3" t="s">
        <v>248</v>
      </c>
      <c r="I495" s="3" t="s">
        <v>249</v>
      </c>
      <c r="J495" s="3" t="s">
        <v>250</v>
      </c>
      <c r="K495" s="3"/>
      <c r="L495" s="3">
        <v>2</v>
      </c>
      <c r="M495" s="3" t="s">
        <v>229</v>
      </c>
      <c r="N495" s="36" t="s">
        <v>250</v>
      </c>
      <c r="O495" s="3">
        <v>161</v>
      </c>
      <c r="P495" s="3">
        <f t="shared" si="24"/>
        <v>1.2422360248447204</v>
      </c>
      <c r="Q495" s="65">
        <v>1930.5048335123522</v>
      </c>
      <c r="R495" s="8">
        <f t="shared" si="25"/>
        <v>23.981426503259033</v>
      </c>
      <c r="S495" s="36">
        <v>1933.8724143109055</v>
      </c>
      <c r="T495" s="60">
        <f t="shared" si="26"/>
        <v>1.2400728365425444</v>
      </c>
      <c r="U495" s="111"/>
      <c r="V495" s="3">
        <v>250</v>
      </c>
      <c r="W495" s="3"/>
      <c r="X495" s="3"/>
      <c r="Y495" s="41"/>
      <c r="Z495" s="36"/>
      <c r="AA495" s="36"/>
      <c r="AB495" s="36"/>
      <c r="AC495" s="36"/>
      <c r="AD495" s="36"/>
      <c r="AE495" s="36"/>
    </row>
    <row r="496" spans="1:31" s="38" customFormat="1" ht="20.25" customHeight="1">
      <c r="A496" s="35">
        <v>42263</v>
      </c>
      <c r="B496" s="35" t="s">
        <v>157</v>
      </c>
      <c r="C496" s="165">
        <v>2015</v>
      </c>
      <c r="D496" s="76">
        <v>4</v>
      </c>
      <c r="E496" s="36" t="s">
        <v>223</v>
      </c>
      <c r="F496" s="36" t="s">
        <v>576</v>
      </c>
      <c r="G496" s="36"/>
      <c r="H496" s="36"/>
      <c r="I496" s="36"/>
      <c r="J496" s="36"/>
      <c r="K496" s="36"/>
      <c r="L496" s="36">
        <v>1</v>
      </c>
      <c r="M496" s="36" t="s">
        <v>221</v>
      </c>
      <c r="N496" s="36" t="s">
        <v>577</v>
      </c>
      <c r="O496" s="36">
        <v>36</v>
      </c>
      <c r="P496" s="36">
        <f t="shared" si="24"/>
        <v>2.7777777777777777</v>
      </c>
      <c r="Q496" s="36">
        <v>3.3675807985531878</v>
      </c>
      <c r="R496" s="40">
        <f t="shared" si="25"/>
        <v>9.3543911070921873E-2</v>
      </c>
      <c r="S496" s="36">
        <v>1933.8724143109055</v>
      </c>
      <c r="T496" s="60">
        <f t="shared" si="26"/>
        <v>4.8371293979212306E-3</v>
      </c>
      <c r="U496" s="111"/>
      <c r="V496" s="36">
        <v>1000</v>
      </c>
      <c r="W496" s="36"/>
      <c r="X496" s="36"/>
      <c r="Y496" s="3"/>
      <c r="Z496" s="36"/>
      <c r="AA496" s="36"/>
      <c r="AB496" s="36"/>
      <c r="AC496" s="36"/>
      <c r="AD496" s="36"/>
      <c r="AE496" s="36"/>
    </row>
    <row r="497" spans="1:31" s="38" customFormat="1" ht="20.25" customHeight="1">
      <c r="A497" s="13">
        <v>42263</v>
      </c>
      <c r="B497" s="35" t="s">
        <v>157</v>
      </c>
      <c r="C497" s="165">
        <v>2015</v>
      </c>
      <c r="D497" s="65">
        <v>4</v>
      </c>
      <c r="E497" s="3" t="s">
        <v>216</v>
      </c>
      <c r="F497" s="3" t="s">
        <v>217</v>
      </c>
      <c r="G497" s="3"/>
      <c r="H497" s="3"/>
      <c r="I497" s="3"/>
      <c r="J497" s="3" t="s">
        <v>219</v>
      </c>
      <c r="K497" s="3"/>
      <c r="L497" s="3">
        <v>1</v>
      </c>
      <c r="M497" s="36" t="s">
        <v>229</v>
      </c>
      <c r="N497" s="3" t="s">
        <v>219</v>
      </c>
      <c r="O497" s="3">
        <v>161</v>
      </c>
      <c r="P497" s="3">
        <f t="shared" si="24"/>
        <v>0.6211180124223602</v>
      </c>
      <c r="Q497" s="65">
        <v>1930.5048335123522</v>
      </c>
      <c r="R497" s="8">
        <f t="shared" si="25"/>
        <v>11.990713251629517</v>
      </c>
      <c r="S497" s="36">
        <v>1933.8724143109055</v>
      </c>
      <c r="T497" s="60">
        <f t="shared" si="26"/>
        <v>0.6200364182712722</v>
      </c>
      <c r="U497" s="111"/>
      <c r="V497" s="3">
        <v>250</v>
      </c>
      <c r="W497" s="3"/>
      <c r="X497" s="3"/>
      <c r="Y497" s="41"/>
      <c r="Z497" s="36"/>
      <c r="AA497" s="36"/>
      <c r="AB497" s="36"/>
      <c r="AC497" s="36"/>
      <c r="AD497" s="36"/>
      <c r="AE497" s="36"/>
    </row>
    <row r="498" spans="1:31" s="38" customFormat="1" ht="20.25" customHeight="1">
      <c r="A498" s="13">
        <v>42263</v>
      </c>
      <c r="B498" s="35" t="s">
        <v>157</v>
      </c>
      <c r="C498" s="165">
        <v>2015</v>
      </c>
      <c r="D498" s="65">
        <v>4</v>
      </c>
      <c r="E498" s="36" t="s">
        <v>223</v>
      </c>
      <c r="F498" s="36" t="s">
        <v>224</v>
      </c>
      <c r="G498" s="36" t="s">
        <v>225</v>
      </c>
      <c r="H498" s="36" t="s">
        <v>226</v>
      </c>
      <c r="I498" s="36" t="s">
        <v>253</v>
      </c>
      <c r="J498" s="36" t="s">
        <v>256</v>
      </c>
      <c r="K498" s="3"/>
      <c r="L498" s="3">
        <v>14</v>
      </c>
      <c r="M498" s="3" t="s">
        <v>229</v>
      </c>
      <c r="N498" s="36" t="s">
        <v>256</v>
      </c>
      <c r="O498" s="3">
        <v>161</v>
      </c>
      <c r="P498" s="3">
        <f t="shared" si="24"/>
        <v>8.695652173913043</v>
      </c>
      <c r="Q498" s="65">
        <v>1930.5048335123522</v>
      </c>
      <c r="R498" s="8">
        <f t="shared" si="25"/>
        <v>167.86998552281324</v>
      </c>
      <c r="S498" s="36">
        <v>1933.8724143109055</v>
      </c>
      <c r="T498" s="60">
        <f t="shared" si="26"/>
        <v>8.680509855797812</v>
      </c>
      <c r="U498" s="111"/>
      <c r="V498" s="36">
        <v>250</v>
      </c>
      <c r="W498" s="3"/>
      <c r="X498" s="3"/>
      <c r="Y498" s="3"/>
      <c r="Z498" s="36"/>
      <c r="AA498" s="36"/>
      <c r="AB498" s="36"/>
      <c r="AC498" s="36"/>
      <c r="AD498" s="36"/>
      <c r="AE498" s="36"/>
    </row>
    <row r="499" spans="1:31" s="38" customFormat="1" ht="20.25" customHeight="1">
      <c r="A499" s="13">
        <v>42263</v>
      </c>
      <c r="B499" s="35" t="s">
        <v>157</v>
      </c>
      <c r="C499" s="165">
        <v>2015</v>
      </c>
      <c r="D499" s="65">
        <v>4</v>
      </c>
      <c r="E499" s="36" t="s">
        <v>223</v>
      </c>
      <c r="F499" s="36" t="s">
        <v>224</v>
      </c>
      <c r="G499" s="36" t="s">
        <v>225</v>
      </c>
      <c r="H499" s="36" t="s">
        <v>226</v>
      </c>
      <c r="I499" s="36" t="s">
        <v>261</v>
      </c>
      <c r="J499" s="36" t="s">
        <v>262</v>
      </c>
      <c r="K499" s="3"/>
      <c r="L499" s="3">
        <v>1</v>
      </c>
      <c r="M499" s="3" t="s">
        <v>229</v>
      </c>
      <c r="N499" s="36" t="s">
        <v>264</v>
      </c>
      <c r="O499" s="3">
        <v>161</v>
      </c>
      <c r="P499" s="3">
        <f t="shared" si="24"/>
        <v>0.6211180124223602</v>
      </c>
      <c r="Q499" s="65">
        <v>1930.5048335123522</v>
      </c>
      <c r="R499" s="8">
        <f t="shared" si="25"/>
        <v>11.990713251629517</v>
      </c>
      <c r="S499" s="36">
        <v>1933.8724143109055</v>
      </c>
      <c r="T499" s="60">
        <f t="shared" si="26"/>
        <v>0.6200364182712722</v>
      </c>
      <c r="U499" s="111"/>
      <c r="V499" s="36">
        <v>250</v>
      </c>
      <c r="W499" s="3"/>
      <c r="X499" s="3"/>
      <c r="Y499" s="3"/>
      <c r="Z499" s="36"/>
      <c r="AA499" s="36"/>
      <c r="AB499" s="36"/>
      <c r="AC499" s="36"/>
      <c r="AD499" s="36"/>
      <c r="AE499" s="36"/>
    </row>
    <row r="500" spans="1:31" s="38" customFormat="1" ht="20.25" customHeight="1">
      <c r="A500" s="13">
        <v>42263</v>
      </c>
      <c r="B500" s="35" t="s">
        <v>157</v>
      </c>
      <c r="C500" s="165">
        <v>2015</v>
      </c>
      <c r="D500" s="65">
        <v>2</v>
      </c>
      <c r="E500" s="3" t="s">
        <v>223</v>
      </c>
      <c r="F500" s="3" t="s">
        <v>224</v>
      </c>
      <c r="G500" s="3" t="s">
        <v>225</v>
      </c>
      <c r="H500" s="3" t="s">
        <v>226</v>
      </c>
      <c r="I500" s="3" t="s">
        <v>227</v>
      </c>
      <c r="J500" s="3" t="s">
        <v>228</v>
      </c>
      <c r="K500" s="3"/>
      <c r="L500" s="3">
        <v>111</v>
      </c>
      <c r="M500" s="3" t="s">
        <v>229</v>
      </c>
      <c r="N500" s="36" t="s">
        <v>228</v>
      </c>
      <c r="O500" s="3">
        <v>203</v>
      </c>
      <c r="P500" s="3">
        <f t="shared" si="24"/>
        <v>54.679802955665025</v>
      </c>
      <c r="Q500" s="36">
        <v>2599.2035838725728</v>
      </c>
      <c r="R500" s="8">
        <f t="shared" si="25"/>
        <v>1421.2393980781064</v>
      </c>
      <c r="S500" s="65">
        <v>2599.5654511075049</v>
      </c>
      <c r="T500" s="8">
        <f t="shared" si="26"/>
        <v>54.672191364622471</v>
      </c>
      <c r="U500" s="109"/>
      <c r="V500" s="36">
        <v>250</v>
      </c>
      <c r="W500" s="3" t="s">
        <v>483</v>
      </c>
      <c r="X500" s="3"/>
      <c r="Y500" s="3"/>
      <c r="Z500" s="36"/>
      <c r="AA500" s="36"/>
      <c r="AB500" s="36"/>
      <c r="AC500" s="36"/>
      <c r="AD500" s="36"/>
      <c r="AE500" s="36"/>
    </row>
    <row r="501" spans="1:31" s="38" customFormat="1" ht="20.25" customHeight="1">
      <c r="A501" s="35">
        <v>42263</v>
      </c>
      <c r="B501" s="35" t="s">
        <v>157</v>
      </c>
      <c r="C501" s="165">
        <v>2015</v>
      </c>
      <c r="D501" s="65">
        <v>2</v>
      </c>
      <c r="E501" s="36" t="s">
        <v>223</v>
      </c>
      <c r="F501" s="36" t="s">
        <v>267</v>
      </c>
      <c r="G501" s="36" t="s">
        <v>278</v>
      </c>
      <c r="H501" s="36" t="s">
        <v>269</v>
      </c>
      <c r="I501" s="36" t="s">
        <v>333</v>
      </c>
      <c r="J501" s="36" t="s">
        <v>334</v>
      </c>
      <c r="K501" s="36"/>
      <c r="L501" s="36">
        <v>2</v>
      </c>
      <c r="M501" s="36" t="s">
        <v>229</v>
      </c>
      <c r="N501" s="36" t="s">
        <v>270</v>
      </c>
      <c r="O501" s="36">
        <v>3</v>
      </c>
      <c r="P501" s="36">
        <f t="shared" si="24"/>
        <v>66.666666666666657</v>
      </c>
      <c r="Q501" s="36">
        <v>0.36186723493225043</v>
      </c>
      <c r="R501" s="40">
        <f t="shared" si="25"/>
        <v>0.2412448232881669</v>
      </c>
      <c r="S501" s="65">
        <v>2599.5654511075049</v>
      </c>
      <c r="T501" s="8">
        <f t="shared" si="26"/>
        <v>9.280198087929974E-3</v>
      </c>
      <c r="U501" s="114">
        <v>0</v>
      </c>
      <c r="V501" s="36">
        <v>1000</v>
      </c>
      <c r="W501" s="36"/>
      <c r="X501" s="36"/>
      <c r="Y501" s="3"/>
      <c r="Z501" s="36"/>
      <c r="AA501" s="36"/>
      <c r="AB501" s="36"/>
      <c r="AC501" s="36"/>
      <c r="AD501" s="36"/>
      <c r="AE501" s="36"/>
    </row>
    <row r="502" spans="1:31" s="38" customFormat="1" ht="20.25" customHeight="1">
      <c r="A502" s="13">
        <v>42263</v>
      </c>
      <c r="B502" s="35" t="s">
        <v>157</v>
      </c>
      <c r="C502" s="165">
        <v>2015</v>
      </c>
      <c r="D502" s="65">
        <v>2</v>
      </c>
      <c r="E502" s="3" t="s">
        <v>223</v>
      </c>
      <c r="F502" s="3" t="s">
        <v>317</v>
      </c>
      <c r="G502" s="3" t="s">
        <v>314</v>
      </c>
      <c r="H502" s="3" t="s">
        <v>346</v>
      </c>
      <c r="I502" s="3" t="s">
        <v>315</v>
      </c>
      <c r="J502" s="3" t="s">
        <v>347</v>
      </c>
      <c r="K502" s="3" t="s">
        <v>480</v>
      </c>
      <c r="L502" s="3">
        <v>1</v>
      </c>
      <c r="M502" s="3" t="s">
        <v>247</v>
      </c>
      <c r="N502" s="36" t="s">
        <v>482</v>
      </c>
      <c r="O502" s="3">
        <v>203</v>
      </c>
      <c r="P502" s="3">
        <f t="shared" si="24"/>
        <v>0.49261083743842365</v>
      </c>
      <c r="Q502" s="36">
        <v>2599.2035838725728</v>
      </c>
      <c r="R502" s="8">
        <f t="shared" si="25"/>
        <v>12.803958541244201</v>
      </c>
      <c r="S502" s="65">
        <v>2599.5654511075049</v>
      </c>
      <c r="T502" s="60">
        <f t="shared" si="26"/>
        <v>0.49254226454614836</v>
      </c>
      <c r="U502" s="111"/>
      <c r="V502" s="36">
        <v>250</v>
      </c>
      <c r="W502" s="3"/>
      <c r="X502" s="3"/>
      <c r="Y502" s="3"/>
      <c r="Z502" s="36"/>
      <c r="AA502" s="36"/>
      <c r="AB502" s="36"/>
      <c r="AC502" s="36"/>
      <c r="AD502" s="36"/>
      <c r="AE502" s="36"/>
    </row>
    <row r="503" spans="1:31" s="38" customFormat="1" ht="20.25" customHeight="1">
      <c r="A503" s="35">
        <v>42263</v>
      </c>
      <c r="B503" s="35" t="s">
        <v>157</v>
      </c>
      <c r="C503" s="165">
        <v>2015</v>
      </c>
      <c r="D503" s="65">
        <v>2</v>
      </c>
      <c r="E503" s="36" t="s">
        <v>223</v>
      </c>
      <c r="F503" s="36" t="s">
        <v>267</v>
      </c>
      <c r="G503" s="36"/>
      <c r="H503" s="36" t="s">
        <v>273</v>
      </c>
      <c r="I503" s="36"/>
      <c r="J503" s="36" t="s">
        <v>558</v>
      </c>
      <c r="K503" s="36" t="s">
        <v>559</v>
      </c>
      <c r="L503" s="36">
        <v>1</v>
      </c>
      <c r="M503" s="36" t="s">
        <v>544</v>
      </c>
      <c r="N503" s="36" t="s">
        <v>494</v>
      </c>
      <c r="O503" s="36">
        <v>3</v>
      </c>
      <c r="P503" s="36">
        <f t="shared" si="24"/>
        <v>33.333333333333329</v>
      </c>
      <c r="Q503" s="36">
        <v>0.36186723493225043</v>
      </c>
      <c r="R503" s="40">
        <f t="shared" si="25"/>
        <v>0.12062241164408345</v>
      </c>
      <c r="S503" s="65">
        <v>2599.5654511075049</v>
      </c>
      <c r="T503" s="8">
        <f t="shared" si="26"/>
        <v>4.640099043964987E-3</v>
      </c>
      <c r="U503" s="109"/>
      <c r="V503" s="36">
        <v>1000</v>
      </c>
      <c r="W503" s="36"/>
      <c r="X503" s="36"/>
      <c r="Y503" s="3"/>
      <c r="Z503" s="36"/>
      <c r="AA503" s="36"/>
      <c r="AB503" s="36"/>
      <c r="AC503" s="36"/>
      <c r="AD503" s="36"/>
      <c r="AE503" s="36"/>
    </row>
    <row r="504" spans="1:31" s="38" customFormat="1" ht="20.25" customHeight="1">
      <c r="A504" s="13">
        <v>42263</v>
      </c>
      <c r="B504" s="35" t="s">
        <v>157</v>
      </c>
      <c r="C504" s="165">
        <v>2015</v>
      </c>
      <c r="D504" s="65">
        <v>2</v>
      </c>
      <c r="E504" s="36" t="s">
        <v>223</v>
      </c>
      <c r="F504" s="36" t="s">
        <v>224</v>
      </c>
      <c r="G504" s="36" t="s">
        <v>225</v>
      </c>
      <c r="H504" s="36" t="s">
        <v>226</v>
      </c>
      <c r="I504" s="36" t="s">
        <v>239</v>
      </c>
      <c r="J504" s="36" t="s">
        <v>240</v>
      </c>
      <c r="K504" s="3"/>
      <c r="L504" s="3">
        <v>91</v>
      </c>
      <c r="M504" s="3" t="s">
        <v>229</v>
      </c>
      <c r="N504" s="36" t="s">
        <v>481</v>
      </c>
      <c r="O504" s="3">
        <v>203</v>
      </c>
      <c r="P504" s="3">
        <f t="shared" si="24"/>
        <v>44.827586206896555</v>
      </c>
      <c r="Q504" s="36">
        <v>2599.2035838725728</v>
      </c>
      <c r="R504" s="8">
        <f t="shared" si="25"/>
        <v>1165.1602272532223</v>
      </c>
      <c r="S504" s="65">
        <v>2599.5654511075049</v>
      </c>
      <c r="T504" s="60">
        <f t="shared" si="26"/>
        <v>44.821346073699495</v>
      </c>
      <c r="U504" s="111"/>
      <c r="V504" s="3">
        <v>250</v>
      </c>
      <c r="W504" s="3"/>
      <c r="X504" s="3"/>
      <c r="Y504" s="3"/>
      <c r="Z504" s="36"/>
      <c r="AA504" s="36"/>
      <c r="AB504" s="36"/>
      <c r="AC504" s="36"/>
      <c r="AD504" s="36"/>
      <c r="AE504" s="36"/>
    </row>
    <row r="505" spans="1:31" s="33" customFormat="1" ht="20.25" customHeight="1">
      <c r="A505" s="31">
        <v>42515</v>
      </c>
      <c r="B505" s="35" t="s">
        <v>144</v>
      </c>
      <c r="C505" s="165">
        <v>2016</v>
      </c>
      <c r="D505" s="117">
        <v>8</v>
      </c>
      <c r="E505" s="117" t="s">
        <v>223</v>
      </c>
      <c r="F505" s="117" t="s">
        <v>224</v>
      </c>
      <c r="G505" s="117" t="s">
        <v>225</v>
      </c>
      <c r="H505" s="117" t="s">
        <v>226</v>
      </c>
      <c r="I505" s="117" t="s">
        <v>227</v>
      </c>
      <c r="J505" s="32" t="s">
        <v>228</v>
      </c>
      <c r="K505" s="32"/>
      <c r="L505" s="32">
        <v>22</v>
      </c>
      <c r="M505" s="32" t="s">
        <v>229</v>
      </c>
      <c r="N505" s="32" t="s">
        <v>228</v>
      </c>
      <c r="O505" s="32">
        <v>252</v>
      </c>
      <c r="P505" s="32">
        <f t="shared" si="24"/>
        <v>8.7301587301587293</v>
      </c>
      <c r="Q505" s="32">
        <v>2329.2696025778732</v>
      </c>
      <c r="R505" s="8">
        <f t="shared" si="25"/>
        <v>203.34893355838574</v>
      </c>
      <c r="S505" s="32">
        <v>2329.5531274217378</v>
      </c>
      <c r="T505" s="8">
        <f t="shared" si="26"/>
        <v>8.7290962015296341</v>
      </c>
      <c r="U505" s="116"/>
      <c r="V505" s="32">
        <v>250</v>
      </c>
      <c r="W505" s="32"/>
      <c r="X505" s="32"/>
      <c r="Y505" s="32"/>
      <c r="Z505" s="32"/>
      <c r="AA505" s="32"/>
      <c r="AB505" s="32"/>
      <c r="AC505" s="32"/>
      <c r="AD505" s="32"/>
      <c r="AE505" s="32"/>
    </row>
    <row r="506" spans="1:31" s="33" customFormat="1" ht="20.25" customHeight="1">
      <c r="A506" s="31">
        <v>42515</v>
      </c>
      <c r="B506" s="72" t="s">
        <v>144</v>
      </c>
      <c r="C506" s="165">
        <v>2016</v>
      </c>
      <c r="D506" s="117">
        <v>8</v>
      </c>
      <c r="E506" s="32" t="s">
        <v>223</v>
      </c>
      <c r="F506" s="32" t="s">
        <v>303</v>
      </c>
      <c r="G506" s="32" t="s">
        <v>304</v>
      </c>
      <c r="H506" s="32" t="s">
        <v>305</v>
      </c>
      <c r="I506" s="32" t="s">
        <v>306</v>
      </c>
      <c r="J506" s="32" t="s">
        <v>307</v>
      </c>
      <c r="K506" s="32"/>
      <c r="L506" s="32">
        <v>9</v>
      </c>
      <c r="M506" s="32" t="s">
        <v>229</v>
      </c>
      <c r="N506" s="32" t="s">
        <v>307</v>
      </c>
      <c r="O506" s="32">
        <v>252</v>
      </c>
      <c r="P506" s="32">
        <f t="shared" si="24"/>
        <v>3.5714285714285712</v>
      </c>
      <c r="Q506" s="32">
        <v>2329.2696025778732</v>
      </c>
      <c r="R506" s="8">
        <f t="shared" si="25"/>
        <v>83.188200092066893</v>
      </c>
      <c r="S506" s="32">
        <v>2329.5531274217378</v>
      </c>
      <c r="T506" s="8">
        <f t="shared" si="26"/>
        <v>3.5709939006257603</v>
      </c>
      <c r="U506" s="116"/>
      <c r="V506" s="32">
        <v>250</v>
      </c>
      <c r="W506" s="32" t="s">
        <v>620</v>
      </c>
      <c r="X506" s="32"/>
      <c r="Y506" s="32"/>
      <c r="Z506" s="32"/>
      <c r="AA506" s="32"/>
      <c r="AB506" s="32"/>
      <c r="AC506" s="32"/>
      <c r="AD506" s="32"/>
      <c r="AE506" s="32"/>
    </row>
    <row r="507" spans="1:31" s="33" customFormat="1" ht="20.25" customHeight="1">
      <c r="A507" s="118">
        <v>42515</v>
      </c>
      <c r="B507" s="35" t="s">
        <v>144</v>
      </c>
      <c r="C507" s="165">
        <v>2016</v>
      </c>
      <c r="D507" s="117">
        <v>8</v>
      </c>
      <c r="E507" s="32" t="s">
        <v>223</v>
      </c>
      <c r="F507" s="32" t="s">
        <v>224</v>
      </c>
      <c r="G507" s="32" t="s">
        <v>225</v>
      </c>
      <c r="H507" s="32" t="s">
        <v>226</v>
      </c>
      <c r="I507" s="32" t="s">
        <v>235</v>
      </c>
      <c r="J507" s="32" t="s">
        <v>236</v>
      </c>
      <c r="K507" s="32"/>
      <c r="L507" s="32">
        <v>2</v>
      </c>
      <c r="M507" s="32" t="s">
        <v>229</v>
      </c>
      <c r="N507" s="32" t="s">
        <v>236</v>
      </c>
      <c r="O507" s="32">
        <v>252</v>
      </c>
      <c r="P507" s="32">
        <f t="shared" si="24"/>
        <v>0.79365079365079361</v>
      </c>
      <c r="Q507" s="32">
        <v>2329.2696025778732</v>
      </c>
      <c r="R507" s="8">
        <f t="shared" si="25"/>
        <v>18.486266687125976</v>
      </c>
      <c r="S507" s="32">
        <v>2329.5531274217378</v>
      </c>
      <c r="T507" s="8">
        <f t="shared" si="26"/>
        <v>0.79355420013905775</v>
      </c>
      <c r="U507" s="116"/>
      <c r="V507" s="32">
        <v>250</v>
      </c>
      <c r="W507" s="32"/>
      <c r="X507" s="32"/>
      <c r="Y507" s="32"/>
      <c r="Z507" s="32"/>
      <c r="AA507" s="32"/>
      <c r="AB507" s="32"/>
      <c r="AC507" s="32"/>
      <c r="AD507" s="32"/>
      <c r="AE507" s="32"/>
    </row>
    <row r="508" spans="1:31" s="33" customFormat="1" ht="20.25" customHeight="1">
      <c r="A508" s="31">
        <v>42515</v>
      </c>
      <c r="B508" s="35" t="s">
        <v>144</v>
      </c>
      <c r="C508" s="165">
        <v>2016</v>
      </c>
      <c r="D508" s="117">
        <v>8</v>
      </c>
      <c r="E508" s="115" t="s">
        <v>223</v>
      </c>
      <c r="F508" s="115" t="s">
        <v>317</v>
      </c>
      <c r="G508" s="115" t="s">
        <v>314</v>
      </c>
      <c r="H508" s="115" t="s">
        <v>346</v>
      </c>
      <c r="I508" s="115" t="s">
        <v>315</v>
      </c>
      <c r="J508" s="32" t="s">
        <v>365</v>
      </c>
      <c r="K508" s="32" t="s">
        <v>366</v>
      </c>
      <c r="L508" s="32">
        <v>23</v>
      </c>
      <c r="M508" s="32" t="s">
        <v>247</v>
      </c>
      <c r="N508" s="32" t="s">
        <v>345</v>
      </c>
      <c r="O508" s="32">
        <v>252</v>
      </c>
      <c r="P508" s="32">
        <f t="shared" si="24"/>
        <v>9.1269841269841265</v>
      </c>
      <c r="Q508" s="32">
        <v>2329.2696025778732</v>
      </c>
      <c r="R508" s="8">
        <f t="shared" si="25"/>
        <v>212.59206690194873</v>
      </c>
      <c r="S508" s="32">
        <v>2329.5531274217378</v>
      </c>
      <c r="T508" s="8">
        <f t="shared" si="26"/>
        <v>9.1258733015991655</v>
      </c>
      <c r="U508" s="116"/>
      <c r="V508" s="32">
        <v>250</v>
      </c>
      <c r="W508" s="32"/>
      <c r="X508" s="32"/>
      <c r="Y508" s="32"/>
      <c r="Z508" s="32"/>
      <c r="AA508" s="32"/>
      <c r="AB508" s="32"/>
      <c r="AC508" s="32"/>
      <c r="AD508" s="32"/>
      <c r="AE508" s="32"/>
    </row>
    <row r="509" spans="1:31" s="33" customFormat="1" ht="20.25" customHeight="1">
      <c r="A509" s="31">
        <v>42515</v>
      </c>
      <c r="B509" s="72" t="s">
        <v>144</v>
      </c>
      <c r="C509" s="165">
        <v>2016</v>
      </c>
      <c r="D509" s="117">
        <v>8</v>
      </c>
      <c r="E509" s="117" t="s">
        <v>223</v>
      </c>
      <c r="F509" s="117" t="s">
        <v>317</v>
      </c>
      <c r="G509" s="117" t="s">
        <v>314</v>
      </c>
      <c r="H509" s="117" t="s">
        <v>346</v>
      </c>
      <c r="I509" s="117" t="s">
        <v>315</v>
      </c>
      <c r="J509" s="32" t="s">
        <v>347</v>
      </c>
      <c r="K509" s="32" t="s">
        <v>348</v>
      </c>
      <c r="L509" s="32">
        <v>2</v>
      </c>
      <c r="M509" s="32" t="s">
        <v>247</v>
      </c>
      <c r="N509" s="32" t="s">
        <v>345</v>
      </c>
      <c r="O509" s="32">
        <v>252</v>
      </c>
      <c r="P509" s="32">
        <f t="shared" si="24"/>
        <v>0.79365079365079361</v>
      </c>
      <c r="Q509" s="32">
        <v>2329.2696025778732</v>
      </c>
      <c r="R509" s="8">
        <f t="shared" si="25"/>
        <v>18.486266687125976</v>
      </c>
      <c r="S509" s="32">
        <v>2329.5531274217378</v>
      </c>
      <c r="T509" s="8">
        <f t="shared" si="26"/>
        <v>0.79355420013905775</v>
      </c>
      <c r="U509" s="116"/>
      <c r="V509" s="32">
        <v>250</v>
      </c>
      <c r="W509" s="32"/>
      <c r="X509" s="32"/>
      <c r="Y509" s="32"/>
      <c r="Z509" s="32"/>
      <c r="AA509" s="32"/>
      <c r="AB509" s="32"/>
      <c r="AC509" s="32"/>
      <c r="AD509" s="32"/>
      <c r="AE509" s="32"/>
    </row>
    <row r="510" spans="1:31" s="33" customFormat="1" ht="20.25" customHeight="1">
      <c r="A510" s="31">
        <v>42515</v>
      </c>
      <c r="B510" s="35" t="s">
        <v>144</v>
      </c>
      <c r="C510" s="165">
        <v>2016</v>
      </c>
      <c r="D510" s="117">
        <v>8</v>
      </c>
      <c r="E510" s="117" t="s">
        <v>223</v>
      </c>
      <c r="F510" s="117" t="s">
        <v>317</v>
      </c>
      <c r="G510" s="117" t="s">
        <v>314</v>
      </c>
      <c r="H510" s="117" t="s">
        <v>346</v>
      </c>
      <c r="I510" s="117" t="s">
        <v>315</v>
      </c>
      <c r="J510" s="32" t="s">
        <v>347</v>
      </c>
      <c r="K510" s="32" t="s">
        <v>368</v>
      </c>
      <c r="L510" s="32">
        <v>11</v>
      </c>
      <c r="M510" s="32" t="s">
        <v>247</v>
      </c>
      <c r="N510" s="32" t="s">
        <v>345</v>
      </c>
      <c r="O510" s="32">
        <v>249</v>
      </c>
      <c r="P510" s="32">
        <f t="shared" si="24"/>
        <v>4.4176706827309236</v>
      </c>
      <c r="Q510" s="32">
        <v>2329.2696025778732</v>
      </c>
      <c r="R510" s="8">
        <f t="shared" si="25"/>
        <v>102.89946035484581</v>
      </c>
      <c r="S510" s="32">
        <v>2329.5531274217378</v>
      </c>
      <c r="T510" s="8">
        <f t="shared" si="26"/>
        <v>4.4171330176415031</v>
      </c>
      <c r="U510" s="116"/>
      <c r="V510" s="32">
        <v>250</v>
      </c>
      <c r="W510" s="32"/>
      <c r="X510" s="32"/>
      <c r="Y510" s="32"/>
      <c r="Z510" s="32"/>
      <c r="AA510" s="32"/>
      <c r="AB510" s="32"/>
      <c r="AC510" s="32"/>
      <c r="AD510" s="32"/>
      <c r="AE510" s="32"/>
    </row>
    <row r="511" spans="1:31" s="33" customFormat="1" ht="20.25" customHeight="1">
      <c r="A511" s="31">
        <v>42515</v>
      </c>
      <c r="B511" s="72" t="s">
        <v>144</v>
      </c>
      <c r="C511" s="165">
        <v>2016</v>
      </c>
      <c r="D511" s="115">
        <v>8</v>
      </c>
      <c r="E511" s="32" t="s">
        <v>223</v>
      </c>
      <c r="F511" s="32" t="s">
        <v>267</v>
      </c>
      <c r="G511" s="32"/>
      <c r="H511" s="32" t="s">
        <v>273</v>
      </c>
      <c r="I511" s="32"/>
      <c r="J511" s="32"/>
      <c r="K511" s="32"/>
      <c r="L511" s="32">
        <v>1</v>
      </c>
      <c r="M511" s="32" t="s">
        <v>508</v>
      </c>
      <c r="N511" s="32" t="s">
        <v>494</v>
      </c>
      <c r="O511" s="32">
        <v>6</v>
      </c>
      <c r="P511" s="32">
        <f t="shared" si="24"/>
        <v>16.666666666666664</v>
      </c>
      <c r="Q511" s="117">
        <v>0.28352484386444365</v>
      </c>
      <c r="R511" s="8">
        <f t="shared" si="25"/>
        <v>4.7254140644073933E-2</v>
      </c>
      <c r="S511" s="32">
        <v>2329.5531274217378</v>
      </c>
      <c r="T511" s="8">
        <f t="shared" si="26"/>
        <v>2.0284637464513654E-3</v>
      </c>
      <c r="U511" s="116">
        <f>SUM(T511+T512)</f>
        <v>24.205431567987716</v>
      </c>
      <c r="V511" s="32">
        <v>1000</v>
      </c>
      <c r="W511" s="32">
        <f>SUM(T511:T525)</f>
        <v>90.846400814623181</v>
      </c>
      <c r="X511" s="32"/>
      <c r="Y511" s="32"/>
      <c r="Z511" s="32"/>
      <c r="AA511" s="32"/>
      <c r="AB511" s="32"/>
      <c r="AC511" s="32"/>
      <c r="AD511" s="32"/>
      <c r="AE511" s="32"/>
    </row>
    <row r="512" spans="1:31" s="33" customFormat="1" ht="20.25" customHeight="1">
      <c r="A512" s="31">
        <v>42515</v>
      </c>
      <c r="B512" s="35" t="s">
        <v>144</v>
      </c>
      <c r="C512" s="165">
        <v>2016</v>
      </c>
      <c r="D512" s="117">
        <v>8</v>
      </c>
      <c r="E512" s="117" t="s">
        <v>223</v>
      </c>
      <c r="F512" s="117" t="s">
        <v>224</v>
      </c>
      <c r="G512" s="117" t="s">
        <v>225</v>
      </c>
      <c r="H512" s="117" t="s">
        <v>226</v>
      </c>
      <c r="I512" s="117" t="s">
        <v>239</v>
      </c>
      <c r="J512" s="32" t="s">
        <v>240</v>
      </c>
      <c r="K512" s="32"/>
      <c r="L512" s="32">
        <v>61</v>
      </c>
      <c r="M512" s="32" t="s">
        <v>229</v>
      </c>
      <c r="N512" s="32" t="s">
        <v>240</v>
      </c>
      <c r="O512" s="32">
        <v>252</v>
      </c>
      <c r="P512" s="32">
        <f t="shared" si="24"/>
        <v>24.206349206349206</v>
      </c>
      <c r="Q512" s="32">
        <v>2329.2696025778732</v>
      </c>
      <c r="R512" s="8">
        <f t="shared" si="25"/>
        <v>563.83113395734233</v>
      </c>
      <c r="S512" s="32">
        <v>2329.5531274217378</v>
      </c>
      <c r="T512" s="8">
        <f t="shared" si="26"/>
        <v>24.203403104241264</v>
      </c>
      <c r="U512" s="116"/>
      <c r="V512" s="32">
        <v>250</v>
      </c>
      <c r="W512" s="32"/>
      <c r="X512" s="32"/>
      <c r="Y512" s="32"/>
      <c r="Z512" s="32"/>
      <c r="AA512" s="32"/>
      <c r="AB512" s="32"/>
      <c r="AC512" s="32"/>
      <c r="AD512" s="32"/>
      <c r="AE512" s="32"/>
    </row>
    <row r="513" spans="1:31" s="33" customFormat="1" ht="20.25" customHeight="1">
      <c r="A513" s="31">
        <v>42515</v>
      </c>
      <c r="B513" s="72" t="s">
        <v>144</v>
      </c>
      <c r="C513" s="165">
        <v>2016</v>
      </c>
      <c r="D513" s="115">
        <v>8</v>
      </c>
      <c r="E513" s="117" t="s">
        <v>288</v>
      </c>
      <c r="F513" s="117" t="s">
        <v>289</v>
      </c>
      <c r="G513" s="117"/>
      <c r="H513" s="117"/>
      <c r="I513" s="117"/>
      <c r="J513" s="32"/>
      <c r="K513" s="32"/>
      <c r="L513" s="32">
        <v>3</v>
      </c>
      <c r="M513" s="32" t="s">
        <v>221</v>
      </c>
      <c r="N513" s="32" t="s">
        <v>294</v>
      </c>
      <c r="O513" s="32">
        <v>6</v>
      </c>
      <c r="P513" s="32">
        <f t="shared" si="24"/>
        <v>50</v>
      </c>
      <c r="Q513" s="32">
        <v>0.28352484386444365</v>
      </c>
      <c r="R513" s="8">
        <f t="shared" si="25"/>
        <v>0.14176242193222183</v>
      </c>
      <c r="S513" s="32">
        <v>2329.5531274217378</v>
      </c>
      <c r="T513" s="8">
        <f t="shared" si="26"/>
        <v>6.0853912393540981E-3</v>
      </c>
      <c r="U513" s="116"/>
      <c r="V513" s="32">
        <v>1000</v>
      </c>
      <c r="W513" s="32"/>
      <c r="X513" s="32"/>
      <c r="Y513" s="32"/>
      <c r="Z513" s="32"/>
      <c r="AA513" s="32"/>
      <c r="AB513" s="32"/>
      <c r="AC513" s="32"/>
      <c r="AD513" s="32"/>
      <c r="AE513" s="32"/>
    </row>
    <row r="514" spans="1:31" s="33" customFormat="1" ht="20.25" customHeight="1">
      <c r="A514" s="31">
        <v>42515</v>
      </c>
      <c r="B514" s="72" t="s">
        <v>144</v>
      </c>
      <c r="C514" s="165">
        <v>2016</v>
      </c>
      <c r="D514" s="115">
        <v>8</v>
      </c>
      <c r="E514" s="32" t="s">
        <v>223</v>
      </c>
      <c r="F514" s="32" t="s">
        <v>267</v>
      </c>
      <c r="G514" s="32" t="s">
        <v>278</v>
      </c>
      <c r="H514" s="32" t="s">
        <v>279</v>
      </c>
      <c r="I514" s="32" t="s">
        <v>280</v>
      </c>
      <c r="J514" s="32" t="s">
        <v>284</v>
      </c>
      <c r="K514" s="32" t="s">
        <v>285</v>
      </c>
      <c r="L514" s="32">
        <v>2</v>
      </c>
      <c r="M514" s="32" t="s">
        <v>247</v>
      </c>
      <c r="N514" s="32" t="s">
        <v>283</v>
      </c>
      <c r="O514" s="32">
        <v>6</v>
      </c>
      <c r="P514" s="32">
        <f t="shared" ref="P514:P577" si="27">L514/O514*100</f>
        <v>33.333333333333329</v>
      </c>
      <c r="Q514" s="32">
        <v>0.28352484386444365</v>
      </c>
      <c r="R514" s="8">
        <f t="shared" ref="R514:R577" si="28">(P514/100)*Q514</f>
        <v>9.4508281288147866E-2</v>
      </c>
      <c r="S514" s="32">
        <v>2329.5531274217378</v>
      </c>
      <c r="T514" s="8">
        <f t="shared" ref="T514:T577" si="29">R514/S514*100</f>
        <v>4.0569274929027309E-3</v>
      </c>
      <c r="U514" s="116"/>
      <c r="V514" s="32">
        <v>1000</v>
      </c>
      <c r="W514" s="32"/>
      <c r="X514" s="32"/>
      <c r="Y514" s="32"/>
      <c r="Z514" s="32"/>
      <c r="AA514" s="32"/>
      <c r="AB514" s="32"/>
      <c r="AC514" s="32"/>
      <c r="AD514" s="32"/>
      <c r="AE514" s="32"/>
    </row>
    <row r="515" spans="1:31" s="33" customFormat="1" ht="20.25" customHeight="1">
      <c r="A515" s="31">
        <v>42515</v>
      </c>
      <c r="B515" s="72" t="s">
        <v>144</v>
      </c>
      <c r="C515" s="165">
        <v>2016</v>
      </c>
      <c r="D515" s="117">
        <v>8</v>
      </c>
      <c r="E515" s="32" t="s">
        <v>323</v>
      </c>
      <c r="F515" s="32" t="s">
        <v>489</v>
      </c>
      <c r="G515" s="32"/>
      <c r="H515" s="32" t="s">
        <v>490</v>
      </c>
      <c r="I515" s="32" t="s">
        <v>491</v>
      </c>
      <c r="J515" s="32" t="s">
        <v>371</v>
      </c>
      <c r="K515" s="32" t="s">
        <v>372</v>
      </c>
      <c r="L515" s="32">
        <v>1</v>
      </c>
      <c r="M515" s="32" t="s">
        <v>247</v>
      </c>
      <c r="N515" s="32" t="s">
        <v>371</v>
      </c>
      <c r="O515" s="32">
        <v>252</v>
      </c>
      <c r="P515" s="32">
        <f t="shared" si="27"/>
        <v>0.3968253968253968</v>
      </c>
      <c r="Q515" s="32">
        <v>2329.2696025778732</v>
      </c>
      <c r="R515" s="8">
        <f t="shared" si="28"/>
        <v>9.2431333435629881</v>
      </c>
      <c r="S515" s="32">
        <v>2329.5531274217378</v>
      </c>
      <c r="T515" s="8">
        <f t="shared" si="29"/>
        <v>0.39677710006952888</v>
      </c>
      <c r="U515" s="116"/>
      <c r="V515" s="32">
        <v>250</v>
      </c>
      <c r="W515" s="32"/>
      <c r="X515" s="32"/>
      <c r="Y515" s="32"/>
      <c r="Z515" s="32"/>
      <c r="AA515" s="32"/>
      <c r="AB515" s="32"/>
      <c r="AC515" s="32"/>
      <c r="AD515" s="32"/>
      <c r="AE515" s="32"/>
    </row>
    <row r="516" spans="1:31" s="33" customFormat="1" ht="20.25" customHeight="1">
      <c r="A516" s="31">
        <v>42515</v>
      </c>
      <c r="B516" s="72" t="s">
        <v>144</v>
      </c>
      <c r="C516" s="165">
        <v>2016</v>
      </c>
      <c r="D516" s="117">
        <v>8</v>
      </c>
      <c r="E516" s="32" t="s">
        <v>223</v>
      </c>
      <c r="F516" s="32" t="s">
        <v>224</v>
      </c>
      <c r="G516" s="32" t="s">
        <v>225</v>
      </c>
      <c r="H516" s="32" t="s">
        <v>248</v>
      </c>
      <c r="I516" s="32" t="s">
        <v>249</v>
      </c>
      <c r="J516" s="32" t="s">
        <v>250</v>
      </c>
      <c r="K516" s="32"/>
      <c r="L516" s="32">
        <v>12</v>
      </c>
      <c r="M516" s="32" t="s">
        <v>229</v>
      </c>
      <c r="N516" s="32" t="s">
        <v>250</v>
      </c>
      <c r="O516" s="32">
        <v>252</v>
      </c>
      <c r="P516" s="32">
        <f t="shared" si="27"/>
        <v>4.7619047619047619</v>
      </c>
      <c r="Q516" s="32">
        <v>2329.2696025778732</v>
      </c>
      <c r="R516" s="8">
        <f t="shared" si="28"/>
        <v>110.91760012275586</v>
      </c>
      <c r="S516" s="32">
        <v>2329.5531274217378</v>
      </c>
      <c r="T516" s="8">
        <f t="shared" si="29"/>
        <v>4.7613252008343467</v>
      </c>
      <c r="U516" s="116"/>
      <c r="V516" s="32">
        <v>250</v>
      </c>
      <c r="W516" s="32"/>
      <c r="X516" s="32"/>
      <c r="Y516" s="32"/>
      <c r="Z516" s="32"/>
      <c r="AA516" s="32"/>
      <c r="AB516" s="32"/>
      <c r="AC516" s="32"/>
      <c r="AD516" s="32"/>
      <c r="AE516" s="32"/>
    </row>
    <row r="517" spans="1:31" s="33" customFormat="1" ht="20.25" customHeight="1">
      <c r="A517" s="118">
        <v>42515</v>
      </c>
      <c r="B517" s="72" t="s">
        <v>144</v>
      </c>
      <c r="C517" s="165">
        <v>2016</v>
      </c>
      <c r="D517" s="117">
        <v>8</v>
      </c>
      <c r="E517" s="117" t="s">
        <v>223</v>
      </c>
      <c r="F517" s="117" t="s">
        <v>224</v>
      </c>
      <c r="G517" s="117" t="s">
        <v>225</v>
      </c>
      <c r="H517" s="117" t="s">
        <v>226</v>
      </c>
      <c r="I517" s="117" t="s">
        <v>253</v>
      </c>
      <c r="J517" s="32" t="s">
        <v>256</v>
      </c>
      <c r="K517" s="32"/>
      <c r="L517" s="32">
        <v>94</v>
      </c>
      <c r="M517" s="32" t="s">
        <v>229</v>
      </c>
      <c r="N517" s="32" t="s">
        <v>256</v>
      </c>
      <c r="O517" s="32">
        <v>252</v>
      </c>
      <c r="P517" s="32">
        <f t="shared" si="27"/>
        <v>37.301587301587304</v>
      </c>
      <c r="Q517" s="32">
        <v>2329.2696025778732</v>
      </c>
      <c r="R517" s="8">
        <f t="shared" si="28"/>
        <v>868.854534294921</v>
      </c>
      <c r="S517" s="32">
        <v>2329.5531274217378</v>
      </c>
      <c r="T517" s="8">
        <f t="shared" si="29"/>
        <v>37.297047406535718</v>
      </c>
      <c r="U517" s="116"/>
      <c r="V517" s="32">
        <v>250</v>
      </c>
      <c r="W517" s="32" t="s">
        <v>364</v>
      </c>
      <c r="X517" s="32"/>
      <c r="Y517" s="32"/>
      <c r="Z517" s="32"/>
      <c r="AA517" s="32"/>
      <c r="AB517" s="32"/>
      <c r="AC517" s="32"/>
      <c r="AD517" s="32"/>
      <c r="AE517" s="32"/>
    </row>
    <row r="518" spans="1:31" s="33" customFormat="1" ht="20.25" customHeight="1">
      <c r="A518" s="118">
        <v>42515</v>
      </c>
      <c r="B518" s="35" t="s">
        <v>144</v>
      </c>
      <c r="C518" s="165">
        <v>2016</v>
      </c>
      <c r="D518" s="117">
        <v>8</v>
      </c>
      <c r="E518" s="32" t="s">
        <v>223</v>
      </c>
      <c r="F518" s="32" t="s">
        <v>224</v>
      </c>
      <c r="G518" s="32" t="s">
        <v>225</v>
      </c>
      <c r="H518" s="32" t="s">
        <v>226</v>
      </c>
      <c r="I518" s="32" t="s">
        <v>239</v>
      </c>
      <c r="J518" s="32" t="s">
        <v>258</v>
      </c>
      <c r="K518" s="32" t="s">
        <v>259</v>
      </c>
      <c r="L518" s="32">
        <v>1</v>
      </c>
      <c r="M518" s="32" t="s">
        <v>247</v>
      </c>
      <c r="N518" s="32" t="s">
        <v>258</v>
      </c>
      <c r="O518" s="32">
        <v>252</v>
      </c>
      <c r="P518" s="32">
        <f t="shared" si="27"/>
        <v>0.3968253968253968</v>
      </c>
      <c r="Q518" s="32">
        <v>2329.2696025778732</v>
      </c>
      <c r="R518" s="8">
        <f t="shared" si="28"/>
        <v>9.2431333435629881</v>
      </c>
      <c r="S518" s="32">
        <v>2329.5531274217378</v>
      </c>
      <c r="T518" s="8">
        <f t="shared" si="29"/>
        <v>0.39677710006952888</v>
      </c>
      <c r="U518" s="116"/>
      <c r="V518" s="32">
        <v>250</v>
      </c>
      <c r="W518" s="32"/>
      <c r="X518" s="32"/>
      <c r="Y518" s="32"/>
      <c r="Z518" s="32"/>
      <c r="AA518" s="32"/>
      <c r="AB518" s="32"/>
      <c r="AC518" s="32"/>
      <c r="AD518" s="32"/>
      <c r="AE518" s="32"/>
    </row>
    <row r="519" spans="1:31" s="33" customFormat="1" ht="20.25" customHeight="1">
      <c r="A519" s="31">
        <v>42515</v>
      </c>
      <c r="B519" s="35" t="s">
        <v>144</v>
      </c>
      <c r="C519" s="165">
        <v>2016</v>
      </c>
      <c r="D519" s="117">
        <v>8</v>
      </c>
      <c r="E519" s="117" t="s">
        <v>223</v>
      </c>
      <c r="F519" s="117" t="s">
        <v>224</v>
      </c>
      <c r="G519" s="117" t="s">
        <v>225</v>
      </c>
      <c r="H519" s="117" t="s">
        <v>226</v>
      </c>
      <c r="I519" s="117" t="s">
        <v>261</v>
      </c>
      <c r="J519" s="32" t="s">
        <v>262</v>
      </c>
      <c r="K519" s="32"/>
      <c r="L519" s="32">
        <v>14</v>
      </c>
      <c r="M519" s="32" t="s">
        <v>229</v>
      </c>
      <c r="N519" s="32" t="s">
        <v>264</v>
      </c>
      <c r="O519" s="32">
        <v>252</v>
      </c>
      <c r="P519" s="32">
        <f t="shared" si="27"/>
        <v>5.5555555555555554</v>
      </c>
      <c r="Q519" s="32">
        <v>2329.2696025778732</v>
      </c>
      <c r="R519" s="8">
        <f t="shared" si="28"/>
        <v>129.40386680988183</v>
      </c>
      <c r="S519" s="32">
        <v>2329.5531274217378</v>
      </c>
      <c r="T519" s="8">
        <f t="shared" si="29"/>
        <v>5.5548794009734035</v>
      </c>
      <c r="U519" s="116"/>
      <c r="V519" s="32">
        <v>250</v>
      </c>
      <c r="W519" s="32"/>
      <c r="X519" s="32"/>
      <c r="Y519" s="32"/>
      <c r="Z519" s="32"/>
      <c r="AA519" s="32"/>
      <c r="AB519" s="32"/>
      <c r="AC519" s="32"/>
      <c r="AD519" s="32"/>
      <c r="AE519" s="32"/>
    </row>
    <row r="520" spans="1:31" s="38" customFormat="1" ht="20.25" customHeight="1">
      <c r="A520" s="13">
        <v>42515</v>
      </c>
      <c r="B520" s="35" t="s">
        <v>144</v>
      </c>
      <c r="C520" s="165">
        <v>2016</v>
      </c>
      <c r="D520" s="3">
        <v>5</v>
      </c>
      <c r="E520" s="3" t="s">
        <v>223</v>
      </c>
      <c r="F520" s="3" t="s">
        <v>224</v>
      </c>
      <c r="G520" s="3" t="s">
        <v>225</v>
      </c>
      <c r="H520" s="3" t="s">
        <v>226</v>
      </c>
      <c r="I520" s="3" t="s">
        <v>227</v>
      </c>
      <c r="J520" s="3" t="s">
        <v>228</v>
      </c>
      <c r="K520" s="3"/>
      <c r="L520" s="3">
        <v>2</v>
      </c>
      <c r="M520" s="3" t="s">
        <v>229</v>
      </c>
      <c r="N520" s="3" t="s">
        <v>228</v>
      </c>
      <c r="O520" s="3">
        <v>214</v>
      </c>
      <c r="P520" s="3">
        <f t="shared" si="27"/>
        <v>0.93457943925233633</v>
      </c>
      <c r="Q520" s="65">
        <v>3939.4792399718503</v>
      </c>
      <c r="R520" s="8">
        <f t="shared" si="28"/>
        <v>36.817562990391124</v>
      </c>
      <c r="S520" s="36">
        <v>3941.3797784577546</v>
      </c>
      <c r="T520" s="8">
        <f t="shared" si="29"/>
        <v>0.93412878382396536</v>
      </c>
      <c r="U520" s="109"/>
      <c r="V520" s="3">
        <v>250</v>
      </c>
      <c r="W520" s="3"/>
      <c r="X520" s="3"/>
      <c r="Y520" s="3"/>
      <c r="Z520" s="36"/>
      <c r="AA520" s="36"/>
      <c r="AB520" s="36"/>
      <c r="AC520" s="36"/>
      <c r="AD520" s="36"/>
      <c r="AE520" s="36"/>
    </row>
    <row r="521" spans="1:31" s="38" customFormat="1" ht="20.25" customHeight="1">
      <c r="A521" s="13">
        <v>42515</v>
      </c>
      <c r="B521" s="72" t="s">
        <v>144</v>
      </c>
      <c r="C521" s="165">
        <v>2016</v>
      </c>
      <c r="D521" s="3">
        <v>5</v>
      </c>
      <c r="E521" s="51" t="s">
        <v>223</v>
      </c>
      <c r="F521" s="51" t="s">
        <v>303</v>
      </c>
      <c r="G521" s="51" t="s">
        <v>304</v>
      </c>
      <c r="H521" s="51" t="s">
        <v>305</v>
      </c>
      <c r="I521" s="51" t="s">
        <v>306</v>
      </c>
      <c r="J521" s="3" t="s">
        <v>307</v>
      </c>
      <c r="K521" s="3"/>
      <c r="L521" s="3">
        <v>9</v>
      </c>
      <c r="M521" s="3" t="s">
        <v>229</v>
      </c>
      <c r="N521" s="3" t="s">
        <v>307</v>
      </c>
      <c r="O521" s="3">
        <v>214</v>
      </c>
      <c r="P521" s="3">
        <f t="shared" si="27"/>
        <v>4.2056074766355138</v>
      </c>
      <c r="Q521" s="65">
        <v>3939.4792399718503</v>
      </c>
      <c r="R521" s="8">
        <f t="shared" si="28"/>
        <v>165.67903345676004</v>
      </c>
      <c r="S521" s="36">
        <v>3941.3797784577546</v>
      </c>
      <c r="T521" s="8">
        <f t="shared" si="29"/>
        <v>4.203579527207844</v>
      </c>
      <c r="U521" s="109"/>
      <c r="V521" s="3">
        <v>250</v>
      </c>
      <c r="W521" s="36" t="s">
        <v>620</v>
      </c>
      <c r="X521" s="3"/>
      <c r="Y521" s="3"/>
      <c r="Z521" s="36"/>
      <c r="AA521" s="36"/>
      <c r="AB521" s="36"/>
      <c r="AC521" s="36"/>
      <c r="AD521" s="36"/>
      <c r="AE521" s="36"/>
    </row>
    <row r="522" spans="1:31" s="38" customFormat="1" ht="20.25" customHeight="1">
      <c r="A522" s="13">
        <v>42515</v>
      </c>
      <c r="B522" s="35" t="s">
        <v>144</v>
      </c>
      <c r="C522" s="165">
        <v>2016</v>
      </c>
      <c r="D522" s="3">
        <v>5</v>
      </c>
      <c r="E522" s="3" t="s">
        <v>223</v>
      </c>
      <c r="F522" s="3" t="s">
        <v>317</v>
      </c>
      <c r="G522" s="3" t="s">
        <v>314</v>
      </c>
      <c r="H522" s="3" t="s">
        <v>346</v>
      </c>
      <c r="I522" s="3" t="s">
        <v>315</v>
      </c>
      <c r="J522" s="3" t="s">
        <v>347</v>
      </c>
      <c r="K522" s="3" t="s">
        <v>348</v>
      </c>
      <c r="L522" s="3">
        <v>2</v>
      </c>
      <c r="M522" s="3" t="s">
        <v>247</v>
      </c>
      <c r="N522" s="3" t="s">
        <v>345</v>
      </c>
      <c r="O522" s="3">
        <v>214</v>
      </c>
      <c r="P522" s="3">
        <f t="shared" si="27"/>
        <v>0.93457943925233633</v>
      </c>
      <c r="Q522" s="65">
        <v>3939.4792399718503</v>
      </c>
      <c r="R522" s="8">
        <f t="shared" si="28"/>
        <v>36.817562990391124</v>
      </c>
      <c r="S522" s="36">
        <v>3941.3797784577546</v>
      </c>
      <c r="T522" s="8">
        <f t="shared" si="29"/>
        <v>0.93412878382396536</v>
      </c>
      <c r="U522" s="109"/>
      <c r="V522" s="36">
        <v>250</v>
      </c>
      <c r="W522" s="3"/>
      <c r="X522" s="3"/>
      <c r="Y522" s="3"/>
      <c r="Z522" s="36"/>
      <c r="AA522" s="36"/>
      <c r="AB522" s="36"/>
      <c r="AC522" s="36"/>
      <c r="AD522" s="36"/>
      <c r="AE522" s="36"/>
    </row>
    <row r="523" spans="1:31" s="38" customFormat="1" ht="20.25" customHeight="1">
      <c r="A523" s="35">
        <v>42515</v>
      </c>
      <c r="B523" s="35" t="s">
        <v>144</v>
      </c>
      <c r="C523" s="165">
        <v>2016</v>
      </c>
      <c r="D523" s="76">
        <v>5</v>
      </c>
      <c r="E523" s="36" t="s">
        <v>223</v>
      </c>
      <c r="F523" s="36" t="s">
        <v>267</v>
      </c>
      <c r="G523" s="36"/>
      <c r="H523" s="36" t="s">
        <v>273</v>
      </c>
      <c r="I523" s="36"/>
      <c r="J523" s="36" t="s">
        <v>558</v>
      </c>
      <c r="K523" s="36" t="s">
        <v>559</v>
      </c>
      <c r="L523" s="36">
        <v>1</v>
      </c>
      <c r="M523" s="36" t="s">
        <v>544</v>
      </c>
      <c r="N523" s="36" t="s">
        <v>494</v>
      </c>
      <c r="O523" s="36">
        <v>17</v>
      </c>
      <c r="P523" s="36">
        <f t="shared" si="27"/>
        <v>5.8823529411764701</v>
      </c>
      <c r="Q523" s="36">
        <v>1.9005384859043395</v>
      </c>
      <c r="R523" s="40">
        <f t="shared" si="28"/>
        <v>0.11179638152378465</v>
      </c>
      <c r="S523" s="36">
        <v>3941.3797784577546</v>
      </c>
      <c r="T523" s="8">
        <f t="shared" si="29"/>
        <v>2.8364782844532204E-3</v>
      </c>
      <c r="U523" s="109">
        <f>SUM(T524+T525)</f>
        <v>12.149347146280457</v>
      </c>
      <c r="V523" s="36">
        <v>1000</v>
      </c>
      <c r="W523" s="36"/>
      <c r="X523" s="36"/>
      <c r="Y523" s="3"/>
      <c r="Z523" s="36"/>
      <c r="AA523" s="36"/>
      <c r="AB523" s="36"/>
      <c r="AC523" s="36"/>
      <c r="AD523" s="36"/>
      <c r="AE523" s="36"/>
    </row>
    <row r="524" spans="1:31" s="38" customFormat="1" ht="20.25" customHeight="1">
      <c r="A524" s="13">
        <v>42515</v>
      </c>
      <c r="B524" s="35" t="s">
        <v>144</v>
      </c>
      <c r="C524" s="165">
        <v>2016</v>
      </c>
      <c r="D524" s="3">
        <v>5</v>
      </c>
      <c r="E524" s="51" t="s">
        <v>223</v>
      </c>
      <c r="F524" s="51" t="s">
        <v>224</v>
      </c>
      <c r="G524" s="51" t="s">
        <v>225</v>
      </c>
      <c r="H524" s="51" t="s">
        <v>226</v>
      </c>
      <c r="I524" s="51" t="s">
        <v>239</v>
      </c>
      <c r="J524" s="3" t="s">
        <v>240</v>
      </c>
      <c r="K524" s="3"/>
      <c r="L524" s="3">
        <v>26</v>
      </c>
      <c r="M524" s="3" t="s">
        <v>229</v>
      </c>
      <c r="N524" s="3" t="s">
        <v>240</v>
      </c>
      <c r="O524" s="3">
        <v>214</v>
      </c>
      <c r="P524" s="3">
        <f t="shared" si="27"/>
        <v>12.149532710280374</v>
      </c>
      <c r="Q524" s="65">
        <v>3939.4792399718503</v>
      </c>
      <c r="R524" s="8">
        <f t="shared" si="28"/>
        <v>478.62831887508463</v>
      </c>
      <c r="S524" s="36">
        <v>3941.3797784577546</v>
      </c>
      <c r="T524" s="8">
        <f t="shared" si="29"/>
        <v>12.14367418971155</v>
      </c>
      <c r="U524" s="109"/>
      <c r="V524" s="36">
        <v>250</v>
      </c>
      <c r="W524" s="3"/>
      <c r="X524" s="3"/>
      <c r="Y524" s="3"/>
      <c r="Z524" s="36"/>
      <c r="AA524" s="36"/>
      <c r="AB524" s="36"/>
      <c r="AC524" s="36"/>
      <c r="AD524" s="36"/>
      <c r="AE524" s="36"/>
    </row>
    <row r="525" spans="1:31" s="38" customFormat="1" ht="20.25" customHeight="1">
      <c r="A525" s="35">
        <v>42515</v>
      </c>
      <c r="B525" s="35" t="s">
        <v>144</v>
      </c>
      <c r="C525" s="165">
        <v>2016</v>
      </c>
      <c r="D525" s="76">
        <v>5</v>
      </c>
      <c r="E525" s="36" t="s">
        <v>323</v>
      </c>
      <c r="F525" s="36" t="s">
        <v>324</v>
      </c>
      <c r="G525" s="36"/>
      <c r="H525" s="36" t="s">
        <v>325</v>
      </c>
      <c r="I525" s="36" t="s">
        <v>326</v>
      </c>
      <c r="J525" s="36" t="s">
        <v>327</v>
      </c>
      <c r="K525" s="36"/>
      <c r="L525" s="36">
        <v>2</v>
      </c>
      <c r="M525" s="36" t="s">
        <v>229</v>
      </c>
      <c r="N525" s="36" t="s">
        <v>327</v>
      </c>
      <c r="O525" s="36">
        <v>17</v>
      </c>
      <c r="P525" s="36">
        <f t="shared" si="27"/>
        <v>11.76470588235294</v>
      </c>
      <c r="Q525" s="36">
        <v>1.9005384859043395</v>
      </c>
      <c r="R525" s="40">
        <f t="shared" si="28"/>
        <v>0.22359276304756931</v>
      </c>
      <c r="S525" s="36">
        <v>3941.3797784577546</v>
      </c>
      <c r="T525" s="8">
        <f t="shared" si="29"/>
        <v>5.6729565689064409E-3</v>
      </c>
      <c r="U525" s="109"/>
      <c r="V525" s="36">
        <v>1000</v>
      </c>
      <c r="W525" s="36"/>
      <c r="X525" s="36"/>
      <c r="Y525" s="3"/>
      <c r="Z525" s="36"/>
      <c r="AA525" s="36"/>
      <c r="AB525" s="36"/>
      <c r="AC525" s="36"/>
      <c r="AD525" s="36"/>
      <c r="AE525" s="36"/>
    </row>
    <row r="526" spans="1:31" s="38" customFormat="1" ht="20.25" customHeight="1">
      <c r="A526" s="35">
        <v>42515</v>
      </c>
      <c r="B526" s="35" t="s">
        <v>144</v>
      </c>
      <c r="C526" s="165">
        <v>2016</v>
      </c>
      <c r="D526" s="76">
        <v>5</v>
      </c>
      <c r="E526" s="36" t="s">
        <v>288</v>
      </c>
      <c r="F526" s="36" t="s">
        <v>289</v>
      </c>
      <c r="G526" s="36"/>
      <c r="H526" s="36"/>
      <c r="I526" s="36"/>
      <c r="J526" s="36"/>
      <c r="K526" s="36"/>
      <c r="L526" s="36">
        <v>14</v>
      </c>
      <c r="M526" s="36" t="s">
        <v>221</v>
      </c>
      <c r="N526" s="36" t="s">
        <v>294</v>
      </c>
      <c r="O526" s="36">
        <v>17</v>
      </c>
      <c r="P526" s="36">
        <f t="shared" si="27"/>
        <v>82.35294117647058</v>
      </c>
      <c r="Q526" s="65">
        <v>1.9005384859043395</v>
      </c>
      <c r="R526" s="40">
        <f t="shared" si="28"/>
        <v>1.5651493413329853</v>
      </c>
      <c r="S526" s="36">
        <v>3941.3797784577546</v>
      </c>
      <c r="T526" s="8">
        <f t="shared" si="29"/>
        <v>3.9710695982345091E-2</v>
      </c>
      <c r="U526" s="109"/>
      <c r="V526" s="36">
        <v>1000</v>
      </c>
      <c r="W526" s="36" t="s">
        <v>568</v>
      </c>
      <c r="X526" s="36"/>
      <c r="Y526" s="3"/>
      <c r="Z526" s="36"/>
      <c r="AA526" s="36"/>
      <c r="AB526" s="36"/>
      <c r="AC526" s="36"/>
      <c r="AD526" s="36"/>
      <c r="AE526" s="36"/>
    </row>
    <row r="527" spans="1:31" s="38" customFormat="1" ht="20.25" customHeight="1">
      <c r="A527" s="13">
        <v>42515</v>
      </c>
      <c r="B527" s="72" t="s">
        <v>144</v>
      </c>
      <c r="C527" s="165">
        <v>2016</v>
      </c>
      <c r="D527" s="51">
        <v>5</v>
      </c>
      <c r="E527" s="51" t="s">
        <v>223</v>
      </c>
      <c r="F527" s="51" t="s">
        <v>224</v>
      </c>
      <c r="G527" s="51" t="s">
        <v>225</v>
      </c>
      <c r="H527" s="51" t="s">
        <v>248</v>
      </c>
      <c r="I527" s="51" t="s">
        <v>249</v>
      </c>
      <c r="J527" s="3" t="s">
        <v>250</v>
      </c>
      <c r="K527" s="3"/>
      <c r="L527" s="3">
        <v>7</v>
      </c>
      <c r="M527" s="3" t="s">
        <v>229</v>
      </c>
      <c r="N527" s="3" t="s">
        <v>250</v>
      </c>
      <c r="O527" s="3">
        <v>214</v>
      </c>
      <c r="P527" s="3">
        <f t="shared" si="27"/>
        <v>3.2710280373831773</v>
      </c>
      <c r="Q527" s="65">
        <v>3939.4792399718503</v>
      </c>
      <c r="R527" s="8">
        <f t="shared" si="28"/>
        <v>128.86147046636893</v>
      </c>
      <c r="S527" s="36">
        <v>3941.3797784577546</v>
      </c>
      <c r="T527" s="8">
        <f t="shared" si="29"/>
        <v>3.2694507433838789</v>
      </c>
      <c r="U527" s="109"/>
      <c r="V527" s="3">
        <v>250</v>
      </c>
      <c r="W527" s="3"/>
      <c r="X527" s="3"/>
      <c r="Y527" s="41"/>
      <c r="Z527" s="36"/>
      <c r="AA527" s="36"/>
      <c r="AB527" s="36"/>
      <c r="AC527" s="36"/>
      <c r="AD527" s="36"/>
      <c r="AE527" s="36"/>
    </row>
    <row r="528" spans="1:31" s="38" customFormat="1" ht="20.25" customHeight="1">
      <c r="A528" s="13">
        <v>42515</v>
      </c>
      <c r="B528" s="72" t="s">
        <v>144</v>
      </c>
      <c r="C528" s="165">
        <v>2016</v>
      </c>
      <c r="D528" s="51">
        <v>5</v>
      </c>
      <c r="E528" s="51" t="s">
        <v>223</v>
      </c>
      <c r="F528" s="51" t="s">
        <v>224</v>
      </c>
      <c r="G528" s="51" t="s">
        <v>225</v>
      </c>
      <c r="H528" s="51" t="s">
        <v>226</v>
      </c>
      <c r="I528" s="51" t="s">
        <v>253</v>
      </c>
      <c r="J528" s="3" t="s">
        <v>254</v>
      </c>
      <c r="K528" s="3"/>
      <c r="L528" s="3">
        <v>1</v>
      </c>
      <c r="M528" s="3"/>
      <c r="N528" s="3" t="s">
        <v>254</v>
      </c>
      <c r="O528" s="3">
        <v>214</v>
      </c>
      <c r="P528" s="3">
        <f t="shared" si="27"/>
        <v>0.46728971962616817</v>
      </c>
      <c r="Q528" s="65">
        <v>3939.4792399718503</v>
      </c>
      <c r="R528" s="8">
        <f t="shared" si="28"/>
        <v>18.408781495195562</v>
      </c>
      <c r="S528" s="36">
        <v>3941.3797784577546</v>
      </c>
      <c r="T528" s="8">
        <f t="shared" si="29"/>
        <v>0.46706439191198268</v>
      </c>
      <c r="U528" s="109"/>
      <c r="V528" s="36">
        <v>250</v>
      </c>
      <c r="W528" s="3"/>
      <c r="X528" s="3"/>
      <c r="Y528" s="41"/>
      <c r="Z528" s="36"/>
      <c r="AA528" s="36"/>
      <c r="AB528" s="36"/>
      <c r="AC528" s="36"/>
      <c r="AD528" s="36"/>
      <c r="AE528" s="36"/>
    </row>
    <row r="529" spans="1:31" s="38" customFormat="1" ht="20.25" customHeight="1">
      <c r="A529" s="13">
        <v>42515</v>
      </c>
      <c r="B529" s="35" t="s">
        <v>144</v>
      </c>
      <c r="C529" s="165">
        <v>2016</v>
      </c>
      <c r="D529" s="51">
        <v>5</v>
      </c>
      <c r="E529" s="3" t="s">
        <v>223</v>
      </c>
      <c r="F529" s="3" t="s">
        <v>224</v>
      </c>
      <c r="G529" s="3" t="s">
        <v>225</v>
      </c>
      <c r="H529" s="3" t="s">
        <v>226</v>
      </c>
      <c r="I529" s="3" t="s">
        <v>253</v>
      </c>
      <c r="J529" s="3" t="s">
        <v>256</v>
      </c>
      <c r="K529" s="3"/>
      <c r="L529" s="3">
        <v>155</v>
      </c>
      <c r="M529" s="3" t="s">
        <v>229</v>
      </c>
      <c r="N529" s="3" t="s">
        <v>256</v>
      </c>
      <c r="O529" s="3">
        <v>214</v>
      </c>
      <c r="P529" s="3">
        <f t="shared" si="27"/>
        <v>72.429906542056074</v>
      </c>
      <c r="Q529" s="65">
        <v>3939.4792399718503</v>
      </c>
      <c r="R529" s="8">
        <f t="shared" si="28"/>
        <v>2853.3611317553123</v>
      </c>
      <c r="S529" s="36">
        <v>3941.3797784577546</v>
      </c>
      <c r="T529" s="8">
        <f t="shared" si="29"/>
        <v>72.394980746357319</v>
      </c>
      <c r="U529" s="109"/>
      <c r="V529" s="3">
        <v>250</v>
      </c>
      <c r="W529" s="3" t="s">
        <v>363</v>
      </c>
      <c r="X529" s="3"/>
      <c r="Y529" s="41"/>
      <c r="Z529" s="36"/>
      <c r="AA529" s="36"/>
      <c r="AB529" s="36"/>
      <c r="AC529" s="36"/>
      <c r="AD529" s="36"/>
      <c r="AE529" s="36"/>
    </row>
    <row r="530" spans="1:31" s="38" customFormat="1" ht="20.25" customHeight="1">
      <c r="A530" s="13">
        <v>42515</v>
      </c>
      <c r="B530" s="35" t="s">
        <v>144</v>
      </c>
      <c r="C530" s="165">
        <v>2016</v>
      </c>
      <c r="D530" s="51">
        <v>5</v>
      </c>
      <c r="E530" s="3" t="s">
        <v>223</v>
      </c>
      <c r="F530" s="3" t="s">
        <v>224</v>
      </c>
      <c r="G530" s="3" t="s">
        <v>225</v>
      </c>
      <c r="H530" s="3" t="s">
        <v>226</v>
      </c>
      <c r="I530" s="3" t="s">
        <v>239</v>
      </c>
      <c r="J530" s="3" t="s">
        <v>258</v>
      </c>
      <c r="K530" s="3" t="s">
        <v>259</v>
      </c>
      <c r="L530" s="3">
        <v>1</v>
      </c>
      <c r="M530" s="3" t="s">
        <v>247</v>
      </c>
      <c r="N530" s="3" t="s">
        <v>258</v>
      </c>
      <c r="O530" s="3">
        <v>214</v>
      </c>
      <c r="P530" s="3">
        <f t="shared" si="27"/>
        <v>0.46728971962616817</v>
      </c>
      <c r="Q530" s="65">
        <v>3939.4792399718503</v>
      </c>
      <c r="R530" s="8">
        <f t="shared" si="28"/>
        <v>18.408781495195562</v>
      </c>
      <c r="S530" s="36">
        <v>3941.3797784577546</v>
      </c>
      <c r="T530" s="8">
        <f t="shared" si="29"/>
        <v>0.46706439191198268</v>
      </c>
      <c r="U530" s="109"/>
      <c r="V530" s="36">
        <v>250</v>
      </c>
      <c r="W530" s="3"/>
      <c r="X530" s="3"/>
      <c r="Y530" s="41"/>
      <c r="Z530" s="36"/>
      <c r="AA530" s="36"/>
      <c r="AB530" s="36"/>
      <c r="AC530" s="36"/>
      <c r="AD530" s="36"/>
      <c r="AE530" s="36"/>
    </row>
    <row r="531" spans="1:31" s="38" customFormat="1" ht="20.25" customHeight="1">
      <c r="A531" s="13">
        <v>42515</v>
      </c>
      <c r="B531" s="35" t="s">
        <v>144</v>
      </c>
      <c r="C531" s="165">
        <v>2016</v>
      </c>
      <c r="D531" s="51">
        <v>5</v>
      </c>
      <c r="E531" s="51" t="s">
        <v>223</v>
      </c>
      <c r="F531" s="51" t="s">
        <v>224</v>
      </c>
      <c r="G531" s="51" t="s">
        <v>225</v>
      </c>
      <c r="H531" s="51" t="s">
        <v>226</v>
      </c>
      <c r="I531" s="51" t="s">
        <v>261</v>
      </c>
      <c r="J531" s="3" t="s">
        <v>262</v>
      </c>
      <c r="K531" s="3"/>
      <c r="L531" s="3">
        <v>11</v>
      </c>
      <c r="M531" s="3" t="s">
        <v>229</v>
      </c>
      <c r="N531" s="3" t="s">
        <v>264</v>
      </c>
      <c r="O531" s="3">
        <v>214</v>
      </c>
      <c r="P531" s="3">
        <f t="shared" si="27"/>
        <v>5.1401869158878499</v>
      </c>
      <c r="Q531" s="65">
        <v>3939.4792399718503</v>
      </c>
      <c r="R531" s="8">
        <f t="shared" si="28"/>
        <v>202.49659644715115</v>
      </c>
      <c r="S531" s="36">
        <v>3941.3797784577546</v>
      </c>
      <c r="T531" s="8">
        <f t="shared" si="29"/>
        <v>5.1377083110318083</v>
      </c>
      <c r="U531" s="109"/>
      <c r="V531" s="3">
        <v>250</v>
      </c>
      <c r="W531" s="3"/>
      <c r="X531" s="3"/>
      <c r="Y531" s="41"/>
      <c r="Z531" s="36"/>
      <c r="AA531" s="36"/>
      <c r="AB531" s="36"/>
      <c r="AC531" s="36"/>
      <c r="AD531" s="36"/>
      <c r="AE531" s="36"/>
    </row>
    <row r="532" spans="1:31" s="38" customFormat="1" ht="20.25" customHeight="1">
      <c r="A532" s="13">
        <v>42515</v>
      </c>
      <c r="B532" s="35" t="s">
        <v>144</v>
      </c>
      <c r="C532" s="165">
        <v>2016</v>
      </c>
      <c r="D532" s="3">
        <v>4</v>
      </c>
      <c r="E532" s="3" t="s">
        <v>223</v>
      </c>
      <c r="F532" s="3" t="s">
        <v>224</v>
      </c>
      <c r="G532" s="3" t="s">
        <v>225</v>
      </c>
      <c r="H532" s="3" t="s">
        <v>226</v>
      </c>
      <c r="I532" s="3" t="s">
        <v>227</v>
      </c>
      <c r="J532" s="3" t="s">
        <v>228</v>
      </c>
      <c r="K532" s="3"/>
      <c r="L532" s="3">
        <v>14</v>
      </c>
      <c r="M532" s="3" t="s">
        <v>229</v>
      </c>
      <c r="N532" s="3" t="s">
        <v>228</v>
      </c>
      <c r="O532" s="3">
        <v>217</v>
      </c>
      <c r="P532" s="3">
        <f t="shared" si="27"/>
        <v>6.4516129032258061</v>
      </c>
      <c r="Q532" s="36">
        <v>3277.1938775510207</v>
      </c>
      <c r="R532" s="8">
        <f t="shared" si="28"/>
        <v>211.43186306780777</v>
      </c>
      <c r="S532" s="36">
        <v>3279.7912801484231</v>
      </c>
      <c r="T532" s="8">
        <f t="shared" si="29"/>
        <v>6.446503603675648</v>
      </c>
      <c r="U532" s="109"/>
      <c r="V532" s="51">
        <v>250</v>
      </c>
      <c r="W532" s="51"/>
      <c r="X532" s="51"/>
      <c r="Y532" s="106"/>
      <c r="Z532" s="36"/>
      <c r="AA532" s="36"/>
      <c r="AB532" s="36"/>
      <c r="AC532" s="36"/>
      <c r="AD532" s="36"/>
      <c r="AE532" s="36"/>
    </row>
    <row r="533" spans="1:31" s="38" customFormat="1" ht="20.25" customHeight="1">
      <c r="A533" s="35">
        <v>42515</v>
      </c>
      <c r="B533" s="35" t="s">
        <v>144</v>
      </c>
      <c r="C533" s="165">
        <v>2016</v>
      </c>
      <c r="D533" s="76">
        <v>4</v>
      </c>
      <c r="E533" s="36" t="s">
        <v>223</v>
      </c>
      <c r="F533" s="36" t="s">
        <v>267</v>
      </c>
      <c r="G533" s="36" t="s">
        <v>278</v>
      </c>
      <c r="H533" s="36" t="s">
        <v>269</v>
      </c>
      <c r="I533" s="36"/>
      <c r="J533" s="36"/>
      <c r="K533" s="36"/>
      <c r="L533" s="36">
        <v>1</v>
      </c>
      <c r="M533" s="36" t="s">
        <v>508</v>
      </c>
      <c r="N533" s="36" t="s">
        <v>270</v>
      </c>
      <c r="O533" s="36">
        <v>17</v>
      </c>
      <c r="P533" s="36">
        <f t="shared" si="27"/>
        <v>5.8823529411764701</v>
      </c>
      <c r="Q533" s="36">
        <v>2.5974025974025974</v>
      </c>
      <c r="R533" s="40">
        <f t="shared" si="28"/>
        <v>0.15278838808250572</v>
      </c>
      <c r="S533" s="36">
        <v>3279.7912801484231</v>
      </c>
      <c r="T533" s="8">
        <f t="shared" si="29"/>
        <v>4.6584790016147449E-3</v>
      </c>
      <c r="U533" s="109">
        <f>SUM(T533+T534+T535+T547+T550)</f>
        <v>15.824676610855892</v>
      </c>
      <c r="V533" s="65">
        <v>1000</v>
      </c>
      <c r="W533" s="65"/>
      <c r="X533" s="65"/>
      <c r="Y533" s="51"/>
      <c r="Z533" s="36"/>
      <c r="AA533" s="36"/>
      <c r="AB533" s="36"/>
      <c r="AC533" s="36"/>
      <c r="AD533" s="36"/>
      <c r="AE533" s="36"/>
    </row>
    <row r="534" spans="1:31" s="38" customFormat="1" ht="20.25" customHeight="1">
      <c r="A534" s="13">
        <v>42515</v>
      </c>
      <c r="B534" s="72" t="s">
        <v>144</v>
      </c>
      <c r="C534" s="165">
        <v>2016</v>
      </c>
      <c r="D534" s="3">
        <v>4</v>
      </c>
      <c r="E534" s="3" t="s">
        <v>223</v>
      </c>
      <c r="F534" s="3" t="s">
        <v>303</v>
      </c>
      <c r="G534" s="3" t="s">
        <v>304</v>
      </c>
      <c r="H534" s="3" t="s">
        <v>305</v>
      </c>
      <c r="I534" s="3" t="s">
        <v>306</v>
      </c>
      <c r="J534" s="3" t="s">
        <v>307</v>
      </c>
      <c r="K534" s="3"/>
      <c r="L534" s="3">
        <v>1</v>
      </c>
      <c r="M534" s="3" t="s">
        <v>229</v>
      </c>
      <c r="N534" s="3" t="s">
        <v>307</v>
      </c>
      <c r="O534" s="3">
        <v>217</v>
      </c>
      <c r="P534" s="3">
        <f t="shared" si="27"/>
        <v>0.46082949308755761</v>
      </c>
      <c r="Q534" s="36">
        <v>3277.1938775510207</v>
      </c>
      <c r="R534" s="8">
        <f t="shared" si="28"/>
        <v>15.102275933414841</v>
      </c>
      <c r="S534" s="36">
        <v>3279.7912801484231</v>
      </c>
      <c r="T534" s="8">
        <f t="shared" si="29"/>
        <v>0.46046454311968915</v>
      </c>
      <c r="U534" s="109"/>
      <c r="V534" s="36">
        <v>250</v>
      </c>
      <c r="W534" s="36" t="s">
        <v>308</v>
      </c>
      <c r="X534" s="3"/>
      <c r="Y534" s="3"/>
      <c r="Z534" s="36"/>
      <c r="AA534" s="36"/>
      <c r="AB534" s="36"/>
      <c r="AC534" s="36"/>
      <c r="AD534" s="36"/>
      <c r="AE534" s="36"/>
    </row>
    <row r="535" spans="1:31" s="42" customFormat="1" ht="20.25" customHeight="1">
      <c r="A535" s="71">
        <v>42515</v>
      </c>
      <c r="B535" s="72" t="s">
        <v>144</v>
      </c>
      <c r="C535" s="165">
        <v>2016</v>
      </c>
      <c r="D535" s="3">
        <v>4</v>
      </c>
      <c r="E535" s="51" t="s">
        <v>223</v>
      </c>
      <c r="F535" s="51" t="s">
        <v>303</v>
      </c>
      <c r="G535" s="51" t="s">
        <v>304</v>
      </c>
      <c r="H535" s="51" t="s">
        <v>305</v>
      </c>
      <c r="I535" s="51" t="s">
        <v>306</v>
      </c>
      <c r="J535" s="3" t="s">
        <v>307</v>
      </c>
      <c r="K535" s="3"/>
      <c r="L535" s="3">
        <v>2</v>
      </c>
      <c r="M535" s="3" t="s">
        <v>229</v>
      </c>
      <c r="N535" s="3" t="s">
        <v>307</v>
      </c>
      <c r="O535" s="3">
        <v>217</v>
      </c>
      <c r="P535" s="3">
        <f t="shared" si="27"/>
        <v>0.92165898617511521</v>
      </c>
      <c r="Q535" s="36">
        <v>3277.1938775510207</v>
      </c>
      <c r="R535" s="8">
        <f t="shared" si="28"/>
        <v>30.204551866829682</v>
      </c>
      <c r="S535" s="36">
        <v>3279.7912801484231</v>
      </c>
      <c r="T535" s="8">
        <f t="shared" si="29"/>
        <v>0.9209290862393783</v>
      </c>
      <c r="U535" s="109"/>
      <c r="V535" s="3">
        <v>250</v>
      </c>
      <c r="W535" s="36" t="s">
        <v>620</v>
      </c>
      <c r="X535" s="3"/>
      <c r="Y535" s="3"/>
      <c r="Z535" s="41"/>
      <c r="AA535" s="41"/>
      <c r="AB535" s="41"/>
      <c r="AC535" s="41"/>
      <c r="AD535" s="41"/>
      <c r="AE535" s="41"/>
    </row>
    <row r="536" spans="1:31" s="42" customFormat="1" ht="20.25" customHeight="1">
      <c r="A536" s="13">
        <v>42515</v>
      </c>
      <c r="B536" s="35" t="s">
        <v>144</v>
      </c>
      <c r="C536" s="165">
        <v>2016</v>
      </c>
      <c r="D536" s="3">
        <v>4</v>
      </c>
      <c r="E536" s="3" t="s">
        <v>223</v>
      </c>
      <c r="F536" s="3" t="s">
        <v>224</v>
      </c>
      <c r="G536" s="3" t="s">
        <v>225</v>
      </c>
      <c r="H536" s="3" t="s">
        <v>226</v>
      </c>
      <c r="I536" s="3" t="s">
        <v>232</v>
      </c>
      <c r="J536" s="3" t="s">
        <v>233</v>
      </c>
      <c r="K536" s="3" t="s">
        <v>234</v>
      </c>
      <c r="L536" s="3">
        <v>1</v>
      </c>
      <c r="M536" s="3" t="s">
        <v>247</v>
      </c>
      <c r="N536" s="3" t="s">
        <v>233</v>
      </c>
      <c r="O536" s="3">
        <v>217</v>
      </c>
      <c r="P536" s="3">
        <f t="shared" si="27"/>
        <v>0.46082949308755761</v>
      </c>
      <c r="Q536" s="36">
        <v>3277.1938775510207</v>
      </c>
      <c r="R536" s="8">
        <f t="shared" si="28"/>
        <v>15.102275933414841</v>
      </c>
      <c r="S536" s="36">
        <v>3279.7912801484231</v>
      </c>
      <c r="T536" s="8">
        <f t="shared" si="29"/>
        <v>0.46046454311968915</v>
      </c>
      <c r="U536" s="109"/>
      <c r="V536" s="36">
        <v>250</v>
      </c>
      <c r="W536" s="3"/>
      <c r="X536" s="3"/>
      <c r="Y536" s="3"/>
      <c r="Z536" s="41"/>
      <c r="AA536" s="41"/>
      <c r="AB536" s="41"/>
      <c r="AC536" s="41"/>
      <c r="AD536" s="41"/>
      <c r="AE536" s="41"/>
    </row>
    <row r="537" spans="1:31" s="42" customFormat="1" ht="20.25" customHeight="1">
      <c r="A537" s="71">
        <v>42515</v>
      </c>
      <c r="B537" s="35" t="s">
        <v>144</v>
      </c>
      <c r="C537" s="165">
        <v>2016</v>
      </c>
      <c r="D537" s="3">
        <v>4</v>
      </c>
      <c r="E537" s="3" t="s">
        <v>223</v>
      </c>
      <c r="F537" s="3" t="s">
        <v>224</v>
      </c>
      <c r="G537" s="3" t="s">
        <v>225</v>
      </c>
      <c r="H537" s="3" t="s">
        <v>226</v>
      </c>
      <c r="I537" s="3" t="s">
        <v>235</v>
      </c>
      <c r="J537" s="3" t="s">
        <v>236</v>
      </c>
      <c r="K537" s="3"/>
      <c r="L537" s="3">
        <v>2</v>
      </c>
      <c r="M537" s="3" t="s">
        <v>229</v>
      </c>
      <c r="N537" s="3" t="s">
        <v>236</v>
      </c>
      <c r="O537" s="3">
        <v>217</v>
      </c>
      <c r="P537" s="3">
        <f t="shared" si="27"/>
        <v>0.92165898617511521</v>
      </c>
      <c r="Q537" s="36">
        <v>3277.1938775510207</v>
      </c>
      <c r="R537" s="8">
        <f t="shared" si="28"/>
        <v>30.204551866829682</v>
      </c>
      <c r="S537" s="36">
        <v>3279.7912801484231</v>
      </c>
      <c r="T537" s="8">
        <f t="shared" si="29"/>
        <v>0.9209290862393783</v>
      </c>
      <c r="U537" s="109"/>
      <c r="V537" s="3">
        <v>250</v>
      </c>
      <c r="W537" s="3"/>
      <c r="X537" s="3"/>
      <c r="Y537" s="3"/>
      <c r="Z537" s="41"/>
      <c r="AA537" s="41"/>
      <c r="AB537" s="41"/>
      <c r="AC537" s="41"/>
      <c r="AD537" s="41"/>
      <c r="AE537" s="41"/>
    </row>
    <row r="538" spans="1:31" s="42" customFormat="1" ht="20.25" customHeight="1">
      <c r="A538" s="13">
        <v>42515</v>
      </c>
      <c r="B538" s="35" t="s">
        <v>144</v>
      </c>
      <c r="C538" s="165">
        <v>2016</v>
      </c>
      <c r="D538" s="3">
        <v>4</v>
      </c>
      <c r="E538" s="3" t="s">
        <v>223</v>
      </c>
      <c r="F538" s="3" t="s">
        <v>317</v>
      </c>
      <c r="G538" s="3" t="s">
        <v>314</v>
      </c>
      <c r="H538" s="3" t="s">
        <v>346</v>
      </c>
      <c r="I538" s="3" t="s">
        <v>315</v>
      </c>
      <c r="J538" s="3" t="s">
        <v>365</v>
      </c>
      <c r="K538" s="3" t="s">
        <v>366</v>
      </c>
      <c r="L538" s="3">
        <v>1</v>
      </c>
      <c r="M538" s="3" t="s">
        <v>247</v>
      </c>
      <c r="N538" s="3" t="s">
        <v>345</v>
      </c>
      <c r="O538" s="3">
        <v>217</v>
      </c>
      <c r="P538" s="3">
        <f t="shared" si="27"/>
        <v>0.46082949308755761</v>
      </c>
      <c r="Q538" s="36">
        <v>3277.1938775510207</v>
      </c>
      <c r="R538" s="8">
        <f t="shared" si="28"/>
        <v>15.102275933414841</v>
      </c>
      <c r="S538" s="36">
        <v>3279.7912801484231</v>
      </c>
      <c r="T538" s="8">
        <f t="shared" si="29"/>
        <v>0.46046454311968915</v>
      </c>
      <c r="U538" s="109"/>
      <c r="V538" s="3">
        <v>250</v>
      </c>
      <c r="W538" s="3"/>
      <c r="X538" s="3"/>
      <c r="Y538" s="3"/>
      <c r="Z538" s="41"/>
      <c r="AA538" s="41"/>
      <c r="AB538" s="41"/>
      <c r="AC538" s="41"/>
      <c r="AD538" s="41"/>
      <c r="AE538" s="41"/>
    </row>
    <row r="539" spans="1:31" s="42" customFormat="1" ht="20.25" customHeight="1">
      <c r="A539" s="13">
        <v>42515</v>
      </c>
      <c r="B539" s="35" t="s">
        <v>144</v>
      </c>
      <c r="C539" s="165">
        <v>2016</v>
      </c>
      <c r="D539" s="3">
        <v>4</v>
      </c>
      <c r="E539" s="3" t="s">
        <v>223</v>
      </c>
      <c r="F539" s="3" t="s">
        <v>317</v>
      </c>
      <c r="G539" s="3" t="s">
        <v>314</v>
      </c>
      <c r="H539" s="3" t="s">
        <v>346</v>
      </c>
      <c r="I539" s="3" t="s">
        <v>315</v>
      </c>
      <c r="J539" s="3" t="s">
        <v>347</v>
      </c>
      <c r="K539" s="3"/>
      <c r="L539" s="3">
        <v>2</v>
      </c>
      <c r="M539" s="3" t="s">
        <v>229</v>
      </c>
      <c r="N539" s="3" t="s">
        <v>345</v>
      </c>
      <c r="O539" s="3">
        <v>217</v>
      </c>
      <c r="P539" s="3">
        <f t="shared" si="27"/>
        <v>0.92165898617511521</v>
      </c>
      <c r="Q539" s="36">
        <v>3277.1938775510207</v>
      </c>
      <c r="R539" s="8">
        <f t="shared" si="28"/>
        <v>30.204551866829682</v>
      </c>
      <c r="S539" s="36">
        <v>3279.7912801484231</v>
      </c>
      <c r="T539" s="8">
        <f t="shared" si="29"/>
        <v>0.9209290862393783</v>
      </c>
      <c r="U539" s="109"/>
      <c r="V539" s="3">
        <v>250</v>
      </c>
      <c r="W539" s="3"/>
      <c r="X539" s="3"/>
      <c r="Y539" s="3"/>
      <c r="Z539" s="41"/>
      <c r="AA539" s="41"/>
      <c r="AB539" s="41"/>
      <c r="AC539" s="41"/>
      <c r="AD539" s="41"/>
      <c r="AE539" s="41"/>
    </row>
    <row r="540" spans="1:31" s="42" customFormat="1" ht="20.25" customHeight="1">
      <c r="A540" s="35">
        <v>42515</v>
      </c>
      <c r="B540" s="72" t="s">
        <v>144</v>
      </c>
      <c r="C540" s="165">
        <v>2016</v>
      </c>
      <c r="D540" s="76">
        <v>4</v>
      </c>
      <c r="E540" s="65" t="s">
        <v>223</v>
      </c>
      <c r="F540" s="65" t="s">
        <v>267</v>
      </c>
      <c r="G540" s="65"/>
      <c r="H540" s="65" t="s">
        <v>273</v>
      </c>
      <c r="I540" s="65"/>
      <c r="J540" s="65"/>
      <c r="K540" s="36"/>
      <c r="L540" s="36">
        <v>3</v>
      </c>
      <c r="M540" s="36" t="s">
        <v>508</v>
      </c>
      <c r="N540" s="36" t="s">
        <v>335</v>
      </c>
      <c r="O540" s="36">
        <v>17</v>
      </c>
      <c r="P540" s="36">
        <f t="shared" si="27"/>
        <v>17.647058823529413</v>
      </c>
      <c r="Q540" s="36">
        <v>2.5974025974025974</v>
      </c>
      <c r="R540" s="40">
        <f t="shared" si="28"/>
        <v>0.45836516424751722</v>
      </c>
      <c r="S540" s="36">
        <v>3279.7912801484231</v>
      </c>
      <c r="T540" s="8">
        <f t="shared" si="29"/>
        <v>1.3975437004844236E-2</v>
      </c>
      <c r="U540" s="109"/>
      <c r="V540" s="65">
        <v>1000</v>
      </c>
      <c r="W540" s="65"/>
      <c r="X540" s="65"/>
      <c r="Y540" s="51"/>
      <c r="Z540" s="41"/>
      <c r="AA540" s="41"/>
      <c r="AB540" s="41"/>
      <c r="AC540" s="41"/>
      <c r="AD540" s="41"/>
      <c r="AE540" s="41"/>
    </row>
    <row r="541" spans="1:31" s="42" customFormat="1" ht="20.25" customHeight="1">
      <c r="A541" s="13">
        <v>42515</v>
      </c>
      <c r="B541" s="35" t="s">
        <v>144</v>
      </c>
      <c r="C541" s="165">
        <v>2016</v>
      </c>
      <c r="D541" s="3">
        <v>4</v>
      </c>
      <c r="E541" s="3" t="s">
        <v>223</v>
      </c>
      <c r="F541" s="3" t="s">
        <v>224</v>
      </c>
      <c r="G541" s="3" t="s">
        <v>225</v>
      </c>
      <c r="H541" s="3" t="s">
        <v>226</v>
      </c>
      <c r="I541" s="3" t="s">
        <v>239</v>
      </c>
      <c r="J541" s="3" t="s">
        <v>240</v>
      </c>
      <c r="K541" s="3"/>
      <c r="L541" s="3">
        <v>154</v>
      </c>
      <c r="M541" s="3" t="s">
        <v>229</v>
      </c>
      <c r="N541" s="3" t="s">
        <v>240</v>
      </c>
      <c r="O541" s="3">
        <v>217</v>
      </c>
      <c r="P541" s="3">
        <f t="shared" si="27"/>
        <v>70.967741935483872</v>
      </c>
      <c r="Q541" s="36">
        <v>3277.1938775510207</v>
      </c>
      <c r="R541" s="8">
        <f t="shared" si="28"/>
        <v>2325.7504937458857</v>
      </c>
      <c r="S541" s="36">
        <v>3279.7912801484231</v>
      </c>
      <c r="T541" s="8">
        <f t="shared" si="29"/>
        <v>70.911539640432139</v>
      </c>
      <c r="U541" s="109"/>
      <c r="V541" s="36">
        <v>250</v>
      </c>
      <c r="W541" s="3"/>
      <c r="X541" s="3"/>
      <c r="Y541" s="3"/>
      <c r="Z541" s="41"/>
      <c r="AA541" s="41"/>
      <c r="AB541" s="41"/>
      <c r="AC541" s="41"/>
      <c r="AD541" s="41"/>
      <c r="AE541" s="41"/>
    </row>
    <row r="542" spans="1:31" s="42" customFormat="1" ht="20.25" customHeight="1">
      <c r="A542" s="13">
        <v>42515</v>
      </c>
      <c r="B542" s="35" t="s">
        <v>144</v>
      </c>
      <c r="C542" s="165">
        <v>2016</v>
      </c>
      <c r="D542" s="3">
        <v>4</v>
      </c>
      <c r="E542" s="51" t="s">
        <v>223</v>
      </c>
      <c r="F542" s="51" t="s">
        <v>224</v>
      </c>
      <c r="G542" s="51" t="s">
        <v>225</v>
      </c>
      <c r="H542" s="51" t="s">
        <v>248</v>
      </c>
      <c r="I542" s="51" t="s">
        <v>359</v>
      </c>
      <c r="J542" s="3" t="s">
        <v>360</v>
      </c>
      <c r="K542" s="3" t="s">
        <v>361</v>
      </c>
      <c r="L542" s="3">
        <v>2</v>
      </c>
      <c r="M542" s="3" t="s">
        <v>247</v>
      </c>
      <c r="N542" s="3" t="s">
        <v>362</v>
      </c>
      <c r="O542" s="3">
        <v>217</v>
      </c>
      <c r="P542" s="3">
        <f t="shared" si="27"/>
        <v>0.92165898617511521</v>
      </c>
      <c r="Q542" s="36">
        <v>3277.1938775510207</v>
      </c>
      <c r="R542" s="8">
        <f t="shared" si="28"/>
        <v>30.204551866829682</v>
      </c>
      <c r="S542" s="65">
        <v>3279.7912801484231</v>
      </c>
      <c r="T542" s="8">
        <f t="shared" si="29"/>
        <v>0.9209290862393783</v>
      </c>
      <c r="U542" s="109"/>
      <c r="V542" s="3">
        <v>250</v>
      </c>
      <c r="W542" s="3"/>
      <c r="X542" s="3"/>
      <c r="Y542" s="3"/>
      <c r="Z542" s="41"/>
      <c r="AA542" s="41"/>
      <c r="AB542" s="41"/>
      <c r="AC542" s="41"/>
      <c r="AD542" s="41"/>
      <c r="AE542" s="41"/>
    </row>
    <row r="543" spans="1:31" s="42" customFormat="1" ht="20.25" customHeight="1">
      <c r="A543" s="35">
        <v>42515</v>
      </c>
      <c r="B543" s="72" t="s">
        <v>144</v>
      </c>
      <c r="C543" s="165">
        <v>2016</v>
      </c>
      <c r="D543" s="76">
        <v>4</v>
      </c>
      <c r="E543" s="36" t="s">
        <v>288</v>
      </c>
      <c r="F543" s="36" t="s">
        <v>289</v>
      </c>
      <c r="G543" s="36"/>
      <c r="H543" s="36"/>
      <c r="I543" s="65"/>
      <c r="J543" s="65"/>
      <c r="K543" s="36"/>
      <c r="L543" s="36">
        <v>1</v>
      </c>
      <c r="M543" s="36" t="s">
        <v>221</v>
      </c>
      <c r="N543" s="36" t="s">
        <v>294</v>
      </c>
      <c r="O543" s="36">
        <v>17</v>
      </c>
      <c r="P543" s="36">
        <f t="shared" si="27"/>
        <v>5.8823529411764701</v>
      </c>
      <c r="Q543" s="36">
        <v>2.5974025974025974</v>
      </c>
      <c r="R543" s="40">
        <f t="shared" si="28"/>
        <v>0.15278838808250572</v>
      </c>
      <c r="S543" s="65">
        <v>3279.7912801484231</v>
      </c>
      <c r="T543" s="8">
        <f t="shared" si="29"/>
        <v>4.6584790016147449E-3</v>
      </c>
      <c r="U543" s="109"/>
      <c r="V543" s="65">
        <v>1000</v>
      </c>
      <c r="W543" s="65"/>
      <c r="X543" s="65"/>
      <c r="Y543" s="51"/>
      <c r="Z543" s="41"/>
      <c r="AA543" s="41"/>
      <c r="AB543" s="41"/>
      <c r="AC543" s="41"/>
      <c r="AD543" s="41"/>
      <c r="AE543" s="41"/>
    </row>
    <row r="544" spans="1:31" s="61" customFormat="1" ht="20.25" customHeight="1">
      <c r="A544" s="35">
        <v>42515</v>
      </c>
      <c r="B544" s="35" t="s">
        <v>144</v>
      </c>
      <c r="C544" s="165">
        <v>2016</v>
      </c>
      <c r="D544" s="76">
        <v>4</v>
      </c>
      <c r="E544" s="36" t="s">
        <v>223</v>
      </c>
      <c r="F544" s="36" t="s">
        <v>267</v>
      </c>
      <c r="G544" s="36" t="s">
        <v>278</v>
      </c>
      <c r="H544" s="36" t="s">
        <v>279</v>
      </c>
      <c r="I544" s="65" t="s">
        <v>280</v>
      </c>
      <c r="J544" s="65" t="s">
        <v>284</v>
      </c>
      <c r="K544" s="36" t="s">
        <v>285</v>
      </c>
      <c r="L544" s="36">
        <v>12</v>
      </c>
      <c r="M544" s="36" t="s">
        <v>247</v>
      </c>
      <c r="N544" s="36" t="s">
        <v>283</v>
      </c>
      <c r="O544" s="36">
        <v>17</v>
      </c>
      <c r="P544" s="36">
        <f t="shared" si="27"/>
        <v>70.588235294117652</v>
      </c>
      <c r="Q544" s="36">
        <v>2.5974025974025974</v>
      </c>
      <c r="R544" s="40">
        <f t="shared" si="28"/>
        <v>1.8334606569900689</v>
      </c>
      <c r="S544" s="65">
        <v>3279.7912801484231</v>
      </c>
      <c r="T544" s="8">
        <f t="shared" si="29"/>
        <v>5.5901748019376946E-2</v>
      </c>
      <c r="U544" s="109"/>
      <c r="V544" s="65">
        <v>1000</v>
      </c>
      <c r="W544" s="65"/>
      <c r="X544" s="65"/>
      <c r="Y544" s="51"/>
      <c r="Z544" s="57"/>
      <c r="AA544" s="57"/>
      <c r="AB544" s="57"/>
      <c r="AC544" s="57"/>
      <c r="AD544" s="57"/>
      <c r="AE544" s="57"/>
    </row>
    <row r="545" spans="1:31" s="42" customFormat="1" ht="20.25" customHeight="1">
      <c r="A545" s="13">
        <v>42515</v>
      </c>
      <c r="B545" s="35" t="s">
        <v>144</v>
      </c>
      <c r="C545" s="165">
        <v>2016</v>
      </c>
      <c r="D545" s="51">
        <v>4</v>
      </c>
      <c r="E545" s="3" t="s">
        <v>223</v>
      </c>
      <c r="F545" s="3" t="s">
        <v>224</v>
      </c>
      <c r="G545" s="3" t="s">
        <v>225</v>
      </c>
      <c r="H545" s="3" t="s">
        <v>248</v>
      </c>
      <c r="I545" s="3" t="s">
        <v>249</v>
      </c>
      <c r="J545" s="3" t="s">
        <v>250</v>
      </c>
      <c r="K545" s="3"/>
      <c r="L545" s="3">
        <v>2</v>
      </c>
      <c r="M545" s="3" t="s">
        <v>229</v>
      </c>
      <c r="N545" s="3" t="s">
        <v>250</v>
      </c>
      <c r="O545" s="3">
        <v>217</v>
      </c>
      <c r="P545" s="3">
        <f t="shared" si="27"/>
        <v>0.92165898617511521</v>
      </c>
      <c r="Q545" s="36">
        <v>3277.1938775510207</v>
      </c>
      <c r="R545" s="8">
        <f t="shared" si="28"/>
        <v>30.204551866829682</v>
      </c>
      <c r="S545" s="36">
        <v>3279.7912801484231</v>
      </c>
      <c r="T545" s="8">
        <f t="shared" si="29"/>
        <v>0.9209290862393783</v>
      </c>
      <c r="U545" s="109"/>
      <c r="V545" s="36">
        <v>250</v>
      </c>
      <c r="W545" s="3"/>
      <c r="X545" s="3"/>
      <c r="Y545" s="67"/>
      <c r="Z545" s="41"/>
      <c r="AA545" s="41"/>
      <c r="AB545" s="41"/>
      <c r="AC545" s="41"/>
      <c r="AD545" s="41"/>
      <c r="AE545" s="41"/>
    </row>
    <row r="546" spans="1:31" s="42" customFormat="1" ht="20.25" customHeight="1">
      <c r="A546" s="35">
        <v>42515</v>
      </c>
      <c r="B546" s="35" t="s">
        <v>144</v>
      </c>
      <c r="C546" s="165">
        <v>2016</v>
      </c>
      <c r="D546" s="65">
        <v>4</v>
      </c>
      <c r="E546" s="36" t="s">
        <v>216</v>
      </c>
      <c r="F546" s="36" t="s">
        <v>217</v>
      </c>
      <c r="G546" s="36"/>
      <c r="H546" s="36"/>
      <c r="I546" s="36"/>
      <c r="J546" s="36" t="s">
        <v>219</v>
      </c>
      <c r="K546" s="36"/>
      <c r="L546" s="36">
        <v>3</v>
      </c>
      <c r="M546" s="36" t="s">
        <v>229</v>
      </c>
      <c r="N546" s="36" t="s">
        <v>619</v>
      </c>
      <c r="O546" s="36">
        <v>217</v>
      </c>
      <c r="P546" s="36">
        <f t="shared" si="27"/>
        <v>1.3824884792626728</v>
      </c>
      <c r="Q546" s="36">
        <v>3277.1938775510207</v>
      </c>
      <c r="R546" s="40">
        <f t="shared" si="28"/>
        <v>45.306827800244527</v>
      </c>
      <c r="S546" s="36">
        <v>3279.7912801484231</v>
      </c>
      <c r="T546" s="40">
        <f t="shared" si="29"/>
        <v>1.3813936293590676</v>
      </c>
      <c r="U546" s="110"/>
      <c r="V546" s="36">
        <v>250</v>
      </c>
      <c r="W546" s="36" t="s">
        <v>222</v>
      </c>
      <c r="X546" s="36"/>
      <c r="Y546" s="3"/>
      <c r="Z546" s="41"/>
      <c r="AA546" s="41"/>
      <c r="AB546" s="41"/>
      <c r="AC546" s="41"/>
      <c r="AD546" s="41"/>
      <c r="AE546" s="41"/>
    </row>
    <row r="547" spans="1:31" s="42" customFormat="1" ht="20.25" customHeight="1">
      <c r="A547" s="13">
        <v>42515</v>
      </c>
      <c r="B547" s="35" t="s">
        <v>144</v>
      </c>
      <c r="C547" s="165">
        <v>2016</v>
      </c>
      <c r="D547" s="51">
        <v>4</v>
      </c>
      <c r="E547" s="51" t="s">
        <v>223</v>
      </c>
      <c r="F547" s="51" t="s">
        <v>224</v>
      </c>
      <c r="G547" s="51" t="s">
        <v>225</v>
      </c>
      <c r="H547" s="51" t="s">
        <v>226</v>
      </c>
      <c r="I547" s="51" t="s">
        <v>253</v>
      </c>
      <c r="J547" s="3" t="s">
        <v>256</v>
      </c>
      <c r="K547" s="3"/>
      <c r="L547" s="3">
        <v>28</v>
      </c>
      <c r="M547" s="3" t="s">
        <v>229</v>
      </c>
      <c r="N547" s="3" t="s">
        <v>256</v>
      </c>
      <c r="O547" s="3">
        <v>217</v>
      </c>
      <c r="P547" s="3">
        <f t="shared" si="27"/>
        <v>12.903225806451612</v>
      </c>
      <c r="Q547" s="36">
        <v>3277.1938775510207</v>
      </c>
      <c r="R547" s="8">
        <f t="shared" si="28"/>
        <v>422.86372613561554</v>
      </c>
      <c r="S547" s="36">
        <v>3279.7912801484231</v>
      </c>
      <c r="T547" s="8">
        <f t="shared" si="29"/>
        <v>12.893007207351296</v>
      </c>
      <c r="U547" s="109"/>
      <c r="V547" s="3">
        <v>250</v>
      </c>
      <c r="W547" s="3"/>
      <c r="X547" s="3"/>
      <c r="Y547" s="3"/>
      <c r="Z547" s="41"/>
      <c r="AA547" s="41"/>
      <c r="AB547" s="41"/>
      <c r="AC547" s="41"/>
      <c r="AD547" s="41"/>
      <c r="AE547" s="41"/>
    </row>
    <row r="548" spans="1:31" s="38" customFormat="1" ht="20.25" customHeight="1">
      <c r="A548" s="13">
        <v>42515</v>
      </c>
      <c r="B548" s="35" t="s">
        <v>144</v>
      </c>
      <c r="C548" s="165">
        <v>2016</v>
      </c>
      <c r="D548" s="51">
        <v>4</v>
      </c>
      <c r="E548" s="51" t="s">
        <v>223</v>
      </c>
      <c r="F548" s="51" t="s">
        <v>224</v>
      </c>
      <c r="G548" s="51" t="s">
        <v>225</v>
      </c>
      <c r="H548" s="51" t="s">
        <v>226</v>
      </c>
      <c r="I548" s="51" t="s">
        <v>261</v>
      </c>
      <c r="J548" s="3" t="s">
        <v>262</v>
      </c>
      <c r="K548" s="3"/>
      <c r="L548" s="3">
        <v>3</v>
      </c>
      <c r="M548" s="3" t="s">
        <v>229</v>
      </c>
      <c r="N548" s="3" t="s">
        <v>264</v>
      </c>
      <c r="O548" s="3">
        <v>217</v>
      </c>
      <c r="P548" s="3">
        <f t="shared" si="27"/>
        <v>1.3824884792626728</v>
      </c>
      <c r="Q548" s="36">
        <v>3277.1938775510207</v>
      </c>
      <c r="R548" s="8">
        <f t="shared" si="28"/>
        <v>45.306827800244527</v>
      </c>
      <c r="S548" s="36">
        <v>3279.7912801484231</v>
      </c>
      <c r="T548" s="8">
        <f t="shared" si="29"/>
        <v>1.3813936293590676</v>
      </c>
      <c r="U548" s="109"/>
      <c r="V548" s="36">
        <v>250</v>
      </c>
      <c r="W548" s="3"/>
      <c r="X548" s="3"/>
      <c r="Y548" s="3"/>
      <c r="Z548" s="36"/>
      <c r="AA548" s="36"/>
      <c r="AB548" s="36"/>
      <c r="AC548" s="36"/>
      <c r="AD548" s="36"/>
      <c r="AE548" s="36"/>
    </row>
    <row r="549" spans="1:31" s="38" customFormat="1" ht="20.25" customHeight="1">
      <c r="A549" s="66">
        <v>42515</v>
      </c>
      <c r="B549" s="35" t="s">
        <v>144</v>
      </c>
      <c r="C549" s="165">
        <v>2016</v>
      </c>
      <c r="D549" s="69">
        <v>4</v>
      </c>
      <c r="E549" s="67" t="s">
        <v>370</v>
      </c>
      <c r="F549" s="67"/>
      <c r="G549" s="67"/>
      <c r="H549" s="67"/>
      <c r="I549" s="67"/>
      <c r="J549" s="67"/>
      <c r="K549" s="67"/>
      <c r="L549" s="67">
        <v>2</v>
      </c>
      <c r="M549" s="67" t="s">
        <v>328</v>
      </c>
      <c r="N549" s="67" t="s">
        <v>328</v>
      </c>
      <c r="O549" s="67">
        <v>217</v>
      </c>
      <c r="P549" s="67">
        <f t="shared" si="27"/>
        <v>0.92165898617511521</v>
      </c>
      <c r="Q549" s="36">
        <v>3277.1938775510207</v>
      </c>
      <c r="R549" s="8">
        <f t="shared" si="28"/>
        <v>30.204551866829682</v>
      </c>
      <c r="S549" s="36">
        <v>3279.7912801484231</v>
      </c>
      <c r="T549" s="8">
        <f t="shared" si="29"/>
        <v>0.9209290862393783</v>
      </c>
      <c r="U549" s="109"/>
      <c r="V549" s="67">
        <v>250</v>
      </c>
      <c r="W549" s="67"/>
      <c r="X549" s="67"/>
      <c r="Y549" s="3"/>
      <c r="Z549" s="36"/>
      <c r="AA549" s="36"/>
      <c r="AB549" s="36"/>
      <c r="AC549" s="36"/>
      <c r="AD549" s="36"/>
      <c r="AE549" s="36"/>
    </row>
    <row r="550" spans="1:31" s="38" customFormat="1" ht="20.25" customHeight="1">
      <c r="A550" s="35">
        <v>42515</v>
      </c>
      <c r="B550" s="35" t="s">
        <v>144</v>
      </c>
      <c r="C550" s="165">
        <v>2016</v>
      </c>
      <c r="D550" s="65">
        <v>2</v>
      </c>
      <c r="E550" s="65" t="s">
        <v>223</v>
      </c>
      <c r="F550" s="65" t="s">
        <v>224</v>
      </c>
      <c r="G550" s="65" t="s">
        <v>225</v>
      </c>
      <c r="H550" s="65" t="s">
        <v>226</v>
      </c>
      <c r="I550" s="65" t="s">
        <v>227</v>
      </c>
      <c r="J550" s="36" t="s">
        <v>228</v>
      </c>
      <c r="K550" s="36"/>
      <c r="L550" s="36">
        <v>3</v>
      </c>
      <c r="M550" s="3" t="s">
        <v>229</v>
      </c>
      <c r="N550" s="36" t="s">
        <v>228</v>
      </c>
      <c r="O550" s="36">
        <v>194</v>
      </c>
      <c r="P550" s="36">
        <f t="shared" si="27"/>
        <v>1.5463917525773196</v>
      </c>
      <c r="Q550" s="65">
        <v>3603.6734693877547</v>
      </c>
      <c r="R550" s="40">
        <f t="shared" si="28"/>
        <v>55.726909320429201</v>
      </c>
      <c r="S550" s="36">
        <v>3605.4791503378206</v>
      </c>
      <c r="T550" s="40">
        <f t="shared" si="29"/>
        <v>1.5456172951439142</v>
      </c>
      <c r="U550" s="110"/>
      <c r="V550" s="65">
        <v>250</v>
      </c>
      <c r="W550" s="65"/>
      <c r="X550" s="65"/>
      <c r="Y550" s="51"/>
      <c r="Z550" s="36"/>
      <c r="AA550" s="36"/>
      <c r="AB550" s="36"/>
      <c r="AC550" s="36"/>
      <c r="AD550" s="36"/>
      <c r="AE550" s="36"/>
    </row>
    <row r="551" spans="1:31" s="38" customFormat="1" ht="20.25" customHeight="1">
      <c r="A551" s="13">
        <v>42515</v>
      </c>
      <c r="B551" s="72" t="s">
        <v>144</v>
      </c>
      <c r="C551" s="165">
        <v>2016</v>
      </c>
      <c r="D551" s="51">
        <v>2</v>
      </c>
      <c r="E551" s="51" t="s">
        <v>223</v>
      </c>
      <c r="F551" s="51" t="s">
        <v>303</v>
      </c>
      <c r="G551" s="51" t="s">
        <v>304</v>
      </c>
      <c r="H551" s="51" t="s">
        <v>305</v>
      </c>
      <c r="I551" s="51" t="s">
        <v>306</v>
      </c>
      <c r="J551" s="3" t="s">
        <v>307</v>
      </c>
      <c r="K551" s="3"/>
      <c r="L551" s="51">
        <v>1</v>
      </c>
      <c r="M551" s="51" t="s">
        <v>229</v>
      </c>
      <c r="N551" s="51" t="s">
        <v>307</v>
      </c>
      <c r="O551" s="3">
        <v>194</v>
      </c>
      <c r="P551" s="3">
        <f t="shared" si="27"/>
        <v>0.51546391752577314</v>
      </c>
      <c r="Q551" s="65">
        <v>3603.6734693877547</v>
      </c>
      <c r="R551" s="8">
        <f t="shared" si="28"/>
        <v>18.575636440143061</v>
      </c>
      <c r="S551" s="36">
        <v>3605.4791503378206</v>
      </c>
      <c r="T551" s="8">
        <f t="shared" si="29"/>
        <v>0.51520576504797122</v>
      </c>
      <c r="U551" s="109"/>
      <c r="V551" s="51">
        <v>250</v>
      </c>
      <c r="W551" s="65" t="s">
        <v>620</v>
      </c>
      <c r="X551" s="51"/>
      <c r="Y551" s="51"/>
      <c r="Z551" s="36"/>
      <c r="AA551" s="36"/>
      <c r="AB551" s="36"/>
      <c r="AC551" s="36"/>
      <c r="AD551" s="36"/>
      <c r="AE551" s="36"/>
    </row>
    <row r="552" spans="1:31" s="38" customFormat="1" ht="20.25" customHeight="1">
      <c r="A552" s="13">
        <v>42515</v>
      </c>
      <c r="B552" s="35" t="s">
        <v>144</v>
      </c>
      <c r="C552" s="165">
        <v>2016</v>
      </c>
      <c r="D552" s="51">
        <v>2</v>
      </c>
      <c r="E552" s="51" t="s">
        <v>223</v>
      </c>
      <c r="F552" s="51" t="s">
        <v>317</v>
      </c>
      <c r="G552" s="51" t="s">
        <v>314</v>
      </c>
      <c r="H552" s="51" t="s">
        <v>346</v>
      </c>
      <c r="I552" s="51" t="s">
        <v>315</v>
      </c>
      <c r="J552" s="3" t="s">
        <v>365</v>
      </c>
      <c r="K552" s="3" t="s">
        <v>366</v>
      </c>
      <c r="L552" s="3">
        <v>1</v>
      </c>
      <c r="M552" s="3" t="s">
        <v>247</v>
      </c>
      <c r="N552" s="3" t="s">
        <v>345</v>
      </c>
      <c r="O552" s="36">
        <v>194</v>
      </c>
      <c r="P552" s="3">
        <f t="shared" si="27"/>
        <v>0.51546391752577314</v>
      </c>
      <c r="Q552" s="65">
        <v>3603.6734693877547</v>
      </c>
      <c r="R552" s="8">
        <f t="shared" si="28"/>
        <v>18.575636440143061</v>
      </c>
      <c r="S552" s="36">
        <v>3605.4791503378206</v>
      </c>
      <c r="T552" s="8">
        <f t="shared" si="29"/>
        <v>0.51520576504797122</v>
      </c>
      <c r="U552" s="109"/>
      <c r="V552" s="65">
        <v>250</v>
      </c>
      <c r="W552" s="51" t="s">
        <v>367</v>
      </c>
      <c r="X552" s="51"/>
      <c r="Y552" s="51"/>
      <c r="Z552" s="36"/>
      <c r="AA552" s="36"/>
      <c r="AB552" s="36"/>
      <c r="AC552" s="36"/>
      <c r="AD552" s="36"/>
      <c r="AE552" s="36"/>
    </row>
    <row r="553" spans="1:31" s="38" customFormat="1" ht="20.25" customHeight="1">
      <c r="A553" s="13">
        <v>42515</v>
      </c>
      <c r="B553" s="35" t="s">
        <v>144</v>
      </c>
      <c r="C553" s="165">
        <v>2016</v>
      </c>
      <c r="D553" s="51">
        <v>2</v>
      </c>
      <c r="E553" s="3" t="s">
        <v>223</v>
      </c>
      <c r="F553" s="3" t="s">
        <v>224</v>
      </c>
      <c r="G553" s="3" t="s">
        <v>225</v>
      </c>
      <c r="H553" s="3" t="s">
        <v>226</v>
      </c>
      <c r="I553" s="51" t="s">
        <v>239</v>
      </c>
      <c r="J553" s="51" t="s">
        <v>240</v>
      </c>
      <c r="K553" s="3"/>
      <c r="L553" s="3">
        <v>170</v>
      </c>
      <c r="M553" s="3" t="s">
        <v>229</v>
      </c>
      <c r="N553" s="3" t="s">
        <v>240</v>
      </c>
      <c r="O553" s="3">
        <v>194</v>
      </c>
      <c r="P553" s="3">
        <f t="shared" si="27"/>
        <v>87.628865979381445</v>
      </c>
      <c r="Q553" s="65">
        <v>3603.6734693877547</v>
      </c>
      <c r="R553" s="8">
        <f t="shared" si="28"/>
        <v>3157.8581948243213</v>
      </c>
      <c r="S553" s="36">
        <v>3605.4791503378206</v>
      </c>
      <c r="T553" s="8">
        <f t="shared" si="29"/>
        <v>87.584980058155139</v>
      </c>
      <c r="U553" s="109"/>
      <c r="V553" s="51">
        <v>250</v>
      </c>
      <c r="W553" s="51" t="s">
        <v>358</v>
      </c>
      <c r="X553" s="51"/>
      <c r="Y553" s="51"/>
      <c r="Z553" s="36"/>
      <c r="AA553" s="36"/>
      <c r="AB553" s="36"/>
      <c r="AC553" s="36"/>
      <c r="AD553" s="36"/>
      <c r="AE553" s="36"/>
    </row>
    <row r="554" spans="1:31" s="38" customFormat="1" ht="20.25" customHeight="1">
      <c r="A554" s="35">
        <v>42515</v>
      </c>
      <c r="B554" s="35" t="s">
        <v>144</v>
      </c>
      <c r="C554" s="165">
        <v>2016</v>
      </c>
      <c r="D554" s="76">
        <v>2</v>
      </c>
      <c r="E554" s="36" t="s">
        <v>323</v>
      </c>
      <c r="F554" s="36" t="s">
        <v>324</v>
      </c>
      <c r="G554" s="36"/>
      <c r="H554" s="36" t="s">
        <v>325</v>
      </c>
      <c r="I554" s="36" t="s">
        <v>326</v>
      </c>
      <c r="J554" s="36" t="s">
        <v>327</v>
      </c>
      <c r="K554" s="36"/>
      <c r="L554" s="36">
        <v>13</v>
      </c>
      <c r="M554" s="36" t="s">
        <v>229</v>
      </c>
      <c r="N554" s="36" t="s">
        <v>327</v>
      </c>
      <c r="O554" s="36">
        <v>13</v>
      </c>
      <c r="P554" s="36">
        <f t="shared" si="27"/>
        <v>100</v>
      </c>
      <c r="Q554" s="65">
        <v>1.805680950065977</v>
      </c>
      <c r="R554" s="40">
        <f t="shared" si="28"/>
        <v>1.805680950065977</v>
      </c>
      <c r="S554" s="36">
        <v>3605.4791503378206</v>
      </c>
      <c r="T554" s="40">
        <f t="shared" si="29"/>
        <v>5.008158069356166E-2</v>
      </c>
      <c r="U554" s="110">
        <f>SUM(T554)</f>
        <v>5.008158069356166E-2</v>
      </c>
      <c r="V554" s="65">
        <v>1000</v>
      </c>
      <c r="W554" s="65"/>
      <c r="X554" s="65"/>
      <c r="Y554" s="51"/>
      <c r="Z554" s="36"/>
      <c r="AA554" s="36"/>
      <c r="AB554" s="36"/>
      <c r="AC554" s="36"/>
      <c r="AD554" s="36"/>
      <c r="AE554" s="36"/>
    </row>
    <row r="555" spans="1:31" s="38" customFormat="1" ht="20.25" customHeight="1">
      <c r="A555" s="71">
        <v>42515</v>
      </c>
      <c r="B555" s="35" t="s">
        <v>144</v>
      </c>
      <c r="C555" s="165">
        <v>2016</v>
      </c>
      <c r="D555" s="51">
        <v>2</v>
      </c>
      <c r="E555" s="3" t="s">
        <v>223</v>
      </c>
      <c r="F555" s="3" t="s">
        <v>224</v>
      </c>
      <c r="G555" s="3" t="s">
        <v>225</v>
      </c>
      <c r="H555" s="3" t="s">
        <v>248</v>
      </c>
      <c r="I555" s="51" t="s">
        <v>249</v>
      </c>
      <c r="J555" s="51" t="s">
        <v>250</v>
      </c>
      <c r="K555" s="3"/>
      <c r="L555" s="3">
        <v>1</v>
      </c>
      <c r="M555" s="3" t="s">
        <v>229</v>
      </c>
      <c r="N555" s="3" t="s">
        <v>250</v>
      </c>
      <c r="O555" s="36">
        <v>194</v>
      </c>
      <c r="P555" s="3">
        <f t="shared" si="27"/>
        <v>0.51546391752577314</v>
      </c>
      <c r="Q555" s="65">
        <v>3603.6734693877547</v>
      </c>
      <c r="R555" s="8">
        <f t="shared" si="28"/>
        <v>18.575636440143061</v>
      </c>
      <c r="S555" s="36">
        <v>3605.4791503378206</v>
      </c>
      <c r="T555" s="8">
        <f t="shared" si="29"/>
        <v>0.51520576504797122</v>
      </c>
      <c r="U555" s="109"/>
      <c r="V555" s="65">
        <v>250</v>
      </c>
      <c r="W555" s="51"/>
      <c r="X555" s="51"/>
      <c r="Y555" s="51"/>
      <c r="Z555" s="36"/>
      <c r="AA555" s="36"/>
      <c r="AB555" s="36"/>
      <c r="AC555" s="36"/>
      <c r="AD555" s="36"/>
      <c r="AE555" s="36"/>
    </row>
    <row r="556" spans="1:31" s="38" customFormat="1" ht="20.25" customHeight="1">
      <c r="A556" s="13">
        <v>42515</v>
      </c>
      <c r="B556" s="35" t="s">
        <v>144</v>
      </c>
      <c r="C556" s="165">
        <v>2016</v>
      </c>
      <c r="D556" s="51">
        <v>2</v>
      </c>
      <c r="E556" s="3" t="s">
        <v>223</v>
      </c>
      <c r="F556" s="3" t="s">
        <v>224</v>
      </c>
      <c r="G556" s="3" t="s">
        <v>225</v>
      </c>
      <c r="H556" s="3" t="s">
        <v>226</v>
      </c>
      <c r="I556" s="51" t="s">
        <v>253</v>
      </c>
      <c r="J556" s="51" t="s">
        <v>256</v>
      </c>
      <c r="K556" s="3"/>
      <c r="L556" s="3">
        <v>17</v>
      </c>
      <c r="M556" s="3" t="s">
        <v>229</v>
      </c>
      <c r="N556" s="3" t="s">
        <v>256</v>
      </c>
      <c r="O556" s="3">
        <v>194</v>
      </c>
      <c r="P556" s="3">
        <f t="shared" si="27"/>
        <v>8.7628865979381434</v>
      </c>
      <c r="Q556" s="65">
        <v>3603.6734693877547</v>
      </c>
      <c r="R556" s="8">
        <f t="shared" si="28"/>
        <v>315.78581948243209</v>
      </c>
      <c r="S556" s="36">
        <v>3605.4791503378206</v>
      </c>
      <c r="T556" s="8">
        <f t="shared" si="29"/>
        <v>8.7584980058155129</v>
      </c>
      <c r="U556" s="109"/>
      <c r="V556" s="51">
        <v>250</v>
      </c>
      <c r="W556" s="51"/>
      <c r="X556" s="51"/>
      <c r="Y556" s="51"/>
      <c r="Z556" s="36"/>
      <c r="AA556" s="36"/>
      <c r="AB556" s="36"/>
      <c r="AC556" s="36"/>
      <c r="AD556" s="36"/>
      <c r="AE556" s="36"/>
    </row>
    <row r="557" spans="1:31" s="38" customFormat="1" ht="20.25" customHeight="1">
      <c r="A557" s="13">
        <v>42515</v>
      </c>
      <c r="B557" s="35" t="s">
        <v>144</v>
      </c>
      <c r="C557" s="165">
        <v>2016</v>
      </c>
      <c r="D557" s="51">
        <v>2</v>
      </c>
      <c r="E557" s="3" t="s">
        <v>223</v>
      </c>
      <c r="F557" s="3" t="s">
        <v>224</v>
      </c>
      <c r="G557" s="3" t="s">
        <v>225</v>
      </c>
      <c r="H557" s="3" t="s">
        <v>226</v>
      </c>
      <c r="I557" s="3" t="s">
        <v>261</v>
      </c>
      <c r="J557" s="3" t="s">
        <v>262</v>
      </c>
      <c r="K557" s="3"/>
      <c r="L557" s="3">
        <v>1</v>
      </c>
      <c r="M557" s="3" t="s">
        <v>229</v>
      </c>
      <c r="N557" s="3" t="s">
        <v>264</v>
      </c>
      <c r="O557" s="36">
        <v>194</v>
      </c>
      <c r="P557" s="3">
        <f t="shared" si="27"/>
        <v>0.51546391752577314</v>
      </c>
      <c r="Q557" s="65">
        <v>3603.6734693877547</v>
      </c>
      <c r="R557" s="8">
        <f t="shared" si="28"/>
        <v>18.575636440143061</v>
      </c>
      <c r="S557" s="36">
        <v>3605.4791503378206</v>
      </c>
      <c r="T557" s="8">
        <f t="shared" si="29"/>
        <v>0.51520576504797122</v>
      </c>
      <c r="U557" s="109"/>
      <c r="V557" s="65">
        <v>250</v>
      </c>
      <c r="W557" s="51"/>
      <c r="X557" s="51"/>
      <c r="Y557" s="51"/>
      <c r="Z557" s="36"/>
      <c r="AA557" s="36"/>
      <c r="AB557" s="36"/>
      <c r="AC557" s="36"/>
      <c r="AD557" s="36"/>
      <c r="AE557" s="36"/>
    </row>
    <row r="558" spans="1:31" s="38" customFormat="1" ht="20.25" customHeight="1">
      <c r="A558" s="72">
        <v>42571</v>
      </c>
      <c r="B558" s="72" t="s">
        <v>154</v>
      </c>
      <c r="C558" s="165">
        <v>2016</v>
      </c>
      <c r="D558" s="65">
        <v>8</v>
      </c>
      <c r="E558" s="36" t="s">
        <v>223</v>
      </c>
      <c r="F558" s="36" t="s">
        <v>224</v>
      </c>
      <c r="G558" s="36" t="s">
        <v>225</v>
      </c>
      <c r="H558" s="36" t="s">
        <v>226</v>
      </c>
      <c r="I558" s="36" t="s">
        <v>227</v>
      </c>
      <c r="J558" s="36" t="s">
        <v>228</v>
      </c>
      <c r="K558" s="36"/>
      <c r="L558" s="36">
        <v>118</v>
      </c>
      <c r="M558" s="36" t="s">
        <v>229</v>
      </c>
      <c r="N558" s="36" t="s">
        <v>228</v>
      </c>
      <c r="O558" s="36">
        <v>237</v>
      </c>
      <c r="P558" s="36">
        <f t="shared" si="27"/>
        <v>49.789029535864984</v>
      </c>
      <c r="Q558" s="36">
        <v>2672.7452271231073</v>
      </c>
      <c r="R558" s="8">
        <f t="shared" si="28"/>
        <v>1330.7339105507453</v>
      </c>
      <c r="S558" s="36">
        <v>2673.1168745535783</v>
      </c>
      <c r="T558" s="40">
        <f t="shared" si="29"/>
        <v>49.782107292745422</v>
      </c>
      <c r="U558" s="110"/>
      <c r="V558" s="36">
        <v>250</v>
      </c>
      <c r="W558" s="3"/>
      <c r="X558" s="3"/>
      <c r="Y558" s="36"/>
      <c r="Z558" s="36"/>
      <c r="AA558" s="36"/>
      <c r="AB558" s="36"/>
      <c r="AC558" s="36"/>
      <c r="AD558" s="36"/>
      <c r="AE558" s="36"/>
    </row>
    <row r="559" spans="1:31" s="38" customFormat="1" ht="20.25" customHeight="1">
      <c r="A559" s="35">
        <v>42571</v>
      </c>
      <c r="B559" s="64" t="s">
        <v>154</v>
      </c>
      <c r="C559" s="165">
        <v>2016</v>
      </c>
      <c r="D559" s="65">
        <v>8</v>
      </c>
      <c r="E559" s="36" t="s">
        <v>209</v>
      </c>
      <c r="F559" s="36" t="s">
        <v>210</v>
      </c>
      <c r="G559" s="36"/>
      <c r="H559" s="36" t="s">
        <v>211</v>
      </c>
      <c r="I559" s="36" t="s">
        <v>212</v>
      </c>
      <c r="J559" s="36" t="s">
        <v>213</v>
      </c>
      <c r="K559" s="36" t="s">
        <v>214</v>
      </c>
      <c r="L559" s="36">
        <v>1</v>
      </c>
      <c r="M559" s="36" t="s">
        <v>247</v>
      </c>
      <c r="N559" s="36" t="s">
        <v>215</v>
      </c>
      <c r="O559" s="36">
        <v>3</v>
      </c>
      <c r="P559" s="36">
        <f t="shared" si="27"/>
        <v>33.333333333333329</v>
      </c>
      <c r="Q559" s="36">
        <v>0.37164743047095994</v>
      </c>
      <c r="R559" s="40">
        <f t="shared" si="28"/>
        <v>0.12388247682365329</v>
      </c>
      <c r="S559" s="36">
        <v>2673.1168745535783</v>
      </c>
      <c r="T559" s="40">
        <f t="shared" si="29"/>
        <v>4.6343831054653072E-3</v>
      </c>
      <c r="U559" s="110">
        <f>SUM(T564+T569+T572)</f>
        <v>72.066048176351813</v>
      </c>
      <c r="V559" s="36">
        <v>1000</v>
      </c>
      <c r="W559" s="36"/>
      <c r="X559" s="36"/>
      <c r="Y559" s="36"/>
      <c r="Z559" s="36"/>
      <c r="AA559" s="36"/>
      <c r="AB559" s="36"/>
      <c r="AC559" s="36"/>
      <c r="AD559" s="36"/>
      <c r="AE559" s="36"/>
    </row>
    <row r="560" spans="1:31" s="38" customFormat="1" ht="20.25" customHeight="1">
      <c r="A560" s="72">
        <v>42571</v>
      </c>
      <c r="B560" s="72" t="s">
        <v>154</v>
      </c>
      <c r="C560" s="165">
        <v>2016</v>
      </c>
      <c r="D560" s="65">
        <v>8</v>
      </c>
      <c r="E560" s="65" t="s">
        <v>223</v>
      </c>
      <c r="F560" s="36" t="s">
        <v>303</v>
      </c>
      <c r="G560" s="36" t="s">
        <v>304</v>
      </c>
      <c r="H560" s="65" t="s">
        <v>305</v>
      </c>
      <c r="I560" s="65" t="s">
        <v>306</v>
      </c>
      <c r="J560" s="65" t="s">
        <v>307</v>
      </c>
      <c r="K560" s="65"/>
      <c r="L560" s="65">
        <v>1</v>
      </c>
      <c r="M560" s="65" t="s">
        <v>229</v>
      </c>
      <c r="N560" s="65" t="s">
        <v>307</v>
      </c>
      <c r="O560" s="36">
        <v>237</v>
      </c>
      <c r="P560" s="36">
        <f t="shared" si="27"/>
        <v>0.42194092827004215</v>
      </c>
      <c r="Q560" s="36">
        <v>2672.7452271231073</v>
      </c>
      <c r="R560" s="8">
        <f t="shared" si="28"/>
        <v>11.277406021616486</v>
      </c>
      <c r="S560" s="36">
        <v>2673.1168745535783</v>
      </c>
      <c r="T560" s="40">
        <f t="shared" si="29"/>
        <v>0.42188226519275773</v>
      </c>
      <c r="U560" s="110"/>
      <c r="V560" s="36">
        <v>250</v>
      </c>
      <c r="W560" s="36" t="s">
        <v>620</v>
      </c>
      <c r="X560" s="3"/>
      <c r="Y560" s="36"/>
      <c r="Z560" s="36"/>
      <c r="AA560" s="36"/>
      <c r="AB560" s="36"/>
      <c r="AC560" s="36"/>
      <c r="AD560" s="36"/>
      <c r="AE560" s="36"/>
    </row>
    <row r="561" spans="1:31" s="38" customFormat="1" ht="20.25" customHeight="1">
      <c r="A561" s="72">
        <v>42571</v>
      </c>
      <c r="B561" s="64" t="s">
        <v>154</v>
      </c>
      <c r="C561" s="165">
        <v>2016</v>
      </c>
      <c r="D561" s="65">
        <v>8</v>
      </c>
      <c r="E561" s="36" t="s">
        <v>300</v>
      </c>
      <c r="F561" s="36" t="s">
        <v>320</v>
      </c>
      <c r="G561" s="36"/>
      <c r="H561" s="36"/>
      <c r="I561" s="36"/>
      <c r="J561" s="36"/>
      <c r="K561" s="36"/>
      <c r="L561" s="36">
        <v>3</v>
      </c>
      <c r="M561" s="36" t="s">
        <v>221</v>
      </c>
      <c r="N561" s="36" t="s">
        <v>322</v>
      </c>
      <c r="O561" s="36">
        <v>237</v>
      </c>
      <c r="P561" s="36">
        <f t="shared" si="27"/>
        <v>1.2658227848101267</v>
      </c>
      <c r="Q561" s="36">
        <v>2672.7452271231073</v>
      </c>
      <c r="R561" s="40">
        <f t="shared" si="28"/>
        <v>33.832218064849464</v>
      </c>
      <c r="S561" s="36">
        <v>2673.1168745535783</v>
      </c>
      <c r="T561" s="40">
        <f t="shared" si="29"/>
        <v>1.2656467955782735</v>
      </c>
      <c r="U561" s="110"/>
      <c r="V561" s="36">
        <v>250</v>
      </c>
      <c r="W561" s="36"/>
      <c r="X561" s="36"/>
      <c r="Y561" s="36"/>
      <c r="Z561" s="36"/>
      <c r="AA561" s="36"/>
      <c r="AB561" s="36"/>
      <c r="AC561" s="36"/>
      <c r="AD561" s="36"/>
      <c r="AE561" s="36"/>
    </row>
    <row r="562" spans="1:31" s="61" customFormat="1" ht="20.25" customHeight="1">
      <c r="A562" s="72">
        <v>42571</v>
      </c>
      <c r="B562" s="35" t="s">
        <v>154</v>
      </c>
      <c r="C562" s="165">
        <v>2016</v>
      </c>
      <c r="D562" s="65">
        <v>8</v>
      </c>
      <c r="E562" s="76" t="s">
        <v>295</v>
      </c>
      <c r="F562" s="38" t="s">
        <v>296</v>
      </c>
      <c r="G562" s="38"/>
      <c r="H562" s="76" t="s">
        <v>297</v>
      </c>
      <c r="I562" s="76" t="s">
        <v>298</v>
      </c>
      <c r="J562" s="76" t="s">
        <v>299</v>
      </c>
      <c r="K562" s="36"/>
      <c r="L562" s="36">
        <v>1</v>
      </c>
      <c r="M562" s="36" t="s">
        <v>229</v>
      </c>
      <c r="N562" s="36" t="s">
        <v>369</v>
      </c>
      <c r="O562" s="36">
        <v>237</v>
      </c>
      <c r="P562" s="36">
        <f t="shared" si="27"/>
        <v>0.42194092827004215</v>
      </c>
      <c r="Q562" s="36">
        <v>2672.7452271231073</v>
      </c>
      <c r="R562" s="53">
        <f t="shared" si="28"/>
        <v>11.277406021616486</v>
      </c>
      <c r="S562" s="36">
        <v>2673.1168745535783</v>
      </c>
      <c r="T562" s="53">
        <f t="shared" si="29"/>
        <v>0.42188226519275773</v>
      </c>
      <c r="U562" s="53"/>
      <c r="V562" s="36">
        <v>250</v>
      </c>
      <c r="W562" s="36"/>
      <c r="X562" s="36"/>
      <c r="Y562" s="36"/>
      <c r="Z562" s="57"/>
      <c r="AA562" s="57"/>
      <c r="AB562" s="57"/>
      <c r="AC562" s="57"/>
      <c r="AD562" s="57"/>
      <c r="AE562" s="57"/>
    </row>
    <row r="563" spans="1:31" s="38" customFormat="1" ht="20.25" customHeight="1">
      <c r="A563" s="35">
        <v>42571</v>
      </c>
      <c r="B563" s="64" t="s">
        <v>154</v>
      </c>
      <c r="C563" s="165">
        <v>2016</v>
      </c>
      <c r="D563" s="65">
        <v>8</v>
      </c>
      <c r="E563" s="65" t="s">
        <v>223</v>
      </c>
      <c r="F563" s="65" t="s">
        <v>224</v>
      </c>
      <c r="G563" s="65" t="s">
        <v>225</v>
      </c>
      <c r="H563" s="65" t="s">
        <v>555</v>
      </c>
      <c r="I563" s="65" t="s">
        <v>556</v>
      </c>
      <c r="J563" s="36" t="s">
        <v>557</v>
      </c>
      <c r="K563" s="36"/>
      <c r="L563" s="36">
        <v>1</v>
      </c>
      <c r="M563" s="36" t="s">
        <v>229</v>
      </c>
      <c r="N563" s="36" t="s">
        <v>557</v>
      </c>
      <c r="O563" s="36">
        <v>3</v>
      </c>
      <c r="P563" s="36">
        <f t="shared" si="27"/>
        <v>33.333333333333329</v>
      </c>
      <c r="Q563" s="36">
        <v>0.37164743047095994</v>
      </c>
      <c r="R563" s="40">
        <f t="shared" si="28"/>
        <v>0.12388247682365329</v>
      </c>
      <c r="S563" s="36">
        <v>2673.1168745535783</v>
      </c>
      <c r="T563" s="40">
        <f t="shared" si="29"/>
        <v>4.6343831054653072E-3</v>
      </c>
      <c r="U563" s="110"/>
      <c r="V563" s="36">
        <v>1000</v>
      </c>
      <c r="W563" s="36"/>
      <c r="X563" s="36"/>
      <c r="Y563" s="36"/>
      <c r="Z563" s="36"/>
      <c r="AA563" s="36"/>
      <c r="AB563" s="36"/>
      <c r="AC563" s="36"/>
      <c r="AD563" s="36"/>
      <c r="AE563" s="36"/>
    </row>
    <row r="564" spans="1:31" s="38" customFormat="1" ht="20.25" customHeight="1">
      <c r="A564" s="72">
        <v>42571</v>
      </c>
      <c r="B564" s="72" t="s">
        <v>154</v>
      </c>
      <c r="C564" s="165">
        <v>2016</v>
      </c>
      <c r="D564" s="65">
        <v>8</v>
      </c>
      <c r="E564" s="3" t="s">
        <v>223</v>
      </c>
      <c r="F564" s="3" t="s">
        <v>224</v>
      </c>
      <c r="G564" s="3" t="s">
        <v>225</v>
      </c>
      <c r="H564" s="3" t="s">
        <v>226</v>
      </c>
      <c r="I564" s="3" t="s">
        <v>235</v>
      </c>
      <c r="J564" s="3" t="s">
        <v>236</v>
      </c>
      <c r="K564" s="3"/>
      <c r="L564" s="36">
        <v>8</v>
      </c>
      <c r="M564" s="3" t="s">
        <v>229</v>
      </c>
      <c r="N564" s="36" t="s">
        <v>236</v>
      </c>
      <c r="O564" s="3">
        <v>237</v>
      </c>
      <c r="P564" s="3">
        <f t="shared" si="27"/>
        <v>3.3755274261603372</v>
      </c>
      <c r="Q564" s="36">
        <v>2672.7452271231073</v>
      </c>
      <c r="R564" s="8">
        <f t="shared" si="28"/>
        <v>90.219248172931884</v>
      </c>
      <c r="S564" s="36">
        <v>2673.1168745535783</v>
      </c>
      <c r="T564" s="40">
        <f t="shared" si="29"/>
        <v>3.3750581215420619</v>
      </c>
      <c r="U564" s="110"/>
      <c r="V564" s="65">
        <v>250</v>
      </c>
      <c r="W564" s="51"/>
      <c r="X564" s="51"/>
      <c r="Y564" s="51"/>
      <c r="Z564" s="36"/>
      <c r="AA564" s="36"/>
      <c r="AB564" s="36"/>
      <c r="AC564" s="36"/>
      <c r="AD564" s="36"/>
      <c r="AE564" s="36"/>
    </row>
    <row r="565" spans="1:31" s="38" customFormat="1" ht="20.25" customHeight="1">
      <c r="A565" s="35">
        <v>42571</v>
      </c>
      <c r="B565" s="64" t="s">
        <v>154</v>
      </c>
      <c r="C565" s="165">
        <v>2016</v>
      </c>
      <c r="D565" s="65">
        <v>8</v>
      </c>
      <c r="E565" s="51" t="s">
        <v>223</v>
      </c>
      <c r="F565" s="51" t="s">
        <v>317</v>
      </c>
      <c r="G565" s="51" t="s">
        <v>314</v>
      </c>
      <c r="H565" s="51" t="s">
        <v>346</v>
      </c>
      <c r="I565" s="51" t="s">
        <v>315</v>
      </c>
      <c r="J565" s="3" t="s">
        <v>347</v>
      </c>
      <c r="K565" s="3"/>
      <c r="L565" s="36">
        <v>1</v>
      </c>
      <c r="M565" s="36" t="s">
        <v>229</v>
      </c>
      <c r="N565" s="36" t="s">
        <v>345</v>
      </c>
      <c r="O565" s="3">
        <v>237</v>
      </c>
      <c r="P565" s="3">
        <f t="shared" si="27"/>
        <v>0.42194092827004215</v>
      </c>
      <c r="Q565" s="36">
        <v>2672.7452271231073</v>
      </c>
      <c r="R565" s="8">
        <f t="shared" si="28"/>
        <v>11.277406021616486</v>
      </c>
      <c r="S565" s="36">
        <v>2673.1168745535783</v>
      </c>
      <c r="T565" s="40">
        <f t="shared" si="29"/>
        <v>0.42188226519275773</v>
      </c>
      <c r="U565" s="110"/>
      <c r="V565" s="3">
        <v>250</v>
      </c>
      <c r="W565" s="3"/>
      <c r="X565" s="3"/>
      <c r="Y565" s="3"/>
      <c r="Z565" s="36"/>
      <c r="AA565" s="36"/>
      <c r="AB565" s="36"/>
      <c r="AC565" s="36"/>
      <c r="AD565" s="36"/>
      <c r="AE565" s="36"/>
    </row>
    <row r="566" spans="1:31" s="38" customFormat="1" ht="20.25" customHeight="1">
      <c r="A566" s="35">
        <v>42571</v>
      </c>
      <c r="B566" s="72" t="s">
        <v>154</v>
      </c>
      <c r="C566" s="165">
        <v>2016</v>
      </c>
      <c r="D566" s="65">
        <v>8</v>
      </c>
      <c r="E566" s="36" t="s">
        <v>223</v>
      </c>
      <c r="F566" s="36" t="s">
        <v>224</v>
      </c>
      <c r="G566" s="36" t="s">
        <v>225</v>
      </c>
      <c r="H566" s="36" t="s">
        <v>226</v>
      </c>
      <c r="I566" s="36" t="s">
        <v>239</v>
      </c>
      <c r="J566" s="36" t="s">
        <v>240</v>
      </c>
      <c r="K566" s="3"/>
      <c r="L566" s="36">
        <v>37</v>
      </c>
      <c r="M566" s="3" t="s">
        <v>229</v>
      </c>
      <c r="N566" s="36" t="s">
        <v>240</v>
      </c>
      <c r="O566" s="3">
        <v>237</v>
      </c>
      <c r="P566" s="3">
        <f t="shared" si="27"/>
        <v>15.611814345991561</v>
      </c>
      <c r="Q566" s="36">
        <v>2672.7452271231073</v>
      </c>
      <c r="R566" s="8">
        <f t="shared" si="28"/>
        <v>417.26402279980999</v>
      </c>
      <c r="S566" s="36">
        <v>2673.1168745535783</v>
      </c>
      <c r="T566" s="40">
        <f t="shared" si="29"/>
        <v>15.609643812132038</v>
      </c>
      <c r="U566" s="110"/>
      <c r="V566" s="3">
        <v>250</v>
      </c>
      <c r="W566" s="3"/>
      <c r="X566" s="3"/>
      <c r="Y566" s="3"/>
      <c r="Z566" s="36"/>
      <c r="AA566" s="36"/>
      <c r="AB566" s="36"/>
      <c r="AC566" s="36"/>
      <c r="AD566" s="36"/>
      <c r="AE566" s="36"/>
    </row>
    <row r="567" spans="1:31" s="38" customFormat="1" ht="20.25" customHeight="1">
      <c r="A567" s="35">
        <v>42571</v>
      </c>
      <c r="B567" s="64" t="s">
        <v>154</v>
      </c>
      <c r="C567" s="165">
        <v>2016</v>
      </c>
      <c r="D567" s="65">
        <v>8</v>
      </c>
      <c r="E567" s="36" t="s">
        <v>223</v>
      </c>
      <c r="F567" s="36" t="s">
        <v>224</v>
      </c>
      <c r="G567" s="36" t="s">
        <v>225</v>
      </c>
      <c r="H567" s="36" t="s">
        <v>521</v>
      </c>
      <c r="I567" s="36" t="s">
        <v>522</v>
      </c>
      <c r="J567" s="36" t="s">
        <v>523</v>
      </c>
      <c r="K567" s="36" t="s">
        <v>551</v>
      </c>
      <c r="L567" s="36">
        <v>1</v>
      </c>
      <c r="M567" s="36" t="s">
        <v>544</v>
      </c>
      <c r="N567" s="36" t="s">
        <v>524</v>
      </c>
      <c r="O567" s="36">
        <v>3</v>
      </c>
      <c r="P567" s="36">
        <f t="shared" si="27"/>
        <v>33.333333333333329</v>
      </c>
      <c r="Q567" s="36">
        <v>0.37164743047095994</v>
      </c>
      <c r="R567" s="40">
        <f t="shared" si="28"/>
        <v>0.12388247682365329</v>
      </c>
      <c r="S567" s="36">
        <v>2673.1168745535783</v>
      </c>
      <c r="T567" s="40">
        <f t="shared" si="29"/>
        <v>4.6343831054653072E-3</v>
      </c>
      <c r="U567" s="110"/>
      <c r="V567" s="36">
        <v>1000</v>
      </c>
      <c r="W567" s="36"/>
      <c r="X567" s="36"/>
      <c r="Y567" s="36"/>
      <c r="Z567" s="36"/>
      <c r="AA567" s="36"/>
      <c r="AB567" s="36"/>
      <c r="AC567" s="36"/>
      <c r="AD567" s="36"/>
      <c r="AE567" s="36"/>
    </row>
    <row r="568" spans="1:31" s="38" customFormat="1" ht="20.25" customHeight="1">
      <c r="A568" s="72">
        <v>42571</v>
      </c>
      <c r="B568" s="72" t="s">
        <v>154</v>
      </c>
      <c r="C568" s="165">
        <v>2016</v>
      </c>
      <c r="D568" s="65">
        <v>8</v>
      </c>
      <c r="E568" s="3" t="s">
        <v>216</v>
      </c>
      <c r="F568" s="3" t="s">
        <v>217</v>
      </c>
      <c r="G568" s="3"/>
      <c r="H568" s="3"/>
      <c r="I568" s="3"/>
      <c r="J568" s="3" t="s">
        <v>219</v>
      </c>
      <c r="K568" s="3"/>
      <c r="L568" s="36">
        <v>1</v>
      </c>
      <c r="M568" s="36" t="s">
        <v>229</v>
      </c>
      <c r="N568" s="36" t="s">
        <v>219</v>
      </c>
      <c r="O568" s="3">
        <v>237</v>
      </c>
      <c r="P568" s="3">
        <f t="shared" si="27"/>
        <v>0.42194092827004215</v>
      </c>
      <c r="Q568" s="36">
        <v>2672.7452271231073</v>
      </c>
      <c r="R568" s="8">
        <f t="shared" si="28"/>
        <v>11.277406021616486</v>
      </c>
      <c r="S568" s="36">
        <v>2673.1168745535783</v>
      </c>
      <c r="T568" s="40">
        <f t="shared" si="29"/>
        <v>0.42188226519275773</v>
      </c>
      <c r="U568" s="110"/>
      <c r="V568" s="3">
        <v>250</v>
      </c>
      <c r="W568" s="3"/>
      <c r="X568" s="3"/>
      <c r="Y568" s="3"/>
      <c r="Z568" s="36"/>
      <c r="AA568" s="36"/>
      <c r="AB568" s="36"/>
      <c r="AC568" s="36"/>
      <c r="AD568" s="36"/>
      <c r="AE568" s="36"/>
    </row>
    <row r="569" spans="1:31" s="38" customFormat="1" ht="20" customHeight="1">
      <c r="A569" s="72">
        <v>42571</v>
      </c>
      <c r="B569" s="64" t="s">
        <v>154</v>
      </c>
      <c r="C569" s="165">
        <v>2016</v>
      </c>
      <c r="D569" s="65">
        <v>8</v>
      </c>
      <c r="E569" s="36" t="s">
        <v>223</v>
      </c>
      <c r="F569" s="36" t="s">
        <v>224</v>
      </c>
      <c r="G569" s="36" t="s">
        <v>225</v>
      </c>
      <c r="H569" s="36" t="s">
        <v>226</v>
      </c>
      <c r="I569" s="36" t="s">
        <v>253</v>
      </c>
      <c r="J569" s="36" t="s">
        <v>256</v>
      </c>
      <c r="K569" s="3"/>
      <c r="L569" s="36">
        <v>46</v>
      </c>
      <c r="M569" s="3" t="s">
        <v>229</v>
      </c>
      <c r="N569" s="36" t="s">
        <v>256</v>
      </c>
      <c r="O569" s="3">
        <v>237</v>
      </c>
      <c r="P569" s="3">
        <f t="shared" si="27"/>
        <v>19.40928270042194</v>
      </c>
      <c r="Q569" s="65">
        <v>2672.7452271231073</v>
      </c>
      <c r="R569" s="8">
        <f t="shared" si="28"/>
        <v>518.76067699435839</v>
      </c>
      <c r="S569" s="36">
        <v>2673.1168745535783</v>
      </c>
      <c r="T569" s="40">
        <f t="shared" si="29"/>
        <v>19.406584198866859</v>
      </c>
      <c r="U569" s="110"/>
      <c r="V569" s="36">
        <v>250</v>
      </c>
      <c r="W569" s="3"/>
      <c r="X569" s="3"/>
      <c r="Y569" s="3"/>
      <c r="Z569" s="36"/>
      <c r="AA569" s="36"/>
      <c r="AB569" s="36"/>
      <c r="AC569" s="36"/>
      <c r="AD569" s="36"/>
      <c r="AE569" s="36"/>
    </row>
    <row r="570" spans="1:31" s="38" customFormat="1" ht="20.25" customHeight="1">
      <c r="A570" s="35">
        <v>42571</v>
      </c>
      <c r="B570" s="35" t="s">
        <v>154</v>
      </c>
      <c r="C570" s="165">
        <v>2016</v>
      </c>
      <c r="D570" s="65">
        <v>8</v>
      </c>
      <c r="E570" s="36" t="s">
        <v>223</v>
      </c>
      <c r="F570" s="36" t="s">
        <v>224</v>
      </c>
      <c r="G570" s="36" t="s">
        <v>225</v>
      </c>
      <c r="H570" s="36" t="s">
        <v>226</v>
      </c>
      <c r="I570" s="36" t="s">
        <v>261</v>
      </c>
      <c r="J570" s="36" t="s">
        <v>262</v>
      </c>
      <c r="K570" s="36"/>
      <c r="L570" s="36">
        <v>20</v>
      </c>
      <c r="M570" s="36" t="s">
        <v>229</v>
      </c>
      <c r="N570" s="36" t="s">
        <v>264</v>
      </c>
      <c r="O570" s="36">
        <v>237</v>
      </c>
      <c r="P570" s="36">
        <f t="shared" si="27"/>
        <v>8.4388185654008439</v>
      </c>
      <c r="Q570" s="65">
        <v>2672.7452271231073</v>
      </c>
      <c r="R570" s="8">
        <f t="shared" si="28"/>
        <v>225.54812043232971</v>
      </c>
      <c r="S570" s="36">
        <v>2673.1168745535783</v>
      </c>
      <c r="T570" s="40">
        <f t="shared" si="29"/>
        <v>8.437645303855156</v>
      </c>
      <c r="U570" s="110"/>
      <c r="V570" s="3">
        <v>250</v>
      </c>
      <c r="W570" s="3"/>
      <c r="X570" s="3"/>
      <c r="Y570" s="3"/>
      <c r="Z570" s="36"/>
      <c r="AA570" s="36"/>
      <c r="AB570" s="36"/>
      <c r="AC570" s="36"/>
      <c r="AD570" s="36"/>
      <c r="AE570" s="36"/>
    </row>
    <row r="571" spans="1:31" s="38" customFormat="1" ht="20.25" customHeight="1">
      <c r="A571" s="72">
        <v>42571</v>
      </c>
      <c r="B571" s="64" t="s">
        <v>154</v>
      </c>
      <c r="C571" s="165">
        <v>2016</v>
      </c>
      <c r="D571" s="65">
        <v>8</v>
      </c>
      <c r="E571" s="65" t="s">
        <v>328</v>
      </c>
      <c r="F571" s="65"/>
      <c r="G571" s="65"/>
      <c r="H571" s="65"/>
      <c r="I571" s="65"/>
      <c r="J571" s="36"/>
      <c r="K571" s="36"/>
      <c r="L571" s="36">
        <v>1</v>
      </c>
      <c r="M571" s="36" t="s">
        <v>328</v>
      </c>
      <c r="N571" s="36" t="s">
        <v>370</v>
      </c>
      <c r="O571" s="36">
        <v>237</v>
      </c>
      <c r="P571" s="36">
        <f t="shared" si="27"/>
        <v>0.42194092827004215</v>
      </c>
      <c r="Q571" s="65">
        <v>2672.7452271231073</v>
      </c>
      <c r="R571" s="8">
        <f t="shared" si="28"/>
        <v>11.277406021616486</v>
      </c>
      <c r="S571" s="36">
        <v>2673.1168745535783</v>
      </c>
      <c r="T571" s="40">
        <f t="shared" si="29"/>
        <v>0.42188226519275773</v>
      </c>
      <c r="U571" s="110"/>
      <c r="V571" s="67">
        <v>250</v>
      </c>
      <c r="W571" s="67"/>
      <c r="X571" s="67"/>
      <c r="Y571" s="67"/>
      <c r="Z571" s="36"/>
      <c r="AA571" s="36"/>
      <c r="AB571" s="36"/>
      <c r="AC571" s="36"/>
      <c r="AD571" s="36"/>
      <c r="AE571" s="36"/>
    </row>
    <row r="572" spans="1:31" s="38" customFormat="1" ht="20.25" customHeight="1">
      <c r="A572" s="72">
        <v>42571</v>
      </c>
      <c r="B572" s="72" t="s">
        <v>154</v>
      </c>
      <c r="C572" s="165">
        <v>2016</v>
      </c>
      <c r="D572" s="65">
        <v>5</v>
      </c>
      <c r="E572" s="3" t="s">
        <v>223</v>
      </c>
      <c r="F572" s="3" t="s">
        <v>224</v>
      </c>
      <c r="G572" s="3" t="s">
        <v>225</v>
      </c>
      <c r="H572" s="3" t="s">
        <v>226</v>
      </c>
      <c r="I572" s="51" t="s">
        <v>227</v>
      </c>
      <c r="J572" s="51" t="s">
        <v>228</v>
      </c>
      <c r="K572" s="3"/>
      <c r="L572" s="36">
        <v>104</v>
      </c>
      <c r="M572" s="3" t="s">
        <v>229</v>
      </c>
      <c r="N572" s="36" t="s">
        <v>228</v>
      </c>
      <c r="O572" s="3">
        <v>211</v>
      </c>
      <c r="P572" s="3">
        <f t="shared" si="27"/>
        <v>49.289099526066352</v>
      </c>
      <c r="Q572" s="65">
        <v>2916.9206923275638</v>
      </c>
      <c r="R572" s="8">
        <f t="shared" si="28"/>
        <v>1437.7239431377566</v>
      </c>
      <c r="S572" s="36">
        <v>2917.1984893968047</v>
      </c>
      <c r="T572" s="40">
        <f t="shared" si="29"/>
        <v>49.2844058559429</v>
      </c>
      <c r="U572" s="110"/>
      <c r="V572" s="51">
        <v>250</v>
      </c>
      <c r="W572" s="51"/>
      <c r="X572" s="51"/>
      <c r="Y572" s="51"/>
      <c r="Z572" s="36"/>
      <c r="AA572" s="36"/>
      <c r="AB572" s="36"/>
      <c r="AC572" s="36"/>
      <c r="AD572" s="36"/>
      <c r="AE572" s="36"/>
    </row>
    <row r="573" spans="1:31" s="38" customFormat="1" ht="20.25" customHeight="1">
      <c r="A573" s="72">
        <v>42571</v>
      </c>
      <c r="B573" s="64" t="s">
        <v>154</v>
      </c>
      <c r="C573" s="165">
        <v>2016</v>
      </c>
      <c r="D573" s="65">
        <v>5</v>
      </c>
      <c r="E573" s="3" t="s">
        <v>223</v>
      </c>
      <c r="F573" s="3" t="s">
        <v>224</v>
      </c>
      <c r="G573" s="3" t="s">
        <v>225</v>
      </c>
      <c r="H573" s="3" t="s">
        <v>226</v>
      </c>
      <c r="I573" s="51" t="s">
        <v>235</v>
      </c>
      <c r="J573" s="51" t="s">
        <v>236</v>
      </c>
      <c r="K573" s="3"/>
      <c r="L573" s="36">
        <v>6</v>
      </c>
      <c r="M573" s="3" t="s">
        <v>229</v>
      </c>
      <c r="N573" s="36" t="s">
        <v>236</v>
      </c>
      <c r="O573" s="3">
        <v>211</v>
      </c>
      <c r="P573" s="3">
        <f t="shared" si="27"/>
        <v>2.8436018957345972</v>
      </c>
      <c r="Q573" s="65">
        <v>2916.9206923275638</v>
      </c>
      <c r="R573" s="8">
        <f t="shared" si="28"/>
        <v>82.945612104101343</v>
      </c>
      <c r="S573" s="36">
        <v>2917.1984893968047</v>
      </c>
      <c r="T573" s="40">
        <f t="shared" si="29"/>
        <v>2.8433311070736287</v>
      </c>
      <c r="U573" s="110"/>
      <c r="V573" s="65">
        <v>250</v>
      </c>
      <c r="W573" s="51"/>
      <c r="X573" s="51"/>
      <c r="Y573" s="51"/>
      <c r="Z573" s="36"/>
      <c r="AA573" s="36"/>
      <c r="AB573" s="36"/>
      <c r="AC573" s="36"/>
      <c r="AD573" s="36"/>
      <c r="AE573" s="36"/>
    </row>
    <row r="574" spans="1:31" s="38" customFormat="1" ht="20.25" customHeight="1">
      <c r="A574" s="35">
        <v>42571</v>
      </c>
      <c r="B574" s="72" t="s">
        <v>154</v>
      </c>
      <c r="C574" s="165">
        <v>2016</v>
      </c>
      <c r="D574" s="65">
        <v>5</v>
      </c>
      <c r="E574" s="36" t="s">
        <v>223</v>
      </c>
      <c r="F574" s="36" t="s">
        <v>224</v>
      </c>
      <c r="G574" s="36" t="s">
        <v>225</v>
      </c>
      <c r="H574" s="36" t="s">
        <v>226</v>
      </c>
      <c r="I574" s="36" t="s">
        <v>239</v>
      </c>
      <c r="J574" s="36" t="s">
        <v>240</v>
      </c>
      <c r="K574" s="3"/>
      <c r="L574" s="36">
        <v>53</v>
      </c>
      <c r="M574" s="3" t="s">
        <v>229</v>
      </c>
      <c r="N574" s="36" t="s">
        <v>240</v>
      </c>
      <c r="O574" s="3">
        <v>211</v>
      </c>
      <c r="P574" s="3">
        <f t="shared" si="27"/>
        <v>25.118483412322274</v>
      </c>
      <c r="Q574" s="65">
        <v>2916.9206923275638</v>
      </c>
      <c r="R574" s="8">
        <f t="shared" si="28"/>
        <v>732.68624025289512</v>
      </c>
      <c r="S574" s="36">
        <v>2917.1984893968047</v>
      </c>
      <c r="T574" s="40">
        <f t="shared" si="29"/>
        <v>25.116091445817052</v>
      </c>
      <c r="U574" s="110"/>
      <c r="V574" s="65">
        <v>250</v>
      </c>
      <c r="W574" s="51"/>
      <c r="X574" s="51"/>
      <c r="Y574" s="51"/>
      <c r="Z574" s="36"/>
      <c r="AA574" s="36"/>
      <c r="AB574" s="36"/>
      <c r="AC574" s="36"/>
      <c r="AD574" s="36"/>
      <c r="AE574" s="36"/>
    </row>
    <row r="575" spans="1:31" s="38" customFormat="1" ht="20.25" customHeight="1">
      <c r="A575" s="86">
        <v>42571</v>
      </c>
      <c r="B575" s="64" t="s">
        <v>154</v>
      </c>
      <c r="C575" s="165">
        <v>2016</v>
      </c>
      <c r="D575" s="76">
        <v>5</v>
      </c>
      <c r="E575" s="36" t="s">
        <v>288</v>
      </c>
      <c r="F575" s="36" t="s">
        <v>289</v>
      </c>
      <c r="G575" s="36"/>
      <c r="H575" s="36" t="s">
        <v>567</v>
      </c>
      <c r="I575" s="36" t="s">
        <v>340</v>
      </c>
      <c r="J575" s="36" t="s">
        <v>565</v>
      </c>
      <c r="K575" s="36" t="s">
        <v>566</v>
      </c>
      <c r="L575" s="36">
        <v>1</v>
      </c>
      <c r="M575" s="36" t="s">
        <v>247</v>
      </c>
      <c r="N575" s="36" t="s">
        <v>294</v>
      </c>
      <c r="O575" s="36">
        <v>2</v>
      </c>
      <c r="P575" s="36">
        <f t="shared" si="27"/>
        <v>50</v>
      </c>
      <c r="Q575" s="65">
        <v>0.27779706924091951</v>
      </c>
      <c r="R575" s="40">
        <f t="shared" si="28"/>
        <v>0.13889853462045976</v>
      </c>
      <c r="S575" s="36">
        <v>2917.1984893968047</v>
      </c>
      <c r="T575" s="40">
        <f t="shared" si="29"/>
        <v>4.7613672886955352E-3</v>
      </c>
      <c r="U575" s="110">
        <f>SUM(T583)</f>
        <v>0.44825487671998654</v>
      </c>
      <c r="V575" s="65">
        <v>1000</v>
      </c>
      <c r="W575" s="65"/>
      <c r="X575" s="65"/>
      <c r="Y575" s="51"/>
      <c r="Z575" s="36"/>
      <c r="AA575" s="36"/>
      <c r="AB575" s="36"/>
      <c r="AC575" s="36"/>
      <c r="AD575" s="36"/>
      <c r="AE575" s="36"/>
    </row>
    <row r="576" spans="1:31" s="38" customFormat="1" ht="20.25" customHeight="1">
      <c r="A576" s="86">
        <v>42571</v>
      </c>
      <c r="B576" s="72" t="s">
        <v>154</v>
      </c>
      <c r="C576" s="165">
        <v>2016</v>
      </c>
      <c r="D576" s="76">
        <v>5</v>
      </c>
      <c r="E576" s="36" t="s">
        <v>223</v>
      </c>
      <c r="F576" s="36" t="s">
        <v>267</v>
      </c>
      <c r="G576" s="36" t="s">
        <v>278</v>
      </c>
      <c r="H576" s="36" t="s">
        <v>279</v>
      </c>
      <c r="I576" s="65" t="s">
        <v>280</v>
      </c>
      <c r="J576" s="65" t="s">
        <v>284</v>
      </c>
      <c r="K576" s="36" t="s">
        <v>285</v>
      </c>
      <c r="L576" s="36">
        <v>1</v>
      </c>
      <c r="M576" s="36" t="s">
        <v>247</v>
      </c>
      <c r="N576" s="36" t="s">
        <v>283</v>
      </c>
      <c r="O576" s="36">
        <v>2</v>
      </c>
      <c r="P576" s="36">
        <f t="shared" si="27"/>
        <v>50</v>
      </c>
      <c r="Q576" s="65">
        <v>0.27779706924091951</v>
      </c>
      <c r="R576" s="40">
        <f t="shared" si="28"/>
        <v>0.13889853462045976</v>
      </c>
      <c r="S576" s="65">
        <v>2917.1984893968047</v>
      </c>
      <c r="T576" s="40">
        <f t="shared" si="29"/>
        <v>4.7613672886955352E-3</v>
      </c>
      <c r="U576" s="110"/>
      <c r="V576" s="65">
        <v>1000</v>
      </c>
      <c r="W576" s="65"/>
      <c r="X576" s="65"/>
      <c r="Y576" s="51"/>
      <c r="Z576" s="36"/>
      <c r="AA576" s="36"/>
      <c r="AB576" s="36"/>
      <c r="AC576" s="36"/>
      <c r="AD576" s="36"/>
      <c r="AE576" s="36"/>
    </row>
    <row r="577" spans="1:31" s="38" customFormat="1" ht="20.25" customHeight="1">
      <c r="A577" s="72">
        <v>42571</v>
      </c>
      <c r="B577" s="64" t="s">
        <v>154</v>
      </c>
      <c r="C577" s="165">
        <v>2016</v>
      </c>
      <c r="D577" s="65">
        <v>5</v>
      </c>
      <c r="E577" s="65" t="s">
        <v>223</v>
      </c>
      <c r="F577" s="65" t="s">
        <v>224</v>
      </c>
      <c r="G577" s="65" t="s">
        <v>225</v>
      </c>
      <c r="H577" s="65" t="s">
        <v>248</v>
      </c>
      <c r="I577" s="65" t="s">
        <v>249</v>
      </c>
      <c r="J577" s="36" t="s">
        <v>250</v>
      </c>
      <c r="K577" s="36"/>
      <c r="L577" s="36">
        <v>4</v>
      </c>
      <c r="M577" s="36" t="s">
        <v>229</v>
      </c>
      <c r="N577" s="36" t="s">
        <v>250</v>
      </c>
      <c r="O577" s="36">
        <v>211</v>
      </c>
      <c r="P577" s="36">
        <f t="shared" si="27"/>
        <v>1.8957345971563981</v>
      </c>
      <c r="Q577" s="65">
        <v>2916.9206923275638</v>
      </c>
      <c r="R577" s="8">
        <f t="shared" si="28"/>
        <v>55.297074736067565</v>
      </c>
      <c r="S577" s="36">
        <v>2917.1984893968047</v>
      </c>
      <c r="T577" s="40">
        <f t="shared" si="29"/>
        <v>1.8955540713824195</v>
      </c>
      <c r="U577" s="110"/>
      <c r="V577" s="3">
        <v>250</v>
      </c>
      <c r="W577" s="3"/>
      <c r="X577" s="3"/>
      <c r="Y577" s="3"/>
      <c r="Z577" s="36"/>
      <c r="AA577" s="36"/>
      <c r="AB577" s="36"/>
      <c r="AC577" s="36"/>
      <c r="AD577" s="36"/>
      <c r="AE577" s="36"/>
    </row>
    <row r="578" spans="1:31" s="38" customFormat="1" ht="20.25" customHeight="1">
      <c r="A578" s="72">
        <v>42571</v>
      </c>
      <c r="B578" s="72" t="s">
        <v>154</v>
      </c>
      <c r="C578" s="165">
        <v>2016</v>
      </c>
      <c r="D578" s="65">
        <v>5</v>
      </c>
      <c r="E578" s="65" t="s">
        <v>223</v>
      </c>
      <c r="F578" s="65" t="s">
        <v>224</v>
      </c>
      <c r="G578" s="65" t="s">
        <v>225</v>
      </c>
      <c r="H578" s="65" t="s">
        <v>226</v>
      </c>
      <c r="I578" s="65" t="s">
        <v>253</v>
      </c>
      <c r="J578" s="36" t="s">
        <v>256</v>
      </c>
      <c r="K578" s="36"/>
      <c r="L578" s="36">
        <v>32</v>
      </c>
      <c r="M578" s="36" t="s">
        <v>229</v>
      </c>
      <c r="N578" s="36" t="s">
        <v>256</v>
      </c>
      <c r="O578" s="36">
        <v>211</v>
      </c>
      <c r="P578" s="36">
        <f t="shared" ref="P578:P641" si="30">L578/O578*100</f>
        <v>15.165876777251185</v>
      </c>
      <c r="Q578" s="65">
        <v>2916.9206923275638</v>
      </c>
      <c r="R578" s="8">
        <f t="shared" ref="R578:R641" si="31">(P578/100)*Q578</f>
        <v>442.37659788854052</v>
      </c>
      <c r="S578" s="36">
        <v>2917.1984893968047</v>
      </c>
      <c r="T578" s="40">
        <f t="shared" ref="T578:T641" si="32">R578/S578*100</f>
        <v>15.164432571059356</v>
      </c>
      <c r="U578" s="110"/>
      <c r="V578" s="36">
        <v>250</v>
      </c>
      <c r="W578" s="3"/>
      <c r="X578" s="3"/>
      <c r="Y578" s="3"/>
      <c r="Z578" s="36"/>
      <c r="AA578" s="36"/>
      <c r="AB578" s="36"/>
      <c r="AC578" s="36"/>
      <c r="AD578" s="36"/>
      <c r="AE578" s="36"/>
    </row>
    <row r="579" spans="1:31" s="38" customFormat="1" ht="20.25" customHeight="1">
      <c r="A579" s="72">
        <v>42571</v>
      </c>
      <c r="B579" s="64" t="s">
        <v>154</v>
      </c>
      <c r="C579" s="165">
        <v>2016</v>
      </c>
      <c r="D579" s="65">
        <v>5</v>
      </c>
      <c r="E579" s="36" t="s">
        <v>223</v>
      </c>
      <c r="F579" s="36" t="s">
        <v>224</v>
      </c>
      <c r="G579" s="36" t="s">
        <v>225</v>
      </c>
      <c r="H579" s="36" t="s">
        <v>226</v>
      </c>
      <c r="I579" s="36" t="s">
        <v>261</v>
      </c>
      <c r="J579" s="36" t="s">
        <v>262</v>
      </c>
      <c r="K579" s="36"/>
      <c r="L579" s="36">
        <v>11</v>
      </c>
      <c r="M579" s="36" t="s">
        <v>229</v>
      </c>
      <c r="N579" s="36" t="s">
        <v>264</v>
      </c>
      <c r="O579" s="36">
        <v>211</v>
      </c>
      <c r="P579" s="36">
        <f t="shared" si="30"/>
        <v>5.2132701421800949</v>
      </c>
      <c r="Q579" s="65">
        <v>2916.9206923275638</v>
      </c>
      <c r="R579" s="8">
        <f t="shared" si="31"/>
        <v>152.0669555241858</v>
      </c>
      <c r="S579" s="36">
        <v>2917.1984893968047</v>
      </c>
      <c r="T579" s="40">
        <f t="shared" si="32"/>
        <v>5.2127736963016531</v>
      </c>
      <c r="U579" s="110"/>
      <c r="V579" s="3">
        <v>250</v>
      </c>
      <c r="W579" s="3"/>
      <c r="X579" s="3"/>
      <c r="Y579" s="36"/>
      <c r="Z579" s="36"/>
      <c r="AA579" s="36"/>
      <c r="AB579" s="36"/>
      <c r="AC579" s="36"/>
      <c r="AD579" s="36"/>
      <c r="AE579" s="36"/>
    </row>
    <row r="580" spans="1:31" s="38" customFormat="1" ht="20.25" customHeight="1">
      <c r="A580" s="72">
        <v>42571</v>
      </c>
      <c r="B580" s="72" t="s">
        <v>154</v>
      </c>
      <c r="C580" s="165">
        <v>2016</v>
      </c>
      <c r="D580" s="65">
        <v>5</v>
      </c>
      <c r="E580" s="65" t="s">
        <v>370</v>
      </c>
      <c r="F580" s="65"/>
      <c r="G580" s="65"/>
      <c r="H580" s="65"/>
      <c r="I580" s="65"/>
      <c r="J580" s="36"/>
      <c r="K580" s="36"/>
      <c r="L580" s="36">
        <v>1</v>
      </c>
      <c r="M580" s="36" t="s">
        <v>328</v>
      </c>
      <c r="N580" s="36" t="s">
        <v>328</v>
      </c>
      <c r="O580" s="36">
        <v>211</v>
      </c>
      <c r="P580" s="36">
        <f t="shared" si="30"/>
        <v>0.47393364928909953</v>
      </c>
      <c r="Q580" s="65">
        <v>2916.9206923275638</v>
      </c>
      <c r="R580" s="8">
        <f t="shared" si="31"/>
        <v>13.824268684016891</v>
      </c>
      <c r="S580" s="36">
        <v>2917.1984893968047</v>
      </c>
      <c r="T580" s="40">
        <f t="shared" si="32"/>
        <v>0.47388851784560487</v>
      </c>
      <c r="U580" s="110"/>
      <c r="V580" s="67">
        <v>250</v>
      </c>
      <c r="W580" s="67"/>
      <c r="X580" s="67"/>
      <c r="Y580" s="36"/>
      <c r="Z580" s="36"/>
      <c r="AA580" s="36"/>
      <c r="AB580" s="36"/>
      <c r="AC580" s="36"/>
      <c r="AD580" s="36"/>
      <c r="AE580" s="36"/>
    </row>
    <row r="581" spans="1:31" s="38" customFormat="1" ht="20.25" customHeight="1">
      <c r="A581" s="35">
        <v>42571</v>
      </c>
      <c r="B581" s="64" t="s">
        <v>154</v>
      </c>
      <c r="C581" s="165">
        <v>2016</v>
      </c>
      <c r="D581" s="65">
        <v>4</v>
      </c>
      <c r="E581" s="3" t="s">
        <v>223</v>
      </c>
      <c r="F581" s="3" t="s">
        <v>224</v>
      </c>
      <c r="G581" s="3" t="s">
        <v>225</v>
      </c>
      <c r="H581" s="3" t="s">
        <v>226</v>
      </c>
      <c r="I581" s="3" t="s">
        <v>227</v>
      </c>
      <c r="J581" s="3" t="s">
        <v>228</v>
      </c>
      <c r="K581" s="3"/>
      <c r="L581" s="36">
        <v>132</v>
      </c>
      <c r="M581" s="3" t="s">
        <v>229</v>
      </c>
      <c r="N581" s="36" t="s">
        <v>228</v>
      </c>
      <c r="O581" s="3">
        <v>223</v>
      </c>
      <c r="P581" s="3">
        <f t="shared" si="30"/>
        <v>59.192825112107627</v>
      </c>
      <c r="Q581" s="36">
        <v>4906.2857142857138</v>
      </c>
      <c r="R581" s="8">
        <f t="shared" si="31"/>
        <v>2904.169122357463</v>
      </c>
      <c r="S581" s="36">
        <v>4908.2078907809455</v>
      </c>
      <c r="T581" s="40">
        <f t="shared" si="32"/>
        <v>59.169643727038221</v>
      </c>
      <c r="U581" s="110"/>
      <c r="V581" s="65">
        <v>250</v>
      </c>
      <c r="W581" s="51"/>
      <c r="X581" s="51"/>
      <c r="Y581" s="159"/>
      <c r="Z581" s="36"/>
      <c r="AA581" s="36"/>
      <c r="AB581" s="36"/>
      <c r="AC581" s="36"/>
      <c r="AD581" s="36"/>
      <c r="AE581" s="36"/>
    </row>
    <row r="582" spans="1:31" s="38" customFormat="1" ht="20.25" customHeight="1">
      <c r="A582" s="35">
        <v>42571</v>
      </c>
      <c r="B582" s="35" t="s">
        <v>154</v>
      </c>
      <c r="C582" s="165">
        <v>2016</v>
      </c>
      <c r="D582" s="65">
        <v>4</v>
      </c>
      <c r="E582" s="36" t="s">
        <v>223</v>
      </c>
      <c r="F582" s="36" t="s">
        <v>224</v>
      </c>
      <c r="G582" s="36" t="s">
        <v>225</v>
      </c>
      <c r="H582" s="36" t="s">
        <v>226</v>
      </c>
      <c r="I582" s="3"/>
      <c r="J582" s="3"/>
      <c r="K582" s="3"/>
      <c r="L582" s="36">
        <v>1</v>
      </c>
      <c r="M582" s="3" t="s">
        <v>508</v>
      </c>
      <c r="N582" s="36" t="s">
        <v>600</v>
      </c>
      <c r="O582" s="3">
        <v>223</v>
      </c>
      <c r="P582" s="3">
        <f t="shared" si="30"/>
        <v>0.44843049327354262</v>
      </c>
      <c r="Q582" s="36">
        <v>4906.2857142857138</v>
      </c>
      <c r="R582" s="8">
        <f t="shared" si="31"/>
        <v>22.00128122998078</v>
      </c>
      <c r="S582" s="36">
        <v>4908.2078907809455</v>
      </c>
      <c r="T582" s="40">
        <f t="shared" si="32"/>
        <v>0.44825487671998654</v>
      </c>
      <c r="U582" s="110"/>
      <c r="V582" s="65">
        <v>250</v>
      </c>
      <c r="W582" s="51"/>
      <c r="X582" s="51"/>
      <c r="Y582" s="159"/>
      <c r="Z582" s="36"/>
      <c r="AA582" s="36"/>
      <c r="AB582" s="36"/>
      <c r="AC582" s="36"/>
      <c r="AD582" s="36"/>
      <c r="AE582" s="36"/>
    </row>
    <row r="583" spans="1:31" s="38" customFormat="1" ht="20.25" customHeight="1">
      <c r="A583" s="72">
        <v>42571</v>
      </c>
      <c r="B583" s="64" t="s">
        <v>154</v>
      </c>
      <c r="C583" s="165">
        <v>2016</v>
      </c>
      <c r="D583" s="65">
        <v>4</v>
      </c>
      <c r="E583" s="51" t="s">
        <v>223</v>
      </c>
      <c r="F583" s="51" t="s">
        <v>224</v>
      </c>
      <c r="G583" s="51" t="s">
        <v>225</v>
      </c>
      <c r="H583" s="51" t="s">
        <v>226</v>
      </c>
      <c r="I583" s="51" t="s">
        <v>235</v>
      </c>
      <c r="J583" s="3" t="s">
        <v>236</v>
      </c>
      <c r="K583" s="3"/>
      <c r="L583" s="65">
        <v>1</v>
      </c>
      <c r="M583" s="51" t="s">
        <v>229</v>
      </c>
      <c r="N583" s="65" t="s">
        <v>236</v>
      </c>
      <c r="O583" s="3">
        <v>223</v>
      </c>
      <c r="P583" s="3">
        <f t="shared" si="30"/>
        <v>0.44843049327354262</v>
      </c>
      <c r="Q583" s="36">
        <v>4906.2857142857138</v>
      </c>
      <c r="R583" s="8">
        <f t="shared" si="31"/>
        <v>22.00128122998078</v>
      </c>
      <c r="S583" s="36">
        <v>4908.2078907809455</v>
      </c>
      <c r="T583" s="40">
        <f t="shared" si="32"/>
        <v>0.44825487671998654</v>
      </c>
      <c r="U583" s="110"/>
      <c r="V583" s="51">
        <v>250</v>
      </c>
      <c r="W583" s="51"/>
      <c r="X583" s="51"/>
      <c r="Y583" s="159"/>
      <c r="Z583" s="36"/>
      <c r="AA583" s="36"/>
      <c r="AB583" s="36"/>
      <c r="AC583" s="36"/>
      <c r="AD583" s="36"/>
      <c r="AE583" s="36"/>
    </row>
    <row r="584" spans="1:31" s="38" customFormat="1" ht="20.25" customHeight="1">
      <c r="A584" s="35">
        <v>42571</v>
      </c>
      <c r="B584" s="35" t="s">
        <v>154</v>
      </c>
      <c r="C584" s="165">
        <v>2016</v>
      </c>
      <c r="D584" s="36">
        <v>4</v>
      </c>
      <c r="E584" s="36" t="s">
        <v>223</v>
      </c>
      <c r="F584" s="36" t="s">
        <v>267</v>
      </c>
      <c r="G584" s="36"/>
      <c r="H584" s="36" t="s">
        <v>273</v>
      </c>
      <c r="I584" s="36" t="s">
        <v>274</v>
      </c>
      <c r="J584" s="36" t="s">
        <v>275</v>
      </c>
      <c r="K584" s="36" t="s">
        <v>276</v>
      </c>
      <c r="L584" s="36">
        <v>2</v>
      </c>
      <c r="M584" s="36" t="s">
        <v>247</v>
      </c>
      <c r="N584" s="36" t="s">
        <v>275</v>
      </c>
      <c r="O584" s="36">
        <v>13</v>
      </c>
      <c r="P584" s="36">
        <f t="shared" si="30"/>
        <v>15.384615384615385</v>
      </c>
      <c r="Q584" s="36">
        <v>1.9221764952315239</v>
      </c>
      <c r="R584" s="40">
        <f t="shared" si="31"/>
        <v>0.29571946080484984</v>
      </c>
      <c r="S584" s="36">
        <v>4908.2078907809455</v>
      </c>
      <c r="T584" s="40">
        <f t="shared" si="32"/>
        <v>6.024998683537789E-3</v>
      </c>
      <c r="U584" s="110">
        <f>SUM(T588+T592)</f>
        <v>74.184009043305593</v>
      </c>
      <c r="V584" s="36">
        <v>1000</v>
      </c>
      <c r="W584" s="36"/>
      <c r="X584" s="36"/>
      <c r="Y584" s="88"/>
      <c r="Z584" s="36"/>
      <c r="AA584" s="36"/>
      <c r="AB584" s="36"/>
      <c r="AC584" s="36"/>
      <c r="AD584" s="36"/>
      <c r="AE584" s="36"/>
    </row>
    <row r="585" spans="1:31" s="38" customFormat="1" ht="20.25" customHeight="1">
      <c r="A585" s="35">
        <v>42571</v>
      </c>
      <c r="B585" s="64" t="s">
        <v>154</v>
      </c>
      <c r="C585" s="165">
        <v>2016</v>
      </c>
      <c r="D585" s="65">
        <v>4</v>
      </c>
      <c r="E585" s="36" t="s">
        <v>223</v>
      </c>
      <c r="F585" s="36" t="s">
        <v>224</v>
      </c>
      <c r="G585" s="36" t="s">
        <v>225</v>
      </c>
      <c r="H585" s="36" t="s">
        <v>226</v>
      </c>
      <c r="I585" s="36" t="s">
        <v>239</v>
      </c>
      <c r="J585" s="36" t="s">
        <v>240</v>
      </c>
      <c r="K585" s="3"/>
      <c r="L585" s="36">
        <v>70</v>
      </c>
      <c r="M585" s="3" t="s">
        <v>229</v>
      </c>
      <c r="N585" s="36" t="s">
        <v>240</v>
      </c>
      <c r="O585" s="3">
        <v>223</v>
      </c>
      <c r="P585" s="3">
        <f t="shared" si="30"/>
        <v>31.390134529147986</v>
      </c>
      <c r="Q585" s="36">
        <v>4906.2857142857138</v>
      </c>
      <c r="R585" s="8">
        <f t="shared" si="31"/>
        <v>1540.0896860986547</v>
      </c>
      <c r="S585" s="36">
        <v>4908.2078907809455</v>
      </c>
      <c r="T585" s="40">
        <f t="shared" si="32"/>
        <v>31.377841370399061</v>
      </c>
      <c r="U585" s="110"/>
      <c r="V585" s="51">
        <v>250</v>
      </c>
      <c r="W585" s="51"/>
      <c r="X585" s="51"/>
      <c r="Y585" s="159"/>
      <c r="Z585" s="36"/>
      <c r="AA585" s="36"/>
      <c r="AB585" s="36"/>
      <c r="AC585" s="36"/>
      <c r="AD585" s="36"/>
      <c r="AE585" s="36"/>
    </row>
    <row r="586" spans="1:31" s="38" customFormat="1" ht="20.25" customHeight="1">
      <c r="A586" s="35">
        <v>42571</v>
      </c>
      <c r="B586" s="72" t="s">
        <v>154</v>
      </c>
      <c r="C586" s="165">
        <v>2016</v>
      </c>
      <c r="D586" s="36">
        <v>4</v>
      </c>
      <c r="E586" s="65" t="s">
        <v>223</v>
      </c>
      <c r="F586" s="65" t="s">
        <v>267</v>
      </c>
      <c r="G586" s="65"/>
      <c r="H586" s="65" t="s">
        <v>273</v>
      </c>
      <c r="I586" s="65"/>
      <c r="J586" s="36" t="s">
        <v>537</v>
      </c>
      <c r="K586" s="36" t="s">
        <v>538</v>
      </c>
      <c r="L586" s="36">
        <v>2</v>
      </c>
      <c r="M586" s="36" t="s">
        <v>247</v>
      </c>
      <c r="N586" s="36" t="s">
        <v>539</v>
      </c>
      <c r="O586" s="36">
        <v>13</v>
      </c>
      <c r="P586" s="36">
        <f t="shared" si="30"/>
        <v>15.384615384615385</v>
      </c>
      <c r="Q586" s="36">
        <v>1.9221764952315239</v>
      </c>
      <c r="R586" s="40">
        <f t="shared" si="31"/>
        <v>0.29571946080484984</v>
      </c>
      <c r="S586" s="36">
        <v>4908.2078907809455</v>
      </c>
      <c r="T586" s="40">
        <f t="shared" si="32"/>
        <v>6.024998683537789E-3</v>
      </c>
      <c r="U586" s="110"/>
      <c r="V586" s="36">
        <v>1000</v>
      </c>
      <c r="W586" s="36"/>
      <c r="X586" s="36"/>
      <c r="Y586" s="88"/>
      <c r="Z586" s="36"/>
      <c r="AA586" s="36"/>
      <c r="AB586" s="36"/>
      <c r="AC586" s="36"/>
      <c r="AD586" s="36"/>
      <c r="AE586" s="36"/>
    </row>
    <row r="587" spans="1:31" s="38" customFormat="1" ht="20.25" customHeight="1">
      <c r="A587" s="72">
        <v>42571</v>
      </c>
      <c r="B587" s="64" t="s">
        <v>154</v>
      </c>
      <c r="C587" s="165">
        <v>2016</v>
      </c>
      <c r="D587" s="65">
        <v>4</v>
      </c>
      <c r="E587" s="36" t="s">
        <v>223</v>
      </c>
      <c r="F587" s="36" t="s">
        <v>267</v>
      </c>
      <c r="G587" s="36" t="s">
        <v>278</v>
      </c>
      <c r="H587" s="36" t="s">
        <v>279</v>
      </c>
      <c r="I587" s="36" t="s">
        <v>280</v>
      </c>
      <c r="J587" s="36" t="s">
        <v>284</v>
      </c>
      <c r="K587" s="36" t="s">
        <v>285</v>
      </c>
      <c r="L587" s="36">
        <v>9</v>
      </c>
      <c r="M587" s="36" t="s">
        <v>247</v>
      </c>
      <c r="N587" s="36" t="s">
        <v>24</v>
      </c>
      <c r="O587" s="36">
        <v>13</v>
      </c>
      <c r="P587" s="36">
        <f t="shared" si="30"/>
        <v>69.230769230769226</v>
      </c>
      <c r="Q587" s="36">
        <v>1.9221764952315239</v>
      </c>
      <c r="R587" s="40">
        <f t="shared" si="31"/>
        <v>1.3307375736218241</v>
      </c>
      <c r="S587" s="65">
        <v>4908.2078907809455</v>
      </c>
      <c r="T587" s="40">
        <f t="shared" si="32"/>
        <v>2.7112494075920045E-2</v>
      </c>
      <c r="U587" s="110"/>
      <c r="V587" s="36">
        <v>1000</v>
      </c>
      <c r="W587" s="36"/>
      <c r="X587" s="36"/>
      <c r="Y587" s="88"/>
      <c r="Z587" s="36"/>
      <c r="AA587" s="36"/>
      <c r="AB587" s="36"/>
      <c r="AC587" s="36"/>
      <c r="AD587" s="36"/>
      <c r="AE587" s="36"/>
    </row>
    <row r="588" spans="1:31" s="38" customFormat="1" ht="20.25" customHeight="1">
      <c r="A588" s="72">
        <v>42571</v>
      </c>
      <c r="B588" s="72" t="s">
        <v>154</v>
      </c>
      <c r="C588" s="165">
        <v>2016</v>
      </c>
      <c r="D588" s="65">
        <v>4</v>
      </c>
      <c r="E588" s="51" t="s">
        <v>223</v>
      </c>
      <c r="F588" s="51" t="s">
        <v>224</v>
      </c>
      <c r="G588" s="51" t="s">
        <v>225</v>
      </c>
      <c r="H588" s="51" t="s">
        <v>248</v>
      </c>
      <c r="I588" s="51" t="s">
        <v>249</v>
      </c>
      <c r="J588" s="51" t="s">
        <v>250</v>
      </c>
      <c r="K588" s="3"/>
      <c r="L588" s="36">
        <v>1</v>
      </c>
      <c r="M588" s="3" t="s">
        <v>229</v>
      </c>
      <c r="N588" s="36" t="s">
        <v>250</v>
      </c>
      <c r="O588" s="3">
        <v>223</v>
      </c>
      <c r="P588" s="3">
        <f t="shared" si="30"/>
        <v>0.44843049327354262</v>
      </c>
      <c r="Q588" s="36">
        <v>4906.2857142857138</v>
      </c>
      <c r="R588" s="8">
        <f t="shared" si="31"/>
        <v>22.00128122998078</v>
      </c>
      <c r="S588" s="36">
        <v>4908.2078907809455</v>
      </c>
      <c r="T588" s="40">
        <f t="shared" si="32"/>
        <v>0.44825487671998654</v>
      </c>
      <c r="U588" s="110"/>
      <c r="V588" s="65">
        <v>250</v>
      </c>
      <c r="W588" s="51"/>
      <c r="X588" s="51"/>
      <c r="Y588" s="159"/>
      <c r="Z588" s="36"/>
      <c r="AA588" s="36"/>
      <c r="AB588" s="36"/>
      <c r="AC588" s="36"/>
      <c r="AD588" s="36"/>
      <c r="AE588" s="36"/>
    </row>
    <row r="589" spans="1:31" s="38" customFormat="1" ht="20.25" customHeight="1">
      <c r="A589" s="72">
        <v>42571</v>
      </c>
      <c r="B589" s="64" t="s">
        <v>154</v>
      </c>
      <c r="C589" s="165">
        <v>2016</v>
      </c>
      <c r="D589" s="65">
        <v>4</v>
      </c>
      <c r="E589" s="3" t="s">
        <v>216</v>
      </c>
      <c r="F589" s="3" t="s">
        <v>217</v>
      </c>
      <c r="G589" s="3"/>
      <c r="H589" s="3"/>
      <c r="I589" s="51"/>
      <c r="J589" s="51" t="s">
        <v>219</v>
      </c>
      <c r="K589" s="3"/>
      <c r="L589" s="36">
        <v>1</v>
      </c>
      <c r="M589" s="36" t="s">
        <v>229</v>
      </c>
      <c r="N589" s="36" t="s">
        <v>219</v>
      </c>
      <c r="O589" s="3">
        <v>223</v>
      </c>
      <c r="P589" s="3">
        <f t="shared" si="30"/>
        <v>0.44843049327354262</v>
      </c>
      <c r="Q589" s="36">
        <v>4906.2857142857138</v>
      </c>
      <c r="R589" s="8">
        <f t="shared" si="31"/>
        <v>22.00128122998078</v>
      </c>
      <c r="S589" s="36">
        <v>4908.2078907809455</v>
      </c>
      <c r="T589" s="40">
        <f t="shared" si="32"/>
        <v>0.44825487671998654</v>
      </c>
      <c r="U589" s="110"/>
      <c r="V589" s="65">
        <v>250</v>
      </c>
      <c r="W589" s="51"/>
      <c r="X589" s="51"/>
      <c r="Y589" s="159"/>
      <c r="Z589" s="36"/>
      <c r="AA589" s="36"/>
      <c r="AB589" s="36"/>
      <c r="AC589" s="36"/>
      <c r="AD589" s="36"/>
      <c r="AE589" s="36"/>
    </row>
    <row r="590" spans="1:31" s="38" customFormat="1" ht="20.25" customHeight="1">
      <c r="A590" s="72">
        <v>42571</v>
      </c>
      <c r="B590" s="72" t="s">
        <v>154</v>
      </c>
      <c r="C590" s="165">
        <v>2016</v>
      </c>
      <c r="D590" s="65">
        <v>4</v>
      </c>
      <c r="E590" s="65" t="s">
        <v>223</v>
      </c>
      <c r="F590" s="65" t="s">
        <v>224</v>
      </c>
      <c r="G590" s="65" t="s">
        <v>225</v>
      </c>
      <c r="H590" s="65" t="s">
        <v>226</v>
      </c>
      <c r="I590" s="65" t="s">
        <v>253</v>
      </c>
      <c r="J590" s="65" t="s">
        <v>256</v>
      </c>
      <c r="K590" s="3"/>
      <c r="L590" s="36">
        <v>14</v>
      </c>
      <c r="M590" s="3" t="s">
        <v>229</v>
      </c>
      <c r="N590" s="36" t="s">
        <v>256</v>
      </c>
      <c r="O590" s="3">
        <v>223</v>
      </c>
      <c r="P590" s="3">
        <f t="shared" si="30"/>
        <v>6.2780269058295968</v>
      </c>
      <c r="Q590" s="36">
        <v>4906.2857142857138</v>
      </c>
      <c r="R590" s="8">
        <f t="shared" si="31"/>
        <v>308.01793721973092</v>
      </c>
      <c r="S590" s="36">
        <v>4908.2078907809455</v>
      </c>
      <c r="T590" s="40">
        <f t="shared" si="32"/>
        <v>6.2755682740798129</v>
      </c>
      <c r="U590" s="110"/>
      <c r="V590" s="51">
        <v>250</v>
      </c>
      <c r="W590" s="51"/>
      <c r="X590" s="51"/>
      <c r="Y590" s="159"/>
      <c r="Z590" s="36"/>
      <c r="AA590" s="36"/>
      <c r="AB590" s="36"/>
      <c r="AC590" s="36"/>
      <c r="AD590" s="36"/>
      <c r="AE590" s="36"/>
    </row>
    <row r="591" spans="1:31" s="38" customFormat="1" ht="20.25" customHeight="1">
      <c r="A591" s="35">
        <v>42571</v>
      </c>
      <c r="B591" s="64" t="s">
        <v>154</v>
      </c>
      <c r="C591" s="165">
        <v>2016</v>
      </c>
      <c r="D591" s="65">
        <v>4</v>
      </c>
      <c r="E591" s="65" t="s">
        <v>223</v>
      </c>
      <c r="F591" s="65" t="s">
        <v>224</v>
      </c>
      <c r="G591" s="65" t="s">
        <v>225</v>
      </c>
      <c r="H591" s="65" t="s">
        <v>226</v>
      </c>
      <c r="I591" s="65" t="s">
        <v>261</v>
      </c>
      <c r="J591" s="36" t="s">
        <v>262</v>
      </c>
      <c r="K591" s="3"/>
      <c r="L591" s="36">
        <v>3</v>
      </c>
      <c r="M591" s="3" t="s">
        <v>229</v>
      </c>
      <c r="N591" s="36" t="s">
        <v>264</v>
      </c>
      <c r="O591" s="3">
        <v>223</v>
      </c>
      <c r="P591" s="3">
        <f t="shared" si="30"/>
        <v>1.3452914798206279</v>
      </c>
      <c r="Q591" s="36">
        <v>4906.2857142857138</v>
      </c>
      <c r="R591" s="8">
        <f t="shared" si="31"/>
        <v>66.003843689942343</v>
      </c>
      <c r="S591" s="36">
        <v>4908.2078907809455</v>
      </c>
      <c r="T591" s="40">
        <f t="shared" si="32"/>
        <v>1.3447646301599598</v>
      </c>
      <c r="U591" s="110"/>
      <c r="V591" s="65">
        <v>250</v>
      </c>
      <c r="W591" s="51"/>
      <c r="X591" s="51"/>
      <c r="Y591" s="51"/>
      <c r="Z591" s="36"/>
      <c r="AA591" s="36"/>
      <c r="AB591" s="36"/>
      <c r="AC591" s="36"/>
      <c r="AD591" s="36"/>
      <c r="AE591" s="36"/>
    </row>
    <row r="592" spans="1:31" s="38" customFormat="1" ht="20.25" customHeight="1">
      <c r="A592" s="35">
        <v>42571</v>
      </c>
      <c r="B592" s="72" t="s">
        <v>154</v>
      </c>
      <c r="C592" s="165">
        <v>2016</v>
      </c>
      <c r="D592" s="65">
        <v>2</v>
      </c>
      <c r="E592" s="36" t="s">
        <v>223</v>
      </c>
      <c r="F592" s="36" t="s">
        <v>224</v>
      </c>
      <c r="G592" s="36" t="s">
        <v>225</v>
      </c>
      <c r="H592" s="36" t="s">
        <v>226</v>
      </c>
      <c r="I592" s="36" t="s">
        <v>227</v>
      </c>
      <c r="J592" s="36" t="s">
        <v>228</v>
      </c>
      <c r="K592" s="36"/>
      <c r="L592" s="36">
        <v>132</v>
      </c>
      <c r="M592" s="3" t="s">
        <v>229</v>
      </c>
      <c r="N592" s="36" t="s">
        <v>228</v>
      </c>
      <c r="O592" s="36">
        <v>179</v>
      </c>
      <c r="P592" s="36">
        <f t="shared" si="30"/>
        <v>73.743016759776538</v>
      </c>
      <c r="Q592" s="36">
        <v>7505.9613319011814</v>
      </c>
      <c r="R592" s="40">
        <f t="shared" si="31"/>
        <v>5535.1223229662346</v>
      </c>
      <c r="S592" s="36">
        <v>7506.7006305531932</v>
      </c>
      <c r="T592" s="40">
        <f t="shared" si="32"/>
        <v>73.735754166585608</v>
      </c>
      <c r="U592" s="110"/>
      <c r="V592" s="3">
        <v>250</v>
      </c>
      <c r="W592" s="36"/>
      <c r="X592" s="36"/>
      <c r="Y592" s="41"/>
      <c r="Z592" s="36"/>
      <c r="AA592" s="36"/>
      <c r="AB592" s="36"/>
      <c r="AC592" s="36"/>
      <c r="AD592" s="36"/>
      <c r="AE592" s="36"/>
    </row>
    <row r="593" spans="1:31" s="38" customFormat="1" ht="20.25" customHeight="1">
      <c r="A593" s="35">
        <v>42571</v>
      </c>
      <c r="B593" s="64" t="s">
        <v>154</v>
      </c>
      <c r="C593" s="165">
        <v>2016</v>
      </c>
      <c r="D593" s="65">
        <v>2</v>
      </c>
      <c r="E593" s="36" t="s">
        <v>223</v>
      </c>
      <c r="F593" s="36" t="s">
        <v>310</v>
      </c>
      <c r="G593" s="36" t="s">
        <v>314</v>
      </c>
      <c r="H593" s="36" t="s">
        <v>311</v>
      </c>
      <c r="I593" s="36" t="s">
        <v>315</v>
      </c>
      <c r="J593" s="36" t="s">
        <v>316</v>
      </c>
      <c r="K593" s="36"/>
      <c r="L593" s="36">
        <v>2</v>
      </c>
      <c r="M593" s="36" t="s">
        <v>229</v>
      </c>
      <c r="N593" s="36" t="s">
        <v>345</v>
      </c>
      <c r="O593" s="36">
        <v>179</v>
      </c>
      <c r="P593" s="3">
        <f t="shared" si="30"/>
        <v>1.1173184357541899</v>
      </c>
      <c r="Q593" s="36">
        <v>7505.9613319011814</v>
      </c>
      <c r="R593" s="8">
        <f t="shared" si="31"/>
        <v>83.865489741912626</v>
      </c>
      <c r="S593" s="36">
        <v>7506.7006305531932</v>
      </c>
      <c r="T593" s="40">
        <f t="shared" si="32"/>
        <v>1.1172083964634181</v>
      </c>
      <c r="U593" s="110"/>
      <c r="V593" s="3">
        <v>250</v>
      </c>
      <c r="W593" s="3"/>
      <c r="X593" s="3"/>
      <c r="Y593" s="41"/>
      <c r="Z593" s="36"/>
      <c r="AA593" s="36"/>
      <c r="AB593" s="36"/>
      <c r="AC593" s="36"/>
      <c r="AD593" s="36"/>
      <c r="AE593" s="36"/>
    </row>
    <row r="594" spans="1:31" s="38" customFormat="1" ht="20.25" customHeight="1">
      <c r="A594" s="35">
        <v>42571</v>
      </c>
      <c r="B594" s="72" t="s">
        <v>154</v>
      </c>
      <c r="C594" s="165">
        <v>2016</v>
      </c>
      <c r="D594" s="65">
        <v>2</v>
      </c>
      <c r="E594" s="36" t="s">
        <v>223</v>
      </c>
      <c r="F594" s="36" t="s">
        <v>267</v>
      </c>
      <c r="G594" s="36"/>
      <c r="H594" s="36" t="s">
        <v>273</v>
      </c>
      <c r="I594" s="36"/>
      <c r="J594" s="36"/>
      <c r="K594" s="36"/>
      <c r="L594" s="36">
        <v>2</v>
      </c>
      <c r="M594" s="36" t="s">
        <v>508</v>
      </c>
      <c r="N594" s="36" t="s">
        <v>335</v>
      </c>
      <c r="O594" s="36">
        <v>5</v>
      </c>
      <c r="P594" s="36">
        <f t="shared" si="30"/>
        <v>40</v>
      </c>
      <c r="Q594" s="36">
        <v>0.73929865201212464</v>
      </c>
      <c r="R594" s="8">
        <f t="shared" si="31"/>
        <v>0.29571946080484984</v>
      </c>
      <c r="S594" s="36">
        <v>7506.7006305531932</v>
      </c>
      <c r="T594" s="8">
        <f t="shared" si="32"/>
        <v>3.9394066096260097E-3</v>
      </c>
      <c r="U594" s="110">
        <f>SUM(T594+T595)</f>
        <v>24.023919930573118</v>
      </c>
      <c r="V594" s="36">
        <v>1000</v>
      </c>
      <c r="W594" s="36" t="s">
        <v>564</v>
      </c>
      <c r="X594" s="36"/>
      <c r="Y594" s="41"/>
      <c r="Z594" s="36"/>
      <c r="AA594" s="36"/>
      <c r="AB594" s="36"/>
      <c r="AC594" s="36"/>
      <c r="AD594" s="36"/>
      <c r="AE594" s="36"/>
    </row>
    <row r="595" spans="1:31" s="38" customFormat="1" ht="20.25" customHeight="1">
      <c r="A595" s="72">
        <v>42571</v>
      </c>
      <c r="B595" s="64" t="s">
        <v>154</v>
      </c>
      <c r="C595" s="165">
        <v>2016</v>
      </c>
      <c r="D595" s="65">
        <v>2</v>
      </c>
      <c r="E595" s="36" t="s">
        <v>223</v>
      </c>
      <c r="F595" s="36" t="s">
        <v>224</v>
      </c>
      <c r="G595" s="36" t="s">
        <v>225</v>
      </c>
      <c r="H595" s="36" t="s">
        <v>226</v>
      </c>
      <c r="I595" s="36" t="s">
        <v>239</v>
      </c>
      <c r="J595" s="36" t="s">
        <v>240</v>
      </c>
      <c r="K595" s="36"/>
      <c r="L595" s="36">
        <v>43</v>
      </c>
      <c r="M595" s="3" t="s">
        <v>229</v>
      </c>
      <c r="N595" s="36" t="s">
        <v>240</v>
      </c>
      <c r="O595" s="36">
        <v>179</v>
      </c>
      <c r="P595" s="3">
        <f t="shared" si="30"/>
        <v>24.022346368715084</v>
      </c>
      <c r="Q595" s="36">
        <v>7505.9613319011814</v>
      </c>
      <c r="R595" s="8">
        <f t="shared" si="31"/>
        <v>1803.1080294511219</v>
      </c>
      <c r="S595" s="36">
        <v>7506.7006305531932</v>
      </c>
      <c r="T595" s="40">
        <f t="shared" si="32"/>
        <v>24.019980523963493</v>
      </c>
      <c r="U595" s="110"/>
      <c r="V595" s="36">
        <v>250</v>
      </c>
      <c r="W595" s="3"/>
      <c r="X595" s="3"/>
      <c r="Y595" s="41"/>
      <c r="Z595" s="36"/>
      <c r="AA595" s="36"/>
      <c r="AB595" s="36"/>
      <c r="AC595" s="36"/>
      <c r="AD595" s="36"/>
      <c r="AE595" s="36"/>
    </row>
    <row r="596" spans="1:31" s="38" customFormat="1" ht="20" customHeight="1">
      <c r="A596" s="72">
        <v>42571</v>
      </c>
      <c r="B596" s="72" t="s">
        <v>154</v>
      </c>
      <c r="C596" s="165">
        <v>2016</v>
      </c>
      <c r="D596" s="65">
        <v>2</v>
      </c>
      <c r="E596" s="36" t="s">
        <v>323</v>
      </c>
      <c r="F596" s="36" t="s">
        <v>324</v>
      </c>
      <c r="G596" s="36"/>
      <c r="H596" s="36" t="s">
        <v>325</v>
      </c>
      <c r="I596" s="36" t="s">
        <v>326</v>
      </c>
      <c r="J596" s="36" t="s">
        <v>327</v>
      </c>
      <c r="K596" s="36"/>
      <c r="L596" s="36">
        <v>2</v>
      </c>
      <c r="M596" s="36" t="s">
        <v>229</v>
      </c>
      <c r="N596" s="36" t="s">
        <v>327</v>
      </c>
      <c r="O596" s="36">
        <v>5</v>
      </c>
      <c r="P596" s="36">
        <f t="shared" si="30"/>
        <v>40</v>
      </c>
      <c r="Q596" s="36">
        <v>0.73929865201212464</v>
      </c>
      <c r="R596" s="40">
        <f t="shared" si="31"/>
        <v>0.29571946080484984</v>
      </c>
      <c r="S596" s="36">
        <v>7506.7006305531932</v>
      </c>
      <c r="T596" s="40">
        <f t="shared" si="32"/>
        <v>3.9394066096260097E-3</v>
      </c>
      <c r="U596" s="110"/>
      <c r="V596" s="36">
        <v>1000</v>
      </c>
      <c r="W596" s="36"/>
      <c r="X596" s="36"/>
      <c r="Y596" s="41"/>
      <c r="Z596" s="36"/>
      <c r="AA596" s="36"/>
      <c r="AB596" s="36"/>
      <c r="AC596" s="36"/>
      <c r="AD596" s="36"/>
      <c r="AE596" s="36"/>
    </row>
    <row r="597" spans="1:31" s="38" customFormat="1" ht="20" customHeight="1">
      <c r="A597" s="35">
        <v>42571</v>
      </c>
      <c r="B597" s="64" t="s">
        <v>154</v>
      </c>
      <c r="C597" s="165">
        <v>2016</v>
      </c>
      <c r="D597" s="65">
        <v>2</v>
      </c>
      <c r="E597" s="36" t="s">
        <v>323</v>
      </c>
      <c r="F597" s="36" t="s">
        <v>324</v>
      </c>
      <c r="G597" s="36"/>
      <c r="H597" s="36" t="s">
        <v>560</v>
      </c>
      <c r="I597" s="36" t="s">
        <v>561</v>
      </c>
      <c r="J597" s="36" t="s">
        <v>562</v>
      </c>
      <c r="K597" s="36"/>
      <c r="L597" s="36">
        <v>1</v>
      </c>
      <c r="M597" s="36" t="s">
        <v>229</v>
      </c>
      <c r="N597" s="36" t="s">
        <v>563</v>
      </c>
      <c r="O597" s="36">
        <v>5</v>
      </c>
      <c r="P597" s="36">
        <f t="shared" si="30"/>
        <v>20</v>
      </c>
      <c r="Q597" s="36">
        <v>0.73929865201212464</v>
      </c>
      <c r="R597" s="40">
        <f t="shared" si="31"/>
        <v>0.14785973040242492</v>
      </c>
      <c r="S597" s="36">
        <v>7506.7006305531932</v>
      </c>
      <c r="T597" s="40">
        <f t="shared" si="32"/>
        <v>1.9697033048130049E-3</v>
      </c>
      <c r="U597" s="110"/>
      <c r="V597" s="36">
        <v>1000</v>
      </c>
      <c r="W597" s="36"/>
      <c r="X597" s="36"/>
      <c r="Y597" s="41"/>
      <c r="Z597" s="36"/>
      <c r="AA597" s="36"/>
      <c r="AB597" s="36"/>
      <c r="AC597" s="36"/>
      <c r="AD597" s="36"/>
      <c r="AE597" s="36"/>
    </row>
    <row r="598" spans="1:31" s="38" customFormat="1" ht="20" customHeight="1">
      <c r="A598" s="35">
        <v>42571</v>
      </c>
      <c r="B598" s="35" t="s">
        <v>154</v>
      </c>
      <c r="C598" s="165">
        <v>2016</v>
      </c>
      <c r="D598" s="65">
        <v>2</v>
      </c>
      <c r="E598" s="36" t="s">
        <v>223</v>
      </c>
      <c r="F598" s="36" t="s">
        <v>224</v>
      </c>
      <c r="G598" s="36" t="s">
        <v>225</v>
      </c>
      <c r="H598" s="36" t="s">
        <v>226</v>
      </c>
      <c r="I598" s="36" t="s">
        <v>253</v>
      </c>
      <c r="J598" s="36" t="s">
        <v>256</v>
      </c>
      <c r="K598" s="36"/>
      <c r="L598" s="36">
        <v>1</v>
      </c>
      <c r="M598" s="3" t="s">
        <v>229</v>
      </c>
      <c r="N598" s="36" t="s">
        <v>256</v>
      </c>
      <c r="O598" s="36">
        <v>179</v>
      </c>
      <c r="P598" s="3">
        <f t="shared" si="30"/>
        <v>0.55865921787709494</v>
      </c>
      <c r="Q598" s="36">
        <v>7505.9613319011814</v>
      </c>
      <c r="R598" s="8">
        <f t="shared" si="31"/>
        <v>41.932744870956313</v>
      </c>
      <c r="S598" s="36">
        <v>7506.7006305531932</v>
      </c>
      <c r="T598" s="40">
        <f t="shared" si="32"/>
        <v>0.55860419823170904</v>
      </c>
      <c r="U598" s="110"/>
      <c r="V598" s="36">
        <v>250</v>
      </c>
      <c r="W598" s="3"/>
      <c r="X598" s="3"/>
      <c r="Y598" s="41"/>
      <c r="Z598" s="36"/>
      <c r="AA598" s="36"/>
      <c r="AB598" s="36"/>
      <c r="AC598" s="36"/>
      <c r="AD598" s="36"/>
      <c r="AE598" s="36"/>
    </row>
    <row r="599" spans="1:31" s="38" customFormat="1" ht="20.25" customHeight="1">
      <c r="A599" s="35">
        <v>42571</v>
      </c>
      <c r="B599" s="64" t="s">
        <v>154</v>
      </c>
      <c r="C599" s="165">
        <v>2016</v>
      </c>
      <c r="D599" s="65">
        <v>2</v>
      </c>
      <c r="E599" s="65" t="s">
        <v>223</v>
      </c>
      <c r="F599" s="65" t="s">
        <v>224</v>
      </c>
      <c r="G599" s="65" t="s">
        <v>225</v>
      </c>
      <c r="H599" s="65" t="s">
        <v>226</v>
      </c>
      <c r="I599" s="65" t="s">
        <v>261</v>
      </c>
      <c r="J599" s="36" t="s">
        <v>262</v>
      </c>
      <c r="K599" s="36"/>
      <c r="L599" s="36">
        <v>1</v>
      </c>
      <c r="M599" s="3" t="s">
        <v>229</v>
      </c>
      <c r="N599" s="36" t="s">
        <v>264</v>
      </c>
      <c r="O599" s="36">
        <v>179</v>
      </c>
      <c r="P599" s="3">
        <f t="shared" si="30"/>
        <v>0.55865921787709494</v>
      </c>
      <c r="Q599" s="36">
        <v>7505.9613319011814</v>
      </c>
      <c r="R599" s="8">
        <f t="shared" si="31"/>
        <v>41.932744870956313</v>
      </c>
      <c r="S599" s="36">
        <v>7506.7006305531932</v>
      </c>
      <c r="T599" s="40">
        <f t="shared" si="32"/>
        <v>0.55860419823170904</v>
      </c>
      <c r="U599" s="110"/>
      <c r="V599" s="3">
        <v>250</v>
      </c>
      <c r="W599" s="3"/>
      <c r="X599" s="3"/>
      <c r="Y599" s="88"/>
      <c r="Z599" s="36"/>
      <c r="AA599" s="36"/>
      <c r="AB599" s="36"/>
      <c r="AC599" s="36"/>
      <c r="AD599" s="36"/>
      <c r="AE599" s="36"/>
    </row>
    <row r="600" spans="1:31" s="38" customFormat="1" ht="20.25" customHeight="1">
      <c r="A600" s="35">
        <v>42634</v>
      </c>
      <c r="B600" s="35" t="s">
        <v>157</v>
      </c>
      <c r="C600" s="165">
        <v>2016</v>
      </c>
      <c r="D600" s="65">
        <v>8</v>
      </c>
      <c r="E600" s="36" t="s">
        <v>223</v>
      </c>
      <c r="F600" s="36" t="s">
        <v>224</v>
      </c>
      <c r="G600" s="36" t="s">
        <v>225</v>
      </c>
      <c r="H600" s="36" t="s">
        <v>226</v>
      </c>
      <c r="I600" s="36" t="s">
        <v>227</v>
      </c>
      <c r="J600" s="36" t="s">
        <v>228</v>
      </c>
      <c r="K600" s="36"/>
      <c r="L600" s="36">
        <v>201</v>
      </c>
      <c r="M600" s="3" t="s">
        <v>229</v>
      </c>
      <c r="N600" s="36" t="s">
        <v>228</v>
      </c>
      <c r="O600" s="36">
        <v>294</v>
      </c>
      <c r="P600" s="3">
        <f t="shared" si="30"/>
        <v>68.367346938775512</v>
      </c>
      <c r="Q600" s="36">
        <v>4211.988460305507</v>
      </c>
      <c r="R600" s="8">
        <f t="shared" si="31"/>
        <v>2879.6247636782546</v>
      </c>
      <c r="S600" s="36">
        <v>4503.0821705168528</v>
      </c>
      <c r="T600" s="40">
        <f t="shared" si="32"/>
        <v>63.947861811896232</v>
      </c>
      <c r="U600" s="110"/>
      <c r="V600" s="3">
        <v>250</v>
      </c>
      <c r="W600" s="55"/>
      <c r="X600" s="55"/>
      <c r="Y600" s="3"/>
      <c r="Z600" s="36"/>
      <c r="AA600" s="36"/>
      <c r="AB600" s="36"/>
      <c r="AC600" s="36"/>
      <c r="AD600" s="36"/>
      <c r="AE600" s="36"/>
    </row>
    <row r="601" spans="1:31" s="38" customFormat="1" ht="20.25" customHeight="1">
      <c r="A601" s="35">
        <v>42634</v>
      </c>
      <c r="B601" s="35" t="s">
        <v>157</v>
      </c>
      <c r="C601" s="165">
        <v>2016</v>
      </c>
      <c r="D601" s="65">
        <v>8</v>
      </c>
      <c r="E601" s="36" t="s">
        <v>209</v>
      </c>
      <c r="F601" s="36" t="s">
        <v>210</v>
      </c>
      <c r="G601" s="36"/>
      <c r="H601" s="36" t="s">
        <v>211</v>
      </c>
      <c r="I601" s="36" t="s">
        <v>212</v>
      </c>
      <c r="J601" s="36" t="s">
        <v>213</v>
      </c>
      <c r="K601" s="36" t="s">
        <v>214</v>
      </c>
      <c r="L601" s="36">
        <v>1</v>
      </c>
      <c r="M601" s="36" t="s">
        <v>247</v>
      </c>
      <c r="N601" s="36" t="s">
        <v>215</v>
      </c>
      <c r="O601" s="36">
        <v>3658</v>
      </c>
      <c r="P601" s="36">
        <f t="shared" si="30"/>
        <v>2.7337342810278838E-2</v>
      </c>
      <c r="Q601" s="36">
        <v>291.09371021134621</v>
      </c>
      <c r="R601" s="40">
        <f t="shared" si="31"/>
        <v>7.9577285459635369E-2</v>
      </c>
      <c r="S601" s="36">
        <v>4503.0821705168528</v>
      </c>
      <c r="T601" s="40">
        <f t="shared" si="32"/>
        <v>1.7671737367053572E-3</v>
      </c>
      <c r="U601" s="110">
        <f>SUM(T602+T603+T605+T606+T617)</f>
        <v>88.510189103706566</v>
      </c>
      <c r="V601" s="36">
        <v>1000</v>
      </c>
      <c r="W601" s="36"/>
      <c r="X601" s="36"/>
      <c r="Y601" s="3"/>
      <c r="Z601" s="36"/>
      <c r="AA601" s="36"/>
      <c r="AB601" s="36"/>
      <c r="AC601" s="36"/>
      <c r="AD601" s="36"/>
      <c r="AE601" s="36"/>
    </row>
    <row r="602" spans="1:31" s="38" customFormat="1" ht="20.25" customHeight="1">
      <c r="A602" s="72">
        <v>42634</v>
      </c>
      <c r="B602" s="72" t="s">
        <v>157</v>
      </c>
      <c r="C602" s="165">
        <v>2016</v>
      </c>
      <c r="D602" s="65">
        <v>8</v>
      </c>
      <c r="E602" s="36" t="s">
        <v>223</v>
      </c>
      <c r="F602" s="36" t="s">
        <v>303</v>
      </c>
      <c r="G602" s="36" t="s">
        <v>304</v>
      </c>
      <c r="H602" s="36" t="s">
        <v>305</v>
      </c>
      <c r="I602" s="36" t="s">
        <v>306</v>
      </c>
      <c r="J602" s="36" t="s">
        <v>307</v>
      </c>
      <c r="K602" s="36"/>
      <c r="L602" s="36">
        <v>1</v>
      </c>
      <c r="M602" s="3" t="s">
        <v>229</v>
      </c>
      <c r="N602" s="3" t="s">
        <v>307</v>
      </c>
      <c r="O602" s="36">
        <v>294</v>
      </c>
      <c r="P602" s="36">
        <f t="shared" si="30"/>
        <v>0.3401360544217687</v>
      </c>
      <c r="Q602" s="36">
        <v>4211.988460305507</v>
      </c>
      <c r="R602" s="8">
        <f t="shared" si="31"/>
        <v>14.326491361583356</v>
      </c>
      <c r="S602" s="36">
        <v>4503.0821705168528</v>
      </c>
      <c r="T602" s="40">
        <f t="shared" si="32"/>
        <v>0.31814856622833948</v>
      </c>
      <c r="U602" s="110"/>
      <c r="V602" s="36">
        <v>250</v>
      </c>
      <c r="W602" s="36" t="s">
        <v>308</v>
      </c>
      <c r="X602" s="36"/>
      <c r="Y602" s="3"/>
      <c r="Z602" s="36"/>
      <c r="AA602" s="36"/>
      <c r="AB602" s="36"/>
      <c r="AC602" s="36"/>
      <c r="AD602" s="36"/>
      <c r="AE602" s="36"/>
    </row>
    <row r="603" spans="1:31" s="38" customFormat="1" ht="20.25" customHeight="1">
      <c r="A603" s="35">
        <v>42634</v>
      </c>
      <c r="B603" s="72" t="s">
        <v>157</v>
      </c>
      <c r="C603" s="165">
        <v>2016</v>
      </c>
      <c r="D603" s="65">
        <v>8</v>
      </c>
      <c r="E603" s="65" t="s">
        <v>300</v>
      </c>
      <c r="F603" s="65" t="s">
        <v>320</v>
      </c>
      <c r="G603" s="65"/>
      <c r="H603" s="65"/>
      <c r="I603" s="65"/>
      <c r="J603" s="36"/>
      <c r="K603" s="36"/>
      <c r="L603" s="36">
        <v>3</v>
      </c>
      <c r="M603" s="36" t="s">
        <v>221</v>
      </c>
      <c r="N603" s="36" t="s">
        <v>322</v>
      </c>
      <c r="O603" s="36">
        <v>3658</v>
      </c>
      <c r="P603" s="36">
        <f t="shared" si="30"/>
        <v>8.201202843083652E-2</v>
      </c>
      <c r="Q603" s="36">
        <v>291.09371021134621</v>
      </c>
      <c r="R603" s="40">
        <f t="shared" si="31"/>
        <v>0.23873185637890612</v>
      </c>
      <c r="S603" s="36">
        <v>4503.0821705168528</v>
      </c>
      <c r="T603" s="40">
        <f t="shared" si="32"/>
        <v>5.3015212101160721E-3</v>
      </c>
      <c r="U603" s="110"/>
      <c r="V603" s="36">
        <v>1000</v>
      </c>
      <c r="W603" s="36"/>
      <c r="X603" s="36"/>
      <c r="Y603" s="3"/>
      <c r="Z603" s="36"/>
      <c r="AA603" s="36"/>
      <c r="AB603" s="36"/>
      <c r="AC603" s="36"/>
      <c r="AD603" s="36"/>
      <c r="AE603" s="36"/>
    </row>
    <row r="604" spans="1:31" s="38" customFormat="1" ht="20.25" customHeight="1">
      <c r="A604" s="72">
        <v>42634</v>
      </c>
      <c r="B604" s="35" t="s">
        <v>157</v>
      </c>
      <c r="C604" s="165">
        <v>2016</v>
      </c>
      <c r="D604" s="65">
        <v>8</v>
      </c>
      <c r="E604" s="36" t="s">
        <v>223</v>
      </c>
      <c r="F604" s="36" t="s">
        <v>224</v>
      </c>
      <c r="G604" s="36" t="s">
        <v>225</v>
      </c>
      <c r="H604" s="36" t="s">
        <v>226</v>
      </c>
      <c r="I604" s="65" t="s">
        <v>235</v>
      </c>
      <c r="J604" s="65" t="s">
        <v>236</v>
      </c>
      <c r="K604" s="36"/>
      <c r="L604" s="36">
        <v>22</v>
      </c>
      <c r="M604" s="3" t="s">
        <v>229</v>
      </c>
      <c r="N604" s="36" t="s">
        <v>236</v>
      </c>
      <c r="O604" s="36">
        <v>294</v>
      </c>
      <c r="P604" s="36">
        <f t="shared" si="30"/>
        <v>7.4829931972789119</v>
      </c>
      <c r="Q604" s="36">
        <v>4211.988460305507</v>
      </c>
      <c r="R604" s="8">
        <f t="shared" si="31"/>
        <v>315.18280995483389</v>
      </c>
      <c r="S604" s="36">
        <v>4503.0821705168528</v>
      </c>
      <c r="T604" s="40">
        <f t="shared" si="32"/>
        <v>6.9992684570234696</v>
      </c>
      <c r="U604" s="110"/>
      <c r="V604" s="65">
        <v>250</v>
      </c>
      <c r="W604" s="65"/>
      <c r="X604" s="65"/>
      <c r="Y604" s="51"/>
      <c r="Z604" s="36"/>
      <c r="AA604" s="36"/>
      <c r="AB604" s="36"/>
      <c r="AC604" s="36"/>
      <c r="AD604" s="36"/>
      <c r="AE604" s="36"/>
    </row>
    <row r="605" spans="1:31" s="38" customFormat="1" ht="20.25" customHeight="1">
      <c r="A605" s="64">
        <v>42634</v>
      </c>
      <c r="B605" s="72" t="s">
        <v>157</v>
      </c>
      <c r="C605" s="165">
        <v>2016</v>
      </c>
      <c r="D605" s="53">
        <v>8</v>
      </c>
      <c r="E605" s="36" t="s">
        <v>223</v>
      </c>
      <c r="F605" s="36" t="s">
        <v>267</v>
      </c>
      <c r="G605" s="36"/>
      <c r="H605" s="36" t="s">
        <v>273</v>
      </c>
      <c r="I605" s="36"/>
      <c r="J605" s="36"/>
      <c r="K605" s="36"/>
      <c r="L605" s="36">
        <v>2</v>
      </c>
      <c r="M605" s="36" t="s">
        <v>508</v>
      </c>
      <c r="N605" s="36" t="s">
        <v>494</v>
      </c>
      <c r="O605" s="36">
        <v>3658</v>
      </c>
      <c r="P605" s="36">
        <f t="shared" si="30"/>
        <v>5.4674685620557675E-2</v>
      </c>
      <c r="Q605" s="36">
        <v>291.09371021134621</v>
      </c>
      <c r="R605" s="40">
        <f t="shared" si="31"/>
        <v>0.15915457091927074</v>
      </c>
      <c r="S605" s="36">
        <v>4503.0821705168528</v>
      </c>
      <c r="T605" s="40">
        <f t="shared" si="32"/>
        <v>3.5343474734107145E-3</v>
      </c>
      <c r="U605" s="110"/>
      <c r="V605" s="36">
        <v>1000</v>
      </c>
      <c r="W605" s="36"/>
      <c r="X605" s="36"/>
      <c r="Y605" s="36"/>
      <c r="Z605" s="36"/>
      <c r="AA605" s="36"/>
      <c r="AB605" s="36"/>
      <c r="AC605" s="36"/>
      <c r="AD605" s="36"/>
      <c r="AE605" s="36"/>
    </row>
    <row r="606" spans="1:31" s="38" customFormat="1" ht="20.25" customHeight="1">
      <c r="A606" s="64">
        <v>42634</v>
      </c>
      <c r="B606" s="35" t="s">
        <v>157</v>
      </c>
      <c r="C606" s="165">
        <v>2016</v>
      </c>
      <c r="D606" s="53">
        <v>8</v>
      </c>
      <c r="E606" s="36" t="s">
        <v>223</v>
      </c>
      <c r="F606" s="36" t="s">
        <v>267</v>
      </c>
      <c r="G606" s="36"/>
      <c r="H606" s="36" t="s">
        <v>273</v>
      </c>
      <c r="I606" s="36" t="s">
        <v>274</v>
      </c>
      <c r="J606" s="36" t="s">
        <v>275</v>
      </c>
      <c r="K606" s="36" t="s">
        <v>276</v>
      </c>
      <c r="L606" s="36">
        <v>47</v>
      </c>
      <c r="M606" s="36" t="s">
        <v>247</v>
      </c>
      <c r="N606" s="36" t="s">
        <v>519</v>
      </c>
      <c r="O606" s="36">
        <v>3658</v>
      </c>
      <c r="P606" s="36">
        <f t="shared" si="30"/>
        <v>1.2848551120831055</v>
      </c>
      <c r="Q606" s="36">
        <v>291.09371021134621</v>
      </c>
      <c r="R606" s="40">
        <f t="shared" si="31"/>
        <v>3.7401324166028624</v>
      </c>
      <c r="S606" s="36">
        <v>4503.0821705168528</v>
      </c>
      <c r="T606" s="40">
        <f t="shared" si="32"/>
        <v>8.305716562515178E-2</v>
      </c>
      <c r="U606" s="110"/>
      <c r="V606" s="36">
        <v>1000</v>
      </c>
      <c r="W606" s="36"/>
      <c r="X606" s="36"/>
      <c r="Y606" s="36"/>
      <c r="Z606" s="36"/>
      <c r="AA606" s="36"/>
      <c r="AB606" s="36"/>
      <c r="AC606" s="36"/>
      <c r="AD606" s="36"/>
      <c r="AE606" s="36"/>
    </row>
    <row r="607" spans="1:31" s="38" customFormat="1" ht="20.25" customHeight="1">
      <c r="A607" s="72">
        <v>42634</v>
      </c>
      <c r="B607" s="72" t="s">
        <v>157</v>
      </c>
      <c r="C607" s="165">
        <v>2016</v>
      </c>
      <c r="D607" s="53">
        <v>8</v>
      </c>
      <c r="E607" s="65" t="s">
        <v>223</v>
      </c>
      <c r="F607" s="36" t="s">
        <v>267</v>
      </c>
      <c r="G607" s="36"/>
      <c r="H607" s="65" t="s">
        <v>273</v>
      </c>
      <c r="I607" s="65"/>
      <c r="J607" s="65"/>
      <c r="K607" s="65"/>
      <c r="L607" s="65">
        <v>1</v>
      </c>
      <c r="M607" s="65" t="s">
        <v>508</v>
      </c>
      <c r="N607" s="65" t="s">
        <v>335</v>
      </c>
      <c r="O607" s="36">
        <v>3658</v>
      </c>
      <c r="P607" s="36">
        <f t="shared" si="30"/>
        <v>2.7337342810278838E-2</v>
      </c>
      <c r="Q607" s="36">
        <v>291.09371021134621</v>
      </c>
      <c r="R607" s="40">
        <f t="shared" si="31"/>
        <v>7.9577285459635369E-2</v>
      </c>
      <c r="S607" s="36">
        <v>4503.0821705168528</v>
      </c>
      <c r="T607" s="40">
        <f t="shared" si="32"/>
        <v>1.7671737367053572E-3</v>
      </c>
      <c r="U607" s="110"/>
      <c r="V607" s="36">
        <v>1000</v>
      </c>
      <c r="W607" s="36"/>
      <c r="X607" s="36"/>
      <c r="Y607" s="36"/>
      <c r="Z607" s="36"/>
      <c r="AA607" s="36"/>
      <c r="AB607" s="36"/>
      <c r="AC607" s="36"/>
      <c r="AD607" s="36"/>
      <c r="AE607" s="36"/>
    </row>
    <row r="608" spans="1:31" s="38" customFormat="1" ht="20.25" customHeight="1">
      <c r="A608" s="35">
        <v>42634</v>
      </c>
      <c r="B608" s="35" t="s">
        <v>157</v>
      </c>
      <c r="C608" s="165">
        <v>2016</v>
      </c>
      <c r="D608" s="53">
        <v>8</v>
      </c>
      <c r="E608" s="65" t="s">
        <v>223</v>
      </c>
      <c r="F608" s="65" t="s">
        <v>224</v>
      </c>
      <c r="G608" s="65" t="s">
        <v>225</v>
      </c>
      <c r="H608" s="65" t="s">
        <v>226</v>
      </c>
      <c r="I608" s="65" t="s">
        <v>239</v>
      </c>
      <c r="J608" s="36" t="s">
        <v>240</v>
      </c>
      <c r="K608" s="36"/>
      <c r="L608" s="36">
        <v>27</v>
      </c>
      <c r="M608" s="3" t="s">
        <v>229</v>
      </c>
      <c r="N608" s="36" t="s">
        <v>240</v>
      </c>
      <c r="O608" s="36">
        <v>294</v>
      </c>
      <c r="P608" s="3">
        <f t="shared" si="30"/>
        <v>9.183673469387756</v>
      </c>
      <c r="Q608" s="36">
        <v>4211.988460305507</v>
      </c>
      <c r="R608" s="8">
        <f t="shared" si="31"/>
        <v>386.81526676275064</v>
      </c>
      <c r="S608" s="36">
        <v>4503.0821705168528</v>
      </c>
      <c r="T608" s="40">
        <f t="shared" si="32"/>
        <v>8.5900112881651669</v>
      </c>
      <c r="U608" s="110"/>
      <c r="V608" s="36">
        <v>250</v>
      </c>
      <c r="W608" s="55"/>
      <c r="X608" s="55"/>
      <c r="Y608" s="3"/>
      <c r="Z608" s="36"/>
      <c r="AA608" s="36"/>
      <c r="AB608" s="36"/>
      <c r="AC608" s="36"/>
      <c r="AD608" s="36"/>
      <c r="AE608" s="36"/>
    </row>
    <row r="609" spans="1:31" s="38" customFormat="1" ht="20.25" customHeight="1">
      <c r="A609" s="72">
        <v>42634</v>
      </c>
      <c r="B609" s="72" t="s">
        <v>157</v>
      </c>
      <c r="C609" s="165">
        <v>2016</v>
      </c>
      <c r="D609" s="53">
        <v>8</v>
      </c>
      <c r="E609" s="65" t="s">
        <v>288</v>
      </c>
      <c r="F609" s="65" t="s">
        <v>289</v>
      </c>
      <c r="G609" s="65"/>
      <c r="H609" s="65"/>
      <c r="I609" s="65"/>
      <c r="J609" s="36"/>
      <c r="K609" s="36"/>
      <c r="L609" s="36">
        <v>2</v>
      </c>
      <c r="M609" s="36" t="s">
        <v>221</v>
      </c>
      <c r="N609" s="36" t="s">
        <v>499</v>
      </c>
      <c r="O609" s="36">
        <v>3658</v>
      </c>
      <c r="P609" s="36">
        <f t="shared" si="30"/>
        <v>5.4674685620557675E-2</v>
      </c>
      <c r="Q609" s="36">
        <v>291.09371021134621</v>
      </c>
      <c r="R609" s="40">
        <f t="shared" si="31"/>
        <v>0.15915457091927074</v>
      </c>
      <c r="S609" s="36">
        <v>4503.0821705168528</v>
      </c>
      <c r="T609" s="40">
        <f t="shared" si="32"/>
        <v>3.5343474734107145E-3</v>
      </c>
      <c r="U609" s="110"/>
      <c r="V609" s="36">
        <v>1000</v>
      </c>
      <c r="W609" s="36"/>
      <c r="X609" s="36"/>
      <c r="Y609" s="36"/>
      <c r="Z609" s="36"/>
      <c r="AA609" s="36"/>
      <c r="AB609" s="36"/>
      <c r="AC609" s="36"/>
      <c r="AD609" s="36"/>
      <c r="AE609" s="36"/>
    </row>
    <row r="610" spans="1:31" s="38" customFormat="1" ht="20.25" customHeight="1">
      <c r="A610" s="72">
        <v>42634</v>
      </c>
      <c r="B610" s="72" t="s">
        <v>157</v>
      </c>
      <c r="C610" s="165">
        <v>2016</v>
      </c>
      <c r="D610" s="53">
        <v>8</v>
      </c>
      <c r="E610" s="36" t="s">
        <v>223</v>
      </c>
      <c r="F610" s="36" t="s">
        <v>224</v>
      </c>
      <c r="G610" s="36" t="s">
        <v>225</v>
      </c>
      <c r="H610" s="36" t="s">
        <v>521</v>
      </c>
      <c r="I610" s="36" t="s">
        <v>522</v>
      </c>
      <c r="J610" s="36" t="s">
        <v>523</v>
      </c>
      <c r="K610" s="36" t="s">
        <v>551</v>
      </c>
      <c r="L610" s="36">
        <v>1</v>
      </c>
      <c r="M610" s="36" t="s">
        <v>544</v>
      </c>
      <c r="N610" s="36" t="s">
        <v>524</v>
      </c>
      <c r="O610" s="36">
        <v>3658</v>
      </c>
      <c r="P610" s="36">
        <f t="shared" si="30"/>
        <v>2.7337342810278838E-2</v>
      </c>
      <c r="Q610" s="36">
        <v>291.09371021134621</v>
      </c>
      <c r="R610" s="40">
        <f t="shared" si="31"/>
        <v>7.9577285459635369E-2</v>
      </c>
      <c r="S610" s="36">
        <v>4503.0821705168528</v>
      </c>
      <c r="T610" s="40">
        <f t="shared" si="32"/>
        <v>1.7671737367053572E-3</v>
      </c>
      <c r="U610" s="110"/>
      <c r="V610" s="36">
        <v>1000</v>
      </c>
      <c r="W610" s="36" t="s">
        <v>525</v>
      </c>
      <c r="X610" s="36"/>
      <c r="Y610" s="36"/>
      <c r="Z610" s="36"/>
      <c r="AA610" s="36"/>
      <c r="AB610" s="36"/>
      <c r="AC610" s="36"/>
      <c r="AD610" s="36"/>
      <c r="AE610" s="36"/>
    </row>
    <row r="611" spans="1:31" s="38" customFormat="1" ht="20.25" customHeight="1">
      <c r="A611" s="35">
        <v>42634</v>
      </c>
      <c r="B611" s="72" t="s">
        <v>157</v>
      </c>
      <c r="C611" s="165">
        <v>2016</v>
      </c>
      <c r="D611" s="53">
        <v>8</v>
      </c>
      <c r="E611" s="36" t="s">
        <v>223</v>
      </c>
      <c r="F611" s="36" t="s">
        <v>267</v>
      </c>
      <c r="G611" s="36" t="s">
        <v>278</v>
      </c>
      <c r="H611" s="36" t="s">
        <v>279</v>
      </c>
      <c r="I611" s="36" t="s">
        <v>280</v>
      </c>
      <c r="J611" s="36" t="s">
        <v>284</v>
      </c>
      <c r="K611" s="36" t="s">
        <v>285</v>
      </c>
      <c r="L611" s="36">
        <v>3601</v>
      </c>
      <c r="M611" s="36" t="s">
        <v>247</v>
      </c>
      <c r="N611" s="36" t="s">
        <v>283</v>
      </c>
      <c r="O611" s="36">
        <v>3658</v>
      </c>
      <c r="P611" s="36">
        <f t="shared" si="30"/>
        <v>98.441771459814106</v>
      </c>
      <c r="Q611" s="36">
        <v>291.09371021134621</v>
      </c>
      <c r="R611" s="40">
        <f t="shared" si="31"/>
        <v>286.55780494014698</v>
      </c>
      <c r="S611" s="65">
        <v>4503.0821705168528</v>
      </c>
      <c r="T611" s="40">
        <f t="shared" si="32"/>
        <v>6.3635926258759916</v>
      </c>
      <c r="U611" s="110"/>
      <c r="V611" s="36">
        <v>1000</v>
      </c>
      <c r="W611" s="36"/>
      <c r="X611" s="36"/>
      <c r="Y611" s="36"/>
      <c r="Z611" s="36"/>
      <c r="AA611" s="36"/>
      <c r="AB611" s="36"/>
      <c r="AC611" s="36"/>
      <c r="AD611" s="36"/>
      <c r="AE611" s="36"/>
    </row>
    <row r="612" spans="1:31" s="38" customFormat="1" ht="20.25" customHeight="1">
      <c r="A612" s="35">
        <v>42634</v>
      </c>
      <c r="B612" s="72" t="s">
        <v>157</v>
      </c>
      <c r="C612" s="165">
        <v>2016</v>
      </c>
      <c r="D612" s="53">
        <v>8</v>
      </c>
      <c r="E612" s="36" t="s">
        <v>323</v>
      </c>
      <c r="F612" s="36" t="s">
        <v>489</v>
      </c>
      <c r="G612" s="36"/>
      <c r="H612" s="36" t="s">
        <v>490</v>
      </c>
      <c r="I612" s="36" t="s">
        <v>491</v>
      </c>
      <c r="J612" s="36" t="s">
        <v>371</v>
      </c>
      <c r="K612" s="36" t="s">
        <v>372</v>
      </c>
      <c r="L612" s="36">
        <v>9</v>
      </c>
      <c r="M612" s="3" t="s">
        <v>247</v>
      </c>
      <c r="N612" s="36" t="s">
        <v>371</v>
      </c>
      <c r="O612" s="36">
        <v>294</v>
      </c>
      <c r="P612" s="36">
        <f t="shared" si="30"/>
        <v>3.0612244897959182</v>
      </c>
      <c r="Q612" s="36">
        <v>4211.988460305507</v>
      </c>
      <c r="R612" s="8">
        <f t="shared" si="31"/>
        <v>128.93842225425021</v>
      </c>
      <c r="S612" s="36">
        <v>4503.0821705168528</v>
      </c>
      <c r="T612" s="40">
        <f t="shared" si="32"/>
        <v>2.8633370960550555</v>
      </c>
      <c r="U612" s="110"/>
      <c r="V612" s="3">
        <v>250</v>
      </c>
      <c r="W612" s="36"/>
      <c r="X612" s="36"/>
      <c r="Y612" s="3"/>
      <c r="Z612" s="36"/>
      <c r="AA612" s="36"/>
      <c r="AB612" s="36"/>
      <c r="AC612" s="36"/>
      <c r="AD612" s="36"/>
      <c r="AE612" s="36"/>
    </row>
    <row r="613" spans="1:31" s="38" customFormat="1" ht="20.25" customHeight="1">
      <c r="A613" s="35">
        <v>42634</v>
      </c>
      <c r="B613" s="72" t="s">
        <v>157</v>
      </c>
      <c r="C613" s="165">
        <v>2016</v>
      </c>
      <c r="D613" s="53">
        <v>8</v>
      </c>
      <c r="E613" s="36" t="s">
        <v>223</v>
      </c>
      <c r="F613" s="36" t="s">
        <v>224</v>
      </c>
      <c r="G613" s="36" t="s">
        <v>225</v>
      </c>
      <c r="H613" s="36" t="s">
        <v>248</v>
      </c>
      <c r="I613" s="36" t="s">
        <v>249</v>
      </c>
      <c r="J613" s="36" t="s">
        <v>250</v>
      </c>
      <c r="K613" s="36"/>
      <c r="L613" s="36">
        <v>1</v>
      </c>
      <c r="M613" s="3" t="s">
        <v>229</v>
      </c>
      <c r="N613" s="36" t="s">
        <v>250</v>
      </c>
      <c r="O613" s="36">
        <v>294</v>
      </c>
      <c r="P613" s="36">
        <f t="shared" si="30"/>
        <v>0.3401360544217687</v>
      </c>
      <c r="Q613" s="36">
        <v>4211.988460305507</v>
      </c>
      <c r="R613" s="8">
        <f t="shared" si="31"/>
        <v>14.326491361583356</v>
      </c>
      <c r="S613" s="36">
        <v>4503.0821705168528</v>
      </c>
      <c r="T613" s="40">
        <f t="shared" si="32"/>
        <v>0.31814856622833948</v>
      </c>
      <c r="U613" s="110"/>
      <c r="V613" s="3">
        <v>250</v>
      </c>
      <c r="W613" s="36"/>
      <c r="X613" s="36"/>
      <c r="Y613" s="3"/>
      <c r="Z613" s="36"/>
      <c r="AA613" s="36"/>
      <c r="AB613" s="36"/>
      <c r="AC613" s="36"/>
      <c r="AD613" s="36"/>
      <c r="AE613" s="36"/>
    </row>
    <row r="614" spans="1:31" s="61" customFormat="1" ht="20.25" customHeight="1">
      <c r="A614" s="35">
        <v>42634</v>
      </c>
      <c r="B614" s="72" t="s">
        <v>157</v>
      </c>
      <c r="C614" s="165">
        <v>2016</v>
      </c>
      <c r="D614" s="53">
        <v>8</v>
      </c>
      <c r="E614" s="36" t="s">
        <v>216</v>
      </c>
      <c r="F614" s="36" t="s">
        <v>217</v>
      </c>
      <c r="G614" s="36"/>
      <c r="H614" s="36"/>
      <c r="I614" s="36"/>
      <c r="J614" s="3" t="s">
        <v>653</v>
      </c>
      <c r="K614" s="36"/>
      <c r="L614" s="36">
        <v>16</v>
      </c>
      <c r="M614" s="36" t="s">
        <v>229</v>
      </c>
      <c r="N614" s="36" t="s">
        <v>219</v>
      </c>
      <c r="O614" s="36">
        <v>294</v>
      </c>
      <c r="P614" s="36">
        <f t="shared" si="30"/>
        <v>5.4421768707482991</v>
      </c>
      <c r="Q614" s="36">
        <v>4211.988460305507</v>
      </c>
      <c r="R614" s="8">
        <f t="shared" si="31"/>
        <v>229.2238617853337</v>
      </c>
      <c r="S614" s="36">
        <v>4503.0821705168528</v>
      </c>
      <c r="T614" s="40">
        <f t="shared" si="32"/>
        <v>5.0903770596534317</v>
      </c>
      <c r="U614" s="110"/>
      <c r="V614" s="3">
        <v>250</v>
      </c>
      <c r="W614" s="36" t="s">
        <v>492</v>
      </c>
      <c r="X614" s="36"/>
      <c r="Y614" s="3"/>
      <c r="Z614" s="57"/>
      <c r="AA614" s="57"/>
      <c r="AB614" s="57"/>
      <c r="AC614" s="57"/>
      <c r="AD614" s="57"/>
      <c r="AE614" s="57"/>
    </row>
    <row r="615" spans="1:31" s="61" customFormat="1" ht="20.25" customHeight="1">
      <c r="A615" s="35">
        <v>42634</v>
      </c>
      <c r="B615" s="72" t="s">
        <v>157</v>
      </c>
      <c r="C615" s="165">
        <v>2016</v>
      </c>
      <c r="D615" s="53">
        <v>8</v>
      </c>
      <c r="E615" s="65" t="s">
        <v>223</v>
      </c>
      <c r="F615" s="65" t="s">
        <v>224</v>
      </c>
      <c r="G615" s="65" t="s">
        <v>225</v>
      </c>
      <c r="H615" s="65" t="s">
        <v>226</v>
      </c>
      <c r="I615" s="65" t="s">
        <v>253</v>
      </c>
      <c r="J615" s="36" t="s">
        <v>256</v>
      </c>
      <c r="K615" s="36"/>
      <c r="L615" s="36">
        <v>10</v>
      </c>
      <c r="M615" s="3" t="s">
        <v>229</v>
      </c>
      <c r="N615" s="36" t="s">
        <v>256</v>
      </c>
      <c r="O615" s="36">
        <v>294</v>
      </c>
      <c r="P615" s="36">
        <f t="shared" si="30"/>
        <v>3.4013605442176873</v>
      </c>
      <c r="Q615" s="36">
        <v>4211.988460305507</v>
      </c>
      <c r="R615" s="8">
        <f t="shared" si="31"/>
        <v>143.26491361583359</v>
      </c>
      <c r="S615" s="36">
        <v>4503.0821705168528</v>
      </c>
      <c r="T615" s="40">
        <f t="shared" si="32"/>
        <v>3.1814856622833956</v>
      </c>
      <c r="U615" s="110"/>
      <c r="V615" s="36">
        <v>250</v>
      </c>
      <c r="W615" s="36"/>
      <c r="X615" s="36"/>
      <c r="Y615" s="3"/>
      <c r="Z615" s="57"/>
      <c r="AA615" s="57"/>
      <c r="AB615" s="57"/>
      <c r="AC615" s="57"/>
      <c r="AD615" s="57"/>
      <c r="AE615" s="57"/>
    </row>
    <row r="616" spans="1:31" s="38" customFormat="1" ht="20.25" customHeight="1">
      <c r="A616" s="35">
        <v>42634</v>
      </c>
      <c r="B616" s="35" t="s">
        <v>157</v>
      </c>
      <c r="C616" s="165">
        <v>2016</v>
      </c>
      <c r="D616" s="53">
        <v>8</v>
      </c>
      <c r="E616" s="36" t="s">
        <v>223</v>
      </c>
      <c r="F616" s="36" t="s">
        <v>224</v>
      </c>
      <c r="G616" s="36" t="s">
        <v>225</v>
      </c>
      <c r="H616" s="36" t="s">
        <v>226</v>
      </c>
      <c r="I616" s="54" t="s">
        <v>487</v>
      </c>
      <c r="J616" s="36" t="s">
        <v>486</v>
      </c>
      <c r="K616" s="36"/>
      <c r="L616" s="36">
        <v>7</v>
      </c>
      <c r="M616" s="36" t="s">
        <v>229</v>
      </c>
      <c r="N616" s="36" t="s">
        <v>488</v>
      </c>
      <c r="O616" s="36">
        <v>294</v>
      </c>
      <c r="P616" s="36">
        <f t="shared" si="30"/>
        <v>2.3809523809523809</v>
      </c>
      <c r="Q616" s="36">
        <v>4211.988460305507</v>
      </c>
      <c r="R616" s="53">
        <f t="shared" si="31"/>
        <v>100.2854395310835</v>
      </c>
      <c r="S616" s="36">
        <v>4503.0821705168528</v>
      </c>
      <c r="T616" s="53">
        <f t="shared" si="32"/>
        <v>2.2270399635983766</v>
      </c>
      <c r="U616" s="53"/>
      <c r="V616" s="36">
        <v>250</v>
      </c>
      <c r="W616" s="36"/>
      <c r="X616" s="36"/>
      <c r="Y616" s="36"/>
      <c r="Z616" s="36"/>
      <c r="AA616" s="36"/>
      <c r="AB616" s="36"/>
      <c r="AC616" s="36"/>
      <c r="AD616" s="36"/>
      <c r="AE616" s="36"/>
    </row>
    <row r="617" spans="1:31" s="38" customFormat="1" ht="20.25" customHeight="1">
      <c r="A617" s="13">
        <v>42634</v>
      </c>
      <c r="B617" s="35" t="s">
        <v>157</v>
      </c>
      <c r="C617" s="165">
        <v>2016</v>
      </c>
      <c r="D617" s="53">
        <v>5</v>
      </c>
      <c r="E617" s="36" t="s">
        <v>223</v>
      </c>
      <c r="F617" s="36" t="s">
        <v>224</v>
      </c>
      <c r="G617" s="36" t="s">
        <v>225</v>
      </c>
      <c r="H617" s="36" t="s">
        <v>226</v>
      </c>
      <c r="I617" s="36" t="s">
        <v>227</v>
      </c>
      <c r="J617" s="36" t="s">
        <v>228</v>
      </c>
      <c r="K617" s="36"/>
      <c r="L617" s="3">
        <v>179</v>
      </c>
      <c r="M617" s="3" t="s">
        <v>229</v>
      </c>
      <c r="N617" s="36" t="s">
        <v>228</v>
      </c>
      <c r="O617" s="3">
        <v>203</v>
      </c>
      <c r="P617" s="3">
        <f t="shared" si="30"/>
        <v>88.177339901477836</v>
      </c>
      <c r="Q617" s="36">
        <v>7885.1777824533356</v>
      </c>
      <c r="R617" s="8">
        <f t="shared" si="31"/>
        <v>6952.9400150696902</v>
      </c>
      <c r="S617" s="65">
        <v>7892.0866901154131</v>
      </c>
      <c r="T617" s="40">
        <f t="shared" si="32"/>
        <v>88.100147503169552</v>
      </c>
      <c r="U617" s="110"/>
      <c r="V617" s="3">
        <v>250</v>
      </c>
      <c r="W617" s="3"/>
      <c r="X617" s="3"/>
      <c r="Y617" s="3"/>
      <c r="Z617" s="36"/>
      <c r="AA617" s="36"/>
      <c r="AB617" s="36"/>
      <c r="AC617" s="36"/>
      <c r="AD617" s="36"/>
      <c r="AE617" s="36"/>
    </row>
    <row r="618" spans="1:31" s="38" customFormat="1" ht="20.25" customHeight="1">
      <c r="A618" s="35">
        <v>42634</v>
      </c>
      <c r="B618" s="72" t="s">
        <v>157</v>
      </c>
      <c r="C618" s="165">
        <v>2016</v>
      </c>
      <c r="D618" s="53">
        <v>5</v>
      </c>
      <c r="E618" s="65" t="s">
        <v>209</v>
      </c>
      <c r="F618" s="65" t="s">
        <v>210</v>
      </c>
      <c r="G618" s="65"/>
      <c r="H618" s="65" t="s">
        <v>211</v>
      </c>
      <c r="I618" s="65" t="s">
        <v>212</v>
      </c>
      <c r="J618" s="65" t="s">
        <v>213</v>
      </c>
      <c r="K618" s="36" t="s">
        <v>214</v>
      </c>
      <c r="L618" s="36">
        <v>3</v>
      </c>
      <c r="M618" s="36" t="s">
        <v>247</v>
      </c>
      <c r="N618" s="36" t="s">
        <v>215</v>
      </c>
      <c r="O618" s="36">
        <v>93</v>
      </c>
      <c r="P618" s="36">
        <f t="shared" si="30"/>
        <v>3.225806451612903</v>
      </c>
      <c r="Q618" s="36">
        <v>6.9089076620779757</v>
      </c>
      <c r="R618" s="40">
        <f t="shared" si="31"/>
        <v>0.22286798909928954</v>
      </c>
      <c r="S618" s="65">
        <v>7892.0866901154131</v>
      </c>
      <c r="T618" s="40">
        <f t="shared" si="32"/>
        <v>2.8239424863189169E-3</v>
      </c>
      <c r="U618" s="110">
        <f>SUM(T619+T620+T621+T623+T625+T631+T632)</f>
        <v>3.9760306405645505</v>
      </c>
      <c r="V618" s="65">
        <v>1000</v>
      </c>
      <c r="W618" s="65"/>
      <c r="X618" s="65"/>
      <c r="Y618" s="51"/>
      <c r="Z618" s="36"/>
      <c r="AA618" s="36"/>
      <c r="AB618" s="36"/>
      <c r="AC618" s="36"/>
      <c r="AD618" s="36"/>
      <c r="AE618" s="36"/>
    </row>
    <row r="619" spans="1:31" s="38" customFormat="1" ht="20.25" customHeight="1">
      <c r="A619" s="35">
        <v>42634</v>
      </c>
      <c r="B619" s="72" t="s">
        <v>157</v>
      </c>
      <c r="C619" s="165">
        <v>2016</v>
      </c>
      <c r="D619" s="53">
        <v>5</v>
      </c>
      <c r="E619" s="36" t="s">
        <v>300</v>
      </c>
      <c r="F619" s="36" t="s">
        <v>320</v>
      </c>
      <c r="G619" s="36"/>
      <c r="H619" s="36"/>
      <c r="I619" s="36"/>
      <c r="J619" s="36"/>
      <c r="K619" s="36"/>
      <c r="L619" s="36">
        <v>38</v>
      </c>
      <c r="M619" s="36" t="s">
        <v>221</v>
      </c>
      <c r="N619" s="36" t="s">
        <v>512</v>
      </c>
      <c r="O619" s="36">
        <v>93</v>
      </c>
      <c r="P619" s="36">
        <f t="shared" si="30"/>
        <v>40.86021505376344</v>
      </c>
      <c r="Q619" s="65">
        <v>6.9089076620779757</v>
      </c>
      <c r="R619" s="40">
        <f t="shared" si="31"/>
        <v>2.8229945285910008</v>
      </c>
      <c r="S619" s="65">
        <v>7892.0866901154131</v>
      </c>
      <c r="T619" s="40">
        <f t="shared" si="32"/>
        <v>3.5769938160039622E-2</v>
      </c>
      <c r="U619" s="110"/>
      <c r="V619" s="36">
        <v>1000</v>
      </c>
      <c r="W619" s="36"/>
      <c r="X619" s="36"/>
      <c r="Y619" s="3"/>
      <c r="Z619" s="36"/>
      <c r="AA619" s="36"/>
      <c r="AB619" s="36"/>
      <c r="AC619" s="36"/>
      <c r="AD619" s="36"/>
      <c r="AE619" s="36"/>
    </row>
    <row r="620" spans="1:31" s="38" customFormat="1" ht="20.25" customHeight="1">
      <c r="A620" s="35">
        <v>42634</v>
      </c>
      <c r="B620" s="72" t="s">
        <v>157</v>
      </c>
      <c r="C620" s="165">
        <v>2016</v>
      </c>
      <c r="D620" s="53">
        <v>5</v>
      </c>
      <c r="E620" s="36" t="s">
        <v>514</v>
      </c>
      <c r="F620" s="82" t="s">
        <v>515</v>
      </c>
      <c r="G620" s="36"/>
      <c r="H620" s="36"/>
      <c r="I620" s="36"/>
      <c r="J620" s="36"/>
      <c r="K620" s="36"/>
      <c r="L620" s="36">
        <v>1</v>
      </c>
      <c r="M620" s="36" t="s">
        <v>221</v>
      </c>
      <c r="N620" s="36" t="s">
        <v>516</v>
      </c>
      <c r="O620" s="36">
        <v>93</v>
      </c>
      <c r="P620" s="36">
        <f t="shared" si="30"/>
        <v>1.0752688172043012</v>
      </c>
      <c r="Q620" s="65">
        <v>6.9089076620779757</v>
      </c>
      <c r="R620" s="40">
        <f t="shared" si="31"/>
        <v>7.4289329699763179E-2</v>
      </c>
      <c r="S620" s="65">
        <v>7892.0866901154131</v>
      </c>
      <c r="T620" s="40">
        <f t="shared" si="32"/>
        <v>9.4131416210630576E-4</v>
      </c>
      <c r="U620" s="110"/>
      <c r="V620" s="36">
        <v>1000</v>
      </c>
      <c r="W620" s="36"/>
      <c r="X620" s="36"/>
      <c r="Y620" s="3"/>
      <c r="Z620" s="36"/>
      <c r="AA620" s="36"/>
      <c r="AB620" s="36"/>
      <c r="AC620" s="36"/>
      <c r="AD620" s="36"/>
      <c r="AE620" s="36"/>
    </row>
    <row r="621" spans="1:31" s="38" customFormat="1" ht="20.25" customHeight="1">
      <c r="A621" s="13">
        <v>42634</v>
      </c>
      <c r="B621" s="35" t="s">
        <v>157</v>
      </c>
      <c r="C621" s="165">
        <v>2016</v>
      </c>
      <c r="D621" s="53">
        <v>5</v>
      </c>
      <c r="E621" s="36" t="s">
        <v>223</v>
      </c>
      <c r="F621" s="36" t="s">
        <v>224</v>
      </c>
      <c r="G621" s="36" t="s">
        <v>225</v>
      </c>
      <c r="H621" s="36" t="s">
        <v>226</v>
      </c>
      <c r="I621" s="36" t="s">
        <v>235</v>
      </c>
      <c r="J621" s="36" t="s">
        <v>236</v>
      </c>
      <c r="K621" s="36"/>
      <c r="L621" s="3">
        <v>3</v>
      </c>
      <c r="M621" s="3" t="s">
        <v>229</v>
      </c>
      <c r="N621" s="36" t="s">
        <v>236</v>
      </c>
      <c r="O621" s="3">
        <v>203</v>
      </c>
      <c r="P621" s="3">
        <f t="shared" si="30"/>
        <v>1.4778325123152709</v>
      </c>
      <c r="Q621" s="36">
        <v>7885.1777824533356</v>
      </c>
      <c r="R621" s="8">
        <f t="shared" si="31"/>
        <v>116.52972092295569</v>
      </c>
      <c r="S621" s="65">
        <v>7892.0866901154131</v>
      </c>
      <c r="T621" s="40">
        <f t="shared" si="32"/>
        <v>1.4765387849693219</v>
      </c>
      <c r="U621" s="110"/>
      <c r="V621" s="65">
        <v>250</v>
      </c>
      <c r="W621" s="51"/>
      <c r="X621" s="51"/>
      <c r="Y621" s="51"/>
      <c r="Z621" s="36"/>
      <c r="AA621" s="36"/>
      <c r="AB621" s="36"/>
      <c r="AC621" s="36"/>
      <c r="AD621" s="36"/>
      <c r="AE621" s="36"/>
    </row>
    <row r="622" spans="1:31" s="38" customFormat="1" ht="20.25" customHeight="1">
      <c r="A622" s="13">
        <v>42634</v>
      </c>
      <c r="B622" s="35" t="s">
        <v>157</v>
      </c>
      <c r="C622" s="165">
        <v>2016</v>
      </c>
      <c r="D622" s="53">
        <v>5</v>
      </c>
      <c r="E622" s="36" t="s">
        <v>223</v>
      </c>
      <c r="F622" s="36" t="s">
        <v>317</v>
      </c>
      <c r="G622" s="36" t="s">
        <v>314</v>
      </c>
      <c r="H622" s="36" t="s">
        <v>346</v>
      </c>
      <c r="I622" s="36" t="s">
        <v>315</v>
      </c>
      <c r="J622" s="36" t="s">
        <v>347</v>
      </c>
      <c r="K622" s="36" t="s">
        <v>348</v>
      </c>
      <c r="L622" s="3">
        <v>1</v>
      </c>
      <c r="M622" s="3" t="s">
        <v>247</v>
      </c>
      <c r="N622" s="36" t="s">
        <v>345</v>
      </c>
      <c r="O622" s="3">
        <v>203</v>
      </c>
      <c r="P622" s="3">
        <f t="shared" si="30"/>
        <v>0.49261083743842365</v>
      </c>
      <c r="Q622" s="36">
        <v>7885.1777824533356</v>
      </c>
      <c r="R622" s="8">
        <f t="shared" si="31"/>
        <v>38.843240307651897</v>
      </c>
      <c r="S622" s="65">
        <v>7892.0866901154131</v>
      </c>
      <c r="T622" s="40">
        <f t="shared" si="32"/>
        <v>0.49217959498977393</v>
      </c>
      <c r="U622" s="110"/>
      <c r="V622" s="3">
        <v>250</v>
      </c>
      <c r="W622" s="3"/>
      <c r="X622" s="3"/>
      <c r="Y622" s="3"/>
      <c r="Z622" s="36"/>
      <c r="AA622" s="36"/>
      <c r="AB622" s="36"/>
      <c r="AC622" s="36"/>
      <c r="AD622" s="36"/>
      <c r="AE622" s="36"/>
    </row>
    <row r="623" spans="1:31" s="38" customFormat="1" ht="20.25" customHeight="1">
      <c r="A623" s="35">
        <v>42634</v>
      </c>
      <c r="B623" s="35" t="s">
        <v>157</v>
      </c>
      <c r="C623" s="165">
        <v>2016</v>
      </c>
      <c r="D623" s="53">
        <v>5</v>
      </c>
      <c r="E623" s="36" t="s">
        <v>223</v>
      </c>
      <c r="F623" s="36" t="s">
        <v>267</v>
      </c>
      <c r="G623" s="36"/>
      <c r="H623" s="36" t="s">
        <v>273</v>
      </c>
      <c r="I623" s="36"/>
      <c r="J623" s="36"/>
      <c r="K623" s="36"/>
      <c r="L623" s="36">
        <v>1</v>
      </c>
      <c r="M623" s="36" t="s">
        <v>508</v>
      </c>
      <c r="N623" s="36" t="s">
        <v>494</v>
      </c>
      <c r="O623" s="36">
        <v>93</v>
      </c>
      <c r="P623" s="36">
        <f t="shared" si="30"/>
        <v>1.0752688172043012</v>
      </c>
      <c r="Q623" s="36">
        <v>6.9089076620779757</v>
      </c>
      <c r="R623" s="40">
        <f t="shared" si="31"/>
        <v>7.4289329699763179E-2</v>
      </c>
      <c r="S623" s="65">
        <v>7892.0866901154131</v>
      </c>
      <c r="T623" s="40">
        <f t="shared" si="32"/>
        <v>9.4131416210630576E-4</v>
      </c>
      <c r="U623" s="110"/>
      <c r="V623" s="36">
        <v>1000</v>
      </c>
      <c r="W623" s="36"/>
      <c r="X623" s="36"/>
      <c r="Y623" s="3"/>
      <c r="Z623" s="36"/>
      <c r="AA623" s="36"/>
      <c r="AB623" s="36"/>
      <c r="AC623" s="36"/>
      <c r="AD623" s="36"/>
      <c r="AE623" s="36"/>
    </row>
    <row r="624" spans="1:31" s="38" customFormat="1" ht="20.25" customHeight="1">
      <c r="A624" s="35">
        <v>42634</v>
      </c>
      <c r="B624" s="35" t="s">
        <v>157</v>
      </c>
      <c r="C624" s="165">
        <v>2016</v>
      </c>
      <c r="D624" s="53">
        <v>5</v>
      </c>
      <c r="E624" s="65" t="s">
        <v>223</v>
      </c>
      <c r="F624" s="65" t="s">
        <v>267</v>
      </c>
      <c r="G624" s="65"/>
      <c r="H624" s="65" t="s">
        <v>273</v>
      </c>
      <c r="I624" s="65" t="s">
        <v>274</v>
      </c>
      <c r="J624" s="36" t="s">
        <v>275</v>
      </c>
      <c r="K624" s="36" t="s">
        <v>276</v>
      </c>
      <c r="L624" s="36">
        <v>2</v>
      </c>
      <c r="M624" s="36" t="s">
        <v>247</v>
      </c>
      <c r="N624" s="36" t="s">
        <v>275</v>
      </c>
      <c r="O624" s="36">
        <v>93</v>
      </c>
      <c r="P624" s="36">
        <f t="shared" si="30"/>
        <v>2.1505376344086025</v>
      </c>
      <c r="Q624" s="36">
        <v>6.9089076620779757</v>
      </c>
      <c r="R624" s="40">
        <f t="shared" si="31"/>
        <v>0.14857865939952636</v>
      </c>
      <c r="S624" s="65">
        <v>7892.0866901154131</v>
      </c>
      <c r="T624" s="40">
        <f t="shared" si="32"/>
        <v>1.8826283242126115E-3</v>
      </c>
      <c r="U624" s="110"/>
      <c r="V624" s="36">
        <v>1000</v>
      </c>
      <c r="W624" s="36"/>
      <c r="X624" s="36"/>
      <c r="Y624" s="3"/>
      <c r="Z624" s="36"/>
      <c r="AA624" s="36"/>
      <c r="AB624" s="36"/>
      <c r="AC624" s="36"/>
      <c r="AD624" s="36"/>
      <c r="AE624" s="36"/>
    </row>
    <row r="625" spans="1:31" s="38" customFormat="1" ht="20.25" customHeight="1">
      <c r="A625" s="13">
        <v>42634</v>
      </c>
      <c r="B625" s="35" t="s">
        <v>157</v>
      </c>
      <c r="C625" s="165">
        <v>2016</v>
      </c>
      <c r="D625" s="53">
        <v>5</v>
      </c>
      <c r="E625" s="36" t="s">
        <v>223</v>
      </c>
      <c r="F625" s="36" t="s">
        <v>224</v>
      </c>
      <c r="G625" s="36" t="s">
        <v>225</v>
      </c>
      <c r="H625" s="36" t="s">
        <v>226</v>
      </c>
      <c r="I625" s="36" t="s">
        <v>239</v>
      </c>
      <c r="J625" s="36" t="s">
        <v>240</v>
      </c>
      <c r="K625" s="36"/>
      <c r="L625" s="3">
        <v>4</v>
      </c>
      <c r="M625" s="3" t="s">
        <v>229</v>
      </c>
      <c r="N625" s="36" t="s">
        <v>240</v>
      </c>
      <c r="O625" s="3">
        <v>203</v>
      </c>
      <c r="P625" s="3">
        <f t="shared" si="30"/>
        <v>1.9704433497536946</v>
      </c>
      <c r="Q625" s="36">
        <v>7885.1777824533356</v>
      </c>
      <c r="R625" s="8">
        <f t="shared" si="31"/>
        <v>155.37296123060759</v>
      </c>
      <c r="S625" s="65">
        <v>7892.0866901154131</v>
      </c>
      <c r="T625" s="40">
        <f t="shared" si="32"/>
        <v>1.9687183799590957</v>
      </c>
      <c r="U625" s="110"/>
      <c r="V625" s="36">
        <v>250</v>
      </c>
      <c r="W625" s="3"/>
      <c r="X625" s="3"/>
      <c r="Y625" s="3"/>
      <c r="Z625" s="36"/>
      <c r="AA625" s="36"/>
      <c r="AB625" s="36"/>
      <c r="AC625" s="36"/>
      <c r="AD625" s="36"/>
      <c r="AE625" s="36"/>
    </row>
    <row r="626" spans="1:31" s="38" customFormat="1" ht="20.25" customHeight="1">
      <c r="A626" s="35">
        <v>42634</v>
      </c>
      <c r="B626" s="35" t="s">
        <v>157</v>
      </c>
      <c r="C626" s="165">
        <v>2016</v>
      </c>
      <c r="D626" s="53">
        <v>5</v>
      </c>
      <c r="E626" s="36" t="s">
        <v>223</v>
      </c>
      <c r="F626" s="36" t="s">
        <v>267</v>
      </c>
      <c r="G626" s="36"/>
      <c r="H626" s="36" t="s">
        <v>273</v>
      </c>
      <c r="I626" s="36"/>
      <c r="J626" s="36"/>
      <c r="K626" s="36"/>
      <c r="L626" s="36">
        <v>1</v>
      </c>
      <c r="M626" s="36" t="s">
        <v>508</v>
      </c>
      <c r="N626" s="36" t="s">
        <v>513</v>
      </c>
      <c r="O626" s="36">
        <v>93</v>
      </c>
      <c r="P626" s="36">
        <f t="shared" si="30"/>
        <v>1.0752688172043012</v>
      </c>
      <c r="Q626" s="65">
        <v>6.9089076620779757</v>
      </c>
      <c r="R626" s="40">
        <f t="shared" si="31"/>
        <v>7.4289329699763179E-2</v>
      </c>
      <c r="S626" s="65">
        <v>7892.0866901154131</v>
      </c>
      <c r="T626" s="40">
        <f t="shared" si="32"/>
        <v>9.4131416210630576E-4</v>
      </c>
      <c r="U626" s="110"/>
      <c r="V626" s="36">
        <v>1000</v>
      </c>
      <c r="W626" s="36"/>
      <c r="X626" s="36"/>
      <c r="Y626" s="3"/>
      <c r="Z626" s="36"/>
      <c r="AA626" s="36"/>
      <c r="AB626" s="36"/>
      <c r="AC626" s="36"/>
      <c r="AD626" s="36"/>
      <c r="AE626" s="36"/>
    </row>
    <row r="627" spans="1:31" s="38" customFormat="1" ht="20.25" customHeight="1">
      <c r="A627" s="35">
        <v>42634</v>
      </c>
      <c r="B627" s="72" t="s">
        <v>157</v>
      </c>
      <c r="C627" s="165">
        <v>2016</v>
      </c>
      <c r="D627" s="53">
        <v>5</v>
      </c>
      <c r="E627" s="36" t="s">
        <v>223</v>
      </c>
      <c r="F627" s="36" t="s">
        <v>267</v>
      </c>
      <c r="G627" s="36" t="s">
        <v>278</v>
      </c>
      <c r="H627" s="36" t="s">
        <v>279</v>
      </c>
      <c r="I627" s="36" t="s">
        <v>280</v>
      </c>
      <c r="J627" s="36" t="s">
        <v>284</v>
      </c>
      <c r="K627" s="36" t="s">
        <v>285</v>
      </c>
      <c r="L627" s="36">
        <v>46</v>
      </c>
      <c r="M627" s="36" t="s">
        <v>247</v>
      </c>
      <c r="N627" s="36" t="s">
        <v>24</v>
      </c>
      <c r="O627" s="36">
        <v>93</v>
      </c>
      <c r="P627" s="36">
        <f t="shared" si="30"/>
        <v>49.462365591397848</v>
      </c>
      <c r="Q627" s="36">
        <v>6.9089076620779757</v>
      </c>
      <c r="R627" s="40">
        <f t="shared" si="31"/>
        <v>3.4173091661891064</v>
      </c>
      <c r="S627" s="65">
        <v>7892.0866901154131</v>
      </c>
      <c r="T627" s="40">
        <f t="shared" si="32"/>
        <v>4.3300451456890064E-2</v>
      </c>
      <c r="U627" s="110"/>
      <c r="V627" s="36">
        <v>1000</v>
      </c>
      <c r="W627" s="36" t="s">
        <v>511</v>
      </c>
      <c r="X627" s="36"/>
      <c r="Y627" s="3"/>
      <c r="Z627" s="36"/>
      <c r="AA627" s="36"/>
      <c r="AB627" s="36"/>
      <c r="AC627" s="36"/>
      <c r="AD627" s="36"/>
      <c r="AE627" s="36"/>
    </row>
    <row r="628" spans="1:31" s="42" customFormat="1" ht="20.25" customHeight="1">
      <c r="A628" s="13">
        <v>42634</v>
      </c>
      <c r="B628" s="72" t="s">
        <v>157</v>
      </c>
      <c r="C628" s="165">
        <v>2016</v>
      </c>
      <c r="D628" s="53">
        <v>5</v>
      </c>
      <c r="E628" s="36" t="s">
        <v>323</v>
      </c>
      <c r="F628" s="36" t="s">
        <v>489</v>
      </c>
      <c r="G628" s="36"/>
      <c r="H628" s="36" t="s">
        <v>490</v>
      </c>
      <c r="I628" s="36" t="s">
        <v>491</v>
      </c>
      <c r="J628" s="36" t="s">
        <v>371</v>
      </c>
      <c r="K628" s="36" t="s">
        <v>372</v>
      </c>
      <c r="L628" s="3">
        <v>4</v>
      </c>
      <c r="M628" s="3" t="s">
        <v>247</v>
      </c>
      <c r="N628" s="36" t="s">
        <v>371</v>
      </c>
      <c r="O628" s="3">
        <v>203</v>
      </c>
      <c r="P628" s="3">
        <f t="shared" si="30"/>
        <v>1.9704433497536946</v>
      </c>
      <c r="Q628" s="36">
        <v>7885.1777824533356</v>
      </c>
      <c r="R628" s="8">
        <f t="shared" si="31"/>
        <v>155.37296123060759</v>
      </c>
      <c r="S628" s="65">
        <v>7892.0866901154131</v>
      </c>
      <c r="T628" s="40">
        <f t="shared" si="32"/>
        <v>1.9687183799590957</v>
      </c>
      <c r="U628" s="110"/>
      <c r="V628" s="36">
        <v>250</v>
      </c>
      <c r="W628" s="3"/>
      <c r="X628" s="3"/>
      <c r="Y628" s="3"/>
      <c r="Z628" s="41"/>
      <c r="AA628" s="41"/>
      <c r="AB628" s="41"/>
      <c r="AC628" s="41"/>
      <c r="AD628" s="41"/>
      <c r="AE628" s="41"/>
    </row>
    <row r="629" spans="1:31" s="61" customFormat="1" ht="20.25" customHeight="1">
      <c r="A629" s="72">
        <v>42634</v>
      </c>
      <c r="B629" s="72" t="s">
        <v>157</v>
      </c>
      <c r="C629" s="165">
        <v>2016</v>
      </c>
      <c r="D629" s="53">
        <v>5</v>
      </c>
      <c r="E629" s="36" t="s">
        <v>216</v>
      </c>
      <c r="F629" s="36" t="s">
        <v>217</v>
      </c>
      <c r="G629" s="36"/>
      <c r="H629" s="36"/>
      <c r="I629" s="36"/>
      <c r="J629" s="36" t="s">
        <v>219</v>
      </c>
      <c r="K629" s="36"/>
      <c r="L629" s="36">
        <v>5</v>
      </c>
      <c r="M629" s="36" t="s">
        <v>229</v>
      </c>
      <c r="N629" s="36" t="s">
        <v>219</v>
      </c>
      <c r="O629" s="36">
        <v>203</v>
      </c>
      <c r="P629" s="36">
        <f t="shared" si="30"/>
        <v>2.4630541871921183</v>
      </c>
      <c r="Q629" s="36">
        <v>7885.1777824533356</v>
      </c>
      <c r="R629" s="8">
        <f t="shared" si="31"/>
        <v>194.2162015382595</v>
      </c>
      <c r="S629" s="65">
        <v>7892.0866901154131</v>
      </c>
      <c r="T629" s="40">
        <f t="shared" si="32"/>
        <v>2.4608979749488702</v>
      </c>
      <c r="U629" s="110"/>
      <c r="V629" s="36">
        <v>250</v>
      </c>
      <c r="W629" s="36"/>
      <c r="X629" s="36"/>
      <c r="Y629" s="3"/>
      <c r="Z629" s="57"/>
      <c r="AA629" s="57"/>
      <c r="AB629" s="57"/>
      <c r="AC629" s="57"/>
      <c r="AD629" s="57"/>
      <c r="AE629" s="57"/>
    </row>
    <row r="630" spans="1:31" s="38" customFormat="1" ht="20.25" customHeight="1">
      <c r="A630" s="35">
        <v>42634</v>
      </c>
      <c r="B630" s="35" t="s">
        <v>157</v>
      </c>
      <c r="C630" s="165">
        <v>2016</v>
      </c>
      <c r="D630" s="53">
        <v>5</v>
      </c>
      <c r="E630" s="36" t="s">
        <v>216</v>
      </c>
      <c r="F630" s="36" t="s">
        <v>217</v>
      </c>
      <c r="G630" s="36"/>
      <c r="H630" s="36"/>
      <c r="I630" s="36"/>
      <c r="J630" s="36" t="s">
        <v>219</v>
      </c>
      <c r="K630" s="36"/>
      <c r="L630" s="36">
        <v>3</v>
      </c>
      <c r="M630" s="36" t="s">
        <v>229</v>
      </c>
      <c r="N630" s="36" t="s">
        <v>218</v>
      </c>
      <c r="O630" s="36">
        <v>203</v>
      </c>
      <c r="P630" s="36">
        <f t="shared" si="30"/>
        <v>1.4778325123152709</v>
      </c>
      <c r="Q630" s="36">
        <v>7885.1777824533356</v>
      </c>
      <c r="R630" s="8">
        <f t="shared" si="31"/>
        <v>116.52972092295569</v>
      </c>
      <c r="S630" s="65">
        <v>7892.0866901154131</v>
      </c>
      <c r="T630" s="40">
        <f t="shared" si="32"/>
        <v>1.4765387849693219</v>
      </c>
      <c r="U630" s="110"/>
      <c r="V630" s="36">
        <v>250</v>
      </c>
      <c r="W630" s="36" t="s">
        <v>222</v>
      </c>
      <c r="X630" s="36"/>
      <c r="Y630" s="3"/>
      <c r="Z630" s="36"/>
      <c r="AA630" s="36"/>
      <c r="AB630" s="36"/>
      <c r="AC630" s="36"/>
      <c r="AD630" s="36"/>
      <c r="AE630" s="36"/>
    </row>
    <row r="631" spans="1:31" s="38" customFormat="1" ht="20.25" customHeight="1">
      <c r="A631" s="13">
        <v>42634</v>
      </c>
      <c r="B631" s="35" t="s">
        <v>157</v>
      </c>
      <c r="C631" s="165">
        <v>2016</v>
      </c>
      <c r="D631" s="53">
        <v>5</v>
      </c>
      <c r="E631" s="36" t="s">
        <v>223</v>
      </c>
      <c r="F631" s="36" t="s">
        <v>224</v>
      </c>
      <c r="G631" s="36" t="s">
        <v>225</v>
      </c>
      <c r="H631" s="36" t="s">
        <v>226</v>
      </c>
      <c r="I631" s="36" t="s">
        <v>253</v>
      </c>
      <c r="J631" s="36" t="s">
        <v>256</v>
      </c>
      <c r="K631" s="3"/>
      <c r="L631" s="3">
        <v>1</v>
      </c>
      <c r="M631" s="3" t="s">
        <v>229</v>
      </c>
      <c r="N631" s="36" t="s">
        <v>256</v>
      </c>
      <c r="O631" s="3">
        <v>203</v>
      </c>
      <c r="P631" s="3">
        <f t="shared" si="30"/>
        <v>0.49261083743842365</v>
      </c>
      <c r="Q631" s="65">
        <v>7885.1777824533356</v>
      </c>
      <c r="R631" s="8">
        <f t="shared" si="31"/>
        <v>38.843240307651897</v>
      </c>
      <c r="S631" s="65">
        <v>7892.0866901154131</v>
      </c>
      <c r="T631" s="40">
        <f t="shared" si="32"/>
        <v>0.49217959498977393</v>
      </c>
      <c r="U631" s="110"/>
      <c r="V631" s="36">
        <v>250</v>
      </c>
      <c r="W631" s="3"/>
      <c r="X631" s="3"/>
      <c r="Y631" s="3"/>
      <c r="Z631" s="36"/>
      <c r="AA631" s="36"/>
      <c r="AB631" s="36"/>
      <c r="AC631" s="36"/>
      <c r="AD631" s="36"/>
      <c r="AE631" s="36"/>
    </row>
    <row r="632" spans="1:31" s="38" customFormat="1" ht="20.25" customHeight="1">
      <c r="A632" s="35">
        <v>42634</v>
      </c>
      <c r="B632" s="35" t="s">
        <v>157</v>
      </c>
      <c r="C632" s="165">
        <v>2016</v>
      </c>
      <c r="D632" s="53">
        <v>5</v>
      </c>
      <c r="E632" s="36" t="s">
        <v>223</v>
      </c>
      <c r="F632" s="82" t="s">
        <v>517</v>
      </c>
      <c r="G632" s="83"/>
      <c r="H632" s="82" t="s">
        <v>518</v>
      </c>
      <c r="I632" s="36"/>
      <c r="J632" s="36"/>
      <c r="K632" s="36"/>
      <c r="L632" s="36">
        <v>1</v>
      </c>
      <c r="M632" s="36" t="s">
        <v>221</v>
      </c>
      <c r="N632" s="36" t="s">
        <v>618</v>
      </c>
      <c r="O632" s="36">
        <v>93</v>
      </c>
      <c r="P632" s="36">
        <f t="shared" si="30"/>
        <v>1.0752688172043012</v>
      </c>
      <c r="Q632" s="36">
        <v>6.9089076620779757</v>
      </c>
      <c r="R632" s="40">
        <f t="shared" si="31"/>
        <v>7.4289329699763179E-2</v>
      </c>
      <c r="S632" s="65">
        <v>7892.0866901154131</v>
      </c>
      <c r="T632" s="40">
        <f t="shared" si="32"/>
        <v>9.4131416210630576E-4</v>
      </c>
      <c r="U632" s="110"/>
      <c r="V632" s="36">
        <v>1000</v>
      </c>
      <c r="W632" s="36"/>
      <c r="X632" s="36"/>
      <c r="Y632" s="67"/>
      <c r="Z632" s="36"/>
      <c r="AA632" s="36"/>
      <c r="AB632" s="36"/>
      <c r="AC632" s="36"/>
      <c r="AD632" s="36"/>
      <c r="AE632" s="36"/>
    </row>
    <row r="633" spans="1:31" s="38" customFormat="1" ht="20.25" customHeight="1">
      <c r="A633" s="13">
        <v>42634</v>
      </c>
      <c r="B633" s="35" t="s">
        <v>157</v>
      </c>
      <c r="C633" s="165">
        <v>2016</v>
      </c>
      <c r="D633" s="53">
        <v>5</v>
      </c>
      <c r="E633" s="3" t="s">
        <v>223</v>
      </c>
      <c r="F633" s="3" t="s">
        <v>224</v>
      </c>
      <c r="G633" s="3" t="s">
        <v>225</v>
      </c>
      <c r="H633" s="3" t="s">
        <v>226</v>
      </c>
      <c r="I633" s="3" t="s">
        <v>239</v>
      </c>
      <c r="J633" s="3" t="s">
        <v>258</v>
      </c>
      <c r="K633" s="3" t="s">
        <v>259</v>
      </c>
      <c r="L633" s="3">
        <v>3</v>
      </c>
      <c r="M633" s="3" t="s">
        <v>247</v>
      </c>
      <c r="N633" s="36" t="s">
        <v>258</v>
      </c>
      <c r="O633" s="3">
        <v>203</v>
      </c>
      <c r="P633" s="3">
        <f t="shared" si="30"/>
        <v>1.4778325123152709</v>
      </c>
      <c r="Q633" s="65">
        <v>7885.1777824533356</v>
      </c>
      <c r="R633" s="8">
        <f t="shared" si="31"/>
        <v>116.52972092295569</v>
      </c>
      <c r="S633" s="65">
        <v>7892.0866901154131</v>
      </c>
      <c r="T633" s="40">
        <f t="shared" si="32"/>
        <v>1.4765387849693219</v>
      </c>
      <c r="U633" s="110"/>
      <c r="V633" s="3">
        <v>250</v>
      </c>
      <c r="W633" s="3"/>
      <c r="X633" s="3"/>
      <c r="Y633" s="3"/>
      <c r="Z633" s="36"/>
      <c r="AA633" s="36"/>
      <c r="AB633" s="36"/>
      <c r="AC633" s="36"/>
      <c r="AD633" s="36"/>
      <c r="AE633" s="36"/>
    </row>
    <row r="634" spans="1:31" s="38" customFormat="1" ht="20.25" customHeight="1">
      <c r="A634" s="35">
        <v>42634</v>
      </c>
      <c r="B634" s="35" t="s">
        <v>157</v>
      </c>
      <c r="C634" s="165">
        <v>2016</v>
      </c>
      <c r="D634" s="53">
        <v>4</v>
      </c>
      <c r="E634" s="36" t="s">
        <v>223</v>
      </c>
      <c r="F634" s="36" t="s">
        <v>224</v>
      </c>
      <c r="G634" s="36" t="s">
        <v>225</v>
      </c>
      <c r="H634" s="36" t="s">
        <v>226</v>
      </c>
      <c r="I634" s="36" t="s">
        <v>227</v>
      </c>
      <c r="J634" s="36" t="s">
        <v>228</v>
      </c>
      <c r="K634" s="36"/>
      <c r="L634" s="36">
        <v>111</v>
      </c>
      <c r="M634" s="36" t="s">
        <v>229</v>
      </c>
      <c r="N634" s="36" t="s">
        <v>228</v>
      </c>
      <c r="O634" s="36">
        <v>156</v>
      </c>
      <c r="P634" s="36">
        <f t="shared" si="30"/>
        <v>71.15384615384616</v>
      </c>
      <c r="Q634" s="76">
        <v>4944.777911164113</v>
      </c>
      <c r="R634" s="53">
        <f t="shared" si="31"/>
        <v>3518.3996675590806</v>
      </c>
      <c r="S634" s="65">
        <v>4957.5437830631108</v>
      </c>
      <c r="T634" s="53">
        <f t="shared" si="32"/>
        <v>70.970622177443914</v>
      </c>
      <c r="U634" s="110"/>
      <c r="V634" s="36">
        <v>250</v>
      </c>
      <c r="W634" s="36"/>
      <c r="X634" s="36"/>
      <c r="Y634" s="36"/>
      <c r="Z634" s="36"/>
      <c r="AA634" s="36"/>
      <c r="AB634" s="36"/>
      <c r="AC634" s="36"/>
      <c r="AD634" s="36"/>
      <c r="AE634" s="36"/>
    </row>
    <row r="635" spans="1:31" s="38" customFormat="1" ht="20.25" customHeight="1">
      <c r="A635" s="72">
        <v>42634</v>
      </c>
      <c r="B635" s="72" t="s">
        <v>157</v>
      </c>
      <c r="C635" s="165">
        <v>2016</v>
      </c>
      <c r="D635" s="53">
        <v>4</v>
      </c>
      <c r="E635" s="36" t="s">
        <v>223</v>
      </c>
      <c r="F635" s="36" t="s">
        <v>267</v>
      </c>
      <c r="G635" s="36" t="s">
        <v>278</v>
      </c>
      <c r="H635" s="36" t="s">
        <v>269</v>
      </c>
      <c r="I635" s="36"/>
      <c r="J635" s="36" t="s">
        <v>270</v>
      </c>
      <c r="K635" s="36"/>
      <c r="L635" s="36">
        <v>1</v>
      </c>
      <c r="M635" s="36" t="s">
        <v>229</v>
      </c>
      <c r="N635" s="36" t="s">
        <v>270</v>
      </c>
      <c r="O635" s="36">
        <v>127</v>
      </c>
      <c r="P635" s="36">
        <f t="shared" si="30"/>
        <v>0.78740157480314954</v>
      </c>
      <c r="Q635" s="65">
        <v>12.765871898998224</v>
      </c>
      <c r="R635" s="53">
        <f t="shared" si="31"/>
        <v>0.10051867637006476</v>
      </c>
      <c r="S635" s="65">
        <v>4957.5437830631108</v>
      </c>
      <c r="T635" s="53">
        <f t="shared" si="32"/>
        <v>2.0275902900439425E-3</v>
      </c>
      <c r="U635" s="110">
        <f>SUM(T635+T636+T638+T644+T647)</f>
        <v>2.7967555525114527</v>
      </c>
      <c r="V635" s="36">
        <v>1000</v>
      </c>
      <c r="W635" s="36" t="s">
        <v>531</v>
      </c>
      <c r="X635" s="36"/>
      <c r="Y635" s="36"/>
      <c r="Z635" s="36"/>
      <c r="AA635" s="36"/>
      <c r="AB635" s="36"/>
      <c r="AC635" s="36"/>
      <c r="AD635" s="36"/>
      <c r="AE635" s="36"/>
    </row>
    <row r="636" spans="1:31" s="38" customFormat="1" ht="20.25" customHeight="1">
      <c r="A636" s="35">
        <v>42634</v>
      </c>
      <c r="B636" s="35" t="s">
        <v>157</v>
      </c>
      <c r="C636" s="165">
        <v>2016</v>
      </c>
      <c r="D636" s="53">
        <v>4</v>
      </c>
      <c r="E636" s="52" t="s">
        <v>209</v>
      </c>
      <c r="F636" t="s">
        <v>210</v>
      </c>
      <c r="G636"/>
      <c r="H636" s="52" t="s">
        <v>211</v>
      </c>
      <c r="I636" s="52" t="s">
        <v>212</v>
      </c>
      <c r="J636" s="52" t="s">
        <v>213</v>
      </c>
      <c r="K636" s="52" t="s">
        <v>214</v>
      </c>
      <c r="L636" s="52">
        <v>1</v>
      </c>
      <c r="M636" s="52" t="s">
        <v>247</v>
      </c>
      <c r="N636" s="52" t="s">
        <v>215</v>
      </c>
      <c r="O636" s="36">
        <v>156</v>
      </c>
      <c r="P636" s="36">
        <f t="shared" si="30"/>
        <v>0.64102564102564097</v>
      </c>
      <c r="Q636" s="76">
        <v>4944.777911164113</v>
      </c>
      <c r="R636" s="53">
        <f t="shared" si="31"/>
        <v>31.697294302334058</v>
      </c>
      <c r="S636" s="65">
        <v>4957.5437830631108</v>
      </c>
      <c r="T636" s="53">
        <f t="shared" si="32"/>
        <v>0.63937497457156689</v>
      </c>
      <c r="U636" s="110"/>
      <c r="V636" s="36">
        <v>250</v>
      </c>
      <c r="W636" s="36"/>
      <c r="X636" s="36"/>
      <c r="Y636" s="36"/>
      <c r="Z636" s="36"/>
      <c r="AA636" s="36"/>
      <c r="AB636" s="36"/>
      <c r="AC636" s="36"/>
      <c r="AD636" s="36"/>
      <c r="AE636" s="36"/>
    </row>
    <row r="637" spans="1:31" s="38" customFormat="1" ht="20.25" customHeight="1">
      <c r="A637" s="72">
        <v>42634</v>
      </c>
      <c r="B637" s="72" t="s">
        <v>157</v>
      </c>
      <c r="C637" s="165">
        <v>2016</v>
      </c>
      <c r="D637" s="53">
        <v>4</v>
      </c>
      <c r="E637" s="36" t="s">
        <v>300</v>
      </c>
      <c r="F637" s="36" t="s">
        <v>320</v>
      </c>
      <c r="G637" s="36"/>
      <c r="H637" s="36"/>
      <c r="I637" s="36"/>
      <c r="J637" s="36"/>
      <c r="K637" s="36"/>
      <c r="L637" s="36">
        <v>2</v>
      </c>
      <c r="M637" s="36" t="s">
        <v>221</v>
      </c>
      <c r="N637" s="36" t="s">
        <v>512</v>
      </c>
      <c r="O637" s="36">
        <v>127</v>
      </c>
      <c r="P637" s="36">
        <f t="shared" si="30"/>
        <v>1.5748031496062991</v>
      </c>
      <c r="Q637" s="65">
        <v>12.765871898998224</v>
      </c>
      <c r="R637" s="53">
        <f t="shared" si="31"/>
        <v>0.20103735274012952</v>
      </c>
      <c r="S637" s="65">
        <v>4957.5437830631108</v>
      </c>
      <c r="T637" s="53">
        <f t="shared" si="32"/>
        <v>4.0551805800878851E-3</v>
      </c>
      <c r="U637" s="110"/>
      <c r="V637" s="36">
        <v>1000</v>
      </c>
      <c r="W637" s="36"/>
      <c r="X637" s="36"/>
      <c r="Y637" s="36"/>
      <c r="Z637" s="36"/>
      <c r="AA637" s="36"/>
      <c r="AB637" s="36"/>
      <c r="AC637" s="36"/>
      <c r="AD637" s="36"/>
      <c r="AE637" s="36"/>
    </row>
    <row r="638" spans="1:31" s="38" customFormat="1" ht="20.25" customHeight="1">
      <c r="A638" s="35">
        <v>42634</v>
      </c>
      <c r="B638" s="35" t="s">
        <v>157</v>
      </c>
      <c r="C638" s="165">
        <v>2016</v>
      </c>
      <c r="D638" s="53">
        <v>4</v>
      </c>
      <c r="E638" s="65" t="s">
        <v>223</v>
      </c>
      <c r="F638" s="65" t="s">
        <v>224</v>
      </c>
      <c r="G638" s="65" t="s">
        <v>225</v>
      </c>
      <c r="H638" s="65" t="s">
        <v>226</v>
      </c>
      <c r="I638" s="65" t="s">
        <v>235</v>
      </c>
      <c r="J638" s="36" t="s">
        <v>236</v>
      </c>
      <c r="K638" s="36"/>
      <c r="L638" s="65">
        <v>1</v>
      </c>
      <c r="M638" s="65" t="s">
        <v>229</v>
      </c>
      <c r="N638" s="65" t="s">
        <v>236</v>
      </c>
      <c r="O638" s="36">
        <v>156</v>
      </c>
      <c r="P638" s="36">
        <f t="shared" si="30"/>
        <v>0.64102564102564097</v>
      </c>
      <c r="Q638" s="76">
        <v>4944.777911164113</v>
      </c>
      <c r="R638" s="53">
        <f t="shared" si="31"/>
        <v>31.697294302334058</v>
      </c>
      <c r="S638" s="65">
        <v>4957.5437830631108</v>
      </c>
      <c r="T638" s="53">
        <f t="shared" si="32"/>
        <v>0.63937497457156689</v>
      </c>
      <c r="U638" s="110"/>
      <c r="V638" s="65">
        <v>250</v>
      </c>
      <c r="W638" s="65"/>
      <c r="X638" s="65"/>
      <c r="Y638" s="65"/>
      <c r="Z638" s="36"/>
      <c r="AA638" s="36"/>
      <c r="AB638" s="36"/>
      <c r="AC638" s="36"/>
      <c r="AD638" s="36"/>
      <c r="AE638" s="36"/>
    </row>
    <row r="639" spans="1:31" s="38" customFormat="1" ht="20.25" customHeight="1">
      <c r="A639" s="72">
        <v>42634</v>
      </c>
      <c r="B639" s="35" t="s">
        <v>157</v>
      </c>
      <c r="C639" s="165">
        <v>2016</v>
      </c>
      <c r="D639" s="53">
        <v>4</v>
      </c>
      <c r="E639" s="65" t="s">
        <v>223</v>
      </c>
      <c r="F639" s="65" t="s">
        <v>267</v>
      </c>
      <c r="G639" s="65"/>
      <c r="H639" s="65" t="s">
        <v>273</v>
      </c>
      <c r="I639" s="65"/>
      <c r="J639" s="36"/>
      <c r="K639" s="36"/>
      <c r="L639" s="36">
        <v>1</v>
      </c>
      <c r="M639" s="36" t="s">
        <v>508</v>
      </c>
      <c r="N639" s="36" t="s">
        <v>494</v>
      </c>
      <c r="O639" s="36">
        <v>127</v>
      </c>
      <c r="P639" s="36">
        <f t="shared" si="30"/>
        <v>0.78740157480314954</v>
      </c>
      <c r="Q639" s="65">
        <v>12.765871898998224</v>
      </c>
      <c r="R639" s="53">
        <f t="shared" si="31"/>
        <v>0.10051867637006476</v>
      </c>
      <c r="S639" s="65">
        <v>4957.5437830631108</v>
      </c>
      <c r="T639" s="53">
        <f t="shared" si="32"/>
        <v>2.0275902900439425E-3</v>
      </c>
      <c r="U639" s="110"/>
      <c r="V639" s="36">
        <v>1000</v>
      </c>
      <c r="W639" s="36"/>
      <c r="X639" s="36"/>
      <c r="Y639" s="36"/>
      <c r="Z639" s="36"/>
      <c r="AA639" s="36"/>
      <c r="AB639" s="36"/>
      <c r="AC639" s="36"/>
      <c r="AD639" s="36"/>
      <c r="AE639" s="36"/>
    </row>
    <row r="640" spans="1:31" s="38" customFormat="1" ht="20.25" customHeight="1">
      <c r="A640" s="35">
        <v>42634</v>
      </c>
      <c r="B640" s="35" t="s">
        <v>157</v>
      </c>
      <c r="C640" s="165">
        <v>2016</v>
      </c>
      <c r="D640" s="53">
        <v>4</v>
      </c>
      <c r="E640" s="36" t="s">
        <v>223</v>
      </c>
      <c r="F640" s="36" t="s">
        <v>267</v>
      </c>
      <c r="G640" s="36"/>
      <c r="H640" s="36" t="s">
        <v>273</v>
      </c>
      <c r="I640" s="36" t="s">
        <v>274</v>
      </c>
      <c r="J640" s="36" t="s">
        <v>275</v>
      </c>
      <c r="K640" s="36" t="s">
        <v>276</v>
      </c>
      <c r="L640" s="36">
        <v>4</v>
      </c>
      <c r="M640" s="36" t="s">
        <v>247</v>
      </c>
      <c r="N640" s="36" t="s">
        <v>275</v>
      </c>
      <c r="O640" s="36">
        <v>127</v>
      </c>
      <c r="P640" s="36">
        <f t="shared" si="30"/>
        <v>3.1496062992125982</v>
      </c>
      <c r="Q640" s="65">
        <v>12.765871898998224</v>
      </c>
      <c r="R640" s="53">
        <f t="shared" si="31"/>
        <v>0.40207470548025903</v>
      </c>
      <c r="S640" s="65">
        <v>4957.5437830631108</v>
      </c>
      <c r="T640" s="53">
        <f t="shared" si="32"/>
        <v>8.1103611601757702E-3</v>
      </c>
      <c r="U640" s="110"/>
      <c r="V640" s="36">
        <v>1000</v>
      </c>
      <c r="W640" s="36"/>
      <c r="X640" s="36"/>
      <c r="Y640" s="36"/>
      <c r="Z640" s="36"/>
      <c r="AA640" s="36"/>
      <c r="AB640" s="36"/>
      <c r="AC640" s="36"/>
      <c r="AD640" s="36"/>
      <c r="AE640" s="36"/>
    </row>
    <row r="641" spans="1:31" s="38" customFormat="1" ht="20.25" customHeight="1">
      <c r="A641" s="35">
        <v>42634</v>
      </c>
      <c r="B641" s="35" t="s">
        <v>157</v>
      </c>
      <c r="C641" s="165">
        <v>2016</v>
      </c>
      <c r="D641" s="53">
        <v>4</v>
      </c>
      <c r="E641" s="36" t="s">
        <v>223</v>
      </c>
      <c r="F641" s="36" t="s">
        <v>224</v>
      </c>
      <c r="G641" s="36" t="s">
        <v>225</v>
      </c>
      <c r="H641" s="36" t="s">
        <v>226</v>
      </c>
      <c r="I641" s="36" t="s">
        <v>239</v>
      </c>
      <c r="J641" s="36" t="s">
        <v>240</v>
      </c>
      <c r="K641" s="36"/>
      <c r="L641" s="36">
        <v>37</v>
      </c>
      <c r="M641" s="36" t="s">
        <v>229</v>
      </c>
      <c r="N641" s="36" t="s">
        <v>240</v>
      </c>
      <c r="O641" s="36">
        <v>156</v>
      </c>
      <c r="P641" s="36">
        <f t="shared" si="30"/>
        <v>23.717948717948715</v>
      </c>
      <c r="Q641" s="76">
        <v>4944.777911164113</v>
      </c>
      <c r="R641" s="53">
        <f t="shared" si="31"/>
        <v>1172.7998891863599</v>
      </c>
      <c r="S641" s="65">
        <v>4957.5437830631108</v>
      </c>
      <c r="T641" s="53">
        <f t="shared" si="32"/>
        <v>23.65687405914797</v>
      </c>
      <c r="U641" s="110"/>
      <c r="V641" s="36">
        <v>250</v>
      </c>
      <c r="W641" s="36"/>
      <c r="X641" s="36"/>
      <c r="Y641" s="36"/>
      <c r="Z641" s="36"/>
      <c r="AA641" s="36"/>
      <c r="AB641" s="36"/>
      <c r="AC641" s="36"/>
      <c r="AD641" s="36"/>
      <c r="AE641" s="36"/>
    </row>
    <row r="642" spans="1:31" s="38" customFormat="1" ht="20.25" customHeight="1">
      <c r="A642" s="35">
        <v>42634</v>
      </c>
      <c r="B642" s="72" t="s">
        <v>157</v>
      </c>
      <c r="C642" s="165">
        <v>2016</v>
      </c>
      <c r="D642" s="53">
        <v>4</v>
      </c>
      <c r="E642" s="36" t="s">
        <v>526</v>
      </c>
      <c r="F642" s="36" t="s">
        <v>267</v>
      </c>
      <c r="G642" s="36" t="s">
        <v>278</v>
      </c>
      <c r="H642" s="36" t="s">
        <v>272</v>
      </c>
      <c r="I642" s="36" t="s">
        <v>527</v>
      </c>
      <c r="J642" s="36" t="s">
        <v>528</v>
      </c>
      <c r="K642" s="36" t="s">
        <v>529</v>
      </c>
      <c r="L642" s="36">
        <v>1</v>
      </c>
      <c r="M642" s="36" t="s">
        <v>247</v>
      </c>
      <c r="N642" s="36" t="s">
        <v>530</v>
      </c>
      <c r="O642" s="36">
        <v>127</v>
      </c>
      <c r="P642" s="36">
        <f t="shared" ref="P642:P696" si="33">L642/O642*100</f>
        <v>0.78740157480314954</v>
      </c>
      <c r="Q642" s="65">
        <v>12.765871898998224</v>
      </c>
      <c r="R642" s="53">
        <f t="shared" ref="R642:R705" si="34">(P642/100)*Q642</f>
        <v>0.10051867637006476</v>
      </c>
      <c r="S642" s="65">
        <v>4957.5437830631108</v>
      </c>
      <c r="T642" s="53">
        <f t="shared" ref="T642:T705" si="35">R642/S642*100</f>
        <v>2.0275902900439425E-3</v>
      </c>
      <c r="U642" s="110"/>
      <c r="V642" s="36">
        <v>1000</v>
      </c>
      <c r="W642" s="36"/>
      <c r="X642" s="36"/>
      <c r="Y642" s="36"/>
      <c r="Z642" s="36"/>
      <c r="AA642" s="36"/>
      <c r="AB642" s="36"/>
      <c r="AC642" s="36"/>
      <c r="AD642" s="36"/>
      <c r="AE642" s="36"/>
    </row>
    <row r="643" spans="1:31" s="38" customFormat="1" ht="20.25" customHeight="1">
      <c r="A643" s="35">
        <v>42634</v>
      </c>
      <c r="B643" s="72" t="s">
        <v>157</v>
      </c>
      <c r="C643" s="165">
        <v>2016</v>
      </c>
      <c r="D643" s="53">
        <v>4</v>
      </c>
      <c r="E643" s="53" t="s">
        <v>223</v>
      </c>
      <c r="F643" s="36" t="s">
        <v>224</v>
      </c>
      <c r="G643" s="36" t="s">
        <v>225</v>
      </c>
      <c r="H643" s="53" t="s">
        <v>521</v>
      </c>
      <c r="I643" s="53" t="s">
        <v>522</v>
      </c>
      <c r="J643" s="53" t="s">
        <v>523</v>
      </c>
      <c r="K643" s="53" t="s">
        <v>551</v>
      </c>
      <c r="L643" s="53">
        <v>1</v>
      </c>
      <c r="M643" s="53" t="s">
        <v>247</v>
      </c>
      <c r="N643" s="53" t="s">
        <v>524</v>
      </c>
      <c r="O643" s="36">
        <v>127</v>
      </c>
      <c r="P643" s="36">
        <f t="shared" si="33"/>
        <v>0.78740157480314954</v>
      </c>
      <c r="Q643" s="65">
        <v>12.765871898998224</v>
      </c>
      <c r="R643" s="53">
        <f t="shared" si="34"/>
        <v>0.10051867637006476</v>
      </c>
      <c r="S643" s="65">
        <v>4957.5437830631108</v>
      </c>
      <c r="T643" s="53">
        <f t="shared" si="35"/>
        <v>2.0275902900439425E-3</v>
      </c>
      <c r="U643" s="110"/>
      <c r="V643" s="36">
        <v>1000</v>
      </c>
      <c r="W643" s="36"/>
      <c r="X643" s="36"/>
      <c r="Y643" s="36"/>
      <c r="Z643" s="36"/>
      <c r="AA643" s="36"/>
      <c r="AB643" s="36"/>
      <c r="AC643" s="36"/>
      <c r="AD643" s="36"/>
      <c r="AE643" s="36"/>
    </row>
    <row r="644" spans="1:31" s="38" customFormat="1" ht="20.25" customHeight="1">
      <c r="A644" s="35">
        <v>42634</v>
      </c>
      <c r="B644" s="35" t="s">
        <v>157</v>
      </c>
      <c r="C644" s="165">
        <v>2016</v>
      </c>
      <c r="D644" s="53">
        <v>4</v>
      </c>
      <c r="E644" s="36" t="s">
        <v>223</v>
      </c>
      <c r="F644" s="36" t="s">
        <v>267</v>
      </c>
      <c r="G644" s="36" t="s">
        <v>278</v>
      </c>
      <c r="H644" s="36" t="s">
        <v>279</v>
      </c>
      <c r="I644" s="36" t="s">
        <v>280</v>
      </c>
      <c r="J644" s="36" t="s">
        <v>284</v>
      </c>
      <c r="K644" s="36" t="s">
        <v>285</v>
      </c>
      <c r="L644" s="36">
        <v>117</v>
      </c>
      <c r="M644" s="36" t="s">
        <v>247</v>
      </c>
      <c r="N644" s="36" t="s">
        <v>24</v>
      </c>
      <c r="O644" s="36">
        <v>127</v>
      </c>
      <c r="P644" s="36">
        <f t="shared" si="33"/>
        <v>92.125984251968504</v>
      </c>
      <c r="Q644" s="65">
        <v>12.765871898998224</v>
      </c>
      <c r="R644" s="53">
        <f t="shared" si="34"/>
        <v>11.760685135297576</v>
      </c>
      <c r="S644" s="65">
        <v>4957.5437830631108</v>
      </c>
      <c r="T644" s="53">
        <f t="shared" si="35"/>
        <v>0.23722806393514126</v>
      </c>
      <c r="U644" s="110"/>
      <c r="V644" s="36">
        <v>1000</v>
      </c>
      <c r="W644" s="36"/>
      <c r="X644" s="36"/>
      <c r="Y644" s="36"/>
      <c r="Z644" s="36"/>
      <c r="AA644" s="36"/>
      <c r="AB644" s="36"/>
      <c r="AC644" s="36"/>
      <c r="AD644" s="36"/>
      <c r="AE644" s="36"/>
    </row>
    <row r="645" spans="1:31" s="38" customFormat="1" ht="20.25" customHeight="1">
      <c r="A645" s="35">
        <v>42634</v>
      </c>
      <c r="B645" s="72" t="s">
        <v>157</v>
      </c>
      <c r="C645" s="165">
        <v>2016</v>
      </c>
      <c r="D645" s="53">
        <v>4</v>
      </c>
      <c r="E645" s="65" t="s">
        <v>323</v>
      </c>
      <c r="F645" s="65" t="s">
        <v>489</v>
      </c>
      <c r="G645" s="65"/>
      <c r="H645" s="65" t="s">
        <v>490</v>
      </c>
      <c r="I645" s="65" t="s">
        <v>491</v>
      </c>
      <c r="J645" s="36" t="s">
        <v>371</v>
      </c>
      <c r="K645" s="36" t="s">
        <v>372</v>
      </c>
      <c r="L645" s="36">
        <v>1</v>
      </c>
      <c r="M645" s="36" t="s">
        <v>247</v>
      </c>
      <c r="N645" s="36" t="s">
        <v>371</v>
      </c>
      <c r="O645" s="36">
        <v>156</v>
      </c>
      <c r="P645" s="36">
        <f t="shared" si="33"/>
        <v>0.64102564102564097</v>
      </c>
      <c r="Q645" s="76">
        <v>4944.777911164113</v>
      </c>
      <c r="R645" s="53">
        <f t="shared" si="34"/>
        <v>31.697294302334058</v>
      </c>
      <c r="S645" s="65">
        <v>4957.5437830631108</v>
      </c>
      <c r="T645" s="53">
        <f t="shared" si="35"/>
        <v>0.63937497457156689</v>
      </c>
      <c r="U645" s="110"/>
      <c r="V645" s="36">
        <v>250</v>
      </c>
      <c r="W645" s="36"/>
      <c r="X645" s="36"/>
      <c r="Y645" s="36"/>
      <c r="Z645" s="36"/>
      <c r="AA645" s="36"/>
      <c r="AB645" s="36"/>
      <c r="AC645" s="36"/>
      <c r="AD645" s="36"/>
      <c r="AE645" s="36"/>
    </row>
    <row r="646" spans="1:31" s="38" customFormat="1" ht="20.25" customHeight="1">
      <c r="A646" s="35">
        <v>42634</v>
      </c>
      <c r="B646" s="35" t="s">
        <v>157</v>
      </c>
      <c r="C646" s="165">
        <v>2016</v>
      </c>
      <c r="D646" s="53">
        <v>4</v>
      </c>
      <c r="E646" s="36" t="s">
        <v>216</v>
      </c>
      <c r="F646" s="36" t="s">
        <v>217</v>
      </c>
      <c r="G646" s="36"/>
      <c r="H646" s="36"/>
      <c r="I646" s="36"/>
      <c r="J646" s="36" t="s">
        <v>219</v>
      </c>
      <c r="K646" s="36"/>
      <c r="L646" s="36">
        <v>1</v>
      </c>
      <c r="M646" s="36" t="s">
        <v>229</v>
      </c>
      <c r="N646" s="36" t="s">
        <v>219</v>
      </c>
      <c r="O646" s="36">
        <v>156</v>
      </c>
      <c r="P646" s="36">
        <f t="shared" si="33"/>
        <v>0.64102564102564097</v>
      </c>
      <c r="Q646" s="76">
        <v>4944.777911164113</v>
      </c>
      <c r="R646" s="53">
        <f t="shared" si="34"/>
        <v>31.697294302334058</v>
      </c>
      <c r="S646" s="65">
        <v>4957.5437830631108</v>
      </c>
      <c r="T646" s="53">
        <f t="shared" si="35"/>
        <v>0.63937497457156689</v>
      </c>
      <c r="U646" s="110"/>
      <c r="V646" s="36">
        <v>250</v>
      </c>
      <c r="W646" s="36"/>
      <c r="X646" s="36"/>
      <c r="Y646" s="36"/>
      <c r="Z646" s="36"/>
      <c r="AA646" s="36"/>
      <c r="AB646" s="36"/>
      <c r="AC646" s="36"/>
      <c r="AD646" s="36"/>
      <c r="AE646" s="36"/>
    </row>
    <row r="647" spans="1:31" s="38" customFormat="1" ht="20.25" customHeight="1">
      <c r="A647" s="35">
        <v>42634</v>
      </c>
      <c r="B647" s="35" t="s">
        <v>157</v>
      </c>
      <c r="C647" s="165">
        <v>2016</v>
      </c>
      <c r="D647" s="65">
        <v>4</v>
      </c>
      <c r="E647" s="65" t="s">
        <v>223</v>
      </c>
      <c r="F647" s="65" t="s">
        <v>224</v>
      </c>
      <c r="G647" s="65" t="s">
        <v>225</v>
      </c>
      <c r="H647" s="65" t="s">
        <v>226</v>
      </c>
      <c r="I647" s="65" t="s">
        <v>253</v>
      </c>
      <c r="J647" s="36" t="s">
        <v>256</v>
      </c>
      <c r="K647" s="36"/>
      <c r="L647" s="36">
        <v>2</v>
      </c>
      <c r="M647" s="36" t="s">
        <v>229</v>
      </c>
      <c r="N647" s="36" t="s">
        <v>256</v>
      </c>
      <c r="O647" s="36">
        <v>156</v>
      </c>
      <c r="P647" s="36">
        <f t="shared" si="33"/>
        <v>1.2820512820512819</v>
      </c>
      <c r="Q647" s="76">
        <v>4944.777911164113</v>
      </c>
      <c r="R647" s="53">
        <f t="shared" si="34"/>
        <v>63.394588604668115</v>
      </c>
      <c r="S647" s="65">
        <v>4957.5437830631108</v>
      </c>
      <c r="T647" s="53">
        <f t="shared" si="35"/>
        <v>1.2787499491431338</v>
      </c>
      <c r="U647" s="110"/>
      <c r="V647" s="36">
        <v>250</v>
      </c>
      <c r="W647" s="36"/>
      <c r="X647" s="36"/>
      <c r="Y647" s="36"/>
      <c r="Z647" s="36"/>
      <c r="AA647" s="36"/>
      <c r="AB647" s="36"/>
      <c r="AC647" s="36"/>
      <c r="AD647" s="36"/>
      <c r="AE647" s="36"/>
    </row>
    <row r="648" spans="1:31" s="38" customFormat="1" ht="20.25" customHeight="1">
      <c r="A648" s="35">
        <v>42634</v>
      </c>
      <c r="B648" s="35" t="s">
        <v>157</v>
      </c>
      <c r="C648" s="165">
        <v>2016</v>
      </c>
      <c r="D648" s="65">
        <v>4</v>
      </c>
      <c r="E648" s="65" t="s">
        <v>223</v>
      </c>
      <c r="F648" s="36" t="s">
        <v>224</v>
      </c>
      <c r="G648" s="36" t="s">
        <v>225</v>
      </c>
      <c r="H648" s="65" t="s">
        <v>226</v>
      </c>
      <c r="I648" s="146" t="s">
        <v>487</v>
      </c>
      <c r="J648" s="65" t="s">
        <v>486</v>
      </c>
      <c r="K648" s="36"/>
      <c r="L648" s="36">
        <v>1</v>
      </c>
      <c r="M648" s="36" t="s">
        <v>229</v>
      </c>
      <c r="N648" s="36" t="s">
        <v>488</v>
      </c>
      <c r="O648" s="36">
        <v>156</v>
      </c>
      <c r="P648" s="36">
        <f t="shared" si="33"/>
        <v>0.64102564102564097</v>
      </c>
      <c r="Q648" s="76">
        <v>4944.777911164113</v>
      </c>
      <c r="R648" s="53">
        <f t="shared" si="34"/>
        <v>31.697294302334058</v>
      </c>
      <c r="S648" s="65">
        <v>4957.5437830631108</v>
      </c>
      <c r="T648" s="53">
        <f t="shared" si="35"/>
        <v>0.63937497457156689</v>
      </c>
      <c r="U648" s="110"/>
      <c r="V648" s="36">
        <v>250</v>
      </c>
      <c r="W648" s="36" t="s">
        <v>470</v>
      </c>
      <c r="X648" s="36"/>
      <c r="Y648" s="36"/>
      <c r="Z648" s="36"/>
      <c r="AA648" s="36"/>
      <c r="AB648" s="36"/>
      <c r="AC648" s="36"/>
      <c r="AD648" s="36"/>
      <c r="AE648" s="36"/>
    </row>
    <row r="649" spans="1:31" s="38" customFormat="1" ht="20.25" customHeight="1">
      <c r="A649" s="35">
        <v>42634</v>
      </c>
      <c r="B649" s="35" t="s">
        <v>157</v>
      </c>
      <c r="C649" s="165">
        <v>2016</v>
      </c>
      <c r="D649" s="53">
        <v>4</v>
      </c>
      <c r="E649" s="36" t="s">
        <v>223</v>
      </c>
      <c r="F649" s="36" t="s">
        <v>224</v>
      </c>
      <c r="G649" s="36" t="s">
        <v>225</v>
      </c>
      <c r="H649" s="36" t="s">
        <v>226</v>
      </c>
      <c r="I649" s="36" t="s">
        <v>239</v>
      </c>
      <c r="J649" s="36" t="s">
        <v>258</v>
      </c>
      <c r="K649" s="36" t="s">
        <v>259</v>
      </c>
      <c r="L649" s="36">
        <v>1</v>
      </c>
      <c r="M649" s="36" t="s">
        <v>247</v>
      </c>
      <c r="N649" s="36" t="s">
        <v>258</v>
      </c>
      <c r="O649" s="36">
        <v>156</v>
      </c>
      <c r="P649" s="36">
        <f t="shared" si="33"/>
        <v>0.64102564102564097</v>
      </c>
      <c r="Q649" s="76">
        <v>4944.777911164113</v>
      </c>
      <c r="R649" s="53">
        <f t="shared" si="34"/>
        <v>31.697294302334058</v>
      </c>
      <c r="S649" s="65">
        <v>4957.5437830631108</v>
      </c>
      <c r="T649" s="53">
        <f t="shared" si="35"/>
        <v>0.63937497457156689</v>
      </c>
      <c r="U649" s="110"/>
      <c r="V649" s="36">
        <v>250</v>
      </c>
      <c r="W649" s="36"/>
      <c r="X649" s="36"/>
      <c r="Y649" s="36"/>
      <c r="Z649" s="36"/>
      <c r="AA649" s="36"/>
      <c r="AB649" s="36"/>
      <c r="AC649" s="36"/>
      <c r="AD649" s="36"/>
      <c r="AE649" s="36"/>
    </row>
    <row r="650" spans="1:31" s="38" customFormat="1" ht="20.25" customHeight="1">
      <c r="A650" s="13">
        <v>42634</v>
      </c>
      <c r="B650" s="35" t="s">
        <v>157</v>
      </c>
      <c r="C650" s="165">
        <v>2016</v>
      </c>
      <c r="D650" s="53">
        <v>2</v>
      </c>
      <c r="E650" s="51" t="s">
        <v>223</v>
      </c>
      <c r="F650" s="51" t="s">
        <v>224</v>
      </c>
      <c r="G650" s="51" t="s">
        <v>225</v>
      </c>
      <c r="H650" s="51" t="s">
        <v>226</v>
      </c>
      <c r="I650" s="51" t="s">
        <v>227</v>
      </c>
      <c r="J650" s="3" t="s">
        <v>228</v>
      </c>
      <c r="K650" s="3"/>
      <c r="L650" s="36">
        <v>118</v>
      </c>
      <c r="M650" s="3" t="s">
        <v>229</v>
      </c>
      <c r="N650" s="36" t="s">
        <v>228</v>
      </c>
      <c r="O650" s="3">
        <v>233</v>
      </c>
      <c r="P650" s="3">
        <f t="shared" si="33"/>
        <v>50.643776824034333</v>
      </c>
      <c r="Q650" s="36">
        <v>13803.139052230848</v>
      </c>
      <c r="R650" s="8">
        <f t="shared" si="34"/>
        <v>6990.4309363229195</v>
      </c>
      <c r="S650" s="36">
        <v>13805.0079230722</v>
      </c>
      <c r="T650" s="40">
        <f t="shared" si="35"/>
        <v>50.636920857103362</v>
      </c>
      <c r="U650" s="110"/>
      <c r="V650" s="36">
        <v>250</v>
      </c>
      <c r="W650" s="3"/>
      <c r="X650" s="3"/>
      <c r="Y650" s="3"/>
      <c r="Z650" s="36"/>
      <c r="AA650" s="36"/>
      <c r="AB650" s="36"/>
      <c r="AC650" s="36"/>
      <c r="AD650" s="36"/>
      <c r="AE650" s="36"/>
    </row>
    <row r="651" spans="1:31" s="38" customFormat="1" ht="20.25" customHeight="1">
      <c r="A651" s="35">
        <v>42634</v>
      </c>
      <c r="B651" s="35" t="s">
        <v>157</v>
      </c>
      <c r="C651" s="165">
        <v>2016</v>
      </c>
      <c r="D651" s="53">
        <v>2</v>
      </c>
      <c r="E651" s="65" t="s">
        <v>223</v>
      </c>
      <c r="F651" s="65" t="s">
        <v>267</v>
      </c>
      <c r="G651" s="65"/>
      <c r="H651" s="65" t="s">
        <v>273</v>
      </c>
      <c r="I651" s="65"/>
      <c r="J651" s="36"/>
      <c r="K651" s="36"/>
      <c r="L651" s="36">
        <v>12</v>
      </c>
      <c r="M651" s="36" t="s">
        <v>508</v>
      </c>
      <c r="N651" s="36" t="s">
        <v>494</v>
      </c>
      <c r="O651" s="36">
        <v>19</v>
      </c>
      <c r="P651" s="36">
        <f t="shared" si="33"/>
        <v>63.157894736842103</v>
      </c>
      <c r="Q651" s="36">
        <v>1.8688708413525965</v>
      </c>
      <c r="R651" s="40">
        <f t="shared" si="34"/>
        <v>1.1803394787490082</v>
      </c>
      <c r="S651" s="36">
        <v>13805.0079230722</v>
      </c>
      <c r="T651" s="40">
        <f t="shared" si="35"/>
        <v>8.5500818639612387E-3</v>
      </c>
      <c r="U651" s="110">
        <f>SUM(T651+T656)</f>
        <v>15.653282847482481</v>
      </c>
      <c r="V651" s="36">
        <v>1000</v>
      </c>
      <c r="W651" s="36"/>
      <c r="X651" s="36"/>
      <c r="Y651" s="3" t="s">
        <v>614</v>
      </c>
      <c r="Z651" s="36"/>
      <c r="AA651" s="36"/>
      <c r="AB651" s="36"/>
      <c r="AC651" s="36"/>
      <c r="AD651" s="36"/>
      <c r="AE651" s="36"/>
    </row>
    <row r="652" spans="1:31" s="38" customFormat="1" ht="20.25" customHeight="1">
      <c r="A652" s="35">
        <v>42634</v>
      </c>
      <c r="B652" s="35" t="s">
        <v>157</v>
      </c>
      <c r="C652" s="165">
        <v>2016</v>
      </c>
      <c r="D652" s="65">
        <v>2</v>
      </c>
      <c r="E652" s="36" t="s">
        <v>223</v>
      </c>
      <c r="F652" s="36" t="s">
        <v>267</v>
      </c>
      <c r="G652" s="36"/>
      <c r="H652" s="36" t="s">
        <v>273</v>
      </c>
      <c r="I652" s="36" t="s">
        <v>274</v>
      </c>
      <c r="J652" s="36" t="s">
        <v>275</v>
      </c>
      <c r="K652" s="36" t="s">
        <v>276</v>
      </c>
      <c r="L652" s="36">
        <v>2</v>
      </c>
      <c r="M652" s="36" t="s">
        <v>247</v>
      </c>
      <c r="N652" s="36" t="s">
        <v>275</v>
      </c>
      <c r="O652" s="36">
        <v>19</v>
      </c>
      <c r="P652" s="36">
        <f t="shared" si="33"/>
        <v>10.526315789473683</v>
      </c>
      <c r="Q652" s="36">
        <v>1.8688708413525965</v>
      </c>
      <c r="R652" s="40">
        <f t="shared" si="34"/>
        <v>0.19672324645816805</v>
      </c>
      <c r="S652" s="36">
        <v>13805.0079230722</v>
      </c>
      <c r="T652" s="40">
        <f t="shared" si="35"/>
        <v>1.4250136439935398E-3</v>
      </c>
      <c r="U652" s="110"/>
      <c r="V652" s="36">
        <v>1000</v>
      </c>
      <c r="W652" s="36"/>
      <c r="X652" s="36"/>
      <c r="Y652" s="3"/>
      <c r="Z652" s="36"/>
      <c r="AA652" s="36"/>
      <c r="AB652" s="36"/>
      <c r="AC652" s="36"/>
      <c r="AD652" s="36"/>
      <c r="AE652" s="36"/>
    </row>
    <row r="653" spans="1:31" s="38" customFormat="1" ht="20.25" customHeight="1">
      <c r="A653" s="71">
        <v>42634</v>
      </c>
      <c r="B653" s="35" t="s">
        <v>157</v>
      </c>
      <c r="C653" s="165">
        <v>2016</v>
      </c>
      <c r="D653" s="65">
        <v>2</v>
      </c>
      <c r="E653" s="36" t="s">
        <v>223</v>
      </c>
      <c r="F653" s="36" t="s">
        <v>224</v>
      </c>
      <c r="G653" s="36" t="s">
        <v>225</v>
      </c>
      <c r="H653" s="36" t="s">
        <v>226</v>
      </c>
      <c r="I653" s="36" t="s">
        <v>239</v>
      </c>
      <c r="J653" s="36" t="s">
        <v>240</v>
      </c>
      <c r="K653" s="3"/>
      <c r="L653" s="36">
        <v>114</v>
      </c>
      <c r="M653" s="3" t="s">
        <v>229</v>
      </c>
      <c r="N653" s="36" t="s">
        <v>240</v>
      </c>
      <c r="O653" s="3">
        <v>233</v>
      </c>
      <c r="P653" s="3">
        <f t="shared" si="33"/>
        <v>48.927038626609445</v>
      </c>
      <c r="Q653" s="36">
        <v>13803.139052230848</v>
      </c>
      <c r="R653" s="8">
        <f t="shared" si="34"/>
        <v>6753.4671757695996</v>
      </c>
      <c r="S653" s="36">
        <v>13805.0079230722</v>
      </c>
      <c r="T653" s="40">
        <f t="shared" si="35"/>
        <v>48.920415065337146</v>
      </c>
      <c r="U653" s="110"/>
      <c r="V653" s="3">
        <v>250</v>
      </c>
      <c r="W653" s="3"/>
      <c r="X653" s="3"/>
      <c r="Y653" s="3"/>
      <c r="Z653" s="36"/>
      <c r="AA653" s="36"/>
      <c r="AB653" s="36"/>
      <c r="AC653" s="36"/>
      <c r="AD653" s="36"/>
      <c r="AE653" s="36"/>
    </row>
    <row r="654" spans="1:31" s="42" customFormat="1" ht="20.25" customHeight="1">
      <c r="A654" s="35">
        <v>42634</v>
      </c>
      <c r="B654" s="35" t="s">
        <v>157</v>
      </c>
      <c r="C654" s="165">
        <v>2016</v>
      </c>
      <c r="D654" s="53">
        <v>2</v>
      </c>
      <c r="E654" s="36" t="s">
        <v>223</v>
      </c>
      <c r="F654" s="36" t="s">
        <v>267</v>
      </c>
      <c r="G654" s="36" t="s">
        <v>278</v>
      </c>
      <c r="H654" s="36" t="s">
        <v>279</v>
      </c>
      <c r="I654" s="36" t="s">
        <v>280</v>
      </c>
      <c r="J654" s="36" t="s">
        <v>284</v>
      </c>
      <c r="K654" s="36" t="s">
        <v>285</v>
      </c>
      <c r="L654" s="36">
        <v>5</v>
      </c>
      <c r="M654" s="36" t="s">
        <v>247</v>
      </c>
      <c r="N654" s="36" t="s">
        <v>24</v>
      </c>
      <c r="O654" s="36">
        <v>19</v>
      </c>
      <c r="P654" s="36">
        <f t="shared" si="33"/>
        <v>26.315789473684209</v>
      </c>
      <c r="Q654" s="36">
        <v>1.8688708413525965</v>
      </c>
      <c r="R654" s="40">
        <f t="shared" si="34"/>
        <v>0.49180811614542008</v>
      </c>
      <c r="S654" s="65">
        <v>13805.0079230722</v>
      </c>
      <c r="T654" s="40">
        <f t="shared" si="35"/>
        <v>3.5625341099838493E-3</v>
      </c>
      <c r="U654" s="110"/>
      <c r="V654" s="36">
        <v>1000</v>
      </c>
      <c r="W654" s="36"/>
      <c r="X654" s="36"/>
      <c r="Y654" s="3"/>
      <c r="Z654" s="41"/>
      <c r="AA654" s="41"/>
      <c r="AB654" s="41"/>
      <c r="AC654" s="41"/>
      <c r="AD654" s="41"/>
      <c r="AE654" s="41"/>
    </row>
    <row r="655" spans="1:31" s="38" customFormat="1" ht="20.25" customHeight="1">
      <c r="A655" s="71">
        <v>42634</v>
      </c>
      <c r="B655" s="35" t="s">
        <v>157</v>
      </c>
      <c r="C655" s="165">
        <v>2016</v>
      </c>
      <c r="D655" s="53">
        <v>2</v>
      </c>
      <c r="E655" s="3" t="s">
        <v>216</v>
      </c>
      <c r="F655" s="3" t="s">
        <v>217</v>
      </c>
      <c r="G655" s="3"/>
      <c r="H655" s="3"/>
      <c r="I655" s="3"/>
      <c r="J655" s="3" t="s">
        <v>219</v>
      </c>
      <c r="K655" s="3"/>
      <c r="L655" s="36">
        <v>1</v>
      </c>
      <c r="M655" s="36" t="s">
        <v>229</v>
      </c>
      <c r="N655" s="36" t="s">
        <v>219</v>
      </c>
      <c r="O655" s="3">
        <v>233</v>
      </c>
      <c r="P655" s="3">
        <f t="shared" si="33"/>
        <v>0.42918454935622319</v>
      </c>
      <c r="Q655" s="36">
        <v>13803.139052230848</v>
      </c>
      <c r="R655" s="8">
        <f t="shared" si="34"/>
        <v>59.240940138329819</v>
      </c>
      <c r="S655" s="36">
        <v>13805.0079230722</v>
      </c>
      <c r="T655" s="40">
        <f t="shared" si="35"/>
        <v>0.42912644794155391</v>
      </c>
      <c r="U655" s="110"/>
      <c r="V655" s="36">
        <v>250</v>
      </c>
      <c r="W655" s="3"/>
      <c r="X655" s="3"/>
      <c r="Y655" s="3"/>
      <c r="Z655" s="36"/>
      <c r="AA655" s="36"/>
      <c r="AB655" s="36"/>
      <c r="AC655" s="36"/>
      <c r="AD655" s="36"/>
      <c r="AE655" s="36"/>
    </row>
    <row r="656" spans="1:31" ht="20.25" customHeight="1">
      <c r="A656" s="13">
        <v>42867</v>
      </c>
      <c r="B656" s="35" t="s">
        <v>144</v>
      </c>
      <c r="C656" s="165">
        <v>2017</v>
      </c>
      <c r="D656" s="53">
        <v>8</v>
      </c>
      <c r="E656" s="3" t="s">
        <v>223</v>
      </c>
      <c r="F656" s="3" t="s">
        <v>224</v>
      </c>
      <c r="G656" s="3" t="s">
        <v>225</v>
      </c>
      <c r="H656" s="3" t="s">
        <v>226</v>
      </c>
      <c r="I656" s="3" t="s">
        <v>227</v>
      </c>
      <c r="J656" s="3" t="s">
        <v>228</v>
      </c>
      <c r="K656" s="3"/>
      <c r="L656" s="36">
        <v>42</v>
      </c>
      <c r="M656" s="3" t="s">
        <v>229</v>
      </c>
      <c r="N656" s="36" t="s">
        <v>228</v>
      </c>
      <c r="O656" s="3">
        <v>268</v>
      </c>
      <c r="P656" s="3">
        <f t="shared" si="33"/>
        <v>15.671641791044777</v>
      </c>
      <c r="Q656" s="36">
        <v>2229.6020612656475</v>
      </c>
      <c r="R656" s="8">
        <f t="shared" si="34"/>
        <v>349.41524840730301</v>
      </c>
      <c r="S656" s="36">
        <v>2233.4369889346508</v>
      </c>
      <c r="T656" s="40">
        <f t="shared" si="35"/>
        <v>15.644732765618521</v>
      </c>
      <c r="U656" s="109"/>
      <c r="V656" s="3"/>
      <c r="W656" s="3"/>
      <c r="X656" s="3"/>
      <c r="Y656" s="3"/>
      <c r="Z656" s="3"/>
      <c r="AA656" s="3"/>
      <c r="AB656" s="3"/>
      <c r="AC656" s="3"/>
      <c r="AD656" s="3"/>
      <c r="AE656" s="3"/>
    </row>
    <row r="657" spans="1:31" ht="20.25" customHeight="1">
      <c r="A657" s="13">
        <v>42867</v>
      </c>
      <c r="B657" s="35" t="s">
        <v>144</v>
      </c>
      <c r="C657" s="165">
        <v>2017</v>
      </c>
      <c r="D657" s="53">
        <v>8</v>
      </c>
      <c r="E657" s="65" t="s">
        <v>209</v>
      </c>
      <c r="F657" s="65" t="s">
        <v>210</v>
      </c>
      <c r="G657" s="65"/>
      <c r="H657" s="65" t="s">
        <v>211</v>
      </c>
      <c r="I657" s="65" t="s">
        <v>212</v>
      </c>
      <c r="J657" s="36" t="s">
        <v>213</v>
      </c>
      <c r="K657" s="36" t="s">
        <v>214</v>
      </c>
      <c r="L657" s="36">
        <v>3</v>
      </c>
      <c r="M657" s="36" t="s">
        <v>247</v>
      </c>
      <c r="N657" s="36" t="s">
        <v>215</v>
      </c>
      <c r="O657" s="3">
        <v>42</v>
      </c>
      <c r="P657" s="3">
        <f t="shared" si="33"/>
        <v>7.1428571428571423</v>
      </c>
      <c r="Q657" s="36">
        <v>3.8349276690030769</v>
      </c>
      <c r="R657" s="8">
        <f t="shared" si="34"/>
        <v>0.27392340492879119</v>
      </c>
      <c r="S657" s="36">
        <v>2233.4369889346508</v>
      </c>
      <c r="T657" s="40">
        <f t="shared" si="35"/>
        <v>1.2264657847341045E-2</v>
      </c>
      <c r="U657" s="109"/>
      <c r="V657" s="36">
        <v>1000</v>
      </c>
      <c r="W657" s="3"/>
      <c r="X657" s="3"/>
      <c r="Y657" s="3"/>
      <c r="Z657" s="3"/>
      <c r="AA657" s="3"/>
      <c r="AB657" s="3"/>
      <c r="AC657" s="3"/>
      <c r="AD657" s="3"/>
      <c r="AE657" s="3"/>
    </row>
    <row r="658" spans="1:31" ht="20.25" customHeight="1">
      <c r="A658" s="13">
        <v>42867</v>
      </c>
      <c r="B658" s="72" t="s">
        <v>144</v>
      </c>
      <c r="C658" s="165">
        <v>2017</v>
      </c>
      <c r="D658" s="53">
        <v>8</v>
      </c>
      <c r="E658" s="36" t="s">
        <v>223</v>
      </c>
      <c r="F658" s="36" t="s">
        <v>303</v>
      </c>
      <c r="G658" s="36" t="s">
        <v>304</v>
      </c>
      <c r="H658" s="36" t="s">
        <v>305</v>
      </c>
      <c r="I658" s="36" t="s">
        <v>306</v>
      </c>
      <c r="J658" s="36" t="s">
        <v>307</v>
      </c>
      <c r="K658" s="36"/>
      <c r="L658" s="36">
        <v>1</v>
      </c>
      <c r="M658" s="3" t="s">
        <v>229</v>
      </c>
      <c r="N658" s="3" t="s">
        <v>307</v>
      </c>
      <c r="O658" s="3">
        <v>268</v>
      </c>
      <c r="P658" s="3">
        <f t="shared" si="33"/>
        <v>0.37313432835820892</v>
      </c>
      <c r="Q658" s="36">
        <v>2229.6020612656475</v>
      </c>
      <c r="R658" s="8">
        <f t="shared" si="34"/>
        <v>8.319410676364356</v>
      </c>
      <c r="S658" s="36">
        <v>2233.4369889346508</v>
      </c>
      <c r="T658" s="40">
        <f t="shared" si="35"/>
        <v>0.37249363727663137</v>
      </c>
      <c r="U658" s="109"/>
      <c r="V658" s="3"/>
      <c r="W658" s="3"/>
      <c r="X658" s="3"/>
      <c r="Y658" s="3"/>
      <c r="Z658" s="3"/>
      <c r="AA658" s="3"/>
      <c r="AB658" s="3"/>
      <c r="AC658" s="3"/>
      <c r="AD658" s="3"/>
      <c r="AE658" s="3"/>
    </row>
    <row r="659" spans="1:31" ht="20.25" customHeight="1">
      <c r="A659" s="13">
        <v>42867</v>
      </c>
      <c r="B659" s="72" t="s">
        <v>144</v>
      </c>
      <c r="C659" s="165">
        <v>2017</v>
      </c>
      <c r="D659" s="53">
        <v>8</v>
      </c>
      <c r="E659" s="3" t="s">
        <v>223</v>
      </c>
      <c r="F659" s="3" t="s">
        <v>224</v>
      </c>
      <c r="G659" s="3" t="s">
        <v>225</v>
      </c>
      <c r="H659" s="3" t="s">
        <v>226</v>
      </c>
      <c r="I659" s="51" t="s">
        <v>235</v>
      </c>
      <c r="J659" s="51" t="s">
        <v>236</v>
      </c>
      <c r="K659" s="3"/>
      <c r="L659" s="36">
        <v>2</v>
      </c>
      <c r="M659" s="3" t="s">
        <v>229</v>
      </c>
      <c r="N659" s="36" t="s">
        <v>236</v>
      </c>
      <c r="O659" s="3">
        <v>268</v>
      </c>
      <c r="P659" s="3">
        <f t="shared" si="33"/>
        <v>0.74626865671641784</v>
      </c>
      <c r="Q659" s="36">
        <v>2229.6020612656475</v>
      </c>
      <c r="R659" s="8">
        <f t="shared" si="34"/>
        <v>16.638821352728712</v>
      </c>
      <c r="S659" s="36">
        <v>2233.4369889346508</v>
      </c>
      <c r="T659" s="40">
        <f t="shared" si="35"/>
        <v>0.74498727455326275</v>
      </c>
      <c r="U659" s="109"/>
      <c r="V659" s="51"/>
      <c r="W659" s="51"/>
      <c r="X659" s="51"/>
      <c r="Y659" s="51"/>
      <c r="Z659" s="3"/>
      <c r="AA659" s="3"/>
      <c r="AB659" s="3"/>
      <c r="AC659" s="3"/>
      <c r="AD659" s="3"/>
      <c r="AE659" s="3"/>
    </row>
    <row r="660" spans="1:31" ht="20.25" customHeight="1">
      <c r="A660" s="13">
        <v>42867</v>
      </c>
      <c r="B660" s="35" t="s">
        <v>144</v>
      </c>
      <c r="C660" s="165">
        <v>2017</v>
      </c>
      <c r="D660" s="53">
        <v>8</v>
      </c>
      <c r="E660" s="36" t="s">
        <v>223</v>
      </c>
      <c r="F660" s="36" t="s">
        <v>267</v>
      </c>
      <c r="G660" s="36"/>
      <c r="H660" s="36" t="s">
        <v>273</v>
      </c>
      <c r="I660" s="36" t="s">
        <v>274</v>
      </c>
      <c r="J660" s="36" t="s">
        <v>275</v>
      </c>
      <c r="K660" s="36" t="s">
        <v>276</v>
      </c>
      <c r="L660" s="36">
        <v>11</v>
      </c>
      <c r="M660" s="36" t="s">
        <v>247</v>
      </c>
      <c r="N660" s="36" t="s">
        <v>275</v>
      </c>
      <c r="O660" s="3">
        <v>42</v>
      </c>
      <c r="P660" s="3">
        <f t="shared" si="33"/>
        <v>26.190476190476193</v>
      </c>
      <c r="Q660" s="36">
        <v>3.8349276690030769</v>
      </c>
      <c r="R660" s="8">
        <f t="shared" si="34"/>
        <v>1.0043858180722345</v>
      </c>
      <c r="S660" s="36">
        <v>2233.4369889346508</v>
      </c>
      <c r="T660" s="40">
        <f t="shared" si="35"/>
        <v>4.4970412106917171E-2</v>
      </c>
      <c r="U660" s="109"/>
      <c r="V660" s="36">
        <v>1000</v>
      </c>
      <c r="W660" s="3"/>
      <c r="X660" s="3"/>
      <c r="Y660" s="3"/>
      <c r="Z660" s="3"/>
      <c r="AA660" s="3"/>
      <c r="AB660" s="3"/>
      <c r="AC660" s="3"/>
      <c r="AD660" s="3"/>
      <c r="AE660" s="3"/>
    </row>
    <row r="661" spans="1:31" ht="20.25" customHeight="1">
      <c r="A661" s="13">
        <v>42867</v>
      </c>
      <c r="B661" s="72" t="s">
        <v>144</v>
      </c>
      <c r="C661" s="165">
        <v>2017</v>
      </c>
      <c r="D661" s="53">
        <v>8</v>
      </c>
      <c r="E661" s="36" t="s">
        <v>223</v>
      </c>
      <c r="F661" s="36" t="s">
        <v>224</v>
      </c>
      <c r="G661" s="36" t="s">
        <v>225</v>
      </c>
      <c r="H661" s="36" t="s">
        <v>226</v>
      </c>
      <c r="I661" s="36" t="s">
        <v>239</v>
      </c>
      <c r="J661" s="36" t="s">
        <v>240</v>
      </c>
      <c r="K661" s="3"/>
      <c r="L661" s="36">
        <v>26</v>
      </c>
      <c r="M661" s="3" t="s">
        <v>229</v>
      </c>
      <c r="N661" s="36" t="s">
        <v>240</v>
      </c>
      <c r="O661" s="3">
        <v>268</v>
      </c>
      <c r="P661" s="3">
        <f t="shared" si="33"/>
        <v>9.7014925373134329</v>
      </c>
      <c r="Q661" s="36">
        <v>2229.6020612656475</v>
      </c>
      <c r="R661" s="8">
        <f t="shared" si="34"/>
        <v>216.30467758547329</v>
      </c>
      <c r="S661" s="36">
        <v>2233.4369889346508</v>
      </c>
      <c r="T661" s="40">
        <f t="shared" si="35"/>
        <v>9.684834569192418</v>
      </c>
      <c r="U661" s="109"/>
      <c r="V661" s="3"/>
      <c r="W661" s="3"/>
      <c r="X661" s="3"/>
      <c r="Y661" s="3"/>
      <c r="Z661" s="3"/>
      <c r="AA661" s="3"/>
      <c r="AB661" s="3"/>
      <c r="AC661" s="3"/>
      <c r="AD661" s="3"/>
      <c r="AE661" s="3"/>
    </row>
    <row r="662" spans="1:31" ht="20.25" customHeight="1">
      <c r="A662" s="13">
        <v>42867</v>
      </c>
      <c r="B662" s="72" t="s">
        <v>144</v>
      </c>
      <c r="C662" s="165">
        <v>2017</v>
      </c>
      <c r="D662" s="53">
        <v>8</v>
      </c>
      <c r="E662" s="36" t="s">
        <v>288</v>
      </c>
      <c r="F662" s="36" t="s">
        <v>289</v>
      </c>
      <c r="G662" s="36"/>
      <c r="H662" s="36"/>
      <c r="I662" s="36"/>
      <c r="J662" s="36"/>
      <c r="K662" s="36"/>
      <c r="L662" s="36">
        <v>28</v>
      </c>
      <c r="M662" s="36" t="s">
        <v>221</v>
      </c>
      <c r="N662" s="36" t="s">
        <v>499</v>
      </c>
      <c r="O662" s="3">
        <v>42</v>
      </c>
      <c r="P662" s="3">
        <f t="shared" si="33"/>
        <v>66.666666666666657</v>
      </c>
      <c r="Q662" s="36">
        <v>3.8349276690030769</v>
      </c>
      <c r="R662" s="8">
        <f t="shared" si="34"/>
        <v>2.5566184460020507</v>
      </c>
      <c r="S662" s="36">
        <v>2233.4369889346508</v>
      </c>
      <c r="T662" s="40">
        <f t="shared" si="35"/>
        <v>0.1144701399085164</v>
      </c>
      <c r="U662" s="109"/>
      <c r="V662" s="36">
        <v>1000</v>
      </c>
      <c r="W662" s="3"/>
      <c r="X662" s="3"/>
      <c r="Y662" s="3"/>
      <c r="Z662" s="3"/>
      <c r="AA662" s="3"/>
      <c r="AB662" s="3"/>
      <c r="AC662" s="3"/>
      <c r="AD662" s="3"/>
      <c r="AE662" s="3"/>
    </row>
    <row r="663" spans="1:31" ht="20.25" customHeight="1">
      <c r="A663" s="13">
        <v>42867</v>
      </c>
      <c r="B663" s="72" t="s">
        <v>144</v>
      </c>
      <c r="C663" s="165">
        <v>2017</v>
      </c>
      <c r="D663" s="53">
        <v>8</v>
      </c>
      <c r="E663" s="3" t="s">
        <v>223</v>
      </c>
      <c r="F663" s="3" t="s">
        <v>224</v>
      </c>
      <c r="G663" s="3" t="s">
        <v>225</v>
      </c>
      <c r="H663" s="3" t="s">
        <v>248</v>
      </c>
      <c r="I663" s="3" t="s">
        <v>249</v>
      </c>
      <c r="J663" s="3" t="s">
        <v>250</v>
      </c>
      <c r="K663" s="3"/>
      <c r="L663" s="3">
        <v>28</v>
      </c>
      <c r="M663" s="3" t="s">
        <v>229</v>
      </c>
      <c r="N663" s="3" t="s">
        <v>250</v>
      </c>
      <c r="O663" s="3">
        <v>268</v>
      </c>
      <c r="P663" s="3">
        <f t="shared" si="33"/>
        <v>10.44776119402985</v>
      </c>
      <c r="Q663" s="36">
        <v>2229.6020612656475</v>
      </c>
      <c r="R663" s="8">
        <f t="shared" si="34"/>
        <v>232.94349893820197</v>
      </c>
      <c r="S663" s="36">
        <v>2233.4369889346508</v>
      </c>
      <c r="T663" s="40">
        <f t="shared" si="35"/>
        <v>10.429821843745678</v>
      </c>
      <c r="U663" s="109"/>
      <c r="V663" s="3"/>
      <c r="W663" s="3"/>
      <c r="X663" s="3"/>
      <c r="Y663" s="3"/>
      <c r="Z663" s="3"/>
      <c r="AA663" s="3"/>
      <c r="AB663" s="3"/>
      <c r="AC663" s="3"/>
      <c r="AD663" s="3"/>
      <c r="AE663" s="3"/>
    </row>
    <row r="664" spans="1:31" ht="20.25" customHeight="1">
      <c r="A664" s="13">
        <v>42867</v>
      </c>
      <c r="B664" s="72" t="s">
        <v>144</v>
      </c>
      <c r="C664" s="165">
        <v>2017</v>
      </c>
      <c r="D664" s="53">
        <v>8</v>
      </c>
      <c r="E664" s="51" t="s">
        <v>216</v>
      </c>
      <c r="F664" s="51" t="s">
        <v>217</v>
      </c>
      <c r="G664" s="51"/>
      <c r="H664" s="51"/>
      <c r="I664" s="51"/>
      <c r="J664" s="3" t="s">
        <v>647</v>
      </c>
      <c r="K664" s="3"/>
      <c r="L664" s="3">
        <v>120</v>
      </c>
      <c r="M664" s="36" t="s">
        <v>229</v>
      </c>
      <c r="N664" s="3" t="s">
        <v>219</v>
      </c>
      <c r="O664" s="3">
        <v>268</v>
      </c>
      <c r="P664" s="3">
        <f t="shared" si="33"/>
        <v>44.776119402985074</v>
      </c>
      <c r="Q664" s="36">
        <v>2229.6020612656475</v>
      </c>
      <c r="R664" s="8">
        <f t="shared" si="34"/>
        <v>998.32928116372284</v>
      </c>
      <c r="S664" s="36">
        <v>2233.4369889346508</v>
      </c>
      <c r="T664" s="40">
        <f t="shared" si="35"/>
        <v>44.699236473195768</v>
      </c>
      <c r="U664" s="109"/>
      <c r="V664" s="3"/>
      <c r="W664" s="3"/>
      <c r="X664" s="3"/>
      <c r="Y664" s="3"/>
      <c r="Z664" s="3"/>
      <c r="AA664" s="3"/>
      <c r="AB664" s="3"/>
      <c r="AC664" s="3"/>
      <c r="AD664" s="3"/>
      <c r="AE664" s="3"/>
    </row>
    <row r="665" spans="1:31" ht="20.25" customHeight="1">
      <c r="A665" s="13">
        <v>42867</v>
      </c>
      <c r="B665" s="72" t="s">
        <v>144</v>
      </c>
      <c r="C665" s="165">
        <v>2017</v>
      </c>
      <c r="D665" s="53">
        <v>8</v>
      </c>
      <c r="E665" s="36" t="s">
        <v>223</v>
      </c>
      <c r="F665" s="36" t="s">
        <v>224</v>
      </c>
      <c r="G665" s="36" t="s">
        <v>225</v>
      </c>
      <c r="H665" s="36" t="s">
        <v>226</v>
      </c>
      <c r="I665" s="36" t="s">
        <v>253</v>
      </c>
      <c r="J665" s="36" t="s">
        <v>256</v>
      </c>
      <c r="K665" s="3"/>
      <c r="L665" s="36">
        <v>23</v>
      </c>
      <c r="M665" s="3" t="s">
        <v>229</v>
      </c>
      <c r="N665" s="36" t="s">
        <v>256</v>
      </c>
      <c r="O665" s="3">
        <v>268</v>
      </c>
      <c r="P665" s="3">
        <f t="shared" si="33"/>
        <v>8.5820895522388057</v>
      </c>
      <c r="Q665" s="36">
        <v>2229.6020612656475</v>
      </c>
      <c r="R665" s="8">
        <f t="shared" si="34"/>
        <v>191.34644555638019</v>
      </c>
      <c r="S665" s="36">
        <v>2233.4369889346508</v>
      </c>
      <c r="T665" s="40">
        <f t="shared" si="35"/>
        <v>8.5673536573625224</v>
      </c>
      <c r="U665" s="109"/>
      <c r="V665" s="3"/>
      <c r="W665" s="3"/>
      <c r="X665" s="3"/>
      <c r="Y665" s="3"/>
      <c r="Z665" s="3"/>
      <c r="AA665" s="3"/>
      <c r="AB665" s="3"/>
      <c r="AC665" s="3"/>
      <c r="AD665" s="3"/>
      <c r="AE665" s="3"/>
    </row>
    <row r="666" spans="1:31" ht="20.25" customHeight="1">
      <c r="A666" s="13">
        <v>42867</v>
      </c>
      <c r="B666" s="35" t="s">
        <v>144</v>
      </c>
      <c r="C666" s="165">
        <v>2017</v>
      </c>
      <c r="D666" s="53">
        <v>8</v>
      </c>
      <c r="E666" s="51" t="s">
        <v>223</v>
      </c>
      <c r="F666" s="51" t="s">
        <v>224</v>
      </c>
      <c r="G666" s="51" t="s">
        <v>225</v>
      </c>
      <c r="H666" s="51" t="s">
        <v>226</v>
      </c>
      <c r="I666" s="51" t="s">
        <v>239</v>
      </c>
      <c r="J666" s="3" t="s">
        <v>258</v>
      </c>
      <c r="K666" s="3" t="s">
        <v>259</v>
      </c>
      <c r="L666" s="3">
        <v>5</v>
      </c>
      <c r="M666" s="3" t="s">
        <v>247</v>
      </c>
      <c r="N666" s="3" t="s">
        <v>260</v>
      </c>
      <c r="O666" s="3">
        <v>268</v>
      </c>
      <c r="P666" s="3">
        <f t="shared" si="33"/>
        <v>1.8656716417910446</v>
      </c>
      <c r="Q666" s="36">
        <v>2229.6020612656475</v>
      </c>
      <c r="R666" s="8">
        <f t="shared" si="34"/>
        <v>41.59705338182178</v>
      </c>
      <c r="S666" s="36">
        <v>2233.4369889346508</v>
      </c>
      <c r="T666" s="40">
        <f t="shared" si="35"/>
        <v>1.8624681863831569</v>
      </c>
      <c r="U666" s="109"/>
      <c r="V666" s="3"/>
      <c r="W666" s="3"/>
      <c r="X666" s="3"/>
      <c r="Y666" s="3"/>
      <c r="Z666" s="3"/>
      <c r="AA666" s="3"/>
      <c r="AB666" s="3"/>
      <c r="AC666" s="3"/>
      <c r="AD666" s="3"/>
      <c r="AE666" s="3"/>
    </row>
    <row r="667" spans="1:31" ht="20.25" customHeight="1">
      <c r="A667" s="13">
        <v>42867</v>
      </c>
      <c r="B667" s="35" t="s">
        <v>144</v>
      </c>
      <c r="C667" s="165">
        <v>2017</v>
      </c>
      <c r="D667" s="53">
        <v>8</v>
      </c>
      <c r="E667" s="65" t="s">
        <v>223</v>
      </c>
      <c r="F667" s="65" t="s">
        <v>224</v>
      </c>
      <c r="G667" s="65" t="s">
        <v>225</v>
      </c>
      <c r="H667" s="65" t="s">
        <v>226</v>
      </c>
      <c r="I667" s="65" t="s">
        <v>261</v>
      </c>
      <c r="J667" s="36" t="s">
        <v>262</v>
      </c>
      <c r="K667" s="36"/>
      <c r="L667" s="36">
        <v>21</v>
      </c>
      <c r="M667" s="3" t="s">
        <v>229</v>
      </c>
      <c r="N667" s="36" t="s">
        <v>264</v>
      </c>
      <c r="O667" s="3">
        <v>268</v>
      </c>
      <c r="P667" s="3">
        <f t="shared" si="33"/>
        <v>7.8358208955223887</v>
      </c>
      <c r="Q667" s="36">
        <v>2229.6020612656475</v>
      </c>
      <c r="R667" s="8">
        <f t="shared" si="34"/>
        <v>174.70762420365151</v>
      </c>
      <c r="S667" s="36">
        <v>2233.4369889346508</v>
      </c>
      <c r="T667" s="40">
        <f t="shared" si="35"/>
        <v>7.8223663828092604</v>
      </c>
      <c r="U667" s="109"/>
      <c r="V667" s="3"/>
      <c r="W667" s="3"/>
      <c r="X667" s="3"/>
      <c r="Y667" s="3"/>
      <c r="Z667" s="3"/>
      <c r="AA667" s="3"/>
      <c r="AB667" s="3"/>
      <c r="AC667" s="3"/>
      <c r="AD667" s="3"/>
      <c r="AE667" s="3"/>
    </row>
    <row r="668" spans="1:31" ht="20.25" customHeight="1">
      <c r="A668" s="13">
        <v>42867</v>
      </c>
      <c r="B668" s="35" t="s">
        <v>144</v>
      </c>
      <c r="C668" s="165">
        <v>2017</v>
      </c>
      <c r="D668" s="53">
        <v>5</v>
      </c>
      <c r="E668" s="3" t="s">
        <v>223</v>
      </c>
      <c r="F668" s="3" t="s">
        <v>224</v>
      </c>
      <c r="G668" s="3" t="s">
        <v>225</v>
      </c>
      <c r="H668" s="3" t="s">
        <v>226</v>
      </c>
      <c r="I668" s="3" t="s">
        <v>227</v>
      </c>
      <c r="J668" s="3" t="s">
        <v>228</v>
      </c>
      <c r="K668" s="3"/>
      <c r="L668" s="36">
        <v>10</v>
      </c>
      <c r="M668" s="3" t="s">
        <v>229</v>
      </c>
      <c r="N668" s="36" t="s">
        <v>228</v>
      </c>
      <c r="O668" s="3">
        <v>222</v>
      </c>
      <c r="P668" s="3">
        <f t="shared" si="33"/>
        <v>4.5045045045045047</v>
      </c>
      <c r="Q668" s="36">
        <v>4582.1493154223708</v>
      </c>
      <c r="R668" s="8">
        <f t="shared" si="34"/>
        <v>206.40312231632302</v>
      </c>
      <c r="S668" s="36">
        <v>4583.6369102759127</v>
      </c>
      <c r="T668" s="40">
        <f t="shared" si="35"/>
        <v>4.5030425916501873</v>
      </c>
      <c r="U668" s="109"/>
      <c r="V668" s="3"/>
      <c r="W668" s="3"/>
      <c r="X668" s="3"/>
      <c r="Y668" s="3"/>
      <c r="Z668" s="3"/>
      <c r="AA668" s="3"/>
      <c r="AB668" s="3"/>
      <c r="AC668" s="3"/>
      <c r="AD668" s="3"/>
      <c r="AE668" s="3"/>
    </row>
    <row r="669" spans="1:31" ht="20.25" customHeight="1">
      <c r="A669" s="13">
        <v>42867</v>
      </c>
      <c r="B669" s="72" t="s">
        <v>144</v>
      </c>
      <c r="C669" s="165">
        <v>2017</v>
      </c>
      <c r="D669" s="53">
        <v>5</v>
      </c>
      <c r="E669" s="65" t="s">
        <v>209</v>
      </c>
      <c r="F669" s="65" t="s">
        <v>210</v>
      </c>
      <c r="G669" s="65"/>
      <c r="H669" s="65" t="s">
        <v>211</v>
      </c>
      <c r="I669" s="65" t="s">
        <v>212</v>
      </c>
      <c r="J669" s="65" t="s">
        <v>213</v>
      </c>
      <c r="K669" s="36" t="s">
        <v>214</v>
      </c>
      <c r="L669" s="36">
        <v>2</v>
      </c>
      <c r="M669" s="36" t="s">
        <v>247</v>
      </c>
      <c r="N669" s="36" t="s">
        <v>215</v>
      </c>
      <c r="O669" s="3">
        <v>16</v>
      </c>
      <c r="P669" s="3">
        <f t="shared" si="33"/>
        <v>12.5</v>
      </c>
      <c r="Q669" s="36">
        <v>1.4875948535416601</v>
      </c>
      <c r="R669" s="8">
        <f t="shared" si="34"/>
        <v>0.18594935669270751</v>
      </c>
      <c r="S669" s="36">
        <v>4583.6369102759127</v>
      </c>
      <c r="T669" s="40">
        <f t="shared" si="35"/>
        <v>4.0568081707308325E-3</v>
      </c>
      <c r="U669" s="109"/>
      <c r="V669" s="65">
        <v>1000</v>
      </c>
      <c r="W669" s="51"/>
      <c r="X669" s="51"/>
      <c r="Y669" s="51"/>
      <c r="Z669" s="3"/>
      <c r="AA669" s="3"/>
      <c r="AB669" s="3"/>
      <c r="AC669" s="3"/>
      <c r="AD669" s="3"/>
      <c r="AE669" s="3"/>
    </row>
    <row r="670" spans="1:31" ht="20.25" customHeight="1">
      <c r="A670" s="13">
        <v>42867</v>
      </c>
      <c r="B670" s="35" t="s">
        <v>144</v>
      </c>
      <c r="C670" s="165">
        <v>2017</v>
      </c>
      <c r="D670" s="53">
        <v>5</v>
      </c>
      <c r="E670" s="36" t="s">
        <v>223</v>
      </c>
      <c r="F670" s="36" t="s">
        <v>267</v>
      </c>
      <c r="G670" s="36"/>
      <c r="H670" s="36" t="s">
        <v>273</v>
      </c>
      <c r="I670" s="65" t="s">
        <v>274</v>
      </c>
      <c r="J670" s="65" t="s">
        <v>275</v>
      </c>
      <c r="K670" s="36" t="s">
        <v>276</v>
      </c>
      <c r="L670" s="36">
        <v>8</v>
      </c>
      <c r="M670" s="36" t="s">
        <v>247</v>
      </c>
      <c r="N670" s="36" t="s">
        <v>275</v>
      </c>
      <c r="O670" s="3">
        <v>16</v>
      </c>
      <c r="P670" s="3">
        <f t="shared" si="33"/>
        <v>50</v>
      </c>
      <c r="Q670" s="36">
        <v>1.4875948535416601</v>
      </c>
      <c r="R670" s="8">
        <f t="shared" si="34"/>
        <v>0.74379742677083005</v>
      </c>
      <c r="S670" s="36">
        <v>4583.6369102759127</v>
      </c>
      <c r="T670" s="40">
        <f t="shared" si="35"/>
        <v>1.622723268292333E-2</v>
      </c>
      <c r="U670" s="109"/>
      <c r="V670" s="65">
        <v>1000</v>
      </c>
      <c r="W670" s="51"/>
      <c r="X670" s="51"/>
      <c r="Y670" s="51"/>
      <c r="Z670" s="3"/>
      <c r="AA670" s="3"/>
      <c r="AB670" s="3"/>
      <c r="AC670" s="3"/>
      <c r="AD670" s="3"/>
      <c r="AE670" s="3"/>
    </row>
    <row r="671" spans="1:31" ht="20.25" customHeight="1">
      <c r="A671" s="13">
        <v>42867</v>
      </c>
      <c r="B671" s="35" t="s">
        <v>144</v>
      </c>
      <c r="C671" s="165">
        <v>2017</v>
      </c>
      <c r="D671" s="53">
        <v>5</v>
      </c>
      <c r="E671" s="36" t="s">
        <v>223</v>
      </c>
      <c r="F671" s="36" t="s">
        <v>224</v>
      </c>
      <c r="G671" s="36" t="s">
        <v>225</v>
      </c>
      <c r="H671" s="36" t="s">
        <v>226</v>
      </c>
      <c r="I671" s="36" t="s">
        <v>239</v>
      </c>
      <c r="J671" s="36" t="s">
        <v>240</v>
      </c>
      <c r="K671" s="3"/>
      <c r="L671" s="36">
        <v>24</v>
      </c>
      <c r="M671" s="3" t="s">
        <v>229</v>
      </c>
      <c r="N671" s="36" t="s">
        <v>240</v>
      </c>
      <c r="O671" s="3">
        <v>222</v>
      </c>
      <c r="P671" s="3">
        <f t="shared" si="33"/>
        <v>10.810810810810811</v>
      </c>
      <c r="Q671" s="36">
        <v>4582.1493154223708</v>
      </c>
      <c r="R671" s="8">
        <f t="shared" si="34"/>
        <v>495.36749355917522</v>
      </c>
      <c r="S671" s="36">
        <v>4583.6369102759127</v>
      </c>
      <c r="T671" s="40">
        <f t="shared" si="35"/>
        <v>10.80730221996045</v>
      </c>
      <c r="U671" s="109"/>
      <c r="V671" s="3"/>
      <c r="W671" s="3"/>
      <c r="X671" s="3"/>
      <c r="Y671" s="3"/>
      <c r="Z671" s="3"/>
      <c r="AA671" s="3"/>
      <c r="AB671" s="3"/>
      <c r="AC671" s="3"/>
      <c r="AD671" s="3"/>
      <c r="AE671" s="3"/>
    </row>
    <row r="672" spans="1:31" ht="20.25" customHeight="1">
      <c r="A672" s="13">
        <v>42867</v>
      </c>
      <c r="B672" s="35" t="s">
        <v>144</v>
      </c>
      <c r="C672" s="165">
        <v>2017</v>
      </c>
      <c r="D672" s="53">
        <v>5</v>
      </c>
      <c r="E672" s="65" t="s">
        <v>323</v>
      </c>
      <c r="F672" s="65" t="s">
        <v>324</v>
      </c>
      <c r="G672" s="65"/>
      <c r="H672" s="65" t="s">
        <v>325</v>
      </c>
      <c r="I672" s="65" t="s">
        <v>326</v>
      </c>
      <c r="J672" s="36" t="s">
        <v>327</v>
      </c>
      <c r="K672" s="36"/>
      <c r="L672" s="36">
        <v>4</v>
      </c>
      <c r="M672" s="36" t="s">
        <v>509</v>
      </c>
      <c r="N672" s="36" t="s">
        <v>327</v>
      </c>
      <c r="O672" s="3">
        <v>16</v>
      </c>
      <c r="P672" s="3">
        <f t="shared" si="33"/>
        <v>25</v>
      </c>
      <c r="Q672" s="36">
        <v>1.4875948535416601</v>
      </c>
      <c r="R672" s="8">
        <f t="shared" si="34"/>
        <v>0.37189871338541503</v>
      </c>
      <c r="S672" s="36">
        <v>4583.6369102759127</v>
      </c>
      <c r="T672" s="40">
        <f t="shared" si="35"/>
        <v>8.1136163414616651E-3</v>
      </c>
      <c r="U672" s="109"/>
      <c r="V672" s="65">
        <v>1000</v>
      </c>
      <c r="W672" s="51"/>
      <c r="X672" s="51"/>
      <c r="Y672" s="51"/>
      <c r="Z672" s="3"/>
      <c r="AA672" s="3"/>
      <c r="AB672" s="3"/>
      <c r="AC672" s="3"/>
      <c r="AD672" s="3"/>
      <c r="AE672" s="3"/>
    </row>
    <row r="673" spans="1:31" ht="20.25" customHeight="1">
      <c r="A673" s="13">
        <v>42867</v>
      </c>
      <c r="B673" s="72" t="s">
        <v>144</v>
      </c>
      <c r="C673" s="165">
        <v>2017</v>
      </c>
      <c r="D673" s="53">
        <v>5</v>
      </c>
      <c r="E673" s="36" t="s">
        <v>223</v>
      </c>
      <c r="F673" s="36" t="s">
        <v>267</v>
      </c>
      <c r="G673" s="36" t="s">
        <v>278</v>
      </c>
      <c r="H673" s="36" t="s">
        <v>279</v>
      </c>
      <c r="I673" s="65" t="s">
        <v>280</v>
      </c>
      <c r="J673" s="65" t="s">
        <v>284</v>
      </c>
      <c r="K673" s="36" t="s">
        <v>285</v>
      </c>
      <c r="L673" s="36">
        <v>2</v>
      </c>
      <c r="M673" s="36" t="s">
        <v>247</v>
      </c>
      <c r="N673" s="36" t="s">
        <v>24</v>
      </c>
      <c r="O673" s="3">
        <v>16</v>
      </c>
      <c r="P673" s="3">
        <f t="shared" si="33"/>
        <v>12.5</v>
      </c>
      <c r="Q673" s="36">
        <v>1.4875948535416601</v>
      </c>
      <c r="R673" s="8">
        <f t="shared" si="34"/>
        <v>0.18594935669270751</v>
      </c>
      <c r="S673" s="36">
        <v>4583.6369102759127</v>
      </c>
      <c r="T673" s="40">
        <f t="shared" si="35"/>
        <v>4.0568081707308325E-3</v>
      </c>
      <c r="U673" s="109"/>
      <c r="V673" s="65">
        <v>1000</v>
      </c>
      <c r="W673" s="51"/>
      <c r="X673" s="51"/>
      <c r="Y673" s="51"/>
      <c r="Z673" s="3"/>
      <c r="AA673" s="3"/>
      <c r="AB673" s="3"/>
      <c r="AC673" s="3"/>
      <c r="AD673" s="3"/>
      <c r="AE673" s="3"/>
    </row>
    <row r="674" spans="1:31" ht="20.25" customHeight="1">
      <c r="A674" s="71">
        <v>42867</v>
      </c>
      <c r="B674" s="72" t="s">
        <v>144</v>
      </c>
      <c r="C674" s="165">
        <v>2017</v>
      </c>
      <c r="D674" s="53">
        <v>5</v>
      </c>
      <c r="E674" s="3" t="s">
        <v>223</v>
      </c>
      <c r="F674" s="3" t="s">
        <v>224</v>
      </c>
      <c r="G674" s="3" t="s">
        <v>225</v>
      </c>
      <c r="H674" s="3" t="s">
        <v>248</v>
      </c>
      <c r="I674" s="3" t="s">
        <v>249</v>
      </c>
      <c r="J674" s="3" t="s">
        <v>250</v>
      </c>
      <c r="K674" s="3"/>
      <c r="L674" s="3">
        <v>13</v>
      </c>
      <c r="M674" s="3" t="s">
        <v>229</v>
      </c>
      <c r="N674" s="3" t="s">
        <v>250</v>
      </c>
      <c r="O674" s="3">
        <v>222</v>
      </c>
      <c r="P674" s="3">
        <f t="shared" si="33"/>
        <v>5.8558558558558556</v>
      </c>
      <c r="Q674" s="36">
        <v>4582.1493154223708</v>
      </c>
      <c r="R674" s="8">
        <f t="shared" si="34"/>
        <v>268.3240590112199</v>
      </c>
      <c r="S674" s="36">
        <v>4583.6369102759127</v>
      </c>
      <c r="T674" s="40">
        <f t="shared" si="35"/>
        <v>5.8539553691452424</v>
      </c>
      <c r="U674" s="109"/>
      <c r="V674" s="3"/>
      <c r="W674" s="3"/>
      <c r="X674" s="3"/>
      <c r="Y674" s="3"/>
      <c r="Z674" s="3"/>
      <c r="AA674" s="3"/>
      <c r="AB674" s="3"/>
      <c r="AC674" s="3"/>
      <c r="AD674" s="3"/>
      <c r="AE674" s="3"/>
    </row>
    <row r="675" spans="1:31" ht="20.25" customHeight="1">
      <c r="A675" s="35">
        <v>42867</v>
      </c>
      <c r="B675" s="72" t="s">
        <v>144</v>
      </c>
      <c r="C675" s="165">
        <v>2017</v>
      </c>
      <c r="D675" s="53">
        <v>5</v>
      </c>
      <c r="E675" s="65" t="s">
        <v>216</v>
      </c>
      <c r="F675" s="65" t="s">
        <v>217</v>
      </c>
      <c r="G675" s="65"/>
      <c r="H675" s="65"/>
      <c r="I675" s="65"/>
      <c r="J675" s="36" t="s">
        <v>647</v>
      </c>
      <c r="K675" s="36"/>
      <c r="L675" s="36">
        <v>156</v>
      </c>
      <c r="M675" s="36" t="s">
        <v>229</v>
      </c>
      <c r="N675" s="36" t="s">
        <v>219</v>
      </c>
      <c r="O675" s="36">
        <v>222</v>
      </c>
      <c r="P675" s="36">
        <f t="shared" si="33"/>
        <v>70.270270270270274</v>
      </c>
      <c r="Q675" s="36">
        <v>4582.1493154223708</v>
      </c>
      <c r="R675" s="53">
        <f t="shared" si="34"/>
        <v>3219.8887081346393</v>
      </c>
      <c r="S675" s="36">
        <v>4583.6369102759127</v>
      </c>
      <c r="T675" s="53">
        <f t="shared" si="35"/>
        <v>70.247464429742919</v>
      </c>
      <c r="U675" s="53"/>
      <c r="V675" s="36"/>
      <c r="W675" s="36"/>
      <c r="X675" s="36"/>
      <c r="Y675" s="36"/>
      <c r="Z675" s="3"/>
      <c r="AA675" s="3"/>
      <c r="AB675" s="3"/>
      <c r="AC675" s="3"/>
      <c r="AD675" s="3"/>
      <c r="AE675" s="3"/>
    </row>
    <row r="676" spans="1:31" ht="20.25" customHeight="1">
      <c r="A676" s="13">
        <v>42867</v>
      </c>
      <c r="B676" s="35" t="s">
        <v>144</v>
      </c>
      <c r="C676" s="165">
        <v>2017</v>
      </c>
      <c r="D676" s="53">
        <v>5</v>
      </c>
      <c r="E676" s="51" t="s">
        <v>216</v>
      </c>
      <c r="F676" s="3" t="s">
        <v>217</v>
      </c>
      <c r="G676" s="3"/>
      <c r="H676" s="51"/>
      <c r="I676" s="51"/>
      <c r="J676" s="51" t="s">
        <v>653</v>
      </c>
      <c r="K676" s="3"/>
      <c r="L676" s="3">
        <v>2</v>
      </c>
      <c r="M676" s="36" t="s">
        <v>229</v>
      </c>
      <c r="N676" s="3" t="s">
        <v>219</v>
      </c>
      <c r="O676" s="3">
        <v>222</v>
      </c>
      <c r="P676" s="3">
        <f t="shared" si="33"/>
        <v>0.90090090090090091</v>
      </c>
      <c r="Q676" s="36">
        <v>4582.1493154223708</v>
      </c>
      <c r="R676" s="8">
        <f t="shared" si="34"/>
        <v>41.280624463264601</v>
      </c>
      <c r="S676" s="36">
        <v>4583.6369102759127</v>
      </c>
      <c r="T676" s="40">
        <f t="shared" si="35"/>
        <v>0.90060851833003741</v>
      </c>
      <c r="U676" s="109"/>
      <c r="V676" s="3"/>
      <c r="W676" s="3"/>
      <c r="X676" s="3"/>
      <c r="Y676" s="3"/>
      <c r="Z676" s="3"/>
      <c r="AA676" s="3"/>
      <c r="AB676" s="3"/>
      <c r="AC676" s="3"/>
      <c r="AD676" s="3"/>
      <c r="AE676" s="3"/>
    </row>
    <row r="677" spans="1:31" ht="20.25" customHeight="1">
      <c r="A677" s="13">
        <v>42867</v>
      </c>
      <c r="B677" s="35" t="s">
        <v>144</v>
      </c>
      <c r="C677" s="165">
        <v>2017</v>
      </c>
      <c r="D677" s="53">
        <v>5</v>
      </c>
      <c r="E677" s="36" t="s">
        <v>223</v>
      </c>
      <c r="F677" s="36" t="s">
        <v>224</v>
      </c>
      <c r="G677" s="36" t="s">
        <v>225</v>
      </c>
      <c r="H677" s="36" t="s">
        <v>226</v>
      </c>
      <c r="I677" s="36" t="s">
        <v>253</v>
      </c>
      <c r="J677" s="36" t="s">
        <v>256</v>
      </c>
      <c r="K677" s="3"/>
      <c r="L677" s="36">
        <v>11</v>
      </c>
      <c r="M677" s="3" t="s">
        <v>229</v>
      </c>
      <c r="N677" s="36" t="s">
        <v>256</v>
      </c>
      <c r="O677" s="3">
        <v>222</v>
      </c>
      <c r="P677" s="3">
        <f t="shared" si="33"/>
        <v>4.954954954954955</v>
      </c>
      <c r="Q677" s="36">
        <v>4582.1493154223708</v>
      </c>
      <c r="R677" s="8">
        <f t="shared" si="34"/>
        <v>227.04343454795531</v>
      </c>
      <c r="S677" s="36">
        <v>4583.6369102759127</v>
      </c>
      <c r="T677" s="40">
        <f t="shared" si="35"/>
        <v>4.9533468508152056</v>
      </c>
      <c r="U677" s="109"/>
      <c r="V677" s="3"/>
      <c r="W677" s="3"/>
      <c r="X677" s="3"/>
      <c r="Y677" s="3"/>
      <c r="Z677" s="3"/>
      <c r="AA677" s="3"/>
      <c r="AB677" s="3"/>
      <c r="AC677" s="3"/>
      <c r="AD677" s="3"/>
      <c r="AE677" s="3"/>
    </row>
    <row r="678" spans="1:31" ht="20.25" customHeight="1">
      <c r="A678" s="71">
        <v>42867</v>
      </c>
      <c r="B678" s="35" t="s">
        <v>144</v>
      </c>
      <c r="C678" s="165">
        <v>2017</v>
      </c>
      <c r="D678" s="53">
        <v>5</v>
      </c>
      <c r="E678" s="65" t="s">
        <v>223</v>
      </c>
      <c r="F678" s="65" t="s">
        <v>224</v>
      </c>
      <c r="G678" s="65" t="s">
        <v>225</v>
      </c>
      <c r="H678" s="65" t="s">
        <v>226</v>
      </c>
      <c r="I678" s="65" t="s">
        <v>261</v>
      </c>
      <c r="J678" s="65" t="s">
        <v>262</v>
      </c>
      <c r="K678" s="36"/>
      <c r="L678" s="36">
        <v>6</v>
      </c>
      <c r="M678" s="3" t="s">
        <v>229</v>
      </c>
      <c r="N678" s="36" t="s">
        <v>264</v>
      </c>
      <c r="O678" s="3">
        <v>222</v>
      </c>
      <c r="P678" s="3">
        <f t="shared" si="33"/>
        <v>2.7027027027027026</v>
      </c>
      <c r="Q678" s="36">
        <v>4582.1493154223708</v>
      </c>
      <c r="R678" s="8">
        <f t="shared" si="34"/>
        <v>123.8418733897938</v>
      </c>
      <c r="S678" s="36">
        <v>4583.6369102759127</v>
      </c>
      <c r="T678" s="40">
        <f t="shared" si="35"/>
        <v>2.7018255549901125</v>
      </c>
      <c r="U678" s="109"/>
      <c r="V678" s="3"/>
      <c r="W678" s="3"/>
      <c r="X678" s="3"/>
      <c r="Y678" s="3"/>
      <c r="Z678" s="3"/>
      <c r="AA678" s="3"/>
      <c r="AB678" s="3"/>
      <c r="AC678" s="3"/>
      <c r="AD678" s="3"/>
      <c r="AE678" s="3"/>
    </row>
    <row r="679" spans="1:31" ht="20.25" customHeight="1">
      <c r="A679" s="13">
        <v>42867</v>
      </c>
      <c r="B679" s="35" t="s">
        <v>144</v>
      </c>
      <c r="C679" s="165">
        <v>2017</v>
      </c>
      <c r="D679" s="53">
        <v>4</v>
      </c>
      <c r="E679" s="3" t="s">
        <v>223</v>
      </c>
      <c r="F679" s="3" t="s">
        <v>224</v>
      </c>
      <c r="G679" s="3" t="s">
        <v>225</v>
      </c>
      <c r="H679" s="3" t="s">
        <v>226</v>
      </c>
      <c r="I679" s="3" t="s">
        <v>227</v>
      </c>
      <c r="J679" s="3" t="s">
        <v>228</v>
      </c>
      <c r="K679" s="3"/>
      <c r="L679" s="36">
        <v>6</v>
      </c>
      <c r="M679" s="3" t="s">
        <v>229</v>
      </c>
      <c r="N679" s="36" t="s">
        <v>228</v>
      </c>
      <c r="O679" s="3">
        <v>225</v>
      </c>
      <c r="P679" s="3">
        <f t="shared" si="33"/>
        <v>2.666666666666667</v>
      </c>
      <c r="Q679" s="36">
        <v>1852.0054673138222</v>
      </c>
      <c r="R679" s="8">
        <f t="shared" si="34"/>
        <v>49.386812461701929</v>
      </c>
      <c r="S679" s="65">
        <v>1883.3822167014901</v>
      </c>
      <c r="T679" s="40">
        <f t="shared" si="35"/>
        <v>2.6222405640102515</v>
      </c>
      <c r="U679" s="109"/>
      <c r="V679" s="3"/>
      <c r="W679" s="3"/>
      <c r="X679" s="3"/>
      <c r="Y679" s="3"/>
      <c r="Z679" s="3"/>
      <c r="AA679" s="3"/>
      <c r="AB679" s="3"/>
      <c r="AC679" s="3"/>
      <c r="AD679" s="3"/>
      <c r="AE679" s="3"/>
    </row>
    <row r="680" spans="1:31" ht="20.25" customHeight="1">
      <c r="A680" s="13">
        <v>42867</v>
      </c>
      <c r="B680" s="35" t="s">
        <v>144</v>
      </c>
      <c r="C680" s="165">
        <v>2017</v>
      </c>
      <c r="D680" s="53">
        <v>4</v>
      </c>
      <c r="E680" s="3" t="s">
        <v>223</v>
      </c>
      <c r="F680" s="3" t="s">
        <v>224</v>
      </c>
      <c r="G680" s="3" t="s">
        <v>225</v>
      </c>
      <c r="H680" s="3" t="s">
        <v>226</v>
      </c>
      <c r="I680" s="3" t="s">
        <v>232</v>
      </c>
      <c r="J680" s="3" t="s">
        <v>233</v>
      </c>
      <c r="K680" s="3" t="s">
        <v>234</v>
      </c>
      <c r="L680" s="3">
        <v>1</v>
      </c>
      <c r="M680" s="3" t="s">
        <v>247</v>
      </c>
      <c r="N680" s="3" t="s">
        <v>233</v>
      </c>
      <c r="O680" s="3">
        <v>225</v>
      </c>
      <c r="P680" s="3">
        <f t="shared" si="33"/>
        <v>0.44444444444444442</v>
      </c>
      <c r="Q680" s="36">
        <v>1852.0054673138222</v>
      </c>
      <c r="R680" s="8">
        <f t="shared" si="34"/>
        <v>8.2311354102836543</v>
      </c>
      <c r="S680" s="36">
        <v>1883.3822167014901</v>
      </c>
      <c r="T680" s="40">
        <f t="shared" si="35"/>
        <v>0.43704009400170857</v>
      </c>
      <c r="U680" s="109"/>
      <c r="V680" s="3"/>
      <c r="W680" s="3"/>
      <c r="X680" s="3"/>
      <c r="Y680" s="3"/>
      <c r="Z680" s="3"/>
      <c r="AA680" s="3"/>
      <c r="AB680" s="3"/>
      <c r="AC680" s="3"/>
      <c r="AD680" s="3"/>
      <c r="AE680" s="3"/>
    </row>
    <row r="681" spans="1:31" s="38" customFormat="1" ht="20.25" customHeight="1">
      <c r="A681" s="13">
        <v>42867</v>
      </c>
      <c r="B681" s="35" t="s">
        <v>144</v>
      </c>
      <c r="C681" s="165">
        <v>2017</v>
      </c>
      <c r="D681" s="53">
        <v>4</v>
      </c>
      <c r="E681" s="36" t="s">
        <v>223</v>
      </c>
      <c r="F681" s="36" t="s">
        <v>224</v>
      </c>
      <c r="G681" s="36" t="s">
        <v>225</v>
      </c>
      <c r="H681" s="36" t="s">
        <v>243</v>
      </c>
      <c r="I681" s="36"/>
      <c r="J681" s="36" t="s">
        <v>507</v>
      </c>
      <c r="K681" s="36"/>
      <c r="L681" s="36">
        <v>1</v>
      </c>
      <c r="M681" s="3" t="s">
        <v>229</v>
      </c>
      <c r="N681" s="36" t="s">
        <v>673</v>
      </c>
      <c r="O681" s="3">
        <v>225</v>
      </c>
      <c r="P681" s="3">
        <f t="shared" si="33"/>
        <v>0.44444444444444442</v>
      </c>
      <c r="Q681" s="36">
        <v>1852.0054673138222</v>
      </c>
      <c r="R681" s="8">
        <f t="shared" si="34"/>
        <v>8.2311354102836543</v>
      </c>
      <c r="S681" s="36">
        <v>1883.3822167014901</v>
      </c>
      <c r="T681" s="40">
        <f t="shared" si="35"/>
        <v>0.43704009400170857</v>
      </c>
      <c r="U681" s="109"/>
      <c r="V681" s="3"/>
      <c r="W681" s="3"/>
      <c r="X681" s="3"/>
      <c r="Y681" s="3"/>
      <c r="Z681" s="36"/>
      <c r="AA681" s="36"/>
      <c r="AB681" s="36"/>
      <c r="AC681" s="36"/>
      <c r="AD681" s="36"/>
      <c r="AE681" s="36"/>
    </row>
    <row r="682" spans="1:31" ht="20.25" customHeight="1">
      <c r="A682" s="13">
        <v>42867</v>
      </c>
      <c r="B682" s="35" t="s">
        <v>144</v>
      </c>
      <c r="C682" s="165">
        <v>2017</v>
      </c>
      <c r="D682" s="53">
        <v>4</v>
      </c>
      <c r="E682" s="36" t="s">
        <v>223</v>
      </c>
      <c r="F682" s="36" t="s">
        <v>267</v>
      </c>
      <c r="G682" s="36"/>
      <c r="H682" s="36" t="s">
        <v>273</v>
      </c>
      <c r="I682" s="36" t="s">
        <v>274</v>
      </c>
      <c r="J682" s="36" t="s">
        <v>275</v>
      </c>
      <c r="K682" s="36" t="s">
        <v>276</v>
      </c>
      <c r="L682" s="36">
        <v>2</v>
      </c>
      <c r="M682" s="36" t="s">
        <v>247</v>
      </c>
      <c r="N682" s="36" t="s">
        <v>275</v>
      </c>
      <c r="O682" s="3">
        <v>664</v>
      </c>
      <c r="P682" s="3">
        <f t="shared" si="33"/>
        <v>0.30120481927710846</v>
      </c>
      <c r="Q682" s="36">
        <v>31.376749387665097</v>
      </c>
      <c r="R682" s="8">
        <f t="shared" si="34"/>
        <v>9.450828128814788E-2</v>
      </c>
      <c r="S682" s="36">
        <v>1883.3822167014873</v>
      </c>
      <c r="T682" s="40">
        <f t="shared" si="35"/>
        <v>5.0180085831790181E-3</v>
      </c>
      <c r="U682" s="109"/>
      <c r="V682" s="36">
        <v>1000</v>
      </c>
      <c r="W682" s="3"/>
      <c r="X682" s="3"/>
      <c r="Y682" s="3"/>
      <c r="Z682" s="3"/>
      <c r="AA682" s="3"/>
      <c r="AB682" s="3"/>
      <c r="AC682" s="3"/>
      <c r="AD682" s="3"/>
      <c r="AE682" s="3"/>
    </row>
    <row r="683" spans="1:31" ht="20.25" customHeight="1">
      <c r="A683" s="13">
        <v>42867</v>
      </c>
      <c r="B683" s="35" t="s">
        <v>144</v>
      </c>
      <c r="C683" s="165">
        <v>2017</v>
      </c>
      <c r="D683" s="53">
        <v>4</v>
      </c>
      <c r="E683" s="36" t="s">
        <v>223</v>
      </c>
      <c r="F683" s="36" t="s">
        <v>224</v>
      </c>
      <c r="G683" s="36" t="s">
        <v>225</v>
      </c>
      <c r="H683" s="36" t="s">
        <v>226</v>
      </c>
      <c r="I683" s="36" t="s">
        <v>239</v>
      </c>
      <c r="J683" s="36" t="s">
        <v>240</v>
      </c>
      <c r="K683" s="3"/>
      <c r="L683" s="36">
        <v>74</v>
      </c>
      <c r="M683" s="3" t="s">
        <v>229</v>
      </c>
      <c r="N683" s="36" t="s">
        <v>240</v>
      </c>
      <c r="O683" s="3">
        <v>225</v>
      </c>
      <c r="P683" s="3">
        <f t="shared" si="33"/>
        <v>32.888888888888893</v>
      </c>
      <c r="Q683" s="36">
        <v>1852.0054673138222</v>
      </c>
      <c r="R683" s="8">
        <f t="shared" si="34"/>
        <v>609.10402036099049</v>
      </c>
      <c r="S683" s="36">
        <v>1883.3822167014901</v>
      </c>
      <c r="T683" s="40">
        <f t="shared" si="35"/>
        <v>32.340966956126437</v>
      </c>
      <c r="U683" s="109"/>
      <c r="V683" s="3"/>
      <c r="W683" s="3"/>
      <c r="X683" s="3"/>
      <c r="Y683" s="3"/>
      <c r="Z683" s="3"/>
      <c r="AA683" s="3"/>
      <c r="AB683" s="3"/>
      <c r="AC683" s="3"/>
      <c r="AD683" s="3"/>
      <c r="AE683" s="3"/>
    </row>
    <row r="684" spans="1:31" ht="20.25" customHeight="1">
      <c r="A684" s="13">
        <v>42867</v>
      </c>
      <c r="B684" s="72" t="s">
        <v>144</v>
      </c>
      <c r="C684" s="165">
        <v>2017</v>
      </c>
      <c r="D684" s="53">
        <v>4</v>
      </c>
      <c r="E684" s="65" t="s">
        <v>323</v>
      </c>
      <c r="F684" s="36" t="s">
        <v>324</v>
      </c>
      <c r="G684" s="36"/>
      <c r="H684" s="65" t="s">
        <v>325</v>
      </c>
      <c r="I684" s="65" t="s">
        <v>326</v>
      </c>
      <c r="J684" s="51"/>
      <c r="K684" s="3"/>
      <c r="L684" s="3">
        <v>22</v>
      </c>
      <c r="M684" s="36" t="s">
        <v>509</v>
      </c>
      <c r="N684" s="36" t="s">
        <v>327</v>
      </c>
      <c r="O684" s="3">
        <v>664</v>
      </c>
      <c r="P684" s="3">
        <f t="shared" si="33"/>
        <v>3.3132530120481931</v>
      </c>
      <c r="Q684" s="36">
        <v>31.376749387665097</v>
      </c>
      <c r="R684" s="8">
        <f t="shared" si="34"/>
        <v>1.0395910941696267</v>
      </c>
      <c r="S684" s="36">
        <v>1883.3822167014901</v>
      </c>
      <c r="T684" s="40">
        <f t="shared" si="35"/>
        <v>5.5198094414969111E-2</v>
      </c>
      <c r="U684" s="109"/>
      <c r="V684" s="36">
        <v>1000</v>
      </c>
      <c r="W684" s="3"/>
      <c r="X684" s="3"/>
      <c r="Y684" s="3"/>
      <c r="Z684" s="3"/>
      <c r="AA684" s="3"/>
      <c r="AB684" s="3"/>
      <c r="AC684" s="3"/>
      <c r="AD684" s="3"/>
      <c r="AE684" s="3"/>
    </row>
    <row r="685" spans="1:31" ht="20.25" customHeight="1">
      <c r="A685" s="13">
        <v>42867</v>
      </c>
      <c r="B685" s="72" t="s">
        <v>144</v>
      </c>
      <c r="C685" s="165">
        <v>2017</v>
      </c>
      <c r="D685" s="53">
        <v>4</v>
      </c>
      <c r="E685" s="3" t="s">
        <v>223</v>
      </c>
      <c r="F685" s="3" t="s">
        <v>224</v>
      </c>
      <c r="G685" s="3" t="s">
        <v>225</v>
      </c>
      <c r="H685" s="3" t="s">
        <v>248</v>
      </c>
      <c r="I685" s="3" t="s">
        <v>359</v>
      </c>
      <c r="J685" s="3" t="s">
        <v>360</v>
      </c>
      <c r="K685" s="3" t="s">
        <v>361</v>
      </c>
      <c r="L685" s="3">
        <v>1</v>
      </c>
      <c r="M685" s="3" t="s">
        <v>247</v>
      </c>
      <c r="N685" s="3" t="s">
        <v>362</v>
      </c>
      <c r="O685" s="3">
        <v>225</v>
      </c>
      <c r="P685" s="3">
        <f t="shared" si="33"/>
        <v>0.44444444444444442</v>
      </c>
      <c r="Q685" s="36">
        <v>1852.0054673138222</v>
      </c>
      <c r="R685" s="8">
        <f t="shared" si="34"/>
        <v>8.2311354102836543</v>
      </c>
      <c r="S685" s="65">
        <v>1883.3822167014901</v>
      </c>
      <c r="T685" s="40">
        <f t="shared" si="35"/>
        <v>0.43704009400170857</v>
      </c>
      <c r="U685" s="109"/>
      <c r="V685" s="3"/>
      <c r="W685" s="3"/>
      <c r="X685" s="3"/>
      <c r="Y685" s="3"/>
      <c r="Z685" s="3"/>
      <c r="AA685" s="3"/>
      <c r="AB685" s="3"/>
      <c r="AC685" s="3"/>
      <c r="AD685" s="3"/>
      <c r="AE685" s="3"/>
    </row>
    <row r="686" spans="1:31" ht="20.25" customHeight="1">
      <c r="A686" s="13">
        <v>42867</v>
      </c>
      <c r="B686" s="72" t="s">
        <v>144</v>
      </c>
      <c r="C686" s="165">
        <v>2017</v>
      </c>
      <c r="D686" s="53">
        <v>4</v>
      </c>
      <c r="E686" s="65" t="s">
        <v>223</v>
      </c>
      <c r="F686" s="65" t="s">
        <v>224</v>
      </c>
      <c r="G686" s="65" t="s">
        <v>225</v>
      </c>
      <c r="H686" s="65" t="s">
        <v>248</v>
      </c>
      <c r="I686" s="65" t="s">
        <v>359</v>
      </c>
      <c r="J686" s="65" t="s">
        <v>669</v>
      </c>
      <c r="K686" s="36"/>
      <c r="L686" s="36">
        <v>3</v>
      </c>
      <c r="M686" s="36" t="s">
        <v>229</v>
      </c>
      <c r="N686" s="36" t="s">
        <v>669</v>
      </c>
      <c r="O686" s="3">
        <v>225</v>
      </c>
      <c r="P686" s="3">
        <f t="shared" si="33"/>
        <v>1.3333333333333335</v>
      </c>
      <c r="Q686" s="36">
        <v>1852.0054673138222</v>
      </c>
      <c r="R686" s="8">
        <f t="shared" si="34"/>
        <v>24.693406230850965</v>
      </c>
      <c r="S686" s="36">
        <v>1883.3822167014901</v>
      </c>
      <c r="T686" s="40">
        <f t="shared" si="35"/>
        <v>1.3111202820051258</v>
      </c>
      <c r="U686" s="109"/>
      <c r="V686" s="3"/>
      <c r="W686" s="3"/>
      <c r="X686" s="3"/>
      <c r="Y686" s="3"/>
      <c r="Z686" s="3"/>
      <c r="AA686" s="3"/>
      <c r="AB686" s="3"/>
      <c r="AC686" s="3"/>
      <c r="AD686" s="3"/>
      <c r="AE686" s="3"/>
    </row>
    <row r="687" spans="1:31" ht="20.25" customHeight="1">
      <c r="A687" s="13">
        <v>42867</v>
      </c>
      <c r="B687" s="35" t="s">
        <v>144</v>
      </c>
      <c r="C687" s="165">
        <v>2017</v>
      </c>
      <c r="D687" s="53">
        <v>4</v>
      </c>
      <c r="E687" s="36" t="s">
        <v>223</v>
      </c>
      <c r="F687" s="36" t="s">
        <v>267</v>
      </c>
      <c r="G687" s="36" t="s">
        <v>278</v>
      </c>
      <c r="H687" s="36" t="s">
        <v>279</v>
      </c>
      <c r="I687" s="36" t="s">
        <v>280</v>
      </c>
      <c r="J687" s="36" t="s">
        <v>284</v>
      </c>
      <c r="K687" s="36" t="s">
        <v>285</v>
      </c>
      <c r="L687" s="36">
        <v>640</v>
      </c>
      <c r="M687" s="36" t="s">
        <v>247</v>
      </c>
      <c r="N687" s="36" t="s">
        <v>24</v>
      </c>
      <c r="O687" s="3">
        <v>664</v>
      </c>
      <c r="P687" s="3">
        <f t="shared" si="33"/>
        <v>96.385542168674704</v>
      </c>
      <c r="Q687" s="36">
        <v>31.376749387665097</v>
      </c>
      <c r="R687" s="8">
        <f t="shared" si="34"/>
        <v>30.242650012207321</v>
      </c>
      <c r="S687" s="36">
        <v>1883.3822167014873</v>
      </c>
      <c r="T687" s="40">
        <f t="shared" si="35"/>
        <v>1.6057627466172855</v>
      </c>
      <c r="U687" s="109"/>
      <c r="V687" s="36">
        <v>1000</v>
      </c>
      <c r="W687" s="3"/>
      <c r="X687" s="3"/>
      <c r="Y687" s="3"/>
      <c r="Z687" s="3"/>
      <c r="AA687" s="3"/>
      <c r="AB687" s="3"/>
      <c r="AC687" s="3"/>
      <c r="AD687" s="3"/>
      <c r="AE687" s="3"/>
    </row>
    <row r="688" spans="1:31" ht="20.25" customHeight="1">
      <c r="A688" s="13">
        <v>42867</v>
      </c>
      <c r="B688" s="35" t="s">
        <v>144</v>
      </c>
      <c r="C688" s="165">
        <v>2017</v>
      </c>
      <c r="D688" s="53">
        <v>4</v>
      </c>
      <c r="E688" s="36" t="s">
        <v>323</v>
      </c>
      <c r="F688" s="36" t="s">
        <v>489</v>
      </c>
      <c r="G688" s="36"/>
      <c r="H688" s="36" t="s">
        <v>490</v>
      </c>
      <c r="I688" s="36" t="s">
        <v>491</v>
      </c>
      <c r="J688" s="36" t="s">
        <v>371</v>
      </c>
      <c r="K688" s="3" t="s">
        <v>372</v>
      </c>
      <c r="L688" s="3">
        <v>2</v>
      </c>
      <c r="M688" s="3" t="s">
        <v>247</v>
      </c>
      <c r="N688" s="3" t="s">
        <v>371</v>
      </c>
      <c r="O688" s="3">
        <v>225</v>
      </c>
      <c r="P688" s="3">
        <f t="shared" si="33"/>
        <v>0.88888888888888884</v>
      </c>
      <c r="Q688" s="36">
        <v>1852.0054673138222</v>
      </c>
      <c r="R688" s="8">
        <f t="shared" si="34"/>
        <v>16.462270820567309</v>
      </c>
      <c r="S688" s="36">
        <v>1883.3822167014901</v>
      </c>
      <c r="T688" s="40">
        <f t="shared" si="35"/>
        <v>0.87408018800341714</v>
      </c>
      <c r="U688" s="109"/>
      <c r="V688" s="3"/>
      <c r="W688" s="3"/>
      <c r="X688" s="3"/>
      <c r="Y688" s="3"/>
      <c r="Z688" s="3"/>
      <c r="AA688" s="3"/>
      <c r="AB688" s="3"/>
      <c r="AC688" s="3"/>
      <c r="AD688" s="3"/>
      <c r="AE688" s="3"/>
    </row>
    <row r="689" spans="1:31" ht="20.25" customHeight="1">
      <c r="A689" s="13">
        <v>42867</v>
      </c>
      <c r="B689" s="35" t="s">
        <v>144</v>
      </c>
      <c r="C689" s="165">
        <v>2017</v>
      </c>
      <c r="D689" s="53">
        <v>4</v>
      </c>
      <c r="E689" s="3" t="s">
        <v>223</v>
      </c>
      <c r="F689" s="3" t="s">
        <v>224</v>
      </c>
      <c r="G689" s="3" t="s">
        <v>225</v>
      </c>
      <c r="H689" s="3" t="s">
        <v>248</v>
      </c>
      <c r="I689" s="3" t="s">
        <v>249</v>
      </c>
      <c r="J689" s="3" t="s">
        <v>250</v>
      </c>
      <c r="K689" s="3"/>
      <c r="L689" s="3">
        <v>14</v>
      </c>
      <c r="M689" s="3" t="s">
        <v>229</v>
      </c>
      <c r="N689" s="3" t="s">
        <v>250</v>
      </c>
      <c r="O689" s="3">
        <v>225</v>
      </c>
      <c r="P689" s="3">
        <f t="shared" si="33"/>
        <v>6.2222222222222223</v>
      </c>
      <c r="Q689" s="36">
        <v>1852.0054673138222</v>
      </c>
      <c r="R689" s="8">
        <f t="shared" si="34"/>
        <v>115.23589574397116</v>
      </c>
      <c r="S689" s="36">
        <v>1883.3822167014901</v>
      </c>
      <c r="T689" s="40">
        <f t="shared" si="35"/>
        <v>6.1185613160239196</v>
      </c>
      <c r="U689" s="109"/>
      <c r="V689" s="3"/>
      <c r="W689" s="3"/>
      <c r="X689" s="3"/>
      <c r="Y689" s="3"/>
      <c r="Z689" s="3"/>
      <c r="AA689" s="3"/>
      <c r="AB689" s="3"/>
      <c r="AC689" s="3"/>
      <c r="AD689" s="3"/>
      <c r="AE689" s="3"/>
    </row>
    <row r="690" spans="1:31" ht="20.25" customHeight="1">
      <c r="A690" s="13">
        <v>42867</v>
      </c>
      <c r="B690" s="35" t="s">
        <v>144</v>
      </c>
      <c r="C690" s="165">
        <v>2017</v>
      </c>
      <c r="D690" s="53">
        <v>4</v>
      </c>
      <c r="E690" s="51" t="s">
        <v>216</v>
      </c>
      <c r="F690" s="51" t="s">
        <v>217</v>
      </c>
      <c r="G690" s="51"/>
      <c r="H690" s="51"/>
      <c r="I690" s="51"/>
      <c r="J690" s="51" t="s">
        <v>647</v>
      </c>
      <c r="K690" s="51"/>
      <c r="L690" s="51">
        <v>107</v>
      </c>
      <c r="M690" s="65" t="s">
        <v>229</v>
      </c>
      <c r="N690" s="51" t="s">
        <v>219</v>
      </c>
      <c r="O690" s="3">
        <v>225</v>
      </c>
      <c r="P690" s="3">
        <f t="shared" si="33"/>
        <v>47.555555555555557</v>
      </c>
      <c r="Q690" s="36">
        <v>1852.0054673138222</v>
      </c>
      <c r="R690" s="8">
        <f t="shared" si="34"/>
        <v>880.731488900351</v>
      </c>
      <c r="S690" s="36">
        <v>1883.3822167014901</v>
      </c>
      <c r="T690" s="40">
        <f t="shared" si="35"/>
        <v>46.763290058182818</v>
      </c>
      <c r="U690" s="109"/>
      <c r="V690" s="3"/>
      <c r="W690" s="3"/>
      <c r="X690" s="3"/>
      <c r="Y690" s="3"/>
      <c r="Z690" s="3"/>
      <c r="AA690" s="3"/>
      <c r="AB690" s="3"/>
      <c r="AC690" s="3"/>
      <c r="AD690" s="3"/>
      <c r="AE690" s="3"/>
    </row>
    <row r="691" spans="1:31" ht="20.25" customHeight="1">
      <c r="A691" s="13">
        <v>42867</v>
      </c>
      <c r="B691" s="35" t="s">
        <v>144</v>
      </c>
      <c r="C691" s="165">
        <v>2017</v>
      </c>
      <c r="D691" s="53">
        <v>4</v>
      </c>
      <c r="E691" s="36" t="s">
        <v>223</v>
      </c>
      <c r="F691" s="36" t="s">
        <v>224</v>
      </c>
      <c r="G691" s="36" t="s">
        <v>225</v>
      </c>
      <c r="H691" s="36" t="s">
        <v>226</v>
      </c>
      <c r="I691" s="36" t="s">
        <v>253</v>
      </c>
      <c r="J691" s="36" t="s">
        <v>256</v>
      </c>
      <c r="K691" s="3"/>
      <c r="L691" s="36">
        <v>14</v>
      </c>
      <c r="M691" s="3" t="s">
        <v>229</v>
      </c>
      <c r="N691" s="36" t="s">
        <v>256</v>
      </c>
      <c r="O691" s="3">
        <v>225</v>
      </c>
      <c r="P691" s="3">
        <f t="shared" si="33"/>
        <v>6.2222222222222223</v>
      </c>
      <c r="Q691" s="36">
        <v>1852.0054673138222</v>
      </c>
      <c r="R691" s="8">
        <f t="shared" si="34"/>
        <v>115.23589574397116</v>
      </c>
      <c r="S691" s="36">
        <v>1883.3822167014901</v>
      </c>
      <c r="T691" s="40">
        <f t="shared" si="35"/>
        <v>6.1185613160239196</v>
      </c>
      <c r="U691" s="109"/>
      <c r="V691" s="3"/>
      <c r="W691" s="3"/>
      <c r="X691" s="3"/>
      <c r="Y691" s="3"/>
      <c r="Z691" s="3"/>
      <c r="AA691" s="3"/>
      <c r="AB691" s="3"/>
      <c r="AC691" s="3"/>
      <c r="AD691" s="3"/>
      <c r="AE691" s="3"/>
    </row>
    <row r="692" spans="1:31" ht="20.25" customHeight="1">
      <c r="A692" s="13">
        <v>42867</v>
      </c>
      <c r="B692" s="35" t="s">
        <v>144</v>
      </c>
      <c r="C692" s="165">
        <v>2017</v>
      </c>
      <c r="D692" s="53">
        <v>4</v>
      </c>
      <c r="E692" s="65" t="s">
        <v>223</v>
      </c>
      <c r="F692" s="65" t="s">
        <v>224</v>
      </c>
      <c r="G692" s="65" t="s">
        <v>225</v>
      </c>
      <c r="H692" s="65" t="s">
        <v>226</v>
      </c>
      <c r="I692" s="65" t="s">
        <v>261</v>
      </c>
      <c r="J692" s="36" t="s">
        <v>262</v>
      </c>
      <c r="K692" s="36"/>
      <c r="L692" s="36">
        <v>2</v>
      </c>
      <c r="M692" s="3" t="s">
        <v>229</v>
      </c>
      <c r="N692" s="36" t="s">
        <v>264</v>
      </c>
      <c r="O692" s="3">
        <v>225</v>
      </c>
      <c r="P692" s="3">
        <f t="shared" si="33"/>
        <v>0.88888888888888884</v>
      </c>
      <c r="Q692" s="36">
        <v>1852.0054673138222</v>
      </c>
      <c r="R692" s="8">
        <f t="shared" si="34"/>
        <v>16.462270820567309</v>
      </c>
      <c r="S692" s="36">
        <v>1883.3822167014901</v>
      </c>
      <c r="T692" s="40">
        <f t="shared" si="35"/>
        <v>0.87408018800341714</v>
      </c>
      <c r="U692" s="109"/>
      <c r="V692" s="3"/>
      <c r="W692" s="3"/>
      <c r="X692" s="3"/>
      <c r="Y692" s="3"/>
      <c r="Z692" s="3"/>
      <c r="AA692" s="3"/>
      <c r="AB692" s="3"/>
      <c r="AC692" s="3"/>
      <c r="AD692" s="3"/>
      <c r="AE692" s="3"/>
    </row>
    <row r="693" spans="1:31" ht="20.25" customHeight="1">
      <c r="A693" s="13">
        <v>42867</v>
      </c>
      <c r="B693" s="35" t="s">
        <v>144</v>
      </c>
      <c r="C693" s="165">
        <v>2017</v>
      </c>
      <c r="D693" s="53">
        <v>2</v>
      </c>
      <c r="E693" s="3" t="s">
        <v>223</v>
      </c>
      <c r="F693" s="3" t="s">
        <v>310</v>
      </c>
      <c r="G693" s="3" t="s">
        <v>314</v>
      </c>
      <c r="H693" s="3" t="s">
        <v>311</v>
      </c>
      <c r="I693" s="3" t="s">
        <v>312</v>
      </c>
      <c r="J693" s="3" t="s">
        <v>313</v>
      </c>
      <c r="K693" s="3"/>
      <c r="L693" s="3">
        <v>3</v>
      </c>
      <c r="M693" s="3" t="s">
        <v>229</v>
      </c>
      <c r="N693" s="3" t="s">
        <v>345</v>
      </c>
      <c r="O693" s="3">
        <v>216</v>
      </c>
      <c r="P693" s="3">
        <f t="shared" si="33"/>
        <v>1.3888888888888888</v>
      </c>
      <c r="Q693" s="36">
        <v>1137.7466967017995</v>
      </c>
      <c r="R693" s="8">
        <f t="shared" si="34"/>
        <v>15.802037454191659</v>
      </c>
      <c r="S693" s="36">
        <v>1137.7466967017995</v>
      </c>
      <c r="T693" s="40">
        <f t="shared" si="35"/>
        <v>1.3888888888888888</v>
      </c>
      <c r="U693" s="109"/>
      <c r="V693" s="3"/>
      <c r="W693" s="3"/>
      <c r="X693" s="3"/>
      <c r="Y693" s="3"/>
      <c r="Z693" s="3"/>
      <c r="AA693" s="3"/>
      <c r="AB693" s="3"/>
      <c r="AC693" s="3"/>
      <c r="AD693" s="3"/>
      <c r="AE693" s="3"/>
    </row>
    <row r="694" spans="1:31" ht="20.25" customHeight="1">
      <c r="A694" s="13">
        <v>42867</v>
      </c>
      <c r="B694" s="35" t="s">
        <v>144</v>
      </c>
      <c r="C694" s="165">
        <v>2017</v>
      </c>
      <c r="D694" s="53">
        <v>2</v>
      </c>
      <c r="E694" s="36" t="s">
        <v>223</v>
      </c>
      <c r="F694" s="36" t="s">
        <v>224</v>
      </c>
      <c r="G694" s="36" t="s">
        <v>225</v>
      </c>
      <c r="H694" s="36" t="s">
        <v>226</v>
      </c>
      <c r="I694" s="36" t="s">
        <v>239</v>
      </c>
      <c r="J694" s="36" t="s">
        <v>240</v>
      </c>
      <c r="K694" s="3"/>
      <c r="L694" s="36">
        <v>211</v>
      </c>
      <c r="M694" s="3" t="s">
        <v>229</v>
      </c>
      <c r="N694" s="36" t="s">
        <v>240</v>
      </c>
      <c r="O694" s="3">
        <v>216</v>
      </c>
      <c r="P694" s="3">
        <f t="shared" si="33"/>
        <v>97.68518518518519</v>
      </c>
      <c r="Q694" s="36">
        <v>1137.7466967017995</v>
      </c>
      <c r="R694" s="8">
        <f t="shared" si="34"/>
        <v>1111.4099676114799</v>
      </c>
      <c r="S694" s="36">
        <v>1137.7466967017995</v>
      </c>
      <c r="T694" s="40">
        <f t="shared" si="35"/>
        <v>97.685185185185176</v>
      </c>
      <c r="U694" s="109"/>
      <c r="V694" s="3"/>
      <c r="W694" s="3"/>
      <c r="X694" s="3"/>
      <c r="Y694" s="3"/>
      <c r="Z694" s="3"/>
      <c r="AA694" s="3"/>
      <c r="AB694" s="3"/>
      <c r="AC694" s="3"/>
      <c r="AD694" s="3"/>
      <c r="AE694" s="3"/>
    </row>
    <row r="695" spans="1:31" ht="20.25" customHeight="1">
      <c r="A695" s="13">
        <v>42867</v>
      </c>
      <c r="B695" s="35" t="s">
        <v>144</v>
      </c>
      <c r="C695" s="165">
        <v>2017</v>
      </c>
      <c r="D695" s="53">
        <v>2</v>
      </c>
      <c r="E695" s="51" t="s">
        <v>216</v>
      </c>
      <c r="F695" s="51" t="s">
        <v>217</v>
      </c>
      <c r="G695" s="51"/>
      <c r="H695" s="51"/>
      <c r="I695" s="51"/>
      <c r="J695" s="3" t="s">
        <v>647</v>
      </c>
      <c r="K695" s="3"/>
      <c r="L695" s="3">
        <v>1</v>
      </c>
      <c r="M695" s="36" t="s">
        <v>229</v>
      </c>
      <c r="N695" s="3" t="s">
        <v>219</v>
      </c>
      <c r="O695" s="3">
        <v>216</v>
      </c>
      <c r="P695" s="3">
        <f t="shared" si="33"/>
        <v>0.46296296296296291</v>
      </c>
      <c r="Q695" s="36">
        <v>1137.7466967017995</v>
      </c>
      <c r="R695" s="8">
        <f t="shared" si="34"/>
        <v>5.2673458180638857</v>
      </c>
      <c r="S695" s="36">
        <v>1137.7466967017995</v>
      </c>
      <c r="T695" s="75">
        <f t="shared" si="35"/>
        <v>0.46296296296296291</v>
      </c>
      <c r="U695" s="109"/>
      <c r="V695" s="3"/>
      <c r="W695" s="3"/>
      <c r="X695" s="3"/>
      <c r="Y695" s="3"/>
      <c r="Z695" s="3"/>
      <c r="AA695" s="3"/>
      <c r="AB695" s="3"/>
      <c r="AC695" s="3"/>
      <c r="AD695" s="3"/>
      <c r="AE695" s="3"/>
    </row>
    <row r="696" spans="1:31" ht="20.25" customHeight="1">
      <c r="A696" s="13">
        <v>42867</v>
      </c>
      <c r="B696" s="35" t="s">
        <v>144</v>
      </c>
      <c r="C696" s="165">
        <v>2017</v>
      </c>
      <c r="D696" s="53">
        <v>2</v>
      </c>
      <c r="E696" s="36" t="s">
        <v>223</v>
      </c>
      <c r="F696" s="36" t="s">
        <v>224</v>
      </c>
      <c r="G696" s="36" t="s">
        <v>225</v>
      </c>
      <c r="H696" s="36" t="s">
        <v>226</v>
      </c>
      <c r="I696" s="36" t="s">
        <v>253</v>
      </c>
      <c r="J696" s="36" t="s">
        <v>256</v>
      </c>
      <c r="K696" s="3"/>
      <c r="L696" s="36">
        <v>1</v>
      </c>
      <c r="M696" s="3" t="s">
        <v>229</v>
      </c>
      <c r="N696" s="36" t="s">
        <v>256</v>
      </c>
      <c r="O696" s="3">
        <v>216</v>
      </c>
      <c r="P696" s="3">
        <f t="shared" si="33"/>
        <v>0.46296296296296291</v>
      </c>
      <c r="Q696" s="36">
        <v>1137.7466967017995</v>
      </c>
      <c r="R696" s="8">
        <f t="shared" si="34"/>
        <v>5.2673458180638857</v>
      </c>
      <c r="S696" s="36">
        <v>1137.7466967017995</v>
      </c>
      <c r="T696" s="40">
        <f t="shared" si="35"/>
        <v>0.46296296296296291</v>
      </c>
      <c r="U696" s="109"/>
      <c r="V696" s="3"/>
      <c r="W696" s="3"/>
      <c r="X696" s="3"/>
      <c r="Y696" s="3"/>
      <c r="Z696" s="3"/>
      <c r="AA696" s="3"/>
      <c r="AB696" s="3"/>
      <c r="AC696" s="3"/>
      <c r="AD696" s="3"/>
      <c r="AE696" s="3"/>
    </row>
    <row r="697" spans="1:31" ht="20.25" customHeight="1">
      <c r="A697" s="13">
        <v>42867</v>
      </c>
      <c r="B697" s="35" t="s">
        <v>144</v>
      </c>
      <c r="C697" s="165">
        <v>2017</v>
      </c>
      <c r="D697" s="53">
        <v>2</v>
      </c>
      <c r="E697" s="3" t="s">
        <v>648</v>
      </c>
      <c r="F697" s="3"/>
      <c r="G697" s="3"/>
      <c r="H697" s="3"/>
      <c r="I697" s="3"/>
      <c r="J697" s="3"/>
      <c r="K697" s="3"/>
      <c r="L697" s="3">
        <v>0</v>
      </c>
      <c r="M697" s="3"/>
      <c r="N697" s="3"/>
      <c r="O697" s="3">
        <v>0</v>
      </c>
      <c r="P697" s="3">
        <v>0</v>
      </c>
      <c r="Q697" s="36">
        <v>0</v>
      </c>
      <c r="R697" s="8">
        <f t="shared" si="34"/>
        <v>0</v>
      </c>
      <c r="S697" s="36">
        <v>1137.7466967017995</v>
      </c>
      <c r="T697" s="40">
        <f t="shared" si="35"/>
        <v>0</v>
      </c>
      <c r="U697" s="109"/>
      <c r="V697" s="36">
        <v>1000</v>
      </c>
      <c r="W697" s="3"/>
      <c r="X697" s="3"/>
      <c r="Y697" s="3"/>
      <c r="Z697" s="3"/>
      <c r="AA697" s="3"/>
      <c r="AB697" s="3"/>
      <c r="AC697" s="3"/>
      <c r="AD697" s="3"/>
      <c r="AE697" s="3"/>
    </row>
    <row r="698" spans="1:31" s="70" customFormat="1" ht="20.25" customHeight="1">
      <c r="A698" s="71">
        <v>42928</v>
      </c>
      <c r="B698" s="35" t="s">
        <v>154</v>
      </c>
      <c r="C698" s="165">
        <v>2017</v>
      </c>
      <c r="D698" s="53">
        <v>8</v>
      </c>
      <c r="E698" s="3" t="s">
        <v>223</v>
      </c>
      <c r="F698" s="3" t="s">
        <v>224</v>
      </c>
      <c r="G698" s="3" t="s">
        <v>225</v>
      </c>
      <c r="H698" s="3" t="s">
        <v>226</v>
      </c>
      <c r="I698" s="3" t="s">
        <v>227</v>
      </c>
      <c r="J698" s="3" t="s">
        <v>228</v>
      </c>
      <c r="K698" s="3"/>
      <c r="L698" s="36">
        <v>77</v>
      </c>
      <c r="M698" s="3" t="s">
        <v>229</v>
      </c>
      <c r="N698" s="36" t="s">
        <v>228</v>
      </c>
      <c r="O698" s="3">
        <v>319</v>
      </c>
      <c r="P698" s="3">
        <f t="shared" ref="P698:P729" si="36">L698/O698*100</f>
        <v>24.137931034482758</v>
      </c>
      <c r="Q698" s="36">
        <v>4676.8426378815902</v>
      </c>
      <c r="R698" s="8">
        <f t="shared" si="34"/>
        <v>1128.8930505231424</v>
      </c>
      <c r="S698" s="36">
        <v>4678.6164968763596</v>
      </c>
      <c r="T698" s="40">
        <f t="shared" si="35"/>
        <v>24.12877933630249</v>
      </c>
      <c r="U698" s="109"/>
      <c r="V698" s="36">
        <v>250</v>
      </c>
      <c r="W698" s="3"/>
      <c r="X698" s="3"/>
      <c r="Y698" s="3"/>
      <c r="Z698" s="67"/>
      <c r="AA698" s="67"/>
      <c r="AB698" s="67"/>
      <c r="AC698" s="67"/>
      <c r="AD698" s="67"/>
      <c r="AE698" s="67"/>
    </row>
    <row r="699" spans="1:31" s="70" customFormat="1" ht="20.25" customHeight="1">
      <c r="A699" s="71">
        <v>42928</v>
      </c>
      <c r="B699" s="35" t="s">
        <v>154</v>
      </c>
      <c r="C699" s="165">
        <v>2017</v>
      </c>
      <c r="D699" s="53">
        <v>8</v>
      </c>
      <c r="E699" s="36" t="s">
        <v>223</v>
      </c>
      <c r="F699" s="36" t="s">
        <v>267</v>
      </c>
      <c r="G699" s="36" t="s">
        <v>278</v>
      </c>
      <c r="H699" s="36" t="s">
        <v>269</v>
      </c>
      <c r="I699" s="36"/>
      <c r="J699" s="36"/>
      <c r="K699" s="36"/>
      <c r="L699" s="36">
        <v>1</v>
      </c>
      <c r="M699" s="36" t="s">
        <v>508</v>
      </c>
      <c r="N699" s="36" t="s">
        <v>270</v>
      </c>
      <c r="O699" s="3">
        <v>26</v>
      </c>
      <c r="P699" s="3">
        <f t="shared" si="36"/>
        <v>3.8461538461538463</v>
      </c>
      <c r="Q699" s="36">
        <v>1.7738589947659333</v>
      </c>
      <c r="R699" s="8">
        <f t="shared" si="34"/>
        <v>6.8225345952535904E-2</v>
      </c>
      <c r="S699" s="36">
        <v>4678.6164968763596</v>
      </c>
      <c r="T699" s="40">
        <f t="shared" si="35"/>
        <v>1.4582376221279518E-3</v>
      </c>
      <c r="U699" s="109"/>
      <c r="V699" s="36">
        <v>1000</v>
      </c>
      <c r="W699" s="3"/>
      <c r="X699" s="3"/>
      <c r="Y699" s="3"/>
      <c r="Z699" s="67"/>
      <c r="AA699" s="67"/>
      <c r="AB699" s="67"/>
      <c r="AC699" s="67"/>
      <c r="AD699" s="67"/>
      <c r="AE699" s="67"/>
    </row>
    <row r="700" spans="1:31" s="70" customFormat="1" ht="20.25" customHeight="1">
      <c r="A700" s="13">
        <v>42928</v>
      </c>
      <c r="B700" s="72" t="s">
        <v>154</v>
      </c>
      <c r="C700" s="165">
        <v>2017</v>
      </c>
      <c r="D700" s="53">
        <v>8</v>
      </c>
      <c r="E700" s="36" t="s">
        <v>223</v>
      </c>
      <c r="F700" s="36" t="s">
        <v>303</v>
      </c>
      <c r="G700" s="36" t="s">
        <v>304</v>
      </c>
      <c r="H700" s="36" t="s">
        <v>305</v>
      </c>
      <c r="I700" s="36" t="s">
        <v>306</v>
      </c>
      <c r="J700" s="36" t="s">
        <v>307</v>
      </c>
      <c r="K700" s="36"/>
      <c r="L700" s="36">
        <v>102</v>
      </c>
      <c r="M700" s="3" t="s">
        <v>229</v>
      </c>
      <c r="N700" s="3" t="s">
        <v>307</v>
      </c>
      <c r="O700" s="3">
        <v>319</v>
      </c>
      <c r="P700" s="3">
        <f t="shared" si="36"/>
        <v>31.974921630094045</v>
      </c>
      <c r="Q700" s="36">
        <v>4676.8426378815902</v>
      </c>
      <c r="R700" s="8">
        <f t="shared" si="34"/>
        <v>1495.4167682254615</v>
      </c>
      <c r="S700" s="36">
        <v>4678.6164968763596</v>
      </c>
      <c r="T700" s="40">
        <f t="shared" si="35"/>
        <v>31.962798601335766</v>
      </c>
      <c r="U700" s="109"/>
      <c r="V700" s="36">
        <v>250</v>
      </c>
      <c r="W700" s="3" t="s">
        <v>308</v>
      </c>
      <c r="X700" s="3"/>
      <c r="Y700" s="3"/>
      <c r="Z700" s="67"/>
      <c r="AA700" s="67"/>
      <c r="AB700" s="67"/>
      <c r="AC700" s="67"/>
      <c r="AD700" s="67"/>
      <c r="AE700" s="67"/>
    </row>
    <row r="701" spans="1:31" s="70" customFormat="1" ht="20.25" customHeight="1">
      <c r="A701" s="13">
        <v>42928</v>
      </c>
      <c r="B701" s="72" t="s">
        <v>154</v>
      </c>
      <c r="C701" s="165">
        <v>2017</v>
      </c>
      <c r="D701" s="53">
        <v>8</v>
      </c>
      <c r="E701" s="36" t="s">
        <v>223</v>
      </c>
      <c r="F701" s="36" t="s">
        <v>303</v>
      </c>
      <c r="G701" s="36" t="s">
        <v>304</v>
      </c>
      <c r="H701" s="36" t="s">
        <v>305</v>
      </c>
      <c r="I701" s="36" t="s">
        <v>306</v>
      </c>
      <c r="J701" s="36" t="s">
        <v>307</v>
      </c>
      <c r="K701" s="36"/>
      <c r="L701" s="36">
        <v>2</v>
      </c>
      <c r="M701" s="3" t="s">
        <v>229</v>
      </c>
      <c r="N701" s="3" t="s">
        <v>307</v>
      </c>
      <c r="O701" s="3">
        <v>319</v>
      </c>
      <c r="P701" s="3">
        <f t="shared" si="36"/>
        <v>0.62695924764890276</v>
      </c>
      <c r="Q701" s="36">
        <v>4676.8426378815902</v>
      </c>
      <c r="R701" s="8">
        <f t="shared" si="34"/>
        <v>29.321897416185518</v>
      </c>
      <c r="S701" s="36">
        <v>4678.6164968763596</v>
      </c>
      <c r="T701" s="40">
        <f t="shared" si="35"/>
        <v>0.6267215412026621</v>
      </c>
      <c r="U701" s="109"/>
      <c r="V701" s="36">
        <v>250</v>
      </c>
      <c r="W701" s="3" t="s">
        <v>309</v>
      </c>
      <c r="X701" s="3"/>
      <c r="Y701" s="3"/>
      <c r="Z701" s="67"/>
      <c r="AA701" s="67"/>
      <c r="AB701" s="67"/>
      <c r="AC701" s="67"/>
      <c r="AD701" s="67"/>
      <c r="AE701" s="67"/>
    </row>
    <row r="702" spans="1:31" s="70" customFormat="1" ht="20.25" customHeight="1">
      <c r="A702" s="13">
        <v>42928</v>
      </c>
      <c r="B702" s="35" t="s">
        <v>154</v>
      </c>
      <c r="C702" s="165">
        <v>2017</v>
      </c>
      <c r="D702" s="53">
        <v>8</v>
      </c>
      <c r="E702" s="3" t="s">
        <v>295</v>
      </c>
      <c r="F702" s="3" t="s">
        <v>296</v>
      </c>
      <c r="G702" s="3"/>
      <c r="H702" s="3" t="s">
        <v>297</v>
      </c>
      <c r="I702" s="3" t="s">
        <v>298</v>
      </c>
      <c r="J702" s="3" t="s">
        <v>299</v>
      </c>
      <c r="K702" s="3"/>
      <c r="L702" s="3">
        <v>1</v>
      </c>
      <c r="M702" s="3" t="s">
        <v>229</v>
      </c>
      <c r="N702" s="3" t="s">
        <v>479</v>
      </c>
      <c r="O702" s="3">
        <v>319</v>
      </c>
      <c r="P702" s="3">
        <f t="shared" si="36"/>
        <v>0.31347962382445138</v>
      </c>
      <c r="Q702" s="36">
        <v>4676.8426378815902</v>
      </c>
      <c r="R702" s="8">
        <f t="shared" si="34"/>
        <v>14.660948708092759</v>
      </c>
      <c r="S702" s="36">
        <v>4678.6164968763596</v>
      </c>
      <c r="T702" s="40">
        <f t="shared" si="35"/>
        <v>0.31336077060133105</v>
      </c>
      <c r="U702" s="109"/>
      <c r="V702" s="36">
        <v>250</v>
      </c>
      <c r="W702" s="3"/>
      <c r="X702" s="3"/>
      <c r="Y702" s="3"/>
      <c r="Z702" s="67"/>
      <c r="AA702" s="67"/>
      <c r="AB702" s="67"/>
      <c r="AC702" s="67"/>
      <c r="AD702" s="67"/>
      <c r="AE702" s="67"/>
    </row>
    <row r="703" spans="1:31" s="70" customFormat="1" ht="20.25" customHeight="1">
      <c r="A703" s="13">
        <v>42928</v>
      </c>
      <c r="B703" s="35" t="s">
        <v>154</v>
      </c>
      <c r="C703" s="165">
        <v>2017</v>
      </c>
      <c r="D703" s="53">
        <v>8</v>
      </c>
      <c r="E703" s="3" t="s">
        <v>223</v>
      </c>
      <c r="F703" s="3" t="s">
        <v>224</v>
      </c>
      <c r="G703" s="3" t="s">
        <v>225</v>
      </c>
      <c r="H703" s="3" t="s">
        <v>226</v>
      </c>
      <c r="I703" s="51" t="s">
        <v>235</v>
      </c>
      <c r="J703" s="51" t="s">
        <v>236</v>
      </c>
      <c r="K703" s="3"/>
      <c r="L703" s="36">
        <v>14</v>
      </c>
      <c r="M703" s="3" t="s">
        <v>229</v>
      </c>
      <c r="N703" s="36" t="s">
        <v>236</v>
      </c>
      <c r="O703" s="3">
        <v>319</v>
      </c>
      <c r="P703" s="3">
        <f t="shared" si="36"/>
        <v>4.3887147335423196</v>
      </c>
      <c r="Q703" s="36">
        <v>4676.8426378815902</v>
      </c>
      <c r="R703" s="8">
        <f t="shared" si="34"/>
        <v>205.25328191329862</v>
      </c>
      <c r="S703" s="36">
        <v>4678.6164968763596</v>
      </c>
      <c r="T703" s="40">
        <f t="shared" si="35"/>
        <v>4.3870507884186347</v>
      </c>
      <c r="U703" s="109"/>
      <c r="V703" s="65">
        <v>250</v>
      </c>
      <c r="W703" s="51"/>
      <c r="X703" s="51"/>
      <c r="Y703" s="51"/>
      <c r="Z703" s="67"/>
      <c r="AA703" s="67"/>
      <c r="AB703" s="67"/>
      <c r="AC703" s="67"/>
      <c r="AD703" s="67"/>
      <c r="AE703" s="67"/>
    </row>
    <row r="704" spans="1:31" s="70" customFormat="1" ht="20.25" customHeight="1">
      <c r="A704" s="13">
        <v>42928</v>
      </c>
      <c r="B704" s="35" t="s">
        <v>154</v>
      </c>
      <c r="C704" s="165">
        <v>2017</v>
      </c>
      <c r="D704" s="53">
        <v>8</v>
      </c>
      <c r="E704" s="36" t="s">
        <v>223</v>
      </c>
      <c r="F704" s="36" t="s">
        <v>317</v>
      </c>
      <c r="G704" s="36" t="s">
        <v>314</v>
      </c>
      <c r="H704" s="36" t="s">
        <v>346</v>
      </c>
      <c r="I704" s="36" t="s">
        <v>315</v>
      </c>
      <c r="J704" s="36" t="s">
        <v>365</v>
      </c>
      <c r="K704" s="36"/>
      <c r="L704" s="3">
        <v>5</v>
      </c>
      <c r="M704" s="3" t="s">
        <v>229</v>
      </c>
      <c r="N704" s="36" t="s">
        <v>345</v>
      </c>
      <c r="O704" s="3">
        <v>319</v>
      </c>
      <c r="P704" s="3">
        <f t="shared" si="36"/>
        <v>1.5673981191222568</v>
      </c>
      <c r="Q704" s="36">
        <v>4676.8426378815902</v>
      </c>
      <c r="R704" s="8">
        <f t="shared" si="34"/>
        <v>73.304743540463789</v>
      </c>
      <c r="S704" s="36">
        <v>4678.6164968763596</v>
      </c>
      <c r="T704" s="40">
        <f t="shared" si="35"/>
        <v>1.5668038530066548</v>
      </c>
      <c r="U704" s="109"/>
      <c r="V704" s="36">
        <v>250</v>
      </c>
      <c r="W704" s="3"/>
      <c r="X704" s="3"/>
      <c r="Y704" s="3"/>
      <c r="Z704" s="67"/>
      <c r="AA704" s="67"/>
      <c r="AB704" s="67"/>
      <c r="AC704" s="67"/>
      <c r="AD704" s="67"/>
      <c r="AE704" s="67"/>
    </row>
    <row r="705" spans="1:31" s="70" customFormat="1" ht="20.25" customHeight="1">
      <c r="A705" s="13">
        <v>42928</v>
      </c>
      <c r="B705" s="35" t="s">
        <v>154</v>
      </c>
      <c r="C705" s="165">
        <v>2017</v>
      </c>
      <c r="D705" s="53">
        <v>8</v>
      </c>
      <c r="E705" s="65" t="s">
        <v>223</v>
      </c>
      <c r="F705" s="65" t="s">
        <v>317</v>
      </c>
      <c r="G705" s="65" t="s">
        <v>314</v>
      </c>
      <c r="H705" s="65" t="s">
        <v>346</v>
      </c>
      <c r="I705" s="51"/>
      <c r="J705" s="36" t="s">
        <v>316</v>
      </c>
      <c r="K705" s="3"/>
      <c r="L705" s="3">
        <v>1</v>
      </c>
      <c r="M705" s="3" t="s">
        <v>229</v>
      </c>
      <c r="N705" s="36" t="s">
        <v>482</v>
      </c>
      <c r="O705" s="3">
        <v>319</v>
      </c>
      <c r="P705" s="3">
        <f t="shared" si="36"/>
        <v>0.31347962382445138</v>
      </c>
      <c r="Q705" s="36">
        <v>4676.8426378815902</v>
      </c>
      <c r="R705" s="8">
        <f t="shared" si="34"/>
        <v>14.660948708092759</v>
      </c>
      <c r="S705" s="36">
        <v>4678.6164968763596</v>
      </c>
      <c r="T705" s="40">
        <f t="shared" si="35"/>
        <v>0.31336077060133105</v>
      </c>
      <c r="U705" s="109"/>
      <c r="V705" s="36">
        <v>250</v>
      </c>
      <c r="W705" s="3"/>
      <c r="X705" s="3"/>
      <c r="Y705" s="3"/>
      <c r="Z705" s="67"/>
      <c r="AA705" s="67"/>
      <c r="AB705" s="67"/>
      <c r="AC705" s="67"/>
      <c r="AD705" s="67"/>
      <c r="AE705" s="67"/>
    </row>
    <row r="706" spans="1:31" s="70" customFormat="1" ht="20.25" customHeight="1">
      <c r="A706" s="13">
        <v>42928</v>
      </c>
      <c r="B706" s="72" t="s">
        <v>154</v>
      </c>
      <c r="C706" s="165">
        <v>2017</v>
      </c>
      <c r="D706" s="53">
        <v>8</v>
      </c>
      <c r="E706" s="36" t="s">
        <v>223</v>
      </c>
      <c r="F706" s="36" t="s">
        <v>267</v>
      </c>
      <c r="G706" s="36"/>
      <c r="H706" s="36" t="s">
        <v>273</v>
      </c>
      <c r="I706" s="36" t="s">
        <v>274</v>
      </c>
      <c r="J706" s="36" t="s">
        <v>275</v>
      </c>
      <c r="K706" s="36" t="s">
        <v>276</v>
      </c>
      <c r="L706" s="36">
        <v>9</v>
      </c>
      <c r="M706" s="36" t="s">
        <v>247</v>
      </c>
      <c r="N706" s="36" t="s">
        <v>275</v>
      </c>
      <c r="O706" s="3">
        <v>26</v>
      </c>
      <c r="P706" s="3">
        <f t="shared" si="36"/>
        <v>34.615384615384613</v>
      </c>
      <c r="Q706" s="36">
        <v>1.7738589947659333</v>
      </c>
      <c r="R706" s="8">
        <f t="shared" ref="R706:R769" si="37">(P706/100)*Q706</f>
        <v>0.61402811357282305</v>
      </c>
      <c r="S706" s="36">
        <v>4678.616496876356</v>
      </c>
      <c r="T706" s="40">
        <f t="shared" ref="T706:T769" si="38">R706/S706*100</f>
        <v>1.3124138599151576E-2</v>
      </c>
      <c r="U706" s="109"/>
      <c r="V706" s="36">
        <v>1000</v>
      </c>
      <c r="W706" s="3"/>
      <c r="X706" s="3"/>
      <c r="Y706" s="3"/>
      <c r="Z706" s="67"/>
      <c r="AA706" s="67"/>
      <c r="AB706" s="67"/>
      <c r="AC706" s="67"/>
      <c r="AD706" s="67"/>
      <c r="AE706" s="67"/>
    </row>
    <row r="707" spans="1:31" s="70" customFormat="1" ht="20.25" customHeight="1">
      <c r="A707" s="13">
        <v>42928</v>
      </c>
      <c r="B707" s="72" t="s">
        <v>154</v>
      </c>
      <c r="C707" s="165">
        <v>2017</v>
      </c>
      <c r="D707" s="53">
        <v>8</v>
      </c>
      <c r="E707" s="36" t="s">
        <v>223</v>
      </c>
      <c r="F707" s="36" t="s">
        <v>267</v>
      </c>
      <c r="G707" s="3"/>
      <c r="H707" s="36" t="s">
        <v>652</v>
      </c>
      <c r="I707" s="3"/>
      <c r="J707" s="36" t="s">
        <v>649</v>
      </c>
      <c r="K707" s="36" t="s">
        <v>650</v>
      </c>
      <c r="L707" s="36">
        <v>1</v>
      </c>
      <c r="M707" s="36" t="s">
        <v>247</v>
      </c>
      <c r="N707" s="36" t="s">
        <v>651</v>
      </c>
      <c r="O707" s="3">
        <v>26</v>
      </c>
      <c r="P707" s="3">
        <f t="shared" si="36"/>
        <v>3.8461538461538463</v>
      </c>
      <c r="Q707" s="36">
        <v>1.7738589947659333</v>
      </c>
      <c r="R707" s="8">
        <f t="shared" si="37"/>
        <v>6.8225345952535904E-2</v>
      </c>
      <c r="S707" s="36">
        <v>4678.616496876356</v>
      </c>
      <c r="T707" s="40">
        <f t="shared" si="38"/>
        <v>1.4582376221279529E-3</v>
      </c>
      <c r="U707" s="109"/>
      <c r="V707" s="36">
        <v>1000</v>
      </c>
      <c r="W707" s="3"/>
      <c r="X707" s="3"/>
      <c r="Y707" s="3"/>
      <c r="Z707" s="67"/>
      <c r="AA707" s="67"/>
      <c r="AB707" s="67"/>
      <c r="AC707" s="67"/>
      <c r="AD707" s="67"/>
      <c r="AE707" s="67"/>
    </row>
    <row r="708" spans="1:31" s="70" customFormat="1" ht="20.25" customHeight="1">
      <c r="A708" s="13">
        <v>42928</v>
      </c>
      <c r="B708" s="35" t="s">
        <v>154</v>
      </c>
      <c r="C708" s="165">
        <v>2017</v>
      </c>
      <c r="D708" s="53">
        <v>8</v>
      </c>
      <c r="E708" s="36" t="s">
        <v>223</v>
      </c>
      <c r="F708" s="36" t="s">
        <v>224</v>
      </c>
      <c r="G708" s="36" t="s">
        <v>225</v>
      </c>
      <c r="H708" s="36" t="s">
        <v>226</v>
      </c>
      <c r="I708" s="36" t="s">
        <v>239</v>
      </c>
      <c r="J708" s="36" t="s">
        <v>240</v>
      </c>
      <c r="K708" s="3"/>
      <c r="L708" s="36">
        <v>58</v>
      </c>
      <c r="M708" s="3" t="s">
        <v>229</v>
      </c>
      <c r="N708" s="36" t="s">
        <v>240</v>
      </c>
      <c r="O708" s="3">
        <v>319</v>
      </c>
      <c r="P708" s="3">
        <f t="shared" si="36"/>
        <v>18.181818181818183</v>
      </c>
      <c r="Q708" s="36">
        <v>4676.8426378815902</v>
      </c>
      <c r="R708" s="8">
        <f t="shared" si="37"/>
        <v>850.33502506938009</v>
      </c>
      <c r="S708" s="36">
        <v>4678.6164968763596</v>
      </c>
      <c r="T708" s="40">
        <f t="shared" si="38"/>
        <v>18.174924694877202</v>
      </c>
      <c r="U708" s="109"/>
      <c r="V708" s="36">
        <v>250</v>
      </c>
      <c r="W708" s="3"/>
      <c r="X708" s="3"/>
      <c r="Y708" s="3"/>
      <c r="Z708" s="67"/>
      <c r="AA708" s="67"/>
      <c r="AB708" s="67"/>
      <c r="AC708" s="67"/>
      <c r="AD708" s="67"/>
      <c r="AE708" s="67"/>
    </row>
    <row r="709" spans="1:31" s="70" customFormat="1" ht="20.25" customHeight="1">
      <c r="A709" s="13">
        <v>42928</v>
      </c>
      <c r="B709" s="72" t="s">
        <v>154</v>
      </c>
      <c r="C709" s="165">
        <v>2017</v>
      </c>
      <c r="D709" s="53">
        <v>8</v>
      </c>
      <c r="E709" s="36" t="s">
        <v>223</v>
      </c>
      <c r="F709" s="36" t="s">
        <v>267</v>
      </c>
      <c r="G709" s="36" t="s">
        <v>278</v>
      </c>
      <c r="H709" s="36" t="s">
        <v>279</v>
      </c>
      <c r="I709" s="36" t="s">
        <v>280</v>
      </c>
      <c r="J709" s="36" t="s">
        <v>284</v>
      </c>
      <c r="K709" s="36" t="s">
        <v>285</v>
      </c>
      <c r="L709" s="36">
        <v>15</v>
      </c>
      <c r="M709" s="36" t="s">
        <v>247</v>
      </c>
      <c r="N709" s="36" t="s">
        <v>24</v>
      </c>
      <c r="O709" s="3">
        <v>26</v>
      </c>
      <c r="P709" s="3">
        <f t="shared" si="36"/>
        <v>57.692307692307686</v>
      </c>
      <c r="Q709" s="36">
        <v>1.7738589947659333</v>
      </c>
      <c r="R709" s="8">
        <f t="shared" si="37"/>
        <v>1.0233801892880383</v>
      </c>
      <c r="S709" s="36">
        <v>4678.616496876356</v>
      </c>
      <c r="T709" s="40">
        <f t="shared" si="38"/>
        <v>2.1873564331919289E-2</v>
      </c>
      <c r="U709" s="109"/>
      <c r="V709" s="36">
        <v>1000</v>
      </c>
      <c r="W709" s="3"/>
      <c r="X709" s="3"/>
      <c r="Y709" s="3"/>
      <c r="Z709" s="67"/>
      <c r="AA709" s="67"/>
      <c r="AB709" s="67"/>
      <c r="AC709" s="67"/>
      <c r="AD709" s="67"/>
      <c r="AE709" s="67"/>
    </row>
    <row r="710" spans="1:31" s="70" customFormat="1" ht="20.25" customHeight="1">
      <c r="A710" s="13">
        <v>42928</v>
      </c>
      <c r="B710" s="72" t="s">
        <v>154</v>
      </c>
      <c r="C710" s="165">
        <v>2017</v>
      </c>
      <c r="D710" s="53">
        <v>8</v>
      </c>
      <c r="E710" s="51" t="s">
        <v>223</v>
      </c>
      <c r="F710" s="51" t="s">
        <v>224</v>
      </c>
      <c r="G710" s="51" t="s">
        <v>225</v>
      </c>
      <c r="H710" s="51" t="s">
        <v>226</v>
      </c>
      <c r="I710" s="51" t="s">
        <v>355</v>
      </c>
      <c r="J710" s="3" t="s">
        <v>356</v>
      </c>
      <c r="K710" s="3"/>
      <c r="L710" s="3">
        <v>2</v>
      </c>
      <c r="M710" s="3" t="s">
        <v>229</v>
      </c>
      <c r="N710" s="3" t="s">
        <v>356</v>
      </c>
      <c r="O710" s="3">
        <v>319</v>
      </c>
      <c r="P710" s="3">
        <f t="shared" si="36"/>
        <v>0.62695924764890276</v>
      </c>
      <c r="Q710" s="36">
        <v>4676.8426378815902</v>
      </c>
      <c r="R710" s="8">
        <f t="shared" si="37"/>
        <v>29.321897416185518</v>
      </c>
      <c r="S710" s="36">
        <v>4678.6164968763596</v>
      </c>
      <c r="T710" s="40">
        <f t="shared" si="38"/>
        <v>0.6267215412026621</v>
      </c>
      <c r="U710" s="109"/>
      <c r="V710" s="36">
        <v>250</v>
      </c>
      <c r="W710" s="3"/>
      <c r="X710" s="3"/>
      <c r="Y710" s="3"/>
      <c r="Z710" s="67"/>
      <c r="AA710" s="67"/>
      <c r="AB710" s="67"/>
      <c r="AC710" s="67"/>
      <c r="AD710" s="67"/>
      <c r="AE710" s="67"/>
    </row>
    <row r="711" spans="1:31" s="70" customFormat="1" ht="20.25" customHeight="1">
      <c r="A711" s="13">
        <v>42928</v>
      </c>
      <c r="B711" s="72" t="s">
        <v>154</v>
      </c>
      <c r="C711" s="165">
        <v>2017</v>
      </c>
      <c r="D711" s="53">
        <v>8</v>
      </c>
      <c r="E711" s="36" t="s">
        <v>216</v>
      </c>
      <c r="F711" s="36" t="s">
        <v>217</v>
      </c>
      <c r="G711" s="36"/>
      <c r="H711" s="36"/>
      <c r="I711" s="36"/>
      <c r="J711" s="36"/>
      <c r="K711" s="36"/>
      <c r="L711" s="36">
        <v>13</v>
      </c>
      <c r="M711" s="36" t="s">
        <v>221</v>
      </c>
      <c r="N711" s="36" t="s">
        <v>219</v>
      </c>
      <c r="O711" s="3">
        <v>319</v>
      </c>
      <c r="P711" s="3">
        <f t="shared" si="36"/>
        <v>4.0752351097178678</v>
      </c>
      <c r="Q711" s="36">
        <v>4676.8426378815902</v>
      </c>
      <c r="R711" s="8">
        <f t="shared" si="37"/>
        <v>190.59233320520585</v>
      </c>
      <c r="S711" s="36">
        <v>4678.6164968763596</v>
      </c>
      <c r="T711" s="40">
        <f t="shared" si="38"/>
        <v>4.0736900178173032</v>
      </c>
      <c r="U711" s="109"/>
      <c r="V711" s="36">
        <v>250</v>
      </c>
      <c r="W711" s="3"/>
      <c r="X711" s="3"/>
      <c r="Y711" s="3"/>
      <c r="Z711" s="67"/>
      <c r="AA711" s="67"/>
      <c r="AB711" s="67"/>
      <c r="AC711" s="67"/>
      <c r="AD711" s="67"/>
      <c r="AE711" s="67"/>
    </row>
    <row r="712" spans="1:31" s="70" customFormat="1" ht="20.25" customHeight="1">
      <c r="A712" s="13">
        <v>42928</v>
      </c>
      <c r="B712" s="72" t="s">
        <v>154</v>
      </c>
      <c r="C712" s="165">
        <v>2017</v>
      </c>
      <c r="D712" s="53">
        <v>8</v>
      </c>
      <c r="E712" s="53" t="s">
        <v>223</v>
      </c>
      <c r="F712" s="53" t="s">
        <v>224</v>
      </c>
      <c r="G712" s="53" t="s">
        <v>225</v>
      </c>
      <c r="H712" s="53" t="s">
        <v>226</v>
      </c>
      <c r="I712" s="53" t="s">
        <v>253</v>
      </c>
      <c r="J712" s="36" t="s">
        <v>256</v>
      </c>
      <c r="K712" s="3"/>
      <c r="L712" s="36">
        <v>34</v>
      </c>
      <c r="M712" s="3" t="s">
        <v>229</v>
      </c>
      <c r="N712" s="36" t="s">
        <v>256</v>
      </c>
      <c r="O712" s="3">
        <v>319</v>
      </c>
      <c r="P712" s="3">
        <f t="shared" si="36"/>
        <v>10.658307210031348</v>
      </c>
      <c r="Q712" s="36">
        <v>4676.8426378815902</v>
      </c>
      <c r="R712" s="8">
        <f t="shared" si="37"/>
        <v>498.47225607515384</v>
      </c>
      <c r="S712" s="36">
        <v>4678.6164968763596</v>
      </c>
      <c r="T712" s="40">
        <f t="shared" si="38"/>
        <v>10.654266200445257</v>
      </c>
      <c r="U712" s="109"/>
      <c r="V712" s="36">
        <v>250</v>
      </c>
      <c r="W712" s="3"/>
      <c r="X712" s="3"/>
      <c r="Y712" s="3"/>
      <c r="Z712" s="67"/>
      <c r="AA712" s="67"/>
      <c r="AB712" s="67"/>
      <c r="AC712" s="67"/>
      <c r="AD712" s="67"/>
      <c r="AE712" s="67"/>
    </row>
    <row r="713" spans="1:31" ht="20.25" customHeight="1">
      <c r="A713" s="13">
        <v>42928</v>
      </c>
      <c r="B713" s="35" t="s">
        <v>154</v>
      </c>
      <c r="C713" s="165">
        <v>2017</v>
      </c>
      <c r="D713" s="53">
        <v>8</v>
      </c>
      <c r="E713" s="51" t="s">
        <v>223</v>
      </c>
      <c r="F713" s="51" t="s">
        <v>224</v>
      </c>
      <c r="G713" s="51" t="s">
        <v>225</v>
      </c>
      <c r="H713" s="51" t="s">
        <v>226</v>
      </c>
      <c r="I713" s="51" t="s">
        <v>239</v>
      </c>
      <c r="J713" s="3" t="s">
        <v>258</v>
      </c>
      <c r="K713" s="3" t="s">
        <v>259</v>
      </c>
      <c r="L713" s="3">
        <v>4</v>
      </c>
      <c r="M713" s="3" t="s">
        <v>247</v>
      </c>
      <c r="N713" s="3" t="s">
        <v>260</v>
      </c>
      <c r="O713" s="3">
        <v>319</v>
      </c>
      <c r="P713" s="3">
        <f t="shared" si="36"/>
        <v>1.2539184952978055</v>
      </c>
      <c r="Q713" s="36">
        <v>4676.8426378815902</v>
      </c>
      <c r="R713" s="8">
        <f t="shared" si="37"/>
        <v>58.643794832371036</v>
      </c>
      <c r="S713" s="36">
        <v>4678.6164968763596</v>
      </c>
      <c r="T713" s="40">
        <f t="shared" si="38"/>
        <v>1.2534430824053242</v>
      </c>
      <c r="U713" s="109"/>
      <c r="V713" s="36">
        <v>250</v>
      </c>
      <c r="W713" s="3"/>
      <c r="X713" s="3"/>
      <c r="Y713" s="3"/>
      <c r="Z713" s="3"/>
      <c r="AA713" s="3"/>
      <c r="AB713" s="3"/>
      <c r="AC713" s="3"/>
      <c r="AD713" s="3"/>
      <c r="AE713" s="3"/>
    </row>
    <row r="714" spans="1:31" ht="20.25" customHeight="1">
      <c r="A714" s="13">
        <v>42928</v>
      </c>
      <c r="B714" s="35" t="s">
        <v>154</v>
      </c>
      <c r="C714" s="165">
        <v>2017</v>
      </c>
      <c r="D714" s="53">
        <v>8</v>
      </c>
      <c r="E714" s="65" t="s">
        <v>223</v>
      </c>
      <c r="F714" s="65" t="s">
        <v>224</v>
      </c>
      <c r="G714" s="65" t="s">
        <v>225</v>
      </c>
      <c r="H714" s="65" t="s">
        <v>226</v>
      </c>
      <c r="I714" s="65" t="s">
        <v>261</v>
      </c>
      <c r="J714" s="36" t="s">
        <v>262</v>
      </c>
      <c r="K714" s="36"/>
      <c r="L714" s="36">
        <v>6</v>
      </c>
      <c r="M714" s="3" t="s">
        <v>229</v>
      </c>
      <c r="N714" s="36" t="s">
        <v>264</v>
      </c>
      <c r="O714" s="3">
        <v>319</v>
      </c>
      <c r="P714" s="3">
        <f t="shared" si="36"/>
        <v>1.8808777429467085</v>
      </c>
      <c r="Q714" s="36">
        <v>4676.8426378815902</v>
      </c>
      <c r="R714" s="8">
        <f t="shared" si="37"/>
        <v>87.965692248556564</v>
      </c>
      <c r="S714" s="36">
        <v>4678.6164968763596</v>
      </c>
      <c r="T714" s="40">
        <f t="shared" si="38"/>
        <v>1.8801646236079863</v>
      </c>
      <c r="U714" s="109"/>
      <c r="V714" s="36">
        <v>250</v>
      </c>
      <c r="W714" s="3"/>
      <c r="X714" s="3"/>
      <c r="Y714" s="3"/>
      <c r="Z714" s="3"/>
      <c r="AA714" s="3"/>
      <c r="AB714" s="3"/>
      <c r="AC714" s="3"/>
      <c r="AD714" s="3"/>
      <c r="AE714" s="3"/>
    </row>
    <row r="715" spans="1:31" ht="20.25" customHeight="1">
      <c r="A715" s="35">
        <v>42928</v>
      </c>
      <c r="B715" s="35" t="s">
        <v>154</v>
      </c>
      <c r="C715" s="165">
        <v>2017</v>
      </c>
      <c r="D715" s="53">
        <v>5</v>
      </c>
      <c r="E715" s="36" t="s">
        <v>223</v>
      </c>
      <c r="F715" s="36" t="s">
        <v>224</v>
      </c>
      <c r="G715" s="36" t="s">
        <v>225</v>
      </c>
      <c r="H715" s="36" t="s">
        <v>226</v>
      </c>
      <c r="I715" s="36" t="s">
        <v>227</v>
      </c>
      <c r="J715" s="36" t="s">
        <v>228</v>
      </c>
      <c r="K715" s="36"/>
      <c r="L715" s="36">
        <v>125</v>
      </c>
      <c r="M715" s="36" t="s">
        <v>229</v>
      </c>
      <c r="N715" s="36" t="s">
        <v>228</v>
      </c>
      <c r="O715" s="36">
        <v>385</v>
      </c>
      <c r="P715" s="36">
        <f t="shared" si="36"/>
        <v>32.467532467532465</v>
      </c>
      <c r="Q715" s="36">
        <v>1384.786641929499</v>
      </c>
      <c r="R715" s="53">
        <f t="shared" si="37"/>
        <v>449.60605257451266</v>
      </c>
      <c r="S715" s="36">
        <v>1385.3937481073101</v>
      </c>
      <c r="T715" s="53">
        <f t="shared" si="38"/>
        <v>32.453304570541988</v>
      </c>
      <c r="U715" s="53"/>
      <c r="V715" s="36">
        <v>250</v>
      </c>
      <c r="W715" s="36"/>
      <c r="X715" s="36"/>
      <c r="Y715" s="36"/>
      <c r="Z715" s="3"/>
      <c r="AA715" s="3"/>
      <c r="AB715" s="3"/>
      <c r="AC715" s="3"/>
      <c r="AD715" s="3"/>
      <c r="AE715" s="3"/>
    </row>
    <row r="716" spans="1:31" ht="20.25" customHeight="1">
      <c r="A716" s="13">
        <v>42928</v>
      </c>
      <c r="B716" s="72" t="s">
        <v>154</v>
      </c>
      <c r="C716" s="165">
        <v>2017</v>
      </c>
      <c r="D716" s="53">
        <v>5</v>
      </c>
      <c r="E716" s="65" t="s">
        <v>209</v>
      </c>
      <c r="F716" s="65" t="s">
        <v>210</v>
      </c>
      <c r="G716" s="65"/>
      <c r="H716" s="65" t="s">
        <v>211</v>
      </c>
      <c r="I716" s="65" t="s">
        <v>212</v>
      </c>
      <c r="J716" s="36" t="s">
        <v>213</v>
      </c>
      <c r="K716" s="36" t="s">
        <v>214</v>
      </c>
      <c r="L716" s="36">
        <v>3</v>
      </c>
      <c r="M716" s="36" t="s">
        <v>247</v>
      </c>
      <c r="N716" s="36" t="s">
        <v>215</v>
      </c>
      <c r="O716" s="3">
        <v>6</v>
      </c>
      <c r="P716" s="3">
        <f t="shared" si="36"/>
        <v>50</v>
      </c>
      <c r="Q716" s="36">
        <v>0.60710617781128096</v>
      </c>
      <c r="R716" s="8">
        <f t="shared" si="37"/>
        <v>0.30355308890564048</v>
      </c>
      <c r="S716" s="36">
        <v>1385.3937481073103</v>
      </c>
      <c r="T716" s="40">
        <f t="shared" si="38"/>
        <v>2.1910961365340861E-2</v>
      </c>
      <c r="U716" s="109"/>
      <c r="V716" s="65">
        <v>1000</v>
      </c>
      <c r="W716" s="51"/>
      <c r="X716" s="51"/>
      <c r="Y716" s="51"/>
      <c r="Z716" s="3"/>
      <c r="AA716" s="3"/>
      <c r="AB716" s="3"/>
      <c r="AC716" s="3"/>
      <c r="AD716" s="3"/>
      <c r="AE716" s="3"/>
    </row>
    <row r="717" spans="1:31" ht="20.25" customHeight="1">
      <c r="A717" s="72">
        <v>42928</v>
      </c>
      <c r="B717" s="72" t="s">
        <v>154</v>
      </c>
      <c r="C717" s="165">
        <v>2017</v>
      </c>
      <c r="D717" s="53">
        <v>5</v>
      </c>
      <c r="E717" s="36" t="s">
        <v>223</v>
      </c>
      <c r="F717" s="36" t="s">
        <v>303</v>
      </c>
      <c r="G717" s="36" t="s">
        <v>304</v>
      </c>
      <c r="H717" s="36" t="s">
        <v>305</v>
      </c>
      <c r="I717" s="36" t="s">
        <v>306</v>
      </c>
      <c r="J717" s="36" t="s">
        <v>307</v>
      </c>
      <c r="K717" s="36"/>
      <c r="L717" s="36">
        <v>5</v>
      </c>
      <c r="M717" s="36" t="s">
        <v>229</v>
      </c>
      <c r="N717" s="36" t="s">
        <v>307</v>
      </c>
      <c r="O717" s="36">
        <v>385</v>
      </c>
      <c r="P717" s="36">
        <f t="shared" si="36"/>
        <v>1.2987012987012987</v>
      </c>
      <c r="Q717" s="36">
        <v>1384.7866419295001</v>
      </c>
      <c r="R717" s="53">
        <f t="shared" si="37"/>
        <v>17.98424210298052</v>
      </c>
      <c r="S717" s="36">
        <v>1385.3937481073101</v>
      </c>
      <c r="T717" s="53">
        <f t="shared" si="38"/>
        <v>1.2981321828216807</v>
      </c>
      <c r="U717" s="53"/>
      <c r="V717" s="36">
        <v>250</v>
      </c>
      <c r="W717" s="36" t="s">
        <v>309</v>
      </c>
      <c r="X717" s="36"/>
      <c r="Y717" s="36"/>
      <c r="Z717" s="3"/>
      <c r="AA717" s="3"/>
      <c r="AB717" s="3"/>
      <c r="AC717" s="3"/>
      <c r="AD717" s="3"/>
      <c r="AE717" s="3"/>
    </row>
    <row r="718" spans="1:31" ht="20.25" customHeight="1">
      <c r="A718" s="72">
        <v>42928</v>
      </c>
      <c r="B718" s="72" t="s">
        <v>154</v>
      </c>
      <c r="C718" s="165">
        <v>2017</v>
      </c>
      <c r="D718" s="53">
        <v>5</v>
      </c>
      <c r="E718" s="36" t="s">
        <v>223</v>
      </c>
      <c r="F718" s="36" t="s">
        <v>303</v>
      </c>
      <c r="G718" s="36" t="s">
        <v>304</v>
      </c>
      <c r="H718" s="36" t="s">
        <v>305</v>
      </c>
      <c r="I718" s="36" t="s">
        <v>306</v>
      </c>
      <c r="J718" s="36" t="s">
        <v>307</v>
      </c>
      <c r="K718" s="36"/>
      <c r="L718" s="36">
        <v>82</v>
      </c>
      <c r="M718" s="36" t="s">
        <v>229</v>
      </c>
      <c r="N718" s="36" t="s">
        <v>307</v>
      </c>
      <c r="O718" s="36">
        <v>385</v>
      </c>
      <c r="P718" s="36">
        <f t="shared" si="36"/>
        <v>21.298701298701296</v>
      </c>
      <c r="Q718" s="36">
        <v>1384.7866419295001</v>
      </c>
      <c r="R718" s="53">
        <f t="shared" si="37"/>
        <v>294.94157048888047</v>
      </c>
      <c r="S718" s="36">
        <v>1385.3937481073101</v>
      </c>
      <c r="T718" s="53">
        <f t="shared" si="38"/>
        <v>21.289367798275556</v>
      </c>
      <c r="U718" s="53"/>
      <c r="V718" s="65">
        <v>250</v>
      </c>
      <c r="W718" s="65" t="s">
        <v>308</v>
      </c>
      <c r="X718" s="65"/>
      <c r="Y718" s="65"/>
      <c r="Z718" s="3"/>
      <c r="AA718" s="3"/>
      <c r="AB718" s="3"/>
      <c r="AC718" s="3"/>
      <c r="AD718" s="3"/>
      <c r="AE718" s="3"/>
    </row>
    <row r="719" spans="1:31" ht="20.25" customHeight="1">
      <c r="A719" s="35">
        <v>42928</v>
      </c>
      <c r="B719" s="35" t="s">
        <v>154</v>
      </c>
      <c r="C719" s="165">
        <v>2017</v>
      </c>
      <c r="D719" s="53">
        <v>5</v>
      </c>
      <c r="E719" s="36" t="s">
        <v>223</v>
      </c>
      <c r="F719" s="36" t="s">
        <v>224</v>
      </c>
      <c r="G719" s="36" t="s">
        <v>225</v>
      </c>
      <c r="H719" s="36" t="s">
        <v>226</v>
      </c>
      <c r="I719" s="36" t="s">
        <v>235</v>
      </c>
      <c r="J719" s="36" t="s">
        <v>236</v>
      </c>
      <c r="K719" s="36"/>
      <c r="L719" s="36">
        <v>8</v>
      </c>
      <c r="M719" s="36" t="s">
        <v>229</v>
      </c>
      <c r="N719" s="36" t="s">
        <v>236</v>
      </c>
      <c r="O719" s="36">
        <v>385</v>
      </c>
      <c r="P719" s="36">
        <f t="shared" si="36"/>
        <v>2.0779220779220777</v>
      </c>
      <c r="Q719" s="36">
        <v>1384.786641929499</v>
      </c>
      <c r="R719" s="53">
        <f t="shared" si="37"/>
        <v>28.774787364768805</v>
      </c>
      <c r="S719" s="36">
        <v>1385.3937481073101</v>
      </c>
      <c r="T719" s="53">
        <f t="shared" si="38"/>
        <v>2.077011492514687</v>
      </c>
      <c r="U719" s="53"/>
      <c r="V719" s="65">
        <v>250</v>
      </c>
      <c r="W719" s="65"/>
      <c r="X719" s="65"/>
      <c r="Y719" s="65"/>
      <c r="Z719" s="3"/>
      <c r="AA719" s="3"/>
      <c r="AB719" s="3"/>
      <c r="AC719" s="3"/>
      <c r="AD719" s="3"/>
      <c r="AE719" s="3"/>
    </row>
    <row r="720" spans="1:31" ht="20.25" customHeight="1">
      <c r="A720" s="72">
        <v>42928</v>
      </c>
      <c r="B720" s="35" t="s">
        <v>154</v>
      </c>
      <c r="C720" s="165">
        <v>2017</v>
      </c>
      <c r="D720" s="53">
        <v>5</v>
      </c>
      <c r="E720" s="65" t="s">
        <v>223</v>
      </c>
      <c r="F720" s="65" t="s">
        <v>317</v>
      </c>
      <c r="G720" s="65" t="s">
        <v>314</v>
      </c>
      <c r="H720" s="65" t="s">
        <v>346</v>
      </c>
      <c r="I720" s="65" t="s">
        <v>315</v>
      </c>
      <c r="J720" s="36" t="s">
        <v>655</v>
      </c>
      <c r="K720" s="36"/>
      <c r="L720" s="65">
        <v>19</v>
      </c>
      <c r="M720" s="65" t="s">
        <v>229</v>
      </c>
      <c r="N720" s="65" t="s">
        <v>345</v>
      </c>
      <c r="O720" s="36">
        <v>385</v>
      </c>
      <c r="P720" s="36">
        <f t="shared" si="36"/>
        <v>4.9350649350649354</v>
      </c>
      <c r="Q720" s="36">
        <v>1384.7866419295001</v>
      </c>
      <c r="R720" s="53">
        <f t="shared" si="37"/>
        <v>68.340119991325977</v>
      </c>
      <c r="S720" s="36">
        <v>1385.3937481073101</v>
      </c>
      <c r="T720" s="53">
        <f t="shared" si="38"/>
        <v>4.9329022947223864</v>
      </c>
      <c r="U720" s="53"/>
      <c r="V720" s="65">
        <v>250</v>
      </c>
      <c r="W720" s="65" t="s">
        <v>654</v>
      </c>
      <c r="X720" s="65"/>
      <c r="Y720" s="65"/>
      <c r="Z720" s="3"/>
      <c r="AA720" s="3"/>
      <c r="AB720" s="3"/>
      <c r="AC720" s="3"/>
      <c r="AD720" s="3"/>
      <c r="AE720" s="3"/>
    </row>
    <row r="721" spans="1:31" ht="20.25" customHeight="1">
      <c r="A721" s="72">
        <v>42928</v>
      </c>
      <c r="B721" s="35" t="s">
        <v>154</v>
      </c>
      <c r="C721" s="165">
        <v>2017</v>
      </c>
      <c r="D721" s="53">
        <v>5</v>
      </c>
      <c r="E721" s="36" t="s">
        <v>223</v>
      </c>
      <c r="F721" s="36" t="s">
        <v>317</v>
      </c>
      <c r="G721" s="36" t="s">
        <v>314</v>
      </c>
      <c r="H721" s="36" t="s">
        <v>346</v>
      </c>
      <c r="I721" s="36"/>
      <c r="J721" s="36" t="s">
        <v>316</v>
      </c>
      <c r="K721" s="36"/>
      <c r="L721" s="36">
        <v>14</v>
      </c>
      <c r="M721" s="36" t="s">
        <v>229</v>
      </c>
      <c r="N721" s="36" t="s">
        <v>482</v>
      </c>
      <c r="O721" s="36">
        <v>385</v>
      </c>
      <c r="P721" s="36">
        <f t="shared" si="36"/>
        <v>3.6363636363636362</v>
      </c>
      <c r="Q721" s="36">
        <v>1384.7866419295001</v>
      </c>
      <c r="R721" s="53">
        <f t="shared" si="37"/>
        <v>50.355877888345454</v>
      </c>
      <c r="S721" s="36">
        <v>1385.3937481073101</v>
      </c>
      <c r="T721" s="53">
        <f t="shared" si="38"/>
        <v>3.6347701119007056</v>
      </c>
      <c r="U721" s="53"/>
      <c r="V721" s="65">
        <v>250</v>
      </c>
      <c r="W721" s="65"/>
      <c r="X721" s="65"/>
      <c r="Y721" s="65"/>
      <c r="Z721" s="3"/>
      <c r="AA721" s="3"/>
      <c r="AB721" s="3"/>
      <c r="AC721" s="3"/>
      <c r="AD721" s="3"/>
      <c r="AE721" s="3"/>
    </row>
    <row r="722" spans="1:31" ht="20.25" customHeight="1">
      <c r="A722" s="35">
        <v>42928</v>
      </c>
      <c r="B722" s="35" t="s">
        <v>154</v>
      </c>
      <c r="C722" s="165">
        <v>2017</v>
      </c>
      <c r="D722" s="53">
        <v>5</v>
      </c>
      <c r="E722" s="36" t="s">
        <v>223</v>
      </c>
      <c r="F722" s="36" t="s">
        <v>224</v>
      </c>
      <c r="G722" s="36" t="s">
        <v>225</v>
      </c>
      <c r="H722" s="36" t="s">
        <v>226</v>
      </c>
      <c r="I722" s="36" t="s">
        <v>239</v>
      </c>
      <c r="J722" s="36" t="s">
        <v>240</v>
      </c>
      <c r="K722" s="36"/>
      <c r="L722" s="36">
        <v>43</v>
      </c>
      <c r="M722" s="36" t="s">
        <v>229</v>
      </c>
      <c r="N722" s="36" t="s">
        <v>240</v>
      </c>
      <c r="O722" s="36">
        <v>385</v>
      </c>
      <c r="P722" s="36">
        <f t="shared" si="36"/>
        <v>11.168831168831169</v>
      </c>
      <c r="Q722" s="36">
        <v>1384.7866419295001</v>
      </c>
      <c r="R722" s="53">
        <f t="shared" si="37"/>
        <v>154.66448208563247</v>
      </c>
      <c r="S722" s="36">
        <v>1385.3937481073101</v>
      </c>
      <c r="T722" s="53">
        <f t="shared" si="38"/>
        <v>11.163936772266453</v>
      </c>
      <c r="U722" s="53"/>
      <c r="V722" s="36">
        <v>250</v>
      </c>
      <c r="W722" s="36"/>
      <c r="X722" s="36"/>
      <c r="Y722" s="36"/>
      <c r="Z722" s="3"/>
      <c r="AA722" s="3"/>
      <c r="AB722" s="3"/>
      <c r="AC722" s="3"/>
      <c r="AD722" s="3"/>
      <c r="AE722" s="3"/>
    </row>
    <row r="723" spans="1:31" ht="20.25" customHeight="1">
      <c r="A723" s="13">
        <v>42928</v>
      </c>
      <c r="B723" s="35" t="s">
        <v>154</v>
      </c>
      <c r="C723" s="165">
        <v>2017</v>
      </c>
      <c r="D723" s="53">
        <v>5</v>
      </c>
      <c r="E723" s="65" t="s">
        <v>323</v>
      </c>
      <c r="F723" s="65" t="s">
        <v>324</v>
      </c>
      <c r="G723" s="65"/>
      <c r="H723" s="65" t="s">
        <v>325</v>
      </c>
      <c r="I723" s="65" t="s">
        <v>326</v>
      </c>
      <c r="J723" s="3"/>
      <c r="K723" s="3"/>
      <c r="L723" s="3">
        <v>2</v>
      </c>
      <c r="M723" s="36" t="s">
        <v>509</v>
      </c>
      <c r="N723" s="36" t="s">
        <v>327</v>
      </c>
      <c r="O723" s="3">
        <v>6</v>
      </c>
      <c r="P723" s="3">
        <f t="shared" si="36"/>
        <v>33.333333333333329</v>
      </c>
      <c r="Q723" s="36">
        <v>0.60710617781128096</v>
      </c>
      <c r="R723" s="8">
        <f t="shared" si="37"/>
        <v>0.2023687259370936</v>
      </c>
      <c r="S723" s="36">
        <v>1385.3937481073103</v>
      </c>
      <c r="T723" s="40">
        <f t="shared" si="38"/>
        <v>1.4607307576893904E-2</v>
      </c>
      <c r="U723" s="109"/>
      <c r="V723" s="36">
        <v>1000</v>
      </c>
      <c r="W723" s="3"/>
      <c r="X723" s="3"/>
      <c r="Y723" s="3"/>
      <c r="Z723" s="3"/>
      <c r="AA723" s="3"/>
      <c r="AB723" s="3"/>
      <c r="AC723" s="3"/>
      <c r="AD723" s="3"/>
      <c r="AE723" s="3"/>
    </row>
    <row r="724" spans="1:31" ht="20.25" customHeight="1">
      <c r="A724" s="35">
        <v>42928</v>
      </c>
      <c r="B724" s="35" t="s">
        <v>154</v>
      </c>
      <c r="C724" s="165">
        <v>2017</v>
      </c>
      <c r="D724" s="53">
        <v>5</v>
      </c>
      <c r="E724" s="65" t="s">
        <v>300</v>
      </c>
      <c r="F724" s="65" t="s">
        <v>301</v>
      </c>
      <c r="G724" s="36"/>
      <c r="H724" s="36"/>
      <c r="I724" s="65"/>
      <c r="J724" s="65" t="s">
        <v>657</v>
      </c>
      <c r="K724" s="36"/>
      <c r="L724" s="36">
        <v>1</v>
      </c>
      <c r="M724" s="36" t="s">
        <v>221</v>
      </c>
      <c r="N724" s="36" t="s">
        <v>302</v>
      </c>
      <c r="O724" s="36">
        <v>385</v>
      </c>
      <c r="P724" s="36">
        <f t="shared" si="36"/>
        <v>0.25974025974025972</v>
      </c>
      <c r="Q724" s="36">
        <v>1384.7866419295001</v>
      </c>
      <c r="R724" s="53">
        <f t="shared" si="37"/>
        <v>3.5968484205961033</v>
      </c>
      <c r="S724" s="36">
        <v>1385.3937481073101</v>
      </c>
      <c r="T724" s="53">
        <f t="shared" si="38"/>
        <v>0.25962643656433609</v>
      </c>
      <c r="U724" s="53"/>
      <c r="V724" s="65">
        <v>250</v>
      </c>
      <c r="W724" s="65"/>
      <c r="X724" s="65"/>
      <c r="Y724" s="65"/>
      <c r="Z724" s="3"/>
      <c r="AA724" s="3"/>
      <c r="AB724" s="3"/>
      <c r="AC724" s="3"/>
      <c r="AD724" s="3"/>
      <c r="AE724" s="3"/>
    </row>
    <row r="725" spans="1:31" ht="20.25" customHeight="1">
      <c r="A725" s="13">
        <v>42928</v>
      </c>
      <c r="B725" s="72" t="s">
        <v>154</v>
      </c>
      <c r="C725" s="165">
        <v>2017</v>
      </c>
      <c r="D725" s="53">
        <v>5</v>
      </c>
      <c r="E725" s="36" t="s">
        <v>223</v>
      </c>
      <c r="F725" s="36" t="s">
        <v>267</v>
      </c>
      <c r="G725" s="36" t="s">
        <v>278</v>
      </c>
      <c r="H725" s="36" t="s">
        <v>279</v>
      </c>
      <c r="I725" s="36" t="s">
        <v>280</v>
      </c>
      <c r="J725" s="36" t="s">
        <v>284</v>
      </c>
      <c r="K725" s="36" t="s">
        <v>285</v>
      </c>
      <c r="L725" s="36">
        <v>1</v>
      </c>
      <c r="M725" s="36" t="s">
        <v>247</v>
      </c>
      <c r="N725" s="36" t="s">
        <v>24</v>
      </c>
      <c r="O725" s="3">
        <v>6</v>
      </c>
      <c r="P725" s="3">
        <f t="shared" si="36"/>
        <v>16.666666666666664</v>
      </c>
      <c r="Q725" s="36">
        <v>0.60710617781128096</v>
      </c>
      <c r="R725" s="8">
        <f t="shared" si="37"/>
        <v>0.1011843629685468</v>
      </c>
      <c r="S725" s="36">
        <v>1385.3937481073103</v>
      </c>
      <c r="T725" s="40">
        <f t="shared" si="38"/>
        <v>7.3036537884469521E-3</v>
      </c>
      <c r="U725" s="109"/>
      <c r="V725" s="36">
        <v>1000</v>
      </c>
      <c r="W725" s="3"/>
      <c r="X725" s="3"/>
      <c r="Y725" s="3"/>
      <c r="Z725" s="3"/>
      <c r="AA725" s="3"/>
      <c r="AB725" s="3"/>
      <c r="AC725" s="3"/>
      <c r="AD725" s="3"/>
      <c r="AE725" s="3"/>
    </row>
    <row r="726" spans="1:31" ht="20.25" customHeight="1">
      <c r="A726" s="35">
        <v>42928</v>
      </c>
      <c r="B726" s="72" t="s">
        <v>154</v>
      </c>
      <c r="C726" s="165">
        <v>2017</v>
      </c>
      <c r="D726" s="53">
        <v>5</v>
      </c>
      <c r="E726" s="65" t="s">
        <v>223</v>
      </c>
      <c r="F726" s="65" t="s">
        <v>224</v>
      </c>
      <c r="G726" s="65" t="s">
        <v>225</v>
      </c>
      <c r="H726" s="65" t="s">
        <v>248</v>
      </c>
      <c r="I726" s="65" t="s">
        <v>249</v>
      </c>
      <c r="J726" s="65" t="s">
        <v>250</v>
      </c>
      <c r="K726" s="36"/>
      <c r="L726" s="36">
        <v>17</v>
      </c>
      <c r="M726" s="36" t="s">
        <v>229</v>
      </c>
      <c r="N726" s="36" t="s">
        <v>250</v>
      </c>
      <c r="O726" s="36">
        <v>385</v>
      </c>
      <c r="P726" s="36">
        <f t="shared" si="36"/>
        <v>4.4155844155844157</v>
      </c>
      <c r="Q726" s="36">
        <v>1384.7866419295001</v>
      </c>
      <c r="R726" s="53">
        <f t="shared" si="37"/>
        <v>61.146423150133771</v>
      </c>
      <c r="S726" s="36">
        <v>1385.3937481073101</v>
      </c>
      <c r="T726" s="53">
        <f t="shared" si="38"/>
        <v>4.4136494215937141</v>
      </c>
      <c r="U726" s="53"/>
      <c r="V726" s="65">
        <v>250</v>
      </c>
      <c r="W726" s="65"/>
      <c r="X726" s="65"/>
      <c r="Y726" s="65"/>
      <c r="Z726" s="3"/>
      <c r="AA726" s="3"/>
      <c r="AB726" s="3"/>
      <c r="AC726" s="3"/>
      <c r="AD726" s="3"/>
      <c r="AE726" s="3"/>
    </row>
    <row r="727" spans="1:31" ht="20.25" customHeight="1">
      <c r="A727" s="72">
        <v>42928</v>
      </c>
      <c r="B727" s="35" t="s">
        <v>154</v>
      </c>
      <c r="C727" s="165">
        <v>2017</v>
      </c>
      <c r="D727" s="53">
        <v>5</v>
      </c>
      <c r="E727" s="36" t="s">
        <v>216</v>
      </c>
      <c r="F727" s="36" t="s">
        <v>217</v>
      </c>
      <c r="G727" s="36"/>
      <c r="H727" s="36"/>
      <c r="I727" s="36"/>
      <c r="J727" s="36"/>
      <c r="K727" s="36"/>
      <c r="L727" s="36">
        <v>10</v>
      </c>
      <c r="M727" s="36" t="s">
        <v>221</v>
      </c>
      <c r="N727" s="36" t="s">
        <v>219</v>
      </c>
      <c r="O727" s="36">
        <v>385</v>
      </c>
      <c r="P727" s="36">
        <f t="shared" si="36"/>
        <v>2.5974025974025974</v>
      </c>
      <c r="Q727" s="36">
        <v>1384.7866419295001</v>
      </c>
      <c r="R727" s="53">
        <f t="shared" si="37"/>
        <v>35.96848420596104</v>
      </c>
      <c r="S727" s="36">
        <v>1385.3937481073101</v>
      </c>
      <c r="T727" s="53">
        <f t="shared" si="38"/>
        <v>2.5962643656433615</v>
      </c>
      <c r="U727" s="53"/>
      <c r="V727" s="36">
        <v>250</v>
      </c>
      <c r="W727" s="36"/>
      <c r="X727" s="36"/>
      <c r="Y727" s="36"/>
      <c r="Z727" s="3"/>
      <c r="AA727" s="3"/>
      <c r="AB727" s="3"/>
      <c r="AC727" s="3"/>
      <c r="AD727" s="3"/>
      <c r="AE727" s="3"/>
    </row>
    <row r="728" spans="1:31" ht="20.25" customHeight="1">
      <c r="A728" s="72">
        <v>42928</v>
      </c>
      <c r="B728" s="35" t="s">
        <v>154</v>
      </c>
      <c r="C728" s="165">
        <v>2017</v>
      </c>
      <c r="D728" s="53">
        <v>5</v>
      </c>
      <c r="E728" s="36" t="s">
        <v>223</v>
      </c>
      <c r="F728" s="36" t="s">
        <v>224</v>
      </c>
      <c r="G728" s="36" t="s">
        <v>225</v>
      </c>
      <c r="H728" s="36" t="s">
        <v>226</v>
      </c>
      <c r="I728" s="36" t="s">
        <v>253</v>
      </c>
      <c r="J728" s="36" t="s">
        <v>256</v>
      </c>
      <c r="K728" s="36"/>
      <c r="L728" s="36">
        <v>41</v>
      </c>
      <c r="M728" s="36" t="s">
        <v>229</v>
      </c>
      <c r="N728" s="36" t="s">
        <v>256</v>
      </c>
      <c r="O728" s="36">
        <v>385</v>
      </c>
      <c r="P728" s="36">
        <f t="shared" si="36"/>
        <v>10.649350649350648</v>
      </c>
      <c r="Q728" s="36">
        <v>1384.7866419295001</v>
      </c>
      <c r="R728" s="53">
        <f t="shared" si="37"/>
        <v>147.47078524444024</v>
      </c>
      <c r="S728" s="36">
        <v>1385.3937481073101</v>
      </c>
      <c r="T728" s="53">
        <f t="shared" si="38"/>
        <v>10.644683899137778</v>
      </c>
      <c r="U728" s="53"/>
      <c r="V728" s="36">
        <v>250</v>
      </c>
      <c r="W728" s="36"/>
      <c r="X728" s="36"/>
      <c r="Y728" s="36"/>
      <c r="Z728" s="3"/>
      <c r="AA728" s="3"/>
      <c r="AB728" s="3"/>
      <c r="AC728" s="3"/>
      <c r="AD728" s="3"/>
      <c r="AE728" s="3"/>
    </row>
    <row r="729" spans="1:31" s="38" customFormat="1" ht="20.25" customHeight="1">
      <c r="A729" s="35">
        <v>42928</v>
      </c>
      <c r="B729" s="35" t="s">
        <v>154</v>
      </c>
      <c r="C729" s="165">
        <v>2017</v>
      </c>
      <c r="D729" s="53">
        <v>5</v>
      </c>
      <c r="E729" s="36"/>
      <c r="F729" s="36"/>
      <c r="G729" s="36"/>
      <c r="H729" s="36"/>
      <c r="I729" s="65"/>
      <c r="J729" s="65"/>
      <c r="K729" s="36"/>
      <c r="L729" s="36">
        <v>1</v>
      </c>
      <c r="M729" s="36"/>
      <c r="N729" s="136" t="s">
        <v>656</v>
      </c>
      <c r="O729" s="36">
        <v>385</v>
      </c>
      <c r="P729" s="36">
        <f t="shared" si="36"/>
        <v>0.25974025974025972</v>
      </c>
      <c r="Q729" s="36">
        <v>1384.7866419295001</v>
      </c>
      <c r="R729" s="53">
        <f t="shared" si="37"/>
        <v>3.5968484205961033</v>
      </c>
      <c r="S729" s="36">
        <v>1385.3937481073101</v>
      </c>
      <c r="T729" s="53">
        <f t="shared" si="38"/>
        <v>0.25962643656433609</v>
      </c>
      <c r="U729" s="53"/>
      <c r="V729" s="65">
        <v>250</v>
      </c>
      <c r="W729" s="65"/>
      <c r="X729" s="65"/>
      <c r="Y729" s="65"/>
      <c r="Z729" s="36"/>
      <c r="AA729" s="36"/>
      <c r="AB729" s="36"/>
      <c r="AC729" s="36"/>
      <c r="AD729" s="36"/>
      <c r="AE729" s="36"/>
    </row>
    <row r="730" spans="1:31" s="38" customFormat="1" ht="20.25" customHeight="1">
      <c r="A730" s="35">
        <v>42928</v>
      </c>
      <c r="B730" s="35" t="s">
        <v>154</v>
      </c>
      <c r="C730" s="165">
        <v>2017</v>
      </c>
      <c r="D730" s="53">
        <v>5</v>
      </c>
      <c r="E730" s="65" t="s">
        <v>223</v>
      </c>
      <c r="F730" s="65" t="s">
        <v>224</v>
      </c>
      <c r="G730" s="65" t="s">
        <v>225</v>
      </c>
      <c r="H730" s="65" t="s">
        <v>226</v>
      </c>
      <c r="I730" s="65" t="s">
        <v>239</v>
      </c>
      <c r="J730" s="36" t="s">
        <v>258</v>
      </c>
      <c r="K730" s="36" t="s">
        <v>259</v>
      </c>
      <c r="L730" s="36">
        <v>2</v>
      </c>
      <c r="M730" s="36" t="s">
        <v>247</v>
      </c>
      <c r="N730" s="36" t="s">
        <v>260</v>
      </c>
      <c r="O730" s="36">
        <v>385</v>
      </c>
      <c r="P730" s="36">
        <f t="shared" ref="P730:P761" si="39">L730/O730*100</f>
        <v>0.51948051948051943</v>
      </c>
      <c r="Q730" s="36">
        <v>1384.7866419295001</v>
      </c>
      <c r="R730" s="53">
        <f t="shared" si="37"/>
        <v>7.1936968411922066</v>
      </c>
      <c r="S730" s="36">
        <v>1385.3937481073101</v>
      </c>
      <c r="T730" s="53">
        <f t="shared" si="38"/>
        <v>0.51925287312867219</v>
      </c>
      <c r="U730" s="53"/>
      <c r="V730" s="65">
        <v>250</v>
      </c>
      <c r="W730" s="65"/>
      <c r="X730" s="65"/>
      <c r="Y730" s="65"/>
      <c r="Z730" s="36"/>
      <c r="AA730" s="36"/>
      <c r="AB730" s="36"/>
      <c r="AC730" s="36"/>
      <c r="AD730" s="36"/>
      <c r="AE730" s="36"/>
    </row>
    <row r="731" spans="1:31" s="38" customFormat="1" ht="20.25" customHeight="1">
      <c r="A731" s="72">
        <v>42928</v>
      </c>
      <c r="B731" s="35" t="s">
        <v>154</v>
      </c>
      <c r="C731" s="165">
        <v>2017</v>
      </c>
      <c r="D731" s="53">
        <v>5</v>
      </c>
      <c r="E731" s="65" t="s">
        <v>223</v>
      </c>
      <c r="F731" s="65" t="s">
        <v>224</v>
      </c>
      <c r="G731" s="65" t="s">
        <v>225</v>
      </c>
      <c r="H731" s="65" t="s">
        <v>226</v>
      </c>
      <c r="I731" s="65" t="s">
        <v>261</v>
      </c>
      <c r="J731" s="36" t="s">
        <v>262</v>
      </c>
      <c r="K731" s="36"/>
      <c r="L731" s="36">
        <v>14</v>
      </c>
      <c r="M731" s="36" t="s">
        <v>229</v>
      </c>
      <c r="N731" s="36" t="s">
        <v>264</v>
      </c>
      <c r="O731" s="36">
        <v>385</v>
      </c>
      <c r="P731" s="36">
        <f t="shared" si="39"/>
        <v>3.6363636363636362</v>
      </c>
      <c r="Q731" s="36">
        <v>1384.7866419295001</v>
      </c>
      <c r="R731" s="53">
        <f t="shared" si="37"/>
        <v>50.355877888345454</v>
      </c>
      <c r="S731" s="36">
        <v>1385.3937481073101</v>
      </c>
      <c r="T731" s="53">
        <f t="shared" si="38"/>
        <v>3.6347701119007056</v>
      </c>
      <c r="U731" s="53"/>
      <c r="V731" s="65">
        <v>250</v>
      </c>
      <c r="W731" s="65"/>
      <c r="X731" s="65"/>
      <c r="Y731" s="65"/>
      <c r="Z731" s="36"/>
      <c r="AA731" s="36"/>
      <c r="AB731" s="36"/>
      <c r="AC731" s="36"/>
      <c r="AD731" s="36"/>
      <c r="AE731" s="36"/>
    </row>
    <row r="732" spans="1:31" s="38" customFormat="1" ht="20.25" customHeight="1">
      <c r="A732" s="35">
        <v>42928</v>
      </c>
      <c r="B732" s="35" t="s">
        <v>154</v>
      </c>
      <c r="C732" s="165">
        <v>2017</v>
      </c>
      <c r="D732" s="53">
        <v>5</v>
      </c>
      <c r="E732" s="65" t="s">
        <v>328</v>
      </c>
      <c r="F732" s="65"/>
      <c r="G732" s="65"/>
      <c r="H732" s="65"/>
      <c r="I732" s="65"/>
      <c r="J732" s="36"/>
      <c r="K732" s="36"/>
      <c r="L732" s="36">
        <v>3</v>
      </c>
      <c r="M732" s="36"/>
      <c r="N732" s="36" t="s">
        <v>370</v>
      </c>
      <c r="O732" s="36">
        <v>385</v>
      </c>
      <c r="P732" s="36">
        <f t="shared" si="39"/>
        <v>0.77922077922077926</v>
      </c>
      <c r="Q732" s="36">
        <v>1384.7866419295001</v>
      </c>
      <c r="R732" s="53">
        <f t="shared" si="37"/>
        <v>10.790545261788312</v>
      </c>
      <c r="S732" s="36">
        <v>1385.3937481073101</v>
      </c>
      <c r="T732" s="53">
        <f t="shared" si="38"/>
        <v>0.77887930969300834</v>
      </c>
      <c r="U732" s="53"/>
      <c r="V732" s="65">
        <v>250</v>
      </c>
      <c r="W732" s="65"/>
      <c r="X732" s="65"/>
      <c r="Y732" s="65"/>
      <c r="Z732" s="36"/>
      <c r="AA732" s="36"/>
      <c r="AB732" s="36"/>
      <c r="AC732" s="36"/>
      <c r="AD732" s="36"/>
      <c r="AE732" s="36"/>
    </row>
    <row r="733" spans="1:31" s="38" customFormat="1" ht="20.25" customHeight="1">
      <c r="A733" s="13">
        <v>42928</v>
      </c>
      <c r="B733" s="35" t="s">
        <v>154</v>
      </c>
      <c r="C733" s="165">
        <v>2017</v>
      </c>
      <c r="D733" s="53">
        <v>4</v>
      </c>
      <c r="E733" s="3" t="s">
        <v>223</v>
      </c>
      <c r="F733" s="3" t="s">
        <v>224</v>
      </c>
      <c r="G733" s="3" t="s">
        <v>225</v>
      </c>
      <c r="H733" s="3" t="s">
        <v>226</v>
      </c>
      <c r="I733" s="3" t="s">
        <v>227</v>
      </c>
      <c r="J733" s="3" t="s">
        <v>228</v>
      </c>
      <c r="K733" s="3"/>
      <c r="L733" s="36">
        <v>35</v>
      </c>
      <c r="M733" s="3" t="s">
        <v>229</v>
      </c>
      <c r="N733" s="36" t="s">
        <v>228</v>
      </c>
      <c r="O733" s="3">
        <v>225</v>
      </c>
      <c r="P733" s="3">
        <f t="shared" si="39"/>
        <v>15.555555555555555</v>
      </c>
      <c r="Q733" s="36">
        <v>2516.9491525423728</v>
      </c>
      <c r="R733" s="8">
        <f t="shared" si="37"/>
        <v>391.52542372881356</v>
      </c>
      <c r="S733" s="65">
        <v>2527.0860744440001</v>
      </c>
      <c r="T733" s="40">
        <f t="shared" si="38"/>
        <v>15.493157423019536</v>
      </c>
      <c r="U733" s="109"/>
      <c r="V733" s="36">
        <v>250</v>
      </c>
      <c r="W733" s="3"/>
      <c r="X733" s="3"/>
      <c r="Y733" s="3"/>
      <c r="Z733" s="36"/>
      <c r="AA733" s="36"/>
      <c r="AB733" s="36"/>
      <c r="AC733" s="36"/>
      <c r="AD733" s="36"/>
      <c r="AE733" s="36"/>
    </row>
    <row r="734" spans="1:31" s="38" customFormat="1" ht="20.25" customHeight="1">
      <c r="A734" s="13">
        <v>42928</v>
      </c>
      <c r="B734" s="72" t="s">
        <v>154</v>
      </c>
      <c r="C734" s="165">
        <v>2017</v>
      </c>
      <c r="D734" s="53">
        <v>4</v>
      </c>
      <c r="E734" s="36" t="s">
        <v>223</v>
      </c>
      <c r="F734" s="36" t="s">
        <v>303</v>
      </c>
      <c r="G734" s="36" t="s">
        <v>304</v>
      </c>
      <c r="H734" s="36" t="s">
        <v>305</v>
      </c>
      <c r="I734" s="36" t="s">
        <v>306</v>
      </c>
      <c r="J734" s="36" t="s">
        <v>307</v>
      </c>
      <c r="K734" s="36"/>
      <c r="L734" s="36">
        <v>16</v>
      </c>
      <c r="M734" s="3" t="s">
        <v>229</v>
      </c>
      <c r="N734" s="3" t="s">
        <v>307</v>
      </c>
      <c r="O734" s="3">
        <v>225</v>
      </c>
      <c r="P734" s="3">
        <f t="shared" si="39"/>
        <v>7.1111111111111107</v>
      </c>
      <c r="Q734" s="36">
        <v>2516.94915254237</v>
      </c>
      <c r="R734" s="8">
        <f t="shared" si="37"/>
        <v>178.98305084745743</v>
      </c>
      <c r="S734" s="36">
        <v>2527.0860744440001</v>
      </c>
      <c r="T734" s="40">
        <f t="shared" si="38"/>
        <v>7.0825862505232084</v>
      </c>
      <c r="U734" s="109"/>
      <c r="V734" s="36">
        <v>250</v>
      </c>
      <c r="W734" s="3" t="s">
        <v>308</v>
      </c>
      <c r="X734" s="3"/>
      <c r="Y734" s="3"/>
      <c r="Z734" s="36"/>
      <c r="AA734" s="36"/>
      <c r="AB734" s="36"/>
      <c r="AC734" s="36"/>
      <c r="AD734" s="36"/>
      <c r="AE734" s="36"/>
    </row>
    <row r="735" spans="1:31" s="38" customFormat="1" ht="20.25" customHeight="1">
      <c r="A735" s="13">
        <v>42928</v>
      </c>
      <c r="B735" s="72" t="s">
        <v>154</v>
      </c>
      <c r="C735" s="165">
        <v>2017</v>
      </c>
      <c r="D735" s="53">
        <v>4</v>
      </c>
      <c r="E735" s="36" t="s">
        <v>223</v>
      </c>
      <c r="F735" s="36" t="s">
        <v>303</v>
      </c>
      <c r="G735" s="36" t="s">
        <v>304</v>
      </c>
      <c r="H735" s="36" t="s">
        <v>305</v>
      </c>
      <c r="I735" s="36" t="s">
        <v>306</v>
      </c>
      <c r="J735" s="36" t="s">
        <v>307</v>
      </c>
      <c r="K735" s="36"/>
      <c r="L735" s="36">
        <v>2</v>
      </c>
      <c r="M735" s="3" t="s">
        <v>229</v>
      </c>
      <c r="N735" s="3" t="s">
        <v>307</v>
      </c>
      <c r="O735" s="3">
        <v>225</v>
      </c>
      <c r="P735" s="3">
        <f t="shared" si="39"/>
        <v>0.88888888888888884</v>
      </c>
      <c r="Q735" s="36">
        <v>2516.94915254237</v>
      </c>
      <c r="R735" s="8">
        <f t="shared" si="37"/>
        <v>22.372881355932179</v>
      </c>
      <c r="S735" s="36">
        <v>2527.0860744440001</v>
      </c>
      <c r="T735" s="40">
        <f t="shared" si="38"/>
        <v>0.88532328131540106</v>
      </c>
      <c r="U735" s="109"/>
      <c r="V735" s="36">
        <v>250</v>
      </c>
      <c r="W735" s="3" t="s">
        <v>309</v>
      </c>
      <c r="X735" s="3"/>
      <c r="Y735" s="3"/>
      <c r="Z735" s="36"/>
      <c r="AA735" s="36"/>
      <c r="AB735" s="36"/>
      <c r="AC735" s="36"/>
      <c r="AD735" s="36"/>
      <c r="AE735" s="36"/>
    </row>
    <row r="736" spans="1:31" s="38" customFormat="1" ht="20.25" customHeight="1">
      <c r="A736" s="13">
        <v>42928</v>
      </c>
      <c r="B736" s="35" t="s">
        <v>154</v>
      </c>
      <c r="C736" s="165">
        <v>2017</v>
      </c>
      <c r="D736" s="53">
        <v>4</v>
      </c>
      <c r="E736" s="3" t="s">
        <v>223</v>
      </c>
      <c r="F736" s="3" t="s">
        <v>224</v>
      </c>
      <c r="G736" s="3" t="s">
        <v>225</v>
      </c>
      <c r="H736" s="3" t="s">
        <v>226</v>
      </c>
      <c r="I736" s="3" t="s">
        <v>232</v>
      </c>
      <c r="J736" s="3" t="s">
        <v>233</v>
      </c>
      <c r="K736" s="3"/>
      <c r="L736" s="3">
        <v>2</v>
      </c>
      <c r="M736" s="3" t="s">
        <v>229</v>
      </c>
      <c r="N736" s="3" t="s">
        <v>233</v>
      </c>
      <c r="O736" s="3">
        <v>225</v>
      </c>
      <c r="P736" s="3">
        <f t="shared" si="39"/>
        <v>0.88888888888888884</v>
      </c>
      <c r="Q736" s="36">
        <v>2516.94915254237</v>
      </c>
      <c r="R736" s="8">
        <f t="shared" si="37"/>
        <v>22.372881355932179</v>
      </c>
      <c r="S736" s="65">
        <v>2527.0860744440001</v>
      </c>
      <c r="T736" s="40">
        <f t="shared" si="38"/>
        <v>0.88532328131540106</v>
      </c>
      <c r="U736" s="109"/>
      <c r="V736" s="36">
        <v>250</v>
      </c>
      <c r="W736" s="3"/>
      <c r="X736" s="3"/>
      <c r="Y736" s="3"/>
      <c r="Z736" s="36"/>
      <c r="AA736" s="36"/>
      <c r="AB736" s="36"/>
      <c r="AC736" s="36"/>
      <c r="AD736" s="36"/>
      <c r="AE736" s="36"/>
    </row>
    <row r="737" spans="1:31" s="38" customFormat="1" ht="20.25" customHeight="1">
      <c r="A737" s="13">
        <v>42928</v>
      </c>
      <c r="B737" s="35" t="s">
        <v>154</v>
      </c>
      <c r="C737" s="165">
        <v>2017</v>
      </c>
      <c r="D737" s="53">
        <v>4</v>
      </c>
      <c r="E737" s="3" t="s">
        <v>223</v>
      </c>
      <c r="F737" s="3" t="s">
        <v>224</v>
      </c>
      <c r="G737" s="3" t="s">
        <v>225</v>
      </c>
      <c r="H737" s="3" t="s">
        <v>226</v>
      </c>
      <c r="I737" s="3" t="s">
        <v>235</v>
      </c>
      <c r="J737" s="3" t="s">
        <v>236</v>
      </c>
      <c r="K737" s="3"/>
      <c r="L737" s="36">
        <v>9</v>
      </c>
      <c r="M737" s="3" t="s">
        <v>229</v>
      </c>
      <c r="N737" s="36" t="s">
        <v>236</v>
      </c>
      <c r="O737" s="3">
        <v>225</v>
      </c>
      <c r="P737" s="3">
        <f t="shared" si="39"/>
        <v>4</v>
      </c>
      <c r="Q737" s="36">
        <v>2516.94915254237</v>
      </c>
      <c r="R737" s="8">
        <f t="shared" si="37"/>
        <v>100.67796610169481</v>
      </c>
      <c r="S737" s="36">
        <v>2527.0860744440001</v>
      </c>
      <c r="T737" s="40">
        <f t="shared" si="38"/>
        <v>3.9839547659193042</v>
      </c>
      <c r="U737" s="109"/>
      <c r="V737" s="65">
        <v>250</v>
      </c>
      <c r="W737" s="51"/>
      <c r="X737" s="51"/>
      <c r="Y737" s="51"/>
      <c r="Z737" s="36"/>
      <c r="AA737" s="36"/>
      <c r="AB737" s="36"/>
      <c r="AC737" s="36"/>
      <c r="AD737" s="36"/>
      <c r="AE737" s="36"/>
    </row>
    <row r="738" spans="1:31" s="38" customFormat="1" ht="20.25" customHeight="1">
      <c r="A738" s="13">
        <v>42928</v>
      </c>
      <c r="B738" s="35" t="s">
        <v>154</v>
      </c>
      <c r="C738" s="165">
        <v>2017</v>
      </c>
      <c r="D738" s="53">
        <v>4</v>
      </c>
      <c r="E738" s="36" t="s">
        <v>223</v>
      </c>
      <c r="F738" s="36" t="s">
        <v>317</v>
      </c>
      <c r="G738" s="36" t="s">
        <v>314</v>
      </c>
      <c r="H738" s="36" t="s">
        <v>346</v>
      </c>
      <c r="I738" s="36" t="s">
        <v>315</v>
      </c>
      <c r="J738" s="36" t="s">
        <v>347</v>
      </c>
      <c r="K738" s="36"/>
      <c r="L738" s="3">
        <v>2</v>
      </c>
      <c r="M738" s="3" t="s">
        <v>229</v>
      </c>
      <c r="N738" s="36" t="s">
        <v>345</v>
      </c>
      <c r="O738" s="3">
        <v>225</v>
      </c>
      <c r="P738" s="3">
        <f t="shared" si="39"/>
        <v>0.88888888888888884</v>
      </c>
      <c r="Q738" s="36">
        <v>2516.94915254237</v>
      </c>
      <c r="R738" s="8">
        <f t="shared" si="37"/>
        <v>22.372881355932179</v>
      </c>
      <c r="S738" s="65">
        <v>2527.0860744440001</v>
      </c>
      <c r="T738" s="40">
        <f t="shared" si="38"/>
        <v>0.88532328131540106</v>
      </c>
      <c r="U738" s="109"/>
      <c r="V738" s="36">
        <v>250</v>
      </c>
      <c r="W738" s="3"/>
      <c r="X738" s="3"/>
      <c r="Y738" s="3"/>
      <c r="Z738" s="36"/>
      <c r="AA738" s="36"/>
      <c r="AB738" s="36"/>
      <c r="AC738" s="36"/>
      <c r="AD738" s="36"/>
      <c r="AE738" s="36"/>
    </row>
    <row r="739" spans="1:31" s="38" customFormat="1" ht="20.25" customHeight="1">
      <c r="A739" s="13">
        <v>42928</v>
      </c>
      <c r="B739" s="35" t="s">
        <v>154</v>
      </c>
      <c r="C739" s="165">
        <v>2017</v>
      </c>
      <c r="D739" s="53">
        <v>4</v>
      </c>
      <c r="E739" s="36" t="s">
        <v>223</v>
      </c>
      <c r="F739" s="36" t="s">
        <v>267</v>
      </c>
      <c r="G739" s="36"/>
      <c r="H739" s="36" t="s">
        <v>273</v>
      </c>
      <c r="I739" s="36" t="s">
        <v>274</v>
      </c>
      <c r="J739" s="36" t="s">
        <v>275</v>
      </c>
      <c r="K739" s="36" t="s">
        <v>276</v>
      </c>
      <c r="L739" s="36">
        <v>4</v>
      </c>
      <c r="M739" s="36" t="s">
        <v>247</v>
      </c>
      <c r="N739" s="36" t="s">
        <v>275</v>
      </c>
      <c r="O739" s="3">
        <v>92</v>
      </c>
      <c r="P739" s="3">
        <f t="shared" si="39"/>
        <v>4.3478260869565215</v>
      </c>
      <c r="Q739" s="36">
        <v>10.136921901627785</v>
      </c>
      <c r="R739" s="8">
        <f t="shared" si="37"/>
        <v>0.44073573485338197</v>
      </c>
      <c r="S739" s="36">
        <v>2527.0860744440006</v>
      </c>
      <c r="T739" s="40">
        <f t="shared" si="38"/>
        <v>1.7440471826839176E-2</v>
      </c>
      <c r="U739" s="109"/>
      <c r="V739" s="36">
        <v>1000</v>
      </c>
      <c r="W739" s="3"/>
      <c r="X739" s="3"/>
      <c r="Y739" s="3"/>
      <c r="Z739" s="36"/>
      <c r="AA739" s="36"/>
      <c r="AB739" s="36"/>
      <c r="AC739" s="36"/>
      <c r="AD739" s="36"/>
      <c r="AE739" s="36"/>
    </row>
    <row r="740" spans="1:31" s="38" customFormat="1" ht="20.25" customHeight="1">
      <c r="A740" s="13">
        <v>42928</v>
      </c>
      <c r="B740" s="35" t="s">
        <v>154</v>
      </c>
      <c r="C740" s="165">
        <v>2017</v>
      </c>
      <c r="D740" s="53">
        <v>4</v>
      </c>
      <c r="E740" s="65" t="s">
        <v>223</v>
      </c>
      <c r="F740" s="65" t="s">
        <v>224</v>
      </c>
      <c r="G740" s="65" t="s">
        <v>225</v>
      </c>
      <c r="H740" s="65" t="s">
        <v>226</v>
      </c>
      <c r="I740" s="65" t="s">
        <v>239</v>
      </c>
      <c r="J740" s="36" t="s">
        <v>240</v>
      </c>
      <c r="K740" s="3"/>
      <c r="L740" s="36">
        <v>118</v>
      </c>
      <c r="M740" s="3" t="s">
        <v>229</v>
      </c>
      <c r="N740" s="36" t="s">
        <v>240</v>
      </c>
      <c r="O740" s="3">
        <v>225</v>
      </c>
      <c r="P740" s="3">
        <f t="shared" si="39"/>
        <v>52.44444444444445</v>
      </c>
      <c r="Q740" s="36">
        <v>2516.9491525423728</v>
      </c>
      <c r="R740" s="8">
        <f t="shared" si="37"/>
        <v>1320</v>
      </c>
      <c r="S740" s="36">
        <v>2527.0860744440001</v>
      </c>
      <c r="T740" s="40">
        <f t="shared" si="38"/>
        <v>52.234073597608713</v>
      </c>
      <c r="U740" s="109"/>
      <c r="V740" s="36">
        <v>250</v>
      </c>
      <c r="W740" s="3"/>
      <c r="X740" s="3"/>
      <c r="Y740" s="3"/>
      <c r="Z740" s="36"/>
      <c r="AA740" s="36"/>
      <c r="AB740" s="36"/>
      <c r="AC740" s="36"/>
      <c r="AD740" s="36"/>
      <c r="AE740" s="36"/>
    </row>
    <row r="741" spans="1:31" s="38" customFormat="1" ht="20.25" customHeight="1">
      <c r="A741" s="13">
        <v>42928</v>
      </c>
      <c r="B741" s="72" t="s">
        <v>154</v>
      </c>
      <c r="C741" s="165">
        <v>2017</v>
      </c>
      <c r="D741" s="53">
        <v>4</v>
      </c>
      <c r="E741" s="3" t="s">
        <v>223</v>
      </c>
      <c r="F741" s="3" t="s">
        <v>224</v>
      </c>
      <c r="G741" s="3" t="s">
        <v>225</v>
      </c>
      <c r="H741" s="3" t="s">
        <v>243</v>
      </c>
      <c r="I741" s="3"/>
      <c r="J741" s="3"/>
      <c r="K741" s="3"/>
      <c r="L741" s="3">
        <v>2</v>
      </c>
      <c r="M741" s="3" t="s">
        <v>247</v>
      </c>
      <c r="N741" s="3" t="s">
        <v>673</v>
      </c>
      <c r="O741" s="3">
        <v>225</v>
      </c>
      <c r="P741" s="3">
        <f t="shared" si="39"/>
        <v>0.88888888888888884</v>
      </c>
      <c r="Q741" s="36">
        <v>2516.94915254237</v>
      </c>
      <c r="R741" s="8">
        <f t="shared" si="37"/>
        <v>22.372881355932179</v>
      </c>
      <c r="S741" s="65">
        <v>2527.0860744440001</v>
      </c>
      <c r="T741" s="40">
        <f t="shared" si="38"/>
        <v>0.88532328131540106</v>
      </c>
      <c r="U741" s="109"/>
      <c r="V741" s="36">
        <v>250</v>
      </c>
      <c r="W741" s="3" t="s">
        <v>658</v>
      </c>
      <c r="X741" s="3"/>
      <c r="Y741" s="3"/>
      <c r="Z741" s="36"/>
      <c r="AA741" s="36"/>
      <c r="AB741" s="36"/>
      <c r="AC741" s="36"/>
      <c r="AD741" s="36"/>
      <c r="AE741" s="36"/>
    </row>
    <row r="742" spans="1:31" s="38" customFormat="1" ht="20.25" customHeight="1">
      <c r="A742" s="13">
        <v>42928</v>
      </c>
      <c r="B742" s="72" t="s">
        <v>154</v>
      </c>
      <c r="C742" s="165">
        <v>2017</v>
      </c>
      <c r="D742" s="53">
        <v>4</v>
      </c>
      <c r="E742" s="36" t="s">
        <v>223</v>
      </c>
      <c r="F742" s="36" t="s">
        <v>267</v>
      </c>
      <c r="G742" s="36" t="s">
        <v>278</v>
      </c>
      <c r="H742" s="36" t="s">
        <v>279</v>
      </c>
      <c r="I742" s="36" t="s">
        <v>280</v>
      </c>
      <c r="J742" s="36" t="s">
        <v>284</v>
      </c>
      <c r="K742" s="36" t="s">
        <v>285</v>
      </c>
      <c r="L742" s="36">
        <v>88</v>
      </c>
      <c r="M742" s="36" t="s">
        <v>247</v>
      </c>
      <c r="N742" s="36" t="s">
        <v>24</v>
      </c>
      <c r="O742" s="3">
        <v>92</v>
      </c>
      <c r="P742" s="3">
        <f t="shared" si="39"/>
        <v>95.652173913043484</v>
      </c>
      <c r="Q742" s="36">
        <v>10.136921901627785</v>
      </c>
      <c r="R742" s="8">
        <f t="shared" si="37"/>
        <v>9.6961861667744031</v>
      </c>
      <c r="S742" s="36">
        <v>2527.0860744440006</v>
      </c>
      <c r="T742" s="40">
        <f t="shared" si="38"/>
        <v>0.38369038019046181</v>
      </c>
      <c r="U742" s="109"/>
      <c r="V742" s="36">
        <v>1000</v>
      </c>
      <c r="W742" s="3"/>
      <c r="X742" s="3"/>
      <c r="Y742" s="3"/>
      <c r="Z742" s="36"/>
      <c r="AA742" s="36"/>
      <c r="AB742" s="36"/>
      <c r="AC742" s="36"/>
      <c r="AD742" s="36"/>
      <c r="AE742" s="36"/>
    </row>
    <row r="743" spans="1:31" s="38" customFormat="1" ht="20.25" customHeight="1">
      <c r="A743" s="13">
        <v>42928</v>
      </c>
      <c r="B743" s="35" t="s">
        <v>154</v>
      </c>
      <c r="C743" s="165">
        <v>2017</v>
      </c>
      <c r="D743" s="53">
        <v>4</v>
      </c>
      <c r="E743" s="3" t="s">
        <v>223</v>
      </c>
      <c r="F743" s="3" t="s">
        <v>224</v>
      </c>
      <c r="G743" s="3" t="s">
        <v>225</v>
      </c>
      <c r="H743" s="3" t="s">
        <v>248</v>
      </c>
      <c r="I743" s="3" t="s">
        <v>249</v>
      </c>
      <c r="J743" s="3" t="s">
        <v>250</v>
      </c>
      <c r="K743" s="3"/>
      <c r="L743" s="3">
        <v>1</v>
      </c>
      <c r="M743" s="3" t="s">
        <v>229</v>
      </c>
      <c r="N743" s="3" t="s">
        <v>250</v>
      </c>
      <c r="O743" s="3">
        <v>225</v>
      </c>
      <c r="P743" s="3">
        <f t="shared" si="39"/>
        <v>0.44444444444444442</v>
      </c>
      <c r="Q743" s="36">
        <v>2516.94915254237</v>
      </c>
      <c r="R743" s="8">
        <f t="shared" si="37"/>
        <v>11.18644067796609</v>
      </c>
      <c r="S743" s="36">
        <v>2527.0860744440001</v>
      </c>
      <c r="T743" s="40">
        <f t="shared" si="38"/>
        <v>0.44266164065770053</v>
      </c>
      <c r="U743" s="109"/>
      <c r="V743" s="36">
        <v>250</v>
      </c>
      <c r="W743" s="3"/>
      <c r="X743" s="3"/>
      <c r="Y743" s="3"/>
      <c r="Z743" s="36"/>
      <c r="AA743" s="36"/>
      <c r="AB743" s="36"/>
      <c r="AC743" s="36"/>
      <c r="AD743" s="36"/>
      <c r="AE743" s="36"/>
    </row>
    <row r="744" spans="1:31" ht="20.25" customHeight="1">
      <c r="A744" s="13">
        <v>42928</v>
      </c>
      <c r="B744" s="35" t="s">
        <v>154</v>
      </c>
      <c r="C744" s="165">
        <v>2017</v>
      </c>
      <c r="D744" s="53">
        <v>4</v>
      </c>
      <c r="E744" s="51" t="s">
        <v>223</v>
      </c>
      <c r="F744" s="51" t="s">
        <v>224</v>
      </c>
      <c r="G744" s="51" t="s">
        <v>225</v>
      </c>
      <c r="H744" s="51" t="s">
        <v>226</v>
      </c>
      <c r="I744" s="51" t="s">
        <v>355</v>
      </c>
      <c r="J744" s="3" t="s">
        <v>356</v>
      </c>
      <c r="K744" s="3"/>
      <c r="L744" s="3">
        <v>3</v>
      </c>
      <c r="M744" s="3" t="s">
        <v>229</v>
      </c>
      <c r="N744" s="3" t="s">
        <v>356</v>
      </c>
      <c r="O744" s="3">
        <v>225</v>
      </c>
      <c r="P744" s="3">
        <f t="shared" si="39"/>
        <v>1.3333333333333335</v>
      </c>
      <c r="Q744" s="36">
        <v>2516.94915254237</v>
      </c>
      <c r="R744" s="8">
        <f t="shared" si="37"/>
        <v>33.559322033898269</v>
      </c>
      <c r="S744" s="65">
        <v>2527.0860744440001</v>
      </c>
      <c r="T744" s="40">
        <f t="shared" si="38"/>
        <v>1.3279849219731015</v>
      </c>
      <c r="U744" s="109"/>
      <c r="V744" s="36">
        <v>250</v>
      </c>
      <c r="W744" s="3"/>
      <c r="X744" s="3"/>
      <c r="Y744" s="3"/>
      <c r="Z744" s="3"/>
      <c r="AA744" s="3"/>
      <c r="AB744" s="3"/>
      <c r="AC744" s="3"/>
      <c r="AD744" s="3"/>
      <c r="AE744" s="3"/>
    </row>
    <row r="745" spans="1:31" ht="20.25" customHeight="1">
      <c r="A745" s="13">
        <v>42928</v>
      </c>
      <c r="B745" s="35" t="s">
        <v>154</v>
      </c>
      <c r="C745" s="165">
        <v>2017</v>
      </c>
      <c r="D745" s="53">
        <v>4</v>
      </c>
      <c r="E745" s="36" t="s">
        <v>216</v>
      </c>
      <c r="F745" s="36" t="s">
        <v>217</v>
      </c>
      <c r="G745" s="36"/>
      <c r="H745" s="36"/>
      <c r="I745" s="36"/>
      <c r="J745" s="36"/>
      <c r="K745" s="36"/>
      <c r="L745" s="36">
        <v>6</v>
      </c>
      <c r="M745" s="36" t="s">
        <v>221</v>
      </c>
      <c r="N745" s="36" t="s">
        <v>219</v>
      </c>
      <c r="O745" s="3">
        <v>225</v>
      </c>
      <c r="P745" s="3">
        <f t="shared" si="39"/>
        <v>2.666666666666667</v>
      </c>
      <c r="Q745" s="36">
        <v>2516.94915254237</v>
      </c>
      <c r="R745" s="8">
        <f t="shared" si="37"/>
        <v>67.118644067796538</v>
      </c>
      <c r="S745" s="65">
        <v>2527.0860744440001</v>
      </c>
      <c r="T745" s="40">
        <f t="shared" si="38"/>
        <v>2.6559698439462029</v>
      </c>
      <c r="U745" s="109"/>
      <c r="V745" s="36">
        <v>250</v>
      </c>
      <c r="W745" s="3"/>
      <c r="X745" s="3"/>
      <c r="Y745" s="3"/>
      <c r="Z745" s="3"/>
      <c r="AA745" s="3"/>
      <c r="AB745" s="3"/>
      <c r="AC745" s="3"/>
      <c r="AD745" s="3"/>
      <c r="AE745" s="3"/>
    </row>
    <row r="746" spans="1:31" ht="20.25" customHeight="1">
      <c r="A746" s="13">
        <v>42928</v>
      </c>
      <c r="B746" s="35" t="s">
        <v>154</v>
      </c>
      <c r="C746" s="165">
        <v>2017</v>
      </c>
      <c r="D746" s="53">
        <v>4</v>
      </c>
      <c r="E746" s="36" t="s">
        <v>223</v>
      </c>
      <c r="F746" s="36" t="s">
        <v>224</v>
      </c>
      <c r="G746" s="36" t="s">
        <v>225</v>
      </c>
      <c r="H746" s="36" t="s">
        <v>226</v>
      </c>
      <c r="I746" s="36" t="s">
        <v>253</v>
      </c>
      <c r="J746" s="36" t="s">
        <v>256</v>
      </c>
      <c r="K746" s="3"/>
      <c r="L746" s="36">
        <v>22</v>
      </c>
      <c r="M746" s="3" t="s">
        <v>229</v>
      </c>
      <c r="N746" s="36" t="s">
        <v>256</v>
      </c>
      <c r="O746" s="3">
        <v>225</v>
      </c>
      <c r="P746" s="3">
        <f t="shared" si="39"/>
        <v>9.7777777777777786</v>
      </c>
      <c r="Q746" s="36">
        <v>2516.94915254237</v>
      </c>
      <c r="R746" s="8">
        <f t="shared" si="37"/>
        <v>246.10169491525397</v>
      </c>
      <c r="S746" s="36">
        <v>2527.0860744440001</v>
      </c>
      <c r="T746" s="40">
        <f t="shared" si="38"/>
        <v>9.738556094469411</v>
      </c>
      <c r="U746" s="109"/>
      <c r="V746" s="36">
        <v>250</v>
      </c>
      <c r="W746" s="3"/>
      <c r="X746" s="3"/>
      <c r="Y746" s="3"/>
      <c r="Z746" s="3"/>
      <c r="AA746" s="3"/>
      <c r="AB746" s="3"/>
      <c r="AC746" s="3"/>
      <c r="AD746" s="3"/>
      <c r="AE746" s="3"/>
    </row>
    <row r="747" spans="1:31" ht="20.25" customHeight="1">
      <c r="A747" s="13">
        <v>42928</v>
      </c>
      <c r="B747" s="35" t="s">
        <v>154</v>
      </c>
      <c r="C747" s="165">
        <v>2017</v>
      </c>
      <c r="D747" s="53">
        <v>4</v>
      </c>
      <c r="E747" s="36" t="s">
        <v>223</v>
      </c>
      <c r="F747" s="36" t="s">
        <v>224</v>
      </c>
      <c r="G747" s="36" t="s">
        <v>225</v>
      </c>
      <c r="H747" s="36" t="s">
        <v>226</v>
      </c>
      <c r="I747" s="54" t="s">
        <v>487</v>
      </c>
      <c r="J747" s="36" t="s">
        <v>486</v>
      </c>
      <c r="K747" s="3"/>
      <c r="L747" s="3">
        <v>1</v>
      </c>
      <c r="M747" s="3" t="s">
        <v>229</v>
      </c>
      <c r="N747" s="3" t="s">
        <v>488</v>
      </c>
      <c r="O747" s="3">
        <v>225</v>
      </c>
      <c r="P747" s="3">
        <f t="shared" si="39"/>
        <v>0.44444444444444442</v>
      </c>
      <c r="Q747" s="36">
        <v>2516.94915254237</v>
      </c>
      <c r="R747" s="8">
        <f t="shared" si="37"/>
        <v>11.18644067796609</v>
      </c>
      <c r="S747" s="65">
        <v>2527.0860744440001</v>
      </c>
      <c r="T747" s="40">
        <f t="shared" si="38"/>
        <v>0.44266164065770053</v>
      </c>
      <c r="U747" s="109"/>
      <c r="V747" s="36">
        <v>250</v>
      </c>
      <c r="W747" s="3"/>
      <c r="X747" s="3"/>
      <c r="Y747" s="3"/>
      <c r="Z747" s="3"/>
      <c r="AA747" s="3"/>
      <c r="AB747" s="3"/>
      <c r="AC747" s="3"/>
      <c r="AD747" s="3"/>
      <c r="AE747" s="3"/>
    </row>
    <row r="748" spans="1:31" ht="20.25" customHeight="1">
      <c r="A748" s="13">
        <v>42928</v>
      </c>
      <c r="B748" s="35" t="s">
        <v>154</v>
      </c>
      <c r="C748" s="165">
        <v>2017</v>
      </c>
      <c r="D748" s="53">
        <v>4</v>
      </c>
      <c r="E748" s="51" t="s">
        <v>223</v>
      </c>
      <c r="F748" s="51" t="s">
        <v>224</v>
      </c>
      <c r="G748" s="51" t="s">
        <v>225</v>
      </c>
      <c r="H748" s="51" t="s">
        <v>226</v>
      </c>
      <c r="I748" s="51" t="s">
        <v>239</v>
      </c>
      <c r="J748" s="3" t="s">
        <v>258</v>
      </c>
      <c r="K748" s="3" t="s">
        <v>259</v>
      </c>
      <c r="L748" s="3">
        <v>1</v>
      </c>
      <c r="M748" s="3" t="s">
        <v>247</v>
      </c>
      <c r="N748" s="3" t="s">
        <v>260</v>
      </c>
      <c r="O748" s="3">
        <v>225</v>
      </c>
      <c r="P748" s="3">
        <f t="shared" si="39"/>
        <v>0.44444444444444442</v>
      </c>
      <c r="Q748" s="36">
        <v>2516.94915254237</v>
      </c>
      <c r="R748" s="8">
        <f t="shared" si="37"/>
        <v>11.18644067796609</v>
      </c>
      <c r="S748" s="65">
        <v>2527.0860744440001</v>
      </c>
      <c r="T748" s="40">
        <f t="shared" si="38"/>
        <v>0.44266164065770053</v>
      </c>
      <c r="U748" s="109"/>
      <c r="V748" s="36">
        <v>250</v>
      </c>
      <c r="W748" s="3"/>
      <c r="X748" s="3"/>
      <c r="Y748" s="3"/>
      <c r="Z748" s="3"/>
      <c r="AA748" s="3"/>
      <c r="AB748" s="3"/>
      <c r="AC748" s="3"/>
      <c r="AD748" s="3"/>
      <c r="AE748" s="3"/>
    </row>
    <row r="749" spans="1:31" ht="20.25" customHeight="1">
      <c r="A749" s="13">
        <v>42928</v>
      </c>
      <c r="B749" s="35" t="s">
        <v>154</v>
      </c>
      <c r="C749" s="165">
        <v>2017</v>
      </c>
      <c r="D749" s="53">
        <v>4</v>
      </c>
      <c r="E749" s="65" t="s">
        <v>223</v>
      </c>
      <c r="F749" s="65" t="s">
        <v>224</v>
      </c>
      <c r="G749" s="65" t="s">
        <v>225</v>
      </c>
      <c r="H749" s="65" t="s">
        <v>226</v>
      </c>
      <c r="I749" s="65" t="s">
        <v>261</v>
      </c>
      <c r="J749" s="36" t="s">
        <v>262</v>
      </c>
      <c r="K749" s="36"/>
      <c r="L749" s="36">
        <v>5</v>
      </c>
      <c r="M749" s="3" t="s">
        <v>229</v>
      </c>
      <c r="N749" s="36" t="s">
        <v>264</v>
      </c>
      <c r="O749" s="3">
        <v>225</v>
      </c>
      <c r="P749" s="3">
        <f t="shared" si="39"/>
        <v>2.2222222222222223</v>
      </c>
      <c r="Q749" s="36">
        <v>2516.94915254237</v>
      </c>
      <c r="R749" s="8">
        <f t="shared" si="37"/>
        <v>55.932203389830448</v>
      </c>
      <c r="S749" s="36">
        <v>2527.0860744440001</v>
      </c>
      <c r="T749" s="40">
        <f t="shared" si="38"/>
        <v>2.2133082032885025</v>
      </c>
      <c r="U749" s="109"/>
      <c r="V749" s="36">
        <v>250</v>
      </c>
      <c r="W749" s="3"/>
      <c r="X749" s="3"/>
      <c r="Y749" s="3"/>
      <c r="Z749" s="3"/>
      <c r="AA749" s="3"/>
      <c r="AB749" s="3"/>
      <c r="AC749" s="3"/>
      <c r="AD749" s="3"/>
      <c r="AE749" s="3"/>
    </row>
    <row r="750" spans="1:31" ht="20.25" customHeight="1">
      <c r="A750" s="13">
        <v>42928</v>
      </c>
      <c r="B750" s="35" t="s">
        <v>154</v>
      </c>
      <c r="C750" s="165">
        <v>2017</v>
      </c>
      <c r="D750" s="53">
        <v>2</v>
      </c>
      <c r="E750" s="3" t="s">
        <v>223</v>
      </c>
      <c r="F750" s="3" t="s">
        <v>224</v>
      </c>
      <c r="G750" s="3" t="s">
        <v>225</v>
      </c>
      <c r="H750" s="3" t="s">
        <v>226</v>
      </c>
      <c r="I750" s="3" t="s">
        <v>227</v>
      </c>
      <c r="J750" s="3" t="s">
        <v>228</v>
      </c>
      <c r="K750" s="3"/>
      <c r="L750" s="36">
        <v>347</v>
      </c>
      <c r="M750" s="3" t="s">
        <v>229</v>
      </c>
      <c r="N750" s="36" t="s">
        <v>228</v>
      </c>
      <c r="O750" s="3">
        <v>656</v>
      </c>
      <c r="P750" s="3">
        <f t="shared" si="39"/>
        <v>52.896341463414629</v>
      </c>
      <c r="Q750" s="36">
        <v>8637.078927956738</v>
      </c>
      <c r="R750" s="8">
        <f t="shared" si="37"/>
        <v>4568.6987621966282</v>
      </c>
      <c r="S750" s="36">
        <v>8645.8529145990997</v>
      </c>
      <c r="T750" s="40">
        <f t="shared" si="38"/>
        <v>52.842661184786934</v>
      </c>
      <c r="U750" s="109"/>
      <c r="V750" s="36">
        <v>250</v>
      </c>
      <c r="W750" s="3"/>
      <c r="X750" s="3"/>
      <c r="Y750" s="3"/>
      <c r="Z750" s="3"/>
      <c r="AA750" s="3"/>
      <c r="AB750" s="3"/>
      <c r="AC750" s="3"/>
      <c r="AD750" s="3"/>
      <c r="AE750" s="3"/>
    </row>
    <row r="751" spans="1:31" ht="20.25" customHeight="1">
      <c r="A751" s="13">
        <v>42928</v>
      </c>
      <c r="B751" s="72" t="s">
        <v>154</v>
      </c>
      <c r="C751" s="165">
        <v>2017</v>
      </c>
      <c r="D751" s="53">
        <v>2</v>
      </c>
      <c r="E751" s="65" t="s">
        <v>223</v>
      </c>
      <c r="F751" s="65" t="s">
        <v>303</v>
      </c>
      <c r="G751" s="65" t="s">
        <v>304</v>
      </c>
      <c r="H751" s="65" t="s">
        <v>305</v>
      </c>
      <c r="I751" s="65" t="s">
        <v>306</v>
      </c>
      <c r="J751" s="36" t="s">
        <v>307</v>
      </c>
      <c r="K751" s="36"/>
      <c r="L751" s="36">
        <v>1</v>
      </c>
      <c r="M751" s="3" t="s">
        <v>229</v>
      </c>
      <c r="N751" s="3" t="s">
        <v>307</v>
      </c>
      <c r="O751" s="3">
        <v>656</v>
      </c>
      <c r="P751" s="3">
        <f t="shared" si="39"/>
        <v>0.1524390243902439</v>
      </c>
      <c r="Q751" s="36">
        <v>8637.0789279567398</v>
      </c>
      <c r="R751" s="8">
        <f t="shared" si="37"/>
        <v>13.166278853592592</v>
      </c>
      <c r="S751" s="36">
        <v>8645.8529145990997</v>
      </c>
      <c r="T751" s="40">
        <f t="shared" si="38"/>
        <v>0.1522843261809422</v>
      </c>
      <c r="U751" s="109"/>
      <c r="V751" s="36">
        <v>250</v>
      </c>
      <c r="W751" s="3" t="s">
        <v>309</v>
      </c>
      <c r="X751" s="3"/>
      <c r="Y751" s="3"/>
      <c r="Z751" s="3"/>
      <c r="AA751" s="3"/>
      <c r="AB751" s="3"/>
      <c r="AC751" s="3"/>
      <c r="AD751" s="3"/>
      <c r="AE751" s="3"/>
    </row>
    <row r="752" spans="1:31" ht="20.25" customHeight="1">
      <c r="A752" s="13">
        <v>42928</v>
      </c>
      <c r="B752" s="72" t="s">
        <v>154</v>
      </c>
      <c r="C752" s="165">
        <v>2017</v>
      </c>
      <c r="D752" s="53">
        <v>2</v>
      </c>
      <c r="E752" s="36" t="s">
        <v>223</v>
      </c>
      <c r="F752" s="36" t="s">
        <v>303</v>
      </c>
      <c r="G752" s="36" t="s">
        <v>304</v>
      </c>
      <c r="H752" s="36" t="s">
        <v>305</v>
      </c>
      <c r="I752" s="36" t="s">
        <v>306</v>
      </c>
      <c r="J752" s="36" t="s">
        <v>307</v>
      </c>
      <c r="K752" s="36"/>
      <c r="L752" s="36">
        <v>8</v>
      </c>
      <c r="M752" s="3" t="s">
        <v>229</v>
      </c>
      <c r="N752" s="3" t="s">
        <v>307</v>
      </c>
      <c r="O752" s="3">
        <v>656</v>
      </c>
      <c r="P752" s="3">
        <f t="shared" si="39"/>
        <v>1.2195121951219512</v>
      </c>
      <c r="Q752" s="36">
        <v>8637.0789279567398</v>
      </c>
      <c r="R752" s="8">
        <f t="shared" si="37"/>
        <v>105.33023082874074</v>
      </c>
      <c r="S752" s="36">
        <v>8645.8529145990997</v>
      </c>
      <c r="T752" s="40">
        <f t="shared" si="38"/>
        <v>1.2182746094475376</v>
      </c>
      <c r="U752" s="109"/>
      <c r="V752" s="36">
        <v>250</v>
      </c>
      <c r="W752" s="3" t="s">
        <v>308</v>
      </c>
      <c r="X752" s="3"/>
      <c r="Y752" s="3"/>
      <c r="Z752" s="3"/>
      <c r="AA752" s="3"/>
      <c r="AB752" s="3"/>
      <c r="AC752" s="3"/>
      <c r="AD752" s="3"/>
      <c r="AE752" s="3"/>
    </row>
    <row r="753" spans="1:31" ht="20.25" customHeight="1">
      <c r="A753" s="13">
        <v>42928</v>
      </c>
      <c r="B753" s="35" t="s">
        <v>154</v>
      </c>
      <c r="C753" s="165">
        <v>2017</v>
      </c>
      <c r="D753" s="53">
        <v>2</v>
      </c>
      <c r="E753" s="3" t="s">
        <v>223</v>
      </c>
      <c r="F753" s="3" t="s">
        <v>224</v>
      </c>
      <c r="G753" s="3" t="s">
        <v>225</v>
      </c>
      <c r="H753" s="3" t="s">
        <v>226</v>
      </c>
      <c r="I753" s="51" t="s">
        <v>235</v>
      </c>
      <c r="J753" s="51" t="s">
        <v>236</v>
      </c>
      <c r="K753" s="3"/>
      <c r="L753" s="36">
        <v>1</v>
      </c>
      <c r="M753" s="3" t="s">
        <v>229</v>
      </c>
      <c r="N753" s="36" t="s">
        <v>236</v>
      </c>
      <c r="O753" s="3">
        <v>656</v>
      </c>
      <c r="P753" s="3">
        <f t="shared" si="39"/>
        <v>0.1524390243902439</v>
      </c>
      <c r="Q753" s="36">
        <v>8637.078927956738</v>
      </c>
      <c r="R753" s="8">
        <f t="shared" si="37"/>
        <v>13.166278853592589</v>
      </c>
      <c r="S753" s="36">
        <v>8645.8529145990997</v>
      </c>
      <c r="T753" s="40">
        <f t="shared" si="38"/>
        <v>0.15228432618094218</v>
      </c>
      <c r="U753" s="109"/>
      <c r="V753" s="65">
        <v>250</v>
      </c>
      <c r="W753" s="51"/>
      <c r="X753" s="51"/>
      <c r="Y753" s="51"/>
      <c r="Z753" s="3"/>
      <c r="AA753" s="3"/>
      <c r="AB753" s="3"/>
      <c r="AC753" s="3"/>
      <c r="AD753" s="3"/>
      <c r="AE753" s="3"/>
    </row>
    <row r="754" spans="1:31" ht="20.25" customHeight="1">
      <c r="A754" s="13">
        <v>42928</v>
      </c>
      <c r="B754" s="35" t="s">
        <v>154</v>
      </c>
      <c r="C754" s="165">
        <v>2017</v>
      </c>
      <c r="D754" s="53">
        <v>2</v>
      </c>
      <c r="E754" s="36" t="s">
        <v>223</v>
      </c>
      <c r="F754" s="36" t="s">
        <v>224</v>
      </c>
      <c r="G754" s="36" t="s">
        <v>225</v>
      </c>
      <c r="H754" s="36" t="s">
        <v>226</v>
      </c>
      <c r="I754" s="36" t="s">
        <v>239</v>
      </c>
      <c r="J754" s="36" t="s">
        <v>240</v>
      </c>
      <c r="K754" s="3"/>
      <c r="L754" s="36">
        <v>291</v>
      </c>
      <c r="M754" s="3" t="s">
        <v>229</v>
      </c>
      <c r="N754" s="36" t="s">
        <v>240</v>
      </c>
      <c r="O754" s="3">
        <v>656</v>
      </c>
      <c r="P754" s="3">
        <f t="shared" si="39"/>
        <v>44.359756097560975</v>
      </c>
      <c r="Q754" s="36">
        <v>8637.0789279567398</v>
      </c>
      <c r="R754" s="8">
        <f t="shared" si="37"/>
        <v>3831.3871463954442</v>
      </c>
      <c r="S754" s="36">
        <v>8645.8529145990997</v>
      </c>
      <c r="T754" s="40">
        <f t="shared" si="38"/>
        <v>44.314738918654186</v>
      </c>
      <c r="U754" s="109"/>
      <c r="V754" s="36">
        <v>250</v>
      </c>
      <c r="W754" s="3"/>
      <c r="X754" s="3"/>
      <c r="Y754" s="3"/>
      <c r="Z754" s="3"/>
      <c r="AA754" s="3"/>
      <c r="AB754" s="3"/>
      <c r="AC754" s="3"/>
      <c r="AD754" s="3"/>
      <c r="AE754" s="3"/>
    </row>
    <row r="755" spans="1:31" ht="20.25" customHeight="1">
      <c r="A755" s="13">
        <v>42928</v>
      </c>
      <c r="B755" s="35" t="s">
        <v>154</v>
      </c>
      <c r="C755" s="165">
        <v>2017</v>
      </c>
      <c r="D755" s="53">
        <v>2</v>
      </c>
      <c r="E755" s="36" t="s">
        <v>323</v>
      </c>
      <c r="F755" s="36" t="s">
        <v>324</v>
      </c>
      <c r="G755" s="36"/>
      <c r="H755" s="36" t="s">
        <v>325</v>
      </c>
      <c r="I755" s="36" t="s">
        <v>326</v>
      </c>
      <c r="J755" s="3"/>
      <c r="K755" s="3"/>
      <c r="L755" s="3">
        <v>18</v>
      </c>
      <c r="M755" s="36" t="s">
        <v>509</v>
      </c>
      <c r="N755" s="36" t="s">
        <v>327</v>
      </c>
      <c r="O755" s="3">
        <v>116</v>
      </c>
      <c r="P755" s="3">
        <f t="shared" si="39"/>
        <v>15.517241379310345</v>
      </c>
      <c r="Q755" s="36">
        <v>8.773986642361713</v>
      </c>
      <c r="R755" s="8">
        <f t="shared" si="37"/>
        <v>1.3614806858837141</v>
      </c>
      <c r="S755" s="36">
        <v>8645.8529145990997</v>
      </c>
      <c r="T755" s="40">
        <f t="shared" si="38"/>
        <v>1.5747210822714356E-2</v>
      </c>
      <c r="U755" s="109"/>
      <c r="V755" s="36">
        <v>1000</v>
      </c>
      <c r="W755" s="3"/>
      <c r="X755" s="3"/>
      <c r="Y755" s="3"/>
      <c r="Z755" s="3"/>
      <c r="AA755" s="3"/>
      <c r="AB755" s="3"/>
      <c r="AC755" s="3"/>
      <c r="AD755" s="3"/>
      <c r="AE755" s="3"/>
    </row>
    <row r="756" spans="1:31" ht="20.25" customHeight="1">
      <c r="A756" s="13">
        <v>42928</v>
      </c>
      <c r="B756" s="35" t="s">
        <v>154</v>
      </c>
      <c r="C756" s="165">
        <v>2017</v>
      </c>
      <c r="D756" s="53">
        <v>2</v>
      </c>
      <c r="E756" s="3" t="s">
        <v>223</v>
      </c>
      <c r="F756" s="3" t="s">
        <v>224</v>
      </c>
      <c r="G756" s="3" t="s">
        <v>225</v>
      </c>
      <c r="H756" s="3" t="s">
        <v>248</v>
      </c>
      <c r="I756" s="3" t="s">
        <v>359</v>
      </c>
      <c r="J756" s="3" t="s">
        <v>360</v>
      </c>
      <c r="K756" s="3" t="s">
        <v>361</v>
      </c>
      <c r="L756" s="3">
        <v>1</v>
      </c>
      <c r="M756" s="3" t="s">
        <v>247</v>
      </c>
      <c r="N756" s="3" t="s">
        <v>362</v>
      </c>
      <c r="O756" s="3">
        <v>656</v>
      </c>
      <c r="P756" s="3">
        <f t="shared" si="39"/>
        <v>0.1524390243902439</v>
      </c>
      <c r="Q756" s="36">
        <v>8637.0789279567398</v>
      </c>
      <c r="R756" s="8">
        <f t="shared" si="37"/>
        <v>13.166278853592592</v>
      </c>
      <c r="S756" s="65">
        <v>8645.8529145990997</v>
      </c>
      <c r="T756" s="40">
        <f t="shared" si="38"/>
        <v>0.1522843261809422</v>
      </c>
      <c r="U756" s="109"/>
      <c r="V756" s="36">
        <v>250</v>
      </c>
      <c r="W756" s="3"/>
      <c r="X756" s="3"/>
      <c r="Y756" s="3"/>
      <c r="Z756" s="3"/>
      <c r="AA756" s="3"/>
      <c r="AB756" s="3"/>
      <c r="AC756" s="3"/>
      <c r="AD756" s="3"/>
      <c r="AE756" s="3"/>
    </row>
    <row r="757" spans="1:31" ht="20.25" customHeight="1">
      <c r="A757" s="13">
        <v>42928</v>
      </c>
      <c r="B757" s="35" t="s">
        <v>154</v>
      </c>
      <c r="C757" s="165">
        <v>2017</v>
      </c>
      <c r="D757" s="53">
        <v>2</v>
      </c>
      <c r="E757" s="36" t="s">
        <v>223</v>
      </c>
      <c r="F757" s="36" t="s">
        <v>267</v>
      </c>
      <c r="G757" s="36" t="s">
        <v>278</v>
      </c>
      <c r="H757" s="36" t="s">
        <v>279</v>
      </c>
      <c r="I757" s="36" t="s">
        <v>280</v>
      </c>
      <c r="J757" s="36" t="s">
        <v>284</v>
      </c>
      <c r="K757" s="36" t="s">
        <v>285</v>
      </c>
      <c r="L757" s="36">
        <v>98</v>
      </c>
      <c r="M757" s="36" t="s">
        <v>247</v>
      </c>
      <c r="N757" s="36" t="s">
        <v>24</v>
      </c>
      <c r="O757" s="3">
        <v>116</v>
      </c>
      <c r="P757" s="3">
        <f t="shared" si="39"/>
        <v>84.482758620689651</v>
      </c>
      <c r="Q757" s="36">
        <v>8.773986642361713</v>
      </c>
      <c r="R757" s="8">
        <f t="shared" si="37"/>
        <v>7.4125059564779985</v>
      </c>
      <c r="S757" s="36">
        <v>8645.8529145990997</v>
      </c>
      <c r="T757" s="40">
        <f t="shared" si="38"/>
        <v>8.5734814479222599E-2</v>
      </c>
      <c r="U757" s="109"/>
      <c r="V757" s="36">
        <v>1000</v>
      </c>
      <c r="W757" s="3"/>
      <c r="X757" s="3"/>
      <c r="Y757" s="3"/>
      <c r="Z757" s="3"/>
      <c r="AA757" s="3"/>
      <c r="AB757" s="3"/>
      <c r="AC757" s="3"/>
      <c r="AD757" s="3"/>
      <c r="AE757" s="3"/>
    </row>
    <row r="758" spans="1:31" ht="20.25" customHeight="1">
      <c r="A758" s="13">
        <v>42928</v>
      </c>
      <c r="B758" s="35" t="s">
        <v>154</v>
      </c>
      <c r="C758" s="165">
        <v>2017</v>
      </c>
      <c r="D758" s="53">
        <v>2</v>
      </c>
      <c r="E758" s="36" t="s">
        <v>216</v>
      </c>
      <c r="F758" s="36" t="s">
        <v>217</v>
      </c>
      <c r="G758" s="36"/>
      <c r="H758" s="36"/>
      <c r="I758" s="36"/>
      <c r="J758" s="36"/>
      <c r="K758" s="36"/>
      <c r="L758" s="36">
        <v>3</v>
      </c>
      <c r="M758" s="36" t="s">
        <v>221</v>
      </c>
      <c r="N758" s="36" t="s">
        <v>219</v>
      </c>
      <c r="O758" s="3">
        <v>656</v>
      </c>
      <c r="P758" s="3">
        <f t="shared" si="39"/>
        <v>0.45731707317073167</v>
      </c>
      <c r="Q758" s="36">
        <v>8637.0789279567398</v>
      </c>
      <c r="R758" s="8">
        <f t="shared" si="37"/>
        <v>39.498836560777768</v>
      </c>
      <c r="S758" s="36">
        <v>8645.8529145990997</v>
      </c>
      <c r="T758" s="40">
        <f t="shared" si="38"/>
        <v>0.45685297854282658</v>
      </c>
      <c r="U758" s="109"/>
      <c r="V758" s="36">
        <v>250</v>
      </c>
      <c r="W758" s="3"/>
      <c r="X758" s="3"/>
      <c r="Y758" s="3"/>
      <c r="Z758" s="3"/>
      <c r="AA758" s="3"/>
      <c r="AB758" s="3"/>
      <c r="AC758" s="3"/>
      <c r="AD758" s="3"/>
      <c r="AE758" s="3"/>
    </row>
    <row r="759" spans="1:31" ht="20.25" customHeight="1">
      <c r="A759" s="13">
        <v>42928</v>
      </c>
      <c r="B759" s="35" t="s">
        <v>154</v>
      </c>
      <c r="C759" s="165">
        <v>2017</v>
      </c>
      <c r="D759" s="53">
        <v>2</v>
      </c>
      <c r="E759" s="65" t="s">
        <v>223</v>
      </c>
      <c r="F759" s="65" t="s">
        <v>224</v>
      </c>
      <c r="G759" s="65" t="s">
        <v>225</v>
      </c>
      <c r="H759" s="65" t="s">
        <v>226</v>
      </c>
      <c r="I759" s="65" t="s">
        <v>253</v>
      </c>
      <c r="J759" s="36" t="s">
        <v>256</v>
      </c>
      <c r="K759" s="3"/>
      <c r="L759" s="36">
        <v>2</v>
      </c>
      <c r="M759" s="3" t="s">
        <v>229</v>
      </c>
      <c r="N759" s="36" t="s">
        <v>256</v>
      </c>
      <c r="O759" s="3">
        <v>656</v>
      </c>
      <c r="P759" s="3">
        <f t="shared" si="39"/>
        <v>0.3048780487804878</v>
      </c>
      <c r="Q759" s="36">
        <v>8637.0789279567398</v>
      </c>
      <c r="R759" s="8">
        <f t="shared" si="37"/>
        <v>26.332557707185185</v>
      </c>
      <c r="S759" s="36">
        <v>8645.8529145990997</v>
      </c>
      <c r="T759" s="40">
        <f t="shared" si="38"/>
        <v>0.30456865236188441</v>
      </c>
      <c r="U759" s="109"/>
      <c r="V759" s="36">
        <v>250</v>
      </c>
      <c r="W759" s="3"/>
      <c r="X759" s="3"/>
      <c r="Y759" s="3"/>
      <c r="Z759" s="3"/>
      <c r="AA759" s="3"/>
      <c r="AB759" s="3"/>
      <c r="AC759" s="3"/>
      <c r="AD759" s="3"/>
      <c r="AE759" s="3"/>
    </row>
    <row r="760" spans="1:31" ht="20.25" customHeight="1">
      <c r="A760" s="13">
        <v>42928</v>
      </c>
      <c r="B760" s="35" t="s">
        <v>154</v>
      </c>
      <c r="C760" s="165">
        <v>2017</v>
      </c>
      <c r="D760" s="53">
        <v>2</v>
      </c>
      <c r="E760" s="65" t="s">
        <v>223</v>
      </c>
      <c r="F760" s="65" t="s">
        <v>224</v>
      </c>
      <c r="G760" s="65" t="s">
        <v>225</v>
      </c>
      <c r="H760" s="65" t="s">
        <v>226</v>
      </c>
      <c r="I760" s="65" t="s">
        <v>261</v>
      </c>
      <c r="J760" s="36" t="s">
        <v>262</v>
      </c>
      <c r="K760" s="36"/>
      <c r="L760" s="36">
        <v>2</v>
      </c>
      <c r="M760" s="3" t="s">
        <v>229</v>
      </c>
      <c r="N760" s="36" t="s">
        <v>264</v>
      </c>
      <c r="O760" s="3">
        <v>656</v>
      </c>
      <c r="P760" s="3">
        <f t="shared" si="39"/>
        <v>0.3048780487804878</v>
      </c>
      <c r="Q760" s="36">
        <v>8637.0789279567398</v>
      </c>
      <c r="R760" s="8">
        <f t="shared" si="37"/>
        <v>26.332557707185185</v>
      </c>
      <c r="S760" s="36">
        <v>8645.8529145990997</v>
      </c>
      <c r="T760" s="40">
        <f t="shared" si="38"/>
        <v>0.30456865236188441</v>
      </c>
      <c r="U760" s="109"/>
      <c r="V760" s="36">
        <v>250</v>
      </c>
      <c r="W760" s="3"/>
      <c r="X760" s="3"/>
      <c r="Y760" s="3"/>
      <c r="Z760" s="3"/>
      <c r="AA760" s="3"/>
      <c r="AB760" s="3"/>
      <c r="AC760" s="3"/>
      <c r="AD760" s="3"/>
      <c r="AE760" s="3"/>
    </row>
    <row r="761" spans="1:31" s="38" customFormat="1" ht="20.25" customHeight="1">
      <c r="A761" s="13">
        <v>43019</v>
      </c>
      <c r="B761" s="35" t="s">
        <v>159</v>
      </c>
      <c r="C761" s="165">
        <v>2017</v>
      </c>
      <c r="D761" s="53">
        <v>8</v>
      </c>
      <c r="E761" s="3" t="s">
        <v>223</v>
      </c>
      <c r="F761" s="3" t="s">
        <v>224</v>
      </c>
      <c r="G761" s="3" t="s">
        <v>225</v>
      </c>
      <c r="H761" s="3" t="s">
        <v>226</v>
      </c>
      <c r="I761" s="3" t="s">
        <v>227</v>
      </c>
      <c r="J761" s="3" t="s">
        <v>228</v>
      </c>
      <c r="K761" s="3"/>
      <c r="L761" s="36">
        <v>161</v>
      </c>
      <c r="M761" s="3" t="s">
        <v>229</v>
      </c>
      <c r="N761" s="36" t="s">
        <v>228</v>
      </c>
      <c r="O761" s="3">
        <v>288</v>
      </c>
      <c r="P761" s="3">
        <f t="shared" si="39"/>
        <v>55.902777777777779</v>
      </c>
      <c r="Q761" s="36">
        <v>940.17857142857144</v>
      </c>
      <c r="R761" s="8">
        <f t="shared" si="37"/>
        <v>525.5859375</v>
      </c>
      <c r="S761" s="36">
        <v>978.53907848992776</v>
      </c>
      <c r="T761" s="40">
        <f t="shared" si="38"/>
        <v>53.711287474699454</v>
      </c>
      <c r="U761" s="109"/>
      <c r="V761" s="3">
        <v>250</v>
      </c>
      <c r="W761" s="3"/>
      <c r="X761" s="3"/>
      <c r="Y761" s="3"/>
      <c r="Z761" s="36"/>
      <c r="AA761" s="36"/>
      <c r="AB761" s="36"/>
      <c r="AC761" s="36"/>
      <c r="AD761" s="36"/>
      <c r="AE761" s="36"/>
    </row>
    <row r="762" spans="1:31" s="38" customFormat="1" ht="20.25" customHeight="1">
      <c r="A762" s="13">
        <v>43019</v>
      </c>
      <c r="B762" s="72" t="s">
        <v>159</v>
      </c>
      <c r="C762" s="165">
        <v>2017</v>
      </c>
      <c r="D762" s="53">
        <v>8</v>
      </c>
      <c r="E762" s="36" t="s">
        <v>223</v>
      </c>
      <c r="F762" s="36" t="s">
        <v>303</v>
      </c>
      <c r="G762" s="36" t="s">
        <v>304</v>
      </c>
      <c r="H762" s="36" t="s">
        <v>305</v>
      </c>
      <c r="I762" s="36" t="s">
        <v>306</v>
      </c>
      <c r="J762" s="36" t="s">
        <v>307</v>
      </c>
      <c r="K762" s="36"/>
      <c r="L762" s="36">
        <v>1</v>
      </c>
      <c r="M762" s="3" t="s">
        <v>229</v>
      </c>
      <c r="N762" s="3" t="s">
        <v>307</v>
      </c>
      <c r="O762" s="3">
        <v>288</v>
      </c>
      <c r="P762" s="3">
        <f t="shared" ref="P762:P793" si="40">L762/O762*100</f>
        <v>0.34722222222222221</v>
      </c>
      <c r="Q762" s="36">
        <v>940.17857142857099</v>
      </c>
      <c r="R762" s="8">
        <f t="shared" si="37"/>
        <v>3.264508928571427</v>
      </c>
      <c r="S762" s="36">
        <v>978.53907848992799</v>
      </c>
      <c r="T762" s="40">
        <f t="shared" si="38"/>
        <v>0.33361048120931314</v>
      </c>
      <c r="U762" s="109"/>
      <c r="V762" s="3">
        <v>250</v>
      </c>
      <c r="W762" s="3" t="s">
        <v>308</v>
      </c>
      <c r="X762" s="3"/>
      <c r="Y762" s="3"/>
      <c r="Z762" s="36"/>
      <c r="AA762" s="36"/>
      <c r="AB762" s="36"/>
      <c r="AC762" s="36"/>
      <c r="AD762" s="36"/>
      <c r="AE762" s="36"/>
    </row>
    <row r="763" spans="1:31" s="38" customFormat="1" ht="20.25" customHeight="1">
      <c r="A763" s="13">
        <v>43019</v>
      </c>
      <c r="B763" s="35" t="s">
        <v>159</v>
      </c>
      <c r="C763" s="165">
        <v>2017</v>
      </c>
      <c r="D763" s="53">
        <v>8</v>
      </c>
      <c r="E763" s="3" t="s">
        <v>295</v>
      </c>
      <c r="F763" s="3" t="s">
        <v>296</v>
      </c>
      <c r="G763" s="3"/>
      <c r="H763" s="3" t="s">
        <v>297</v>
      </c>
      <c r="I763" s="3" t="s">
        <v>298</v>
      </c>
      <c r="J763" s="3" t="s">
        <v>299</v>
      </c>
      <c r="K763" s="3"/>
      <c r="L763" s="3">
        <v>7</v>
      </c>
      <c r="M763" s="3" t="s">
        <v>229</v>
      </c>
      <c r="N763" s="3" t="s">
        <v>479</v>
      </c>
      <c r="O763" s="3">
        <v>288</v>
      </c>
      <c r="P763" s="3">
        <f t="shared" si="40"/>
        <v>2.4305555555555558</v>
      </c>
      <c r="Q763" s="36">
        <v>940.17857142857099</v>
      </c>
      <c r="R763" s="8">
        <f t="shared" si="37"/>
        <v>22.851562499999993</v>
      </c>
      <c r="S763" s="36">
        <v>978.53907848992799</v>
      </c>
      <c r="T763" s="40">
        <f t="shared" si="38"/>
        <v>2.3352733684651921</v>
      </c>
      <c r="U763" s="109"/>
      <c r="V763" s="3">
        <v>250</v>
      </c>
      <c r="W763" s="3"/>
      <c r="X763" s="3"/>
      <c r="Y763" s="3"/>
      <c r="Z763" s="36"/>
      <c r="AA763" s="36"/>
      <c r="AB763" s="36"/>
      <c r="AC763" s="36"/>
      <c r="AD763" s="36"/>
      <c r="AE763" s="36"/>
    </row>
    <row r="764" spans="1:31" s="38" customFormat="1" ht="20.25" customHeight="1">
      <c r="A764" s="13">
        <v>43019</v>
      </c>
      <c r="B764" s="72" t="s">
        <v>159</v>
      </c>
      <c r="C764" s="165">
        <v>2017</v>
      </c>
      <c r="D764" s="53">
        <v>8</v>
      </c>
      <c r="E764" s="3" t="s">
        <v>223</v>
      </c>
      <c r="F764" s="3" t="s">
        <v>224</v>
      </c>
      <c r="G764" s="3" t="s">
        <v>225</v>
      </c>
      <c r="H764" s="3" t="s">
        <v>226</v>
      </c>
      <c r="I764" s="3" t="s">
        <v>235</v>
      </c>
      <c r="J764" s="3" t="s">
        <v>236</v>
      </c>
      <c r="K764" s="3"/>
      <c r="L764" s="36">
        <v>17</v>
      </c>
      <c r="M764" s="3" t="s">
        <v>229</v>
      </c>
      <c r="N764" s="36" t="s">
        <v>236</v>
      </c>
      <c r="O764" s="3">
        <v>288</v>
      </c>
      <c r="P764" s="3">
        <f t="shared" si="40"/>
        <v>5.9027777777777777</v>
      </c>
      <c r="Q764" s="36">
        <v>940.17857142857099</v>
      </c>
      <c r="R764" s="8">
        <f t="shared" si="37"/>
        <v>55.496651785714256</v>
      </c>
      <c r="S764" s="36">
        <v>978.53907848992799</v>
      </c>
      <c r="T764" s="40">
        <f t="shared" si="38"/>
        <v>5.6713781805583228</v>
      </c>
      <c r="U764" s="109"/>
      <c r="V764" s="51">
        <v>250</v>
      </c>
      <c r="W764" s="51"/>
      <c r="X764" s="51"/>
      <c r="Y764" s="51"/>
      <c r="Z764" s="36"/>
      <c r="AA764" s="36"/>
      <c r="AB764" s="36"/>
      <c r="AC764" s="36"/>
      <c r="AD764" s="36"/>
      <c r="AE764" s="36"/>
    </row>
    <row r="765" spans="1:31" s="38" customFormat="1" ht="20.25" customHeight="1">
      <c r="A765" s="13">
        <v>43019</v>
      </c>
      <c r="B765" s="72" t="s">
        <v>159</v>
      </c>
      <c r="C765" s="165">
        <v>2017</v>
      </c>
      <c r="D765" s="53">
        <v>8</v>
      </c>
      <c r="E765" s="36" t="s">
        <v>223</v>
      </c>
      <c r="F765" s="36" t="s">
        <v>317</v>
      </c>
      <c r="G765" s="36" t="s">
        <v>314</v>
      </c>
      <c r="H765" s="36" t="s">
        <v>346</v>
      </c>
      <c r="I765" s="36" t="s">
        <v>315</v>
      </c>
      <c r="J765" s="36" t="s">
        <v>660</v>
      </c>
      <c r="K765" s="36"/>
      <c r="L765" s="3">
        <v>10</v>
      </c>
      <c r="M765" s="3" t="s">
        <v>229</v>
      </c>
      <c r="N765" s="36" t="s">
        <v>345</v>
      </c>
      <c r="O765" s="3">
        <v>288</v>
      </c>
      <c r="P765" s="3">
        <f t="shared" si="40"/>
        <v>3.4722222222222223</v>
      </c>
      <c r="Q765" s="36">
        <v>940.17857142857099</v>
      </c>
      <c r="R765" s="8">
        <f t="shared" si="37"/>
        <v>32.64508928571427</v>
      </c>
      <c r="S765" s="36">
        <v>978.53907848992799</v>
      </c>
      <c r="T765" s="40">
        <f t="shared" si="38"/>
        <v>3.3361048120931311</v>
      </c>
      <c r="U765" s="109"/>
      <c r="V765" s="3">
        <v>250</v>
      </c>
      <c r="W765" s="3"/>
      <c r="X765" s="3"/>
      <c r="Y765" s="3"/>
      <c r="Z765" s="36"/>
      <c r="AA765" s="36"/>
      <c r="AB765" s="36"/>
      <c r="AC765" s="36"/>
      <c r="AD765" s="36"/>
      <c r="AE765" s="36"/>
    </row>
    <row r="766" spans="1:31" s="38" customFormat="1" ht="20.25" customHeight="1">
      <c r="A766" s="13">
        <v>43019</v>
      </c>
      <c r="B766" s="72" t="s">
        <v>159</v>
      </c>
      <c r="C766" s="165">
        <v>2017</v>
      </c>
      <c r="D766" s="53">
        <v>8</v>
      </c>
      <c r="E766" s="36" t="s">
        <v>223</v>
      </c>
      <c r="F766" s="36" t="s">
        <v>317</v>
      </c>
      <c r="G766" s="36" t="s">
        <v>314</v>
      </c>
      <c r="H766" s="36" t="s">
        <v>346</v>
      </c>
      <c r="I766" s="3"/>
      <c r="J766" s="36" t="s">
        <v>316</v>
      </c>
      <c r="K766" s="3"/>
      <c r="L766" s="3">
        <v>7</v>
      </c>
      <c r="M766" s="3" t="s">
        <v>229</v>
      </c>
      <c r="N766" s="36" t="s">
        <v>482</v>
      </c>
      <c r="O766" s="3">
        <v>288</v>
      </c>
      <c r="P766" s="3">
        <f t="shared" si="40"/>
        <v>2.4305555555555558</v>
      </c>
      <c r="Q766" s="36">
        <v>940.17857142857099</v>
      </c>
      <c r="R766" s="8">
        <f t="shared" si="37"/>
        <v>22.851562499999993</v>
      </c>
      <c r="S766" s="36">
        <v>978.53907848992799</v>
      </c>
      <c r="T766" s="40">
        <f t="shared" si="38"/>
        <v>2.3352733684651921</v>
      </c>
      <c r="U766" s="109"/>
      <c r="V766" s="3">
        <v>250</v>
      </c>
      <c r="W766" s="3"/>
      <c r="X766" s="3"/>
      <c r="Y766" s="3"/>
      <c r="Z766" s="36"/>
      <c r="AA766" s="36"/>
      <c r="AB766" s="36"/>
      <c r="AC766" s="36"/>
      <c r="AD766" s="36"/>
      <c r="AE766" s="36"/>
    </row>
    <row r="767" spans="1:31" s="38" customFormat="1" ht="20.25" customHeight="1">
      <c r="A767" s="13">
        <v>43019</v>
      </c>
      <c r="B767" s="72" t="s">
        <v>159</v>
      </c>
      <c r="C767" s="165">
        <v>2017</v>
      </c>
      <c r="D767" s="53">
        <v>8</v>
      </c>
      <c r="E767" s="36" t="s">
        <v>223</v>
      </c>
      <c r="F767" s="36" t="s">
        <v>224</v>
      </c>
      <c r="G767" s="36" t="s">
        <v>225</v>
      </c>
      <c r="H767" s="36" t="s">
        <v>226</v>
      </c>
      <c r="I767" s="36" t="s">
        <v>239</v>
      </c>
      <c r="J767" s="36" t="s">
        <v>240</v>
      </c>
      <c r="K767" s="3"/>
      <c r="L767" s="36">
        <v>37</v>
      </c>
      <c r="M767" s="3" t="s">
        <v>229</v>
      </c>
      <c r="N767" s="36" t="s">
        <v>240</v>
      </c>
      <c r="O767" s="3">
        <v>288</v>
      </c>
      <c r="P767" s="3">
        <f t="shared" si="40"/>
        <v>12.847222222222221</v>
      </c>
      <c r="Q767" s="36">
        <v>940.17857142857144</v>
      </c>
      <c r="R767" s="8">
        <f t="shared" si="37"/>
        <v>120.78683035714285</v>
      </c>
      <c r="S767" s="36">
        <v>978.53907848992799</v>
      </c>
      <c r="T767" s="40">
        <f t="shared" si="38"/>
        <v>12.34358780474459</v>
      </c>
      <c r="U767" s="109"/>
      <c r="V767" s="3">
        <v>250</v>
      </c>
      <c r="W767" s="3"/>
      <c r="X767" s="3"/>
      <c r="Y767" s="3"/>
      <c r="Z767" s="36"/>
      <c r="AA767" s="36"/>
      <c r="AB767" s="36"/>
      <c r="AC767" s="36"/>
      <c r="AD767" s="36"/>
      <c r="AE767" s="36"/>
    </row>
    <row r="768" spans="1:31" ht="20.25" customHeight="1">
      <c r="A768" s="13">
        <v>43019</v>
      </c>
      <c r="B768" s="72" t="s">
        <v>159</v>
      </c>
      <c r="C768" s="165">
        <v>2017</v>
      </c>
      <c r="D768" s="53">
        <v>8</v>
      </c>
      <c r="E768" s="65" t="s">
        <v>300</v>
      </c>
      <c r="F768" s="65" t="s">
        <v>301</v>
      </c>
      <c r="G768" s="65"/>
      <c r="H768" s="65"/>
      <c r="I768" s="65"/>
      <c r="J768" s="36"/>
      <c r="K768" s="36"/>
      <c r="L768" s="36">
        <v>4</v>
      </c>
      <c r="M768" s="36" t="s">
        <v>221</v>
      </c>
      <c r="N768" s="36" t="s">
        <v>302</v>
      </c>
      <c r="O768" s="3">
        <v>288</v>
      </c>
      <c r="P768" s="3">
        <f t="shared" si="40"/>
        <v>1.3888888888888888</v>
      </c>
      <c r="Q768" s="36">
        <v>940.17857142857099</v>
      </c>
      <c r="R768" s="8">
        <f t="shared" si="37"/>
        <v>13.058035714285708</v>
      </c>
      <c r="S768" s="36">
        <v>978.53907848992799</v>
      </c>
      <c r="T768" s="40">
        <f t="shared" si="38"/>
        <v>1.3344419248372525</v>
      </c>
      <c r="U768" s="109"/>
      <c r="V768" s="3">
        <v>250</v>
      </c>
      <c r="W768" s="3"/>
      <c r="X768" s="3"/>
      <c r="Y768" s="3"/>
      <c r="Z768" s="3"/>
      <c r="AA768" s="3"/>
      <c r="AB768" s="3"/>
      <c r="AC768" s="3"/>
      <c r="AD768" s="3"/>
      <c r="AE768" s="3"/>
    </row>
    <row r="769" spans="1:31" ht="20.25" customHeight="1">
      <c r="A769" s="13">
        <v>43019</v>
      </c>
      <c r="B769" s="72" t="s">
        <v>159</v>
      </c>
      <c r="C769" s="165">
        <v>2017</v>
      </c>
      <c r="D769" s="53">
        <v>8</v>
      </c>
      <c r="E769" s="36" t="s">
        <v>223</v>
      </c>
      <c r="F769" s="36" t="s">
        <v>267</v>
      </c>
      <c r="G769" s="36" t="s">
        <v>278</v>
      </c>
      <c r="H769" s="36" t="s">
        <v>279</v>
      </c>
      <c r="I769" s="36" t="s">
        <v>280</v>
      </c>
      <c r="J769" s="36" t="s">
        <v>284</v>
      </c>
      <c r="K769" s="36" t="s">
        <v>285</v>
      </c>
      <c r="L769" s="36">
        <v>313</v>
      </c>
      <c r="M769" s="36" t="s">
        <v>247</v>
      </c>
      <c r="N769" s="36" t="s">
        <v>24</v>
      </c>
      <c r="O769" s="3">
        <v>313</v>
      </c>
      <c r="P769" s="3">
        <f t="shared" si="40"/>
        <v>100</v>
      </c>
      <c r="Q769" s="36">
        <v>38.360507061356344</v>
      </c>
      <c r="R769" s="8">
        <f t="shared" si="37"/>
        <v>38.360507061356344</v>
      </c>
      <c r="S769" s="36">
        <v>978.53907848992776</v>
      </c>
      <c r="T769" s="40">
        <f t="shared" si="38"/>
        <v>3.9201814117177531</v>
      </c>
      <c r="U769" s="109"/>
      <c r="V769" s="36">
        <v>1000</v>
      </c>
      <c r="W769" s="3"/>
      <c r="X769" s="3"/>
      <c r="Y769" s="3"/>
      <c r="Z769" s="3"/>
      <c r="AA769" s="3"/>
      <c r="AB769" s="3"/>
      <c r="AC769" s="3"/>
      <c r="AD769" s="3"/>
      <c r="AE769" s="3"/>
    </row>
    <row r="770" spans="1:31" ht="20.25" customHeight="1">
      <c r="A770" s="13">
        <v>43019</v>
      </c>
      <c r="B770" s="72" t="s">
        <v>159</v>
      </c>
      <c r="C770" s="165">
        <v>2017</v>
      </c>
      <c r="D770" s="53">
        <v>8</v>
      </c>
      <c r="E770" s="36" t="s">
        <v>323</v>
      </c>
      <c r="F770" s="36" t="s">
        <v>489</v>
      </c>
      <c r="G770" s="36"/>
      <c r="H770" s="36" t="s">
        <v>490</v>
      </c>
      <c r="I770" s="36" t="s">
        <v>491</v>
      </c>
      <c r="J770" s="36" t="s">
        <v>371</v>
      </c>
      <c r="K770" s="3" t="s">
        <v>372</v>
      </c>
      <c r="L770" s="3">
        <v>7</v>
      </c>
      <c r="M770" s="3" t="s">
        <v>247</v>
      </c>
      <c r="N770" s="3" t="s">
        <v>371</v>
      </c>
      <c r="O770" s="3">
        <v>288</v>
      </c>
      <c r="P770" s="3">
        <f t="shared" si="40"/>
        <v>2.4305555555555558</v>
      </c>
      <c r="Q770" s="36">
        <v>940.17857142857099</v>
      </c>
      <c r="R770" s="8">
        <f t="shared" ref="R770:R818" si="41">(P770/100)*Q770</f>
        <v>22.851562499999993</v>
      </c>
      <c r="S770" s="36">
        <v>978.53907848992799</v>
      </c>
      <c r="T770" s="40">
        <f t="shared" ref="T770:T818" si="42">R770/S770*100</f>
        <v>2.3352733684651921</v>
      </c>
      <c r="U770" s="109"/>
      <c r="V770" s="3">
        <v>250</v>
      </c>
      <c r="W770" s="3"/>
      <c r="X770" s="3"/>
      <c r="Y770" s="3"/>
      <c r="Z770" s="3"/>
      <c r="AA770" s="3"/>
      <c r="AB770" s="3"/>
      <c r="AC770" s="3"/>
      <c r="AD770" s="3"/>
      <c r="AE770" s="3"/>
    </row>
    <row r="771" spans="1:31" ht="20.25" customHeight="1">
      <c r="A771" s="13">
        <v>43019</v>
      </c>
      <c r="B771" s="72" t="s">
        <v>159</v>
      </c>
      <c r="C771" s="165">
        <v>2017</v>
      </c>
      <c r="D771" s="53">
        <v>8</v>
      </c>
      <c r="E771" s="3" t="s">
        <v>223</v>
      </c>
      <c r="F771" s="3" t="s">
        <v>224</v>
      </c>
      <c r="G771" s="3" t="s">
        <v>225</v>
      </c>
      <c r="H771" s="3" t="s">
        <v>248</v>
      </c>
      <c r="I771" s="3" t="s">
        <v>249</v>
      </c>
      <c r="J771" s="3" t="s">
        <v>250</v>
      </c>
      <c r="K771" s="3"/>
      <c r="L771" s="3">
        <v>12</v>
      </c>
      <c r="M771" s="3" t="s">
        <v>229</v>
      </c>
      <c r="N771" s="3" t="s">
        <v>250</v>
      </c>
      <c r="O771" s="3">
        <v>288</v>
      </c>
      <c r="P771" s="3">
        <f t="shared" si="40"/>
        <v>4.1666666666666661</v>
      </c>
      <c r="Q771" s="36">
        <v>940.17857142857099</v>
      </c>
      <c r="R771" s="8">
        <f t="shared" si="41"/>
        <v>39.174107142857117</v>
      </c>
      <c r="S771" s="36">
        <v>978.53907848992799</v>
      </c>
      <c r="T771" s="40">
        <f t="shared" si="42"/>
        <v>4.0033257745117563</v>
      </c>
      <c r="U771" s="109"/>
      <c r="V771" s="3">
        <v>250</v>
      </c>
      <c r="W771" s="3"/>
      <c r="X771" s="3"/>
      <c r="Y771" s="3"/>
      <c r="Z771" s="3"/>
      <c r="AA771" s="3"/>
      <c r="AB771" s="3"/>
      <c r="AC771" s="3"/>
      <c r="AD771" s="3"/>
      <c r="AE771" s="3"/>
    </row>
    <row r="772" spans="1:31" ht="20.25" customHeight="1">
      <c r="A772" s="13">
        <v>43019</v>
      </c>
      <c r="B772" s="72" t="s">
        <v>159</v>
      </c>
      <c r="C772" s="165">
        <v>2017</v>
      </c>
      <c r="D772" s="53">
        <v>8</v>
      </c>
      <c r="E772" s="36" t="s">
        <v>216</v>
      </c>
      <c r="F772" s="36" t="s">
        <v>217</v>
      </c>
      <c r="G772" s="36"/>
      <c r="H772" s="36"/>
      <c r="I772" s="36"/>
      <c r="J772" s="36"/>
      <c r="K772" s="36"/>
      <c r="L772" s="36">
        <v>10</v>
      </c>
      <c r="M772" s="36" t="s">
        <v>221</v>
      </c>
      <c r="N772" s="36" t="s">
        <v>219</v>
      </c>
      <c r="O772" s="3">
        <v>288</v>
      </c>
      <c r="P772" s="3">
        <f t="shared" si="40"/>
        <v>3.4722222222222223</v>
      </c>
      <c r="Q772" s="36">
        <v>940.17857142857099</v>
      </c>
      <c r="R772" s="8">
        <f t="shared" si="41"/>
        <v>32.64508928571427</v>
      </c>
      <c r="S772" s="36">
        <v>978.53907848992799</v>
      </c>
      <c r="T772" s="40">
        <f t="shared" si="42"/>
        <v>3.3361048120931311</v>
      </c>
      <c r="U772" s="109"/>
      <c r="V772" s="3">
        <v>250</v>
      </c>
      <c r="W772" s="3"/>
      <c r="X772" s="3"/>
      <c r="Y772" s="3"/>
      <c r="Z772" s="3"/>
      <c r="AA772" s="3"/>
      <c r="AB772" s="3"/>
      <c r="AC772" s="3"/>
      <c r="AD772" s="3"/>
      <c r="AE772" s="3"/>
    </row>
    <row r="773" spans="1:31" ht="20.25" customHeight="1">
      <c r="A773" s="13">
        <v>43019</v>
      </c>
      <c r="B773" s="72" t="s">
        <v>159</v>
      </c>
      <c r="C773" s="165">
        <v>2017</v>
      </c>
      <c r="D773" s="53">
        <v>8</v>
      </c>
      <c r="E773" s="36" t="s">
        <v>223</v>
      </c>
      <c r="F773" s="36" t="s">
        <v>224</v>
      </c>
      <c r="G773" s="36" t="s">
        <v>225</v>
      </c>
      <c r="H773" s="36" t="s">
        <v>226</v>
      </c>
      <c r="I773" s="36" t="s">
        <v>253</v>
      </c>
      <c r="J773" s="36" t="s">
        <v>256</v>
      </c>
      <c r="K773" s="3"/>
      <c r="L773" s="36">
        <v>8</v>
      </c>
      <c r="M773" s="3" t="s">
        <v>229</v>
      </c>
      <c r="N773" s="36" t="s">
        <v>256</v>
      </c>
      <c r="O773" s="3">
        <v>288</v>
      </c>
      <c r="P773" s="3">
        <f t="shared" si="40"/>
        <v>2.7777777777777777</v>
      </c>
      <c r="Q773" s="36">
        <v>940.17857142857099</v>
      </c>
      <c r="R773" s="8">
        <f t="shared" si="41"/>
        <v>26.116071428571416</v>
      </c>
      <c r="S773" s="36">
        <v>978.53907848992799</v>
      </c>
      <c r="T773" s="40">
        <f t="shared" si="42"/>
        <v>2.6688838496745051</v>
      </c>
      <c r="U773" s="109"/>
      <c r="V773" s="3">
        <v>250</v>
      </c>
      <c r="W773" s="3"/>
      <c r="X773" s="3"/>
      <c r="Y773" s="3"/>
      <c r="Z773" s="3"/>
      <c r="AA773" s="3"/>
      <c r="AB773" s="3"/>
      <c r="AC773" s="3"/>
      <c r="AD773" s="3"/>
      <c r="AE773" s="3"/>
    </row>
    <row r="774" spans="1:31" ht="20.25" customHeight="1">
      <c r="A774" s="13">
        <v>43019</v>
      </c>
      <c r="B774" s="35" t="s">
        <v>159</v>
      </c>
      <c r="C774" s="165">
        <v>2017</v>
      </c>
      <c r="D774" s="53">
        <v>8</v>
      </c>
      <c r="E774" s="51" t="s">
        <v>223</v>
      </c>
      <c r="F774" s="51" t="s">
        <v>224</v>
      </c>
      <c r="G774" s="51" t="s">
        <v>225</v>
      </c>
      <c r="H774" s="51" t="s">
        <v>226</v>
      </c>
      <c r="I774" s="51" t="s">
        <v>239</v>
      </c>
      <c r="J774" s="3" t="s">
        <v>258</v>
      </c>
      <c r="K774" s="3" t="s">
        <v>259</v>
      </c>
      <c r="L774" s="3">
        <v>2</v>
      </c>
      <c r="M774" s="3" t="s">
        <v>247</v>
      </c>
      <c r="N774" s="3" t="s">
        <v>260</v>
      </c>
      <c r="O774" s="3">
        <v>288</v>
      </c>
      <c r="P774" s="3">
        <f t="shared" si="40"/>
        <v>0.69444444444444442</v>
      </c>
      <c r="Q774" s="36">
        <v>940.17857142857099</v>
      </c>
      <c r="R774" s="8">
        <f t="shared" si="41"/>
        <v>6.5290178571428541</v>
      </c>
      <c r="S774" s="36">
        <v>978.53907848992799</v>
      </c>
      <c r="T774" s="40">
        <f t="shared" si="42"/>
        <v>0.66722096241862627</v>
      </c>
      <c r="U774" s="109"/>
      <c r="V774" s="3">
        <v>250</v>
      </c>
      <c r="W774" s="3"/>
      <c r="X774" s="3"/>
      <c r="Y774" s="3"/>
      <c r="Z774" s="3"/>
      <c r="AA774" s="3"/>
      <c r="AB774" s="3"/>
      <c r="AC774" s="3"/>
      <c r="AD774" s="3"/>
      <c r="AE774" s="3"/>
    </row>
    <row r="775" spans="1:31" ht="20.25" customHeight="1">
      <c r="A775" s="13">
        <v>43019</v>
      </c>
      <c r="B775" s="35" t="s">
        <v>159</v>
      </c>
      <c r="C775" s="165">
        <v>2017</v>
      </c>
      <c r="D775" s="53">
        <v>8</v>
      </c>
      <c r="E775" s="65" t="s">
        <v>223</v>
      </c>
      <c r="F775" s="65" t="s">
        <v>224</v>
      </c>
      <c r="G775" s="65" t="s">
        <v>225</v>
      </c>
      <c r="H775" s="65" t="s">
        <v>226</v>
      </c>
      <c r="I775" s="65" t="s">
        <v>261</v>
      </c>
      <c r="J775" s="65" t="s">
        <v>262</v>
      </c>
      <c r="K775" s="36"/>
      <c r="L775" s="36">
        <v>5</v>
      </c>
      <c r="M775" s="3" t="s">
        <v>229</v>
      </c>
      <c r="N775" s="36" t="s">
        <v>264</v>
      </c>
      <c r="O775" s="3">
        <v>288</v>
      </c>
      <c r="P775" s="3">
        <f t="shared" si="40"/>
        <v>1.7361111111111112</v>
      </c>
      <c r="Q775" s="36">
        <v>940.17857142857099</v>
      </c>
      <c r="R775" s="8">
        <f t="shared" si="41"/>
        <v>16.322544642857135</v>
      </c>
      <c r="S775" s="36">
        <v>978.53907848992799</v>
      </c>
      <c r="T775" s="40">
        <f t="shared" si="42"/>
        <v>1.6680524060465656</v>
      </c>
      <c r="U775" s="109"/>
      <c r="V775" s="3">
        <v>250</v>
      </c>
      <c r="W775" s="3"/>
      <c r="X775" s="3"/>
      <c r="Y775" s="3"/>
      <c r="Z775" s="3"/>
      <c r="AA775" s="3"/>
      <c r="AB775" s="3"/>
      <c r="AC775" s="3"/>
      <c r="AD775" s="3"/>
      <c r="AE775" s="3"/>
    </row>
    <row r="776" spans="1:31" ht="20.25" customHeight="1">
      <c r="A776" s="13">
        <v>43019</v>
      </c>
      <c r="B776" s="35" t="s">
        <v>159</v>
      </c>
      <c r="C776" s="165">
        <v>2017</v>
      </c>
      <c r="D776" s="53">
        <v>5</v>
      </c>
      <c r="E776" s="3" t="s">
        <v>223</v>
      </c>
      <c r="F776" s="3" t="s">
        <v>224</v>
      </c>
      <c r="G776" s="3" t="s">
        <v>225</v>
      </c>
      <c r="H776" s="3" t="s">
        <v>226</v>
      </c>
      <c r="I776" s="3" t="s">
        <v>227</v>
      </c>
      <c r="J776" s="3" t="s">
        <v>228</v>
      </c>
      <c r="K776" s="3"/>
      <c r="L776" s="36">
        <v>105</v>
      </c>
      <c r="M776" s="3" t="s">
        <v>229</v>
      </c>
      <c r="N776" s="36" t="s">
        <v>228</v>
      </c>
      <c r="O776" s="3">
        <v>255</v>
      </c>
      <c r="P776" s="3">
        <f t="shared" si="40"/>
        <v>41.17647058823529</v>
      </c>
      <c r="Q776" s="36">
        <v>1245.072951229487</v>
      </c>
      <c r="R776" s="8">
        <f t="shared" si="41"/>
        <v>512.67709756508282</v>
      </c>
      <c r="S776" s="36">
        <v>1245.3490748224101</v>
      </c>
      <c r="T776" s="40">
        <f t="shared" si="42"/>
        <v>41.167340782598792</v>
      </c>
      <c r="U776" s="109"/>
      <c r="V776" s="3">
        <v>250</v>
      </c>
      <c r="W776" s="3"/>
      <c r="X776" s="3"/>
      <c r="Y776" s="3"/>
      <c r="Z776" s="3"/>
      <c r="AA776" s="3"/>
      <c r="AB776" s="3"/>
      <c r="AC776" s="3"/>
      <c r="AD776" s="3"/>
      <c r="AE776" s="3"/>
    </row>
    <row r="777" spans="1:31" ht="20.25" customHeight="1">
      <c r="A777" s="13">
        <v>43019</v>
      </c>
      <c r="B777" s="35" t="s">
        <v>159</v>
      </c>
      <c r="C777" s="165">
        <v>2017</v>
      </c>
      <c r="D777" s="53">
        <v>5</v>
      </c>
      <c r="E777" s="65" t="s">
        <v>209</v>
      </c>
      <c r="F777" s="65" t="s">
        <v>210</v>
      </c>
      <c r="G777" s="65"/>
      <c r="H777" s="65" t="s">
        <v>211</v>
      </c>
      <c r="I777" s="65" t="s">
        <v>212</v>
      </c>
      <c r="J777" s="36" t="s">
        <v>213</v>
      </c>
      <c r="K777" s="36" t="s">
        <v>214</v>
      </c>
      <c r="L777" s="36">
        <v>1</v>
      </c>
      <c r="M777" s="36" t="s">
        <v>247</v>
      </c>
      <c r="N777" s="36" t="s">
        <v>215</v>
      </c>
      <c r="O777" s="3">
        <v>3</v>
      </c>
      <c r="P777" s="3">
        <f t="shared" si="40"/>
        <v>33.333333333333329</v>
      </c>
      <c r="Q777" s="36">
        <v>0.27612359292019106</v>
      </c>
      <c r="R777" s="8">
        <f t="shared" si="41"/>
        <v>9.2041197640063674E-2</v>
      </c>
      <c r="S777" s="36">
        <v>1245.3490748224071</v>
      </c>
      <c r="T777" s="40">
        <f t="shared" si="42"/>
        <v>7.390795038988502E-3</v>
      </c>
      <c r="U777" s="109"/>
      <c r="V777" s="65">
        <v>1000</v>
      </c>
      <c r="W777" s="51"/>
      <c r="X777" s="51"/>
      <c r="Y777" s="51"/>
      <c r="Z777" s="3"/>
      <c r="AA777" s="3"/>
      <c r="AB777" s="3"/>
      <c r="AC777" s="3"/>
      <c r="AD777" s="3"/>
      <c r="AE777" s="3"/>
    </row>
    <row r="778" spans="1:31" ht="20.25" customHeight="1">
      <c r="A778" s="13">
        <v>43019</v>
      </c>
      <c r="B778" s="72" t="s">
        <v>159</v>
      </c>
      <c r="C778" s="165">
        <v>2017</v>
      </c>
      <c r="D778" s="53">
        <v>5</v>
      </c>
      <c r="E778" s="36" t="s">
        <v>223</v>
      </c>
      <c r="F778" s="36" t="s">
        <v>303</v>
      </c>
      <c r="G778" s="36" t="s">
        <v>304</v>
      </c>
      <c r="H778" s="36" t="s">
        <v>305</v>
      </c>
      <c r="I778" s="36" t="s">
        <v>306</v>
      </c>
      <c r="J778" s="36" t="s">
        <v>307</v>
      </c>
      <c r="K778" s="36"/>
      <c r="L778" s="36">
        <v>3</v>
      </c>
      <c r="M778" s="3" t="s">
        <v>229</v>
      </c>
      <c r="N778" s="3" t="s">
        <v>307</v>
      </c>
      <c r="O778" s="3">
        <v>255</v>
      </c>
      <c r="P778" s="3">
        <f t="shared" si="40"/>
        <v>1.1764705882352942</v>
      </c>
      <c r="Q778" s="36">
        <v>1245.072951229487</v>
      </c>
      <c r="R778" s="8">
        <f t="shared" si="41"/>
        <v>14.647917073288083</v>
      </c>
      <c r="S778" s="36">
        <v>1245.3490748224101</v>
      </c>
      <c r="T778" s="40">
        <f t="shared" si="42"/>
        <v>1.1762097366456801</v>
      </c>
      <c r="U778" s="109"/>
      <c r="V778" s="3">
        <v>250</v>
      </c>
      <c r="W778" s="3" t="s">
        <v>308</v>
      </c>
      <c r="X778" s="3"/>
      <c r="Y778" s="3"/>
      <c r="Z778" s="3"/>
      <c r="AA778" s="3"/>
      <c r="AB778" s="3"/>
      <c r="AC778" s="3"/>
      <c r="AD778" s="3"/>
      <c r="AE778" s="3"/>
    </row>
    <row r="779" spans="1:31" ht="20.25" customHeight="1">
      <c r="A779" s="13">
        <v>43019</v>
      </c>
      <c r="B779" s="72" t="s">
        <v>159</v>
      </c>
      <c r="C779" s="165">
        <v>2017</v>
      </c>
      <c r="D779" s="53">
        <v>5</v>
      </c>
      <c r="E779" s="36" t="s">
        <v>223</v>
      </c>
      <c r="F779" s="36" t="s">
        <v>303</v>
      </c>
      <c r="G779" s="36" t="s">
        <v>304</v>
      </c>
      <c r="H779" s="36" t="s">
        <v>305</v>
      </c>
      <c r="I779" s="36" t="s">
        <v>306</v>
      </c>
      <c r="J779" s="36" t="s">
        <v>307</v>
      </c>
      <c r="K779" s="36"/>
      <c r="L779" s="36">
        <v>2</v>
      </c>
      <c r="M779" s="3" t="s">
        <v>229</v>
      </c>
      <c r="N779" s="3" t="s">
        <v>307</v>
      </c>
      <c r="O779" s="3">
        <v>255</v>
      </c>
      <c r="P779" s="3">
        <f t="shared" si="40"/>
        <v>0.78431372549019607</v>
      </c>
      <c r="Q779" s="65">
        <v>1245.072951229487</v>
      </c>
      <c r="R779" s="8">
        <f t="shared" si="41"/>
        <v>9.7652780488587219</v>
      </c>
      <c r="S779" s="36">
        <v>1245.3490748224101</v>
      </c>
      <c r="T779" s="40">
        <f t="shared" si="42"/>
        <v>0.78413982443045338</v>
      </c>
      <c r="U779" s="109"/>
      <c r="V779" s="3">
        <v>250</v>
      </c>
      <c r="W779" s="3" t="s">
        <v>309</v>
      </c>
      <c r="X779" s="3"/>
      <c r="Y779" s="3"/>
      <c r="Z779" s="3"/>
      <c r="AA779" s="3"/>
      <c r="AB779" s="3"/>
      <c r="AC779" s="3"/>
      <c r="AD779" s="3"/>
      <c r="AE779" s="3"/>
    </row>
    <row r="780" spans="1:31" ht="20.25" customHeight="1">
      <c r="A780" s="13">
        <v>43019</v>
      </c>
      <c r="B780" s="72" t="s">
        <v>159</v>
      </c>
      <c r="C780" s="165">
        <v>2017</v>
      </c>
      <c r="D780" s="53">
        <v>5</v>
      </c>
      <c r="E780" s="65" t="s">
        <v>300</v>
      </c>
      <c r="F780" s="65" t="s">
        <v>320</v>
      </c>
      <c r="G780" s="65"/>
      <c r="H780" s="65"/>
      <c r="I780" s="65"/>
      <c r="J780" s="36"/>
      <c r="K780" s="36"/>
      <c r="L780" s="36">
        <v>1</v>
      </c>
      <c r="M780" s="36" t="s">
        <v>221</v>
      </c>
      <c r="N780" s="36" t="s">
        <v>322</v>
      </c>
      <c r="O780" s="3">
        <v>255</v>
      </c>
      <c r="P780" s="3">
        <f t="shared" si="40"/>
        <v>0.39215686274509803</v>
      </c>
      <c r="Q780" s="65">
        <v>1245.072951229487</v>
      </c>
      <c r="R780" s="8">
        <f t="shared" si="41"/>
        <v>4.8826390244293609</v>
      </c>
      <c r="S780" s="36">
        <v>1245.3490748224101</v>
      </c>
      <c r="T780" s="40">
        <f t="shared" si="42"/>
        <v>0.39206991221522669</v>
      </c>
      <c r="U780" s="109"/>
      <c r="V780" s="3">
        <v>250</v>
      </c>
      <c r="W780" s="3"/>
      <c r="X780" s="3"/>
      <c r="Y780" s="3"/>
      <c r="Z780" s="3"/>
      <c r="AA780" s="3"/>
      <c r="AB780" s="3"/>
      <c r="AC780" s="3"/>
      <c r="AD780" s="3"/>
      <c r="AE780" s="3"/>
    </row>
    <row r="781" spans="1:31" ht="20.25" customHeight="1">
      <c r="A781" s="13">
        <v>43019</v>
      </c>
      <c r="B781" s="35" t="s">
        <v>159</v>
      </c>
      <c r="C781" s="165">
        <v>2017</v>
      </c>
      <c r="D781" s="53">
        <v>5</v>
      </c>
      <c r="E781" s="3" t="s">
        <v>295</v>
      </c>
      <c r="F781" s="3" t="s">
        <v>296</v>
      </c>
      <c r="G781" s="3"/>
      <c r="H781" s="3" t="s">
        <v>297</v>
      </c>
      <c r="I781" s="3" t="s">
        <v>298</v>
      </c>
      <c r="J781" s="3" t="s">
        <v>299</v>
      </c>
      <c r="K781" s="3"/>
      <c r="L781" s="3">
        <v>17</v>
      </c>
      <c r="M781" s="3" t="s">
        <v>229</v>
      </c>
      <c r="N781" s="3" t="s">
        <v>479</v>
      </c>
      <c r="O781" s="3">
        <v>255</v>
      </c>
      <c r="P781" s="3">
        <f t="shared" si="40"/>
        <v>6.666666666666667</v>
      </c>
      <c r="Q781" s="65">
        <v>1245.072951229487</v>
      </c>
      <c r="R781" s="8">
        <f t="shared" si="41"/>
        <v>83.004863415299127</v>
      </c>
      <c r="S781" s="36">
        <v>1245.3490748224101</v>
      </c>
      <c r="T781" s="40">
        <f t="shared" si="42"/>
        <v>6.6651885076588533</v>
      </c>
      <c r="U781" s="109"/>
      <c r="V781" s="3">
        <v>250</v>
      </c>
      <c r="W781" s="3"/>
      <c r="X781" s="3"/>
      <c r="Y781" s="3"/>
      <c r="Z781" s="3"/>
      <c r="AA781" s="3"/>
      <c r="AB781" s="3"/>
      <c r="AC781" s="3"/>
      <c r="AD781" s="3"/>
      <c r="AE781" s="3"/>
    </row>
    <row r="782" spans="1:31" ht="20.25" customHeight="1">
      <c r="A782" s="13">
        <v>43019</v>
      </c>
      <c r="B782" s="35" t="s">
        <v>159</v>
      </c>
      <c r="C782" s="165">
        <v>2017</v>
      </c>
      <c r="D782" s="53">
        <v>5</v>
      </c>
      <c r="E782" s="3" t="s">
        <v>223</v>
      </c>
      <c r="F782" s="3" t="s">
        <v>224</v>
      </c>
      <c r="G782" s="3" t="s">
        <v>225</v>
      </c>
      <c r="H782" s="3" t="s">
        <v>226</v>
      </c>
      <c r="I782" s="51" t="s">
        <v>235</v>
      </c>
      <c r="J782" s="51" t="s">
        <v>236</v>
      </c>
      <c r="K782" s="3"/>
      <c r="L782" s="36">
        <v>2</v>
      </c>
      <c r="M782" s="3" t="s">
        <v>229</v>
      </c>
      <c r="N782" s="36" t="s">
        <v>236</v>
      </c>
      <c r="O782" s="3">
        <v>255</v>
      </c>
      <c r="P782" s="3">
        <f t="shared" si="40"/>
        <v>0.78431372549019607</v>
      </c>
      <c r="Q782" s="36">
        <v>1245.072951229487</v>
      </c>
      <c r="R782" s="8">
        <f t="shared" si="41"/>
        <v>9.7652780488587219</v>
      </c>
      <c r="S782" s="36">
        <v>1245.3490748224101</v>
      </c>
      <c r="T782" s="40">
        <f t="shared" si="42"/>
        <v>0.78413982443045338</v>
      </c>
      <c r="U782" s="109"/>
      <c r="V782" s="51">
        <v>250</v>
      </c>
      <c r="W782" s="51"/>
      <c r="X782" s="51"/>
      <c r="Y782" s="51"/>
      <c r="Z782" s="3"/>
      <c r="AA782" s="3"/>
      <c r="AB782" s="3"/>
      <c r="AC782" s="3"/>
      <c r="AD782" s="3"/>
      <c r="AE782" s="3"/>
    </row>
    <row r="783" spans="1:31" ht="20.25" customHeight="1">
      <c r="A783" s="13">
        <v>43019</v>
      </c>
      <c r="B783" s="35" t="s">
        <v>159</v>
      </c>
      <c r="C783" s="165">
        <v>2017</v>
      </c>
      <c r="D783" s="53">
        <v>5</v>
      </c>
      <c r="E783" s="36" t="s">
        <v>223</v>
      </c>
      <c r="F783" s="36" t="s">
        <v>317</v>
      </c>
      <c r="G783" s="36" t="s">
        <v>314</v>
      </c>
      <c r="H783" s="36" t="s">
        <v>346</v>
      </c>
      <c r="I783" s="65" t="s">
        <v>315</v>
      </c>
      <c r="J783" s="65" t="s">
        <v>660</v>
      </c>
      <c r="K783" s="36"/>
      <c r="L783" s="3">
        <v>18</v>
      </c>
      <c r="M783" s="3" t="s">
        <v>229</v>
      </c>
      <c r="N783" s="36" t="s">
        <v>345</v>
      </c>
      <c r="O783" s="3">
        <v>255</v>
      </c>
      <c r="P783" s="3">
        <f t="shared" si="40"/>
        <v>7.0588235294117645</v>
      </c>
      <c r="Q783" s="36">
        <v>1245.072951229487</v>
      </c>
      <c r="R783" s="8">
        <f t="shared" si="41"/>
        <v>87.887502439728493</v>
      </c>
      <c r="S783" s="36">
        <v>1245.3490748224101</v>
      </c>
      <c r="T783" s="40">
        <f t="shared" si="42"/>
        <v>7.0572584198740795</v>
      </c>
      <c r="U783" s="109"/>
      <c r="V783" s="3">
        <v>250</v>
      </c>
      <c r="W783" s="3"/>
      <c r="X783" s="3"/>
      <c r="Y783" s="3"/>
      <c r="Z783" s="3"/>
      <c r="AA783" s="3"/>
      <c r="AB783" s="3"/>
      <c r="AC783" s="3"/>
      <c r="AD783" s="3"/>
      <c r="AE783" s="3"/>
    </row>
    <row r="784" spans="1:31" ht="20.25" customHeight="1">
      <c r="A784" s="13">
        <v>43019</v>
      </c>
      <c r="B784" s="35" t="s">
        <v>159</v>
      </c>
      <c r="C784" s="165">
        <v>2017</v>
      </c>
      <c r="D784" s="53">
        <v>5</v>
      </c>
      <c r="E784" s="36" t="s">
        <v>223</v>
      </c>
      <c r="F784" s="36" t="s">
        <v>317</v>
      </c>
      <c r="G784" s="36" t="s">
        <v>314</v>
      </c>
      <c r="H784" s="36" t="s">
        <v>346</v>
      </c>
      <c r="I784" s="3"/>
      <c r="J784" s="36" t="s">
        <v>316</v>
      </c>
      <c r="K784" s="3"/>
      <c r="L784" s="3">
        <v>1</v>
      </c>
      <c r="M784" s="3" t="s">
        <v>229</v>
      </c>
      <c r="N784" s="36" t="s">
        <v>482</v>
      </c>
      <c r="O784" s="3">
        <v>255</v>
      </c>
      <c r="P784" s="3">
        <f t="shared" si="40"/>
        <v>0.39215686274509803</v>
      </c>
      <c r="Q784" s="36">
        <v>1245.072951229487</v>
      </c>
      <c r="R784" s="8">
        <f t="shared" si="41"/>
        <v>4.8826390244293609</v>
      </c>
      <c r="S784" s="36">
        <v>1245.3490748224101</v>
      </c>
      <c r="T784" s="40">
        <f t="shared" si="42"/>
        <v>0.39206991221522669</v>
      </c>
      <c r="U784" s="109"/>
      <c r="V784" s="3">
        <v>250</v>
      </c>
      <c r="W784" s="3"/>
      <c r="X784" s="3"/>
      <c r="Y784" s="3"/>
      <c r="Z784" s="3"/>
      <c r="AA784" s="3"/>
      <c r="AB784" s="3"/>
      <c r="AC784" s="3"/>
      <c r="AD784" s="3"/>
      <c r="AE784" s="3"/>
    </row>
    <row r="785" spans="1:31" ht="20.25" customHeight="1">
      <c r="A785" s="13">
        <v>43019</v>
      </c>
      <c r="B785" s="72" t="s">
        <v>159</v>
      </c>
      <c r="C785" s="165">
        <v>2017</v>
      </c>
      <c r="D785" s="53">
        <v>5</v>
      </c>
      <c r="E785" s="65" t="s">
        <v>223</v>
      </c>
      <c r="F785" s="65" t="s">
        <v>267</v>
      </c>
      <c r="G785" s="65"/>
      <c r="H785" s="65" t="s">
        <v>273</v>
      </c>
      <c r="I785" s="65"/>
      <c r="J785" s="36"/>
      <c r="K785" s="36"/>
      <c r="L785" s="36">
        <v>1</v>
      </c>
      <c r="M785" s="36" t="s">
        <v>508</v>
      </c>
      <c r="N785" s="36" t="s">
        <v>335</v>
      </c>
      <c r="O785" s="3">
        <v>3</v>
      </c>
      <c r="P785" s="3">
        <f t="shared" si="40"/>
        <v>33.333333333333329</v>
      </c>
      <c r="Q785" s="36">
        <v>0.27612359292019106</v>
      </c>
      <c r="R785" s="8">
        <f t="shared" si="41"/>
        <v>9.2041197640063674E-2</v>
      </c>
      <c r="S785" s="36">
        <v>1245.3490748224101</v>
      </c>
      <c r="T785" s="40">
        <f t="shared" si="42"/>
        <v>7.3907950389884838E-3</v>
      </c>
      <c r="U785" s="109"/>
      <c r="V785" s="36">
        <v>1000</v>
      </c>
      <c r="W785" s="3"/>
      <c r="X785" s="3"/>
      <c r="Y785" s="3"/>
      <c r="Z785" s="3"/>
      <c r="AA785" s="3"/>
      <c r="AB785" s="3"/>
      <c r="AC785" s="3"/>
      <c r="AD785" s="3"/>
      <c r="AE785" s="3"/>
    </row>
    <row r="786" spans="1:31" ht="20.25" customHeight="1">
      <c r="A786" s="13">
        <v>43019</v>
      </c>
      <c r="B786" s="35" t="s">
        <v>159</v>
      </c>
      <c r="C786" s="165">
        <v>2017</v>
      </c>
      <c r="D786" s="53">
        <v>5</v>
      </c>
      <c r="E786" s="65" t="s">
        <v>223</v>
      </c>
      <c r="F786" s="36" t="s">
        <v>224</v>
      </c>
      <c r="G786" s="36" t="s">
        <v>225</v>
      </c>
      <c r="H786" s="65" t="s">
        <v>226</v>
      </c>
      <c r="I786" s="65" t="s">
        <v>239</v>
      </c>
      <c r="J786" s="65" t="s">
        <v>240</v>
      </c>
      <c r="K786" s="3"/>
      <c r="L786" s="36">
        <v>31</v>
      </c>
      <c r="M786" s="3" t="s">
        <v>229</v>
      </c>
      <c r="N786" s="36" t="s">
        <v>240</v>
      </c>
      <c r="O786" s="3">
        <v>255</v>
      </c>
      <c r="P786" s="3">
        <f t="shared" si="40"/>
        <v>12.156862745098039</v>
      </c>
      <c r="Q786" s="36">
        <v>1245.072951229487</v>
      </c>
      <c r="R786" s="8">
        <f t="shared" si="41"/>
        <v>151.36180975731017</v>
      </c>
      <c r="S786" s="36">
        <v>1245.3490748224101</v>
      </c>
      <c r="T786" s="40">
        <f t="shared" si="42"/>
        <v>12.154167278672027</v>
      </c>
      <c r="U786" s="109"/>
      <c r="V786" s="3">
        <v>250</v>
      </c>
      <c r="W786" s="3"/>
      <c r="X786" s="3"/>
      <c r="Y786" s="3"/>
      <c r="Z786" s="3"/>
      <c r="AA786" s="3"/>
      <c r="AB786" s="3"/>
      <c r="AC786" s="3"/>
      <c r="AD786" s="3"/>
      <c r="AE786" s="3"/>
    </row>
    <row r="787" spans="1:31" ht="20.25" customHeight="1">
      <c r="A787" s="13">
        <v>43019</v>
      </c>
      <c r="B787" s="35" t="s">
        <v>159</v>
      </c>
      <c r="C787" s="165">
        <v>2017</v>
      </c>
      <c r="D787" s="53">
        <v>5</v>
      </c>
      <c r="E787" s="65" t="s">
        <v>300</v>
      </c>
      <c r="F787" s="65" t="s">
        <v>301</v>
      </c>
      <c r="G787" s="65"/>
      <c r="H787" s="65"/>
      <c r="I787" s="65"/>
      <c r="J787" s="36"/>
      <c r="K787" s="36"/>
      <c r="L787" s="36">
        <v>7</v>
      </c>
      <c r="M787" s="36" t="s">
        <v>221</v>
      </c>
      <c r="N787" s="36" t="s">
        <v>302</v>
      </c>
      <c r="O787" s="3">
        <v>255</v>
      </c>
      <c r="P787" s="3">
        <f t="shared" si="40"/>
        <v>2.7450980392156863</v>
      </c>
      <c r="Q787" s="36">
        <v>1245.072951229487</v>
      </c>
      <c r="R787" s="8">
        <f t="shared" si="41"/>
        <v>34.178473171005521</v>
      </c>
      <c r="S787" s="36">
        <v>1245.3490748224101</v>
      </c>
      <c r="T787" s="40">
        <f t="shared" si="42"/>
        <v>2.7444893855065864</v>
      </c>
      <c r="U787" s="109"/>
      <c r="V787" s="3">
        <v>250</v>
      </c>
      <c r="W787" s="3"/>
      <c r="X787" s="3"/>
      <c r="Y787" s="3"/>
      <c r="Z787" s="3"/>
      <c r="AA787" s="3"/>
      <c r="AB787" s="3"/>
      <c r="AC787" s="3"/>
      <c r="AD787" s="3"/>
      <c r="AE787" s="3"/>
    </row>
    <row r="788" spans="1:31" ht="20.25" customHeight="1">
      <c r="A788" s="13">
        <v>43019</v>
      </c>
      <c r="B788" s="35" t="s">
        <v>159</v>
      </c>
      <c r="C788" s="165">
        <v>2017</v>
      </c>
      <c r="D788" s="53">
        <v>5</v>
      </c>
      <c r="E788" s="36" t="s">
        <v>288</v>
      </c>
      <c r="F788" s="36" t="s">
        <v>289</v>
      </c>
      <c r="G788" s="36"/>
      <c r="H788" s="36"/>
      <c r="I788" s="36"/>
      <c r="J788" s="36"/>
      <c r="K788" s="36"/>
      <c r="L788" s="36">
        <v>1</v>
      </c>
      <c r="M788" s="36" t="s">
        <v>221</v>
      </c>
      <c r="N788" s="36" t="s">
        <v>499</v>
      </c>
      <c r="O788" s="3">
        <v>3</v>
      </c>
      <c r="P788" s="3">
        <f t="shared" si="40"/>
        <v>33.333333333333329</v>
      </c>
      <c r="Q788" s="36">
        <v>0.27612359292019106</v>
      </c>
      <c r="R788" s="8">
        <f t="shared" si="41"/>
        <v>9.2041197640063674E-2</v>
      </c>
      <c r="S788" s="36">
        <v>1245.3490748224071</v>
      </c>
      <c r="T788" s="40">
        <f t="shared" si="42"/>
        <v>7.390795038988502E-3</v>
      </c>
      <c r="U788" s="109"/>
      <c r="V788" s="36">
        <v>1000</v>
      </c>
      <c r="W788" s="3"/>
      <c r="X788" s="3"/>
      <c r="Y788" s="3"/>
      <c r="Z788" s="3"/>
      <c r="AA788" s="3"/>
      <c r="AB788" s="3"/>
      <c r="AC788" s="3"/>
      <c r="AD788" s="3"/>
      <c r="AE788" s="3"/>
    </row>
    <row r="789" spans="1:31" ht="20.25" customHeight="1">
      <c r="A789" s="13">
        <v>43019</v>
      </c>
      <c r="B789" s="72" t="s">
        <v>159</v>
      </c>
      <c r="C789" s="165">
        <v>2017</v>
      </c>
      <c r="D789" s="53">
        <v>5</v>
      </c>
      <c r="E789" s="36" t="s">
        <v>323</v>
      </c>
      <c r="F789" s="36" t="s">
        <v>489</v>
      </c>
      <c r="G789" s="36"/>
      <c r="H789" s="36" t="s">
        <v>490</v>
      </c>
      <c r="I789" s="36" t="s">
        <v>491</v>
      </c>
      <c r="J789" s="36" t="s">
        <v>371</v>
      </c>
      <c r="K789" s="3" t="s">
        <v>372</v>
      </c>
      <c r="L789" s="3">
        <v>4</v>
      </c>
      <c r="M789" s="3" t="s">
        <v>247</v>
      </c>
      <c r="N789" s="3" t="s">
        <v>371</v>
      </c>
      <c r="O789" s="3">
        <v>255</v>
      </c>
      <c r="P789" s="3">
        <f t="shared" si="40"/>
        <v>1.5686274509803921</v>
      </c>
      <c r="Q789" s="36">
        <v>1245.072951229487</v>
      </c>
      <c r="R789" s="8">
        <f t="shared" si="41"/>
        <v>19.530556097717444</v>
      </c>
      <c r="S789" s="36">
        <v>1245.3490748224101</v>
      </c>
      <c r="T789" s="40">
        <f t="shared" si="42"/>
        <v>1.5682796488609068</v>
      </c>
      <c r="U789" s="109"/>
      <c r="V789" s="3">
        <v>250</v>
      </c>
      <c r="W789" s="3"/>
      <c r="X789" s="3"/>
      <c r="Y789" s="3"/>
      <c r="Z789" s="3"/>
      <c r="AA789" s="3"/>
      <c r="AB789" s="3"/>
      <c r="AC789" s="3"/>
      <c r="AD789" s="3"/>
      <c r="AE789" s="3"/>
    </row>
    <row r="790" spans="1:31" ht="20.25" customHeight="1">
      <c r="A790" s="13">
        <v>43019</v>
      </c>
      <c r="B790" s="72" t="s">
        <v>159</v>
      </c>
      <c r="C790" s="165">
        <v>2017</v>
      </c>
      <c r="D790" s="53">
        <v>5</v>
      </c>
      <c r="E790" s="3" t="s">
        <v>223</v>
      </c>
      <c r="F790" s="3" t="s">
        <v>224</v>
      </c>
      <c r="G790" s="3" t="s">
        <v>225</v>
      </c>
      <c r="H790" s="3" t="s">
        <v>248</v>
      </c>
      <c r="I790" s="3" t="s">
        <v>249</v>
      </c>
      <c r="J790" s="3" t="s">
        <v>250</v>
      </c>
      <c r="K790" s="3"/>
      <c r="L790" s="3">
        <v>7</v>
      </c>
      <c r="M790" s="3" t="s">
        <v>229</v>
      </c>
      <c r="N790" s="3" t="s">
        <v>250</v>
      </c>
      <c r="O790" s="3">
        <v>255</v>
      </c>
      <c r="P790" s="3">
        <f t="shared" si="40"/>
        <v>2.7450980392156863</v>
      </c>
      <c r="Q790" s="36">
        <v>1245.072951229487</v>
      </c>
      <c r="R790" s="8">
        <f t="shared" si="41"/>
        <v>34.178473171005521</v>
      </c>
      <c r="S790" s="36">
        <v>1245.3490748224101</v>
      </c>
      <c r="T790" s="40">
        <f t="shared" si="42"/>
        <v>2.7444893855065864</v>
      </c>
      <c r="U790" s="109"/>
      <c r="V790" s="3">
        <v>250</v>
      </c>
      <c r="W790" s="3"/>
      <c r="X790" s="3"/>
      <c r="Y790" s="3"/>
      <c r="Z790" s="3"/>
      <c r="AA790" s="3"/>
      <c r="AB790" s="3"/>
      <c r="AC790" s="3"/>
      <c r="AD790" s="3"/>
      <c r="AE790" s="3"/>
    </row>
    <row r="791" spans="1:31" ht="20.25" customHeight="1">
      <c r="A791" s="13">
        <v>43019</v>
      </c>
      <c r="B791" s="35" t="s">
        <v>159</v>
      </c>
      <c r="C791" s="165">
        <v>2017</v>
      </c>
      <c r="D791" s="53">
        <v>5</v>
      </c>
      <c r="E791" s="65" t="s">
        <v>216</v>
      </c>
      <c r="F791" s="65" t="s">
        <v>217</v>
      </c>
      <c r="G791" s="65"/>
      <c r="H791" s="65"/>
      <c r="I791" s="65"/>
      <c r="J791" s="36"/>
      <c r="K791" s="36"/>
      <c r="L791" s="36">
        <v>26</v>
      </c>
      <c r="M791" s="36" t="s">
        <v>221</v>
      </c>
      <c r="N791" s="36" t="s">
        <v>219</v>
      </c>
      <c r="O791" s="3">
        <v>255</v>
      </c>
      <c r="P791" s="3">
        <f t="shared" si="40"/>
        <v>10.196078431372548</v>
      </c>
      <c r="Q791" s="36">
        <v>1245.072951229487</v>
      </c>
      <c r="R791" s="8">
        <f t="shared" si="41"/>
        <v>126.94861463516338</v>
      </c>
      <c r="S791" s="36">
        <v>1245.3490748224101</v>
      </c>
      <c r="T791" s="40">
        <f t="shared" si="42"/>
        <v>10.193817717595893</v>
      </c>
      <c r="U791" s="109"/>
      <c r="V791" s="3">
        <v>250</v>
      </c>
      <c r="W791" s="3"/>
      <c r="X791" s="3"/>
      <c r="Y791" s="3"/>
      <c r="Z791" s="3"/>
      <c r="AA791" s="3"/>
      <c r="AB791" s="3"/>
      <c r="AC791" s="3"/>
      <c r="AD791" s="3"/>
      <c r="AE791" s="3"/>
    </row>
    <row r="792" spans="1:31" ht="20.25" customHeight="1">
      <c r="A792" s="13">
        <v>43019</v>
      </c>
      <c r="B792" s="35" t="s">
        <v>159</v>
      </c>
      <c r="C792" s="165">
        <v>2017</v>
      </c>
      <c r="D792" s="53">
        <v>5</v>
      </c>
      <c r="E792" s="36" t="s">
        <v>223</v>
      </c>
      <c r="F792" s="36" t="s">
        <v>224</v>
      </c>
      <c r="G792" s="36" t="s">
        <v>225</v>
      </c>
      <c r="H792" s="36" t="s">
        <v>226</v>
      </c>
      <c r="I792" s="36" t="s">
        <v>253</v>
      </c>
      <c r="J792" s="36" t="s">
        <v>256</v>
      </c>
      <c r="K792" s="3"/>
      <c r="L792" s="36">
        <v>20</v>
      </c>
      <c r="M792" s="3" t="s">
        <v>229</v>
      </c>
      <c r="N792" s="36" t="s">
        <v>256</v>
      </c>
      <c r="O792" s="3">
        <v>255</v>
      </c>
      <c r="P792" s="3">
        <f t="shared" si="40"/>
        <v>7.8431372549019605</v>
      </c>
      <c r="Q792" s="36">
        <v>1245.072951229487</v>
      </c>
      <c r="R792" s="8">
        <f t="shared" si="41"/>
        <v>97.652780488587211</v>
      </c>
      <c r="S792" s="36">
        <v>1245.3490748224101</v>
      </c>
      <c r="T792" s="40">
        <f t="shared" si="42"/>
        <v>7.8413982443045329</v>
      </c>
      <c r="U792" s="109"/>
      <c r="V792" s="3">
        <v>250</v>
      </c>
      <c r="W792" s="3"/>
      <c r="X792" s="3"/>
      <c r="Y792" s="3"/>
      <c r="Z792" s="3"/>
      <c r="AA792" s="3"/>
      <c r="AB792" s="3"/>
      <c r="AC792" s="3"/>
      <c r="AD792" s="3"/>
      <c r="AE792" s="3"/>
    </row>
    <row r="793" spans="1:31" ht="20.25" customHeight="1">
      <c r="A793" s="13">
        <v>43019</v>
      </c>
      <c r="B793" s="35" t="s">
        <v>159</v>
      </c>
      <c r="C793" s="165">
        <v>2017</v>
      </c>
      <c r="D793" s="53">
        <v>5</v>
      </c>
      <c r="E793" s="36" t="s">
        <v>223</v>
      </c>
      <c r="F793" s="36" t="s">
        <v>224</v>
      </c>
      <c r="G793" s="36" t="s">
        <v>225</v>
      </c>
      <c r="H793" s="36" t="s">
        <v>226</v>
      </c>
      <c r="I793" s="54" t="s">
        <v>487</v>
      </c>
      <c r="J793" s="36" t="s">
        <v>486</v>
      </c>
      <c r="K793" s="3"/>
      <c r="L793" s="3">
        <v>1</v>
      </c>
      <c r="M793" s="3" t="s">
        <v>229</v>
      </c>
      <c r="N793" s="3" t="s">
        <v>488</v>
      </c>
      <c r="O793" s="3">
        <v>255</v>
      </c>
      <c r="P793" s="3">
        <f t="shared" si="40"/>
        <v>0.39215686274509803</v>
      </c>
      <c r="Q793" s="36">
        <v>1245.072951229487</v>
      </c>
      <c r="R793" s="8">
        <f t="shared" si="41"/>
        <v>4.8826390244293609</v>
      </c>
      <c r="S793" s="36">
        <v>1245.3490748224101</v>
      </c>
      <c r="T793" s="40">
        <f t="shared" si="42"/>
        <v>0.39206991221522669</v>
      </c>
      <c r="U793" s="109"/>
      <c r="V793" s="3">
        <v>250</v>
      </c>
      <c r="W793" s="3"/>
      <c r="X793" s="3"/>
      <c r="Y793" s="3"/>
      <c r="Z793" s="3"/>
      <c r="AA793" s="3"/>
      <c r="AB793" s="3"/>
      <c r="AC793" s="3"/>
      <c r="AD793" s="3"/>
      <c r="AE793" s="3"/>
    </row>
    <row r="794" spans="1:31" ht="20.25" customHeight="1">
      <c r="A794" s="13">
        <v>43019</v>
      </c>
      <c r="B794" s="35" t="s">
        <v>159</v>
      </c>
      <c r="C794" s="165">
        <v>2017</v>
      </c>
      <c r="D794" s="53">
        <v>5</v>
      </c>
      <c r="E794" s="51" t="s">
        <v>223</v>
      </c>
      <c r="F794" s="51" t="s">
        <v>224</v>
      </c>
      <c r="G794" s="51" t="s">
        <v>225</v>
      </c>
      <c r="H794" s="51" t="s">
        <v>226</v>
      </c>
      <c r="I794" s="51" t="s">
        <v>239</v>
      </c>
      <c r="J794" s="3" t="s">
        <v>258</v>
      </c>
      <c r="K794" s="3" t="s">
        <v>259</v>
      </c>
      <c r="L794" s="3">
        <v>6</v>
      </c>
      <c r="M794" s="3" t="s">
        <v>247</v>
      </c>
      <c r="N794" s="3" t="s">
        <v>260</v>
      </c>
      <c r="O794" s="3">
        <v>255</v>
      </c>
      <c r="P794" s="3">
        <f t="shared" ref="P794:P818" si="43">L794/O794*100</f>
        <v>2.3529411764705883</v>
      </c>
      <c r="Q794" s="36">
        <v>1245.072951229487</v>
      </c>
      <c r="R794" s="8">
        <f t="shared" si="41"/>
        <v>29.295834146576166</v>
      </c>
      <c r="S794" s="36">
        <v>1245.3490748224101</v>
      </c>
      <c r="T794" s="40">
        <f t="shared" si="42"/>
        <v>2.3524194732913601</v>
      </c>
      <c r="U794" s="109"/>
      <c r="V794" s="3">
        <v>250</v>
      </c>
      <c r="W794" s="3"/>
      <c r="X794" s="3"/>
      <c r="Y794" s="3"/>
      <c r="Z794" s="3"/>
      <c r="AA794" s="3"/>
      <c r="AB794" s="3"/>
      <c r="AC794" s="3"/>
      <c r="AD794" s="3"/>
      <c r="AE794" s="3"/>
    </row>
    <row r="795" spans="1:31" ht="20.25" customHeight="1">
      <c r="A795" s="13">
        <v>43019</v>
      </c>
      <c r="B795" s="35" t="s">
        <v>159</v>
      </c>
      <c r="C795" s="165">
        <v>2017</v>
      </c>
      <c r="D795" s="53">
        <v>5</v>
      </c>
      <c r="E795" s="65" t="s">
        <v>223</v>
      </c>
      <c r="F795" s="65" t="s">
        <v>224</v>
      </c>
      <c r="G795" s="65" t="s">
        <v>225</v>
      </c>
      <c r="H795" s="65" t="s">
        <v>226</v>
      </c>
      <c r="I795" s="65" t="s">
        <v>261</v>
      </c>
      <c r="J795" s="36" t="s">
        <v>262</v>
      </c>
      <c r="K795" s="36"/>
      <c r="L795" s="36">
        <v>4</v>
      </c>
      <c r="M795" s="3" t="s">
        <v>229</v>
      </c>
      <c r="N795" s="36" t="s">
        <v>264</v>
      </c>
      <c r="O795" s="3">
        <v>255</v>
      </c>
      <c r="P795" s="3">
        <f t="shared" si="43"/>
        <v>1.5686274509803921</v>
      </c>
      <c r="Q795" s="36">
        <v>1245.072951229487</v>
      </c>
      <c r="R795" s="8">
        <f t="shared" si="41"/>
        <v>19.530556097717444</v>
      </c>
      <c r="S795" s="36">
        <v>1245.3490748224101</v>
      </c>
      <c r="T795" s="40">
        <f t="shared" si="42"/>
        <v>1.5682796488609068</v>
      </c>
      <c r="U795" s="109"/>
      <c r="V795" s="3">
        <v>250</v>
      </c>
      <c r="W795" s="3"/>
      <c r="X795" s="3"/>
      <c r="Y795" s="3"/>
      <c r="Z795" s="3"/>
      <c r="AA795" s="3"/>
      <c r="AB795" s="3"/>
      <c r="AC795" s="3"/>
      <c r="AD795" s="3"/>
      <c r="AE795" s="3"/>
    </row>
    <row r="796" spans="1:31" ht="20.25" customHeight="1">
      <c r="A796" s="13">
        <v>43019</v>
      </c>
      <c r="B796" s="35" t="s">
        <v>159</v>
      </c>
      <c r="C796" s="165">
        <v>2017</v>
      </c>
      <c r="D796" s="53">
        <v>4</v>
      </c>
      <c r="E796" s="3" t="s">
        <v>223</v>
      </c>
      <c r="F796" s="3" t="s">
        <v>224</v>
      </c>
      <c r="G796" s="3" t="s">
        <v>225</v>
      </c>
      <c r="H796" s="3" t="s">
        <v>226</v>
      </c>
      <c r="I796" s="3" t="s">
        <v>227</v>
      </c>
      <c r="J796" s="3" t="s">
        <v>228</v>
      </c>
      <c r="K796" s="3"/>
      <c r="L796" s="36">
        <v>63</v>
      </c>
      <c r="M796" s="3" t="s">
        <v>229</v>
      </c>
      <c r="N796" s="36" t="s">
        <v>228</v>
      </c>
      <c r="O796" s="3">
        <v>248</v>
      </c>
      <c r="P796" s="3">
        <f t="shared" si="43"/>
        <v>25.403225806451612</v>
      </c>
      <c r="Q796" s="36">
        <v>1844.2093754795214</v>
      </c>
      <c r="R796" s="8">
        <f t="shared" si="41"/>
        <v>468.48867199681393</v>
      </c>
      <c r="S796" s="65">
        <v>1869.4253510962228</v>
      </c>
      <c r="T796" s="40">
        <f t="shared" si="42"/>
        <v>25.060571245708967</v>
      </c>
      <c r="U796" s="109"/>
      <c r="V796" s="36">
        <v>250</v>
      </c>
      <c r="W796" s="3"/>
      <c r="X796" s="3"/>
      <c r="Y796" s="3"/>
      <c r="Z796" s="3"/>
      <c r="AA796" s="3"/>
      <c r="AB796" s="3"/>
      <c r="AC796" s="3"/>
      <c r="AD796" s="3"/>
      <c r="AE796" s="3"/>
    </row>
    <row r="797" spans="1:31" ht="20.25" customHeight="1">
      <c r="A797" s="13">
        <v>43019</v>
      </c>
      <c r="B797" s="72" t="s">
        <v>159</v>
      </c>
      <c r="C797" s="165">
        <v>2017</v>
      </c>
      <c r="D797" s="53">
        <v>4</v>
      </c>
      <c r="E797" s="36" t="s">
        <v>223</v>
      </c>
      <c r="F797" s="36" t="s">
        <v>303</v>
      </c>
      <c r="G797" s="36" t="s">
        <v>304</v>
      </c>
      <c r="H797" s="36" t="s">
        <v>305</v>
      </c>
      <c r="I797" s="36" t="s">
        <v>306</v>
      </c>
      <c r="J797" s="36" t="s">
        <v>307</v>
      </c>
      <c r="K797" s="36"/>
      <c r="L797" s="36">
        <v>3</v>
      </c>
      <c r="M797" s="3" t="s">
        <v>229</v>
      </c>
      <c r="N797" s="3" t="s">
        <v>307</v>
      </c>
      <c r="O797" s="3">
        <v>248</v>
      </c>
      <c r="P797" s="3">
        <f t="shared" si="43"/>
        <v>1.2096774193548387</v>
      </c>
      <c r="Q797" s="36">
        <v>1844.2093754795214</v>
      </c>
      <c r="R797" s="8">
        <f t="shared" si="41"/>
        <v>22.308984380800663</v>
      </c>
      <c r="S797" s="36">
        <v>1869.4253510962228</v>
      </c>
      <c r="T797" s="40">
        <f t="shared" si="42"/>
        <v>1.1933605355099508</v>
      </c>
      <c r="U797" s="109"/>
      <c r="V797" s="36">
        <v>250</v>
      </c>
      <c r="W797" s="3" t="s">
        <v>659</v>
      </c>
      <c r="X797" s="3"/>
      <c r="Y797" s="3"/>
      <c r="Z797" s="3"/>
      <c r="AA797" s="3"/>
      <c r="AB797" s="3"/>
      <c r="AC797" s="3"/>
      <c r="AD797" s="3"/>
      <c r="AE797" s="3"/>
    </row>
    <row r="798" spans="1:31" ht="20.25" customHeight="1">
      <c r="A798" s="13">
        <v>43019</v>
      </c>
      <c r="B798" s="35" t="s">
        <v>159</v>
      </c>
      <c r="C798" s="165">
        <v>2017</v>
      </c>
      <c r="D798" s="53">
        <v>4</v>
      </c>
      <c r="E798" s="36" t="s">
        <v>223</v>
      </c>
      <c r="F798" s="36" t="s">
        <v>224</v>
      </c>
      <c r="G798" s="36" t="s">
        <v>225</v>
      </c>
      <c r="H798" s="36" t="s">
        <v>555</v>
      </c>
      <c r="I798" s="53" t="s">
        <v>556</v>
      </c>
      <c r="J798" s="53" t="s">
        <v>557</v>
      </c>
      <c r="K798" s="36"/>
      <c r="L798" s="36">
        <v>1</v>
      </c>
      <c r="M798" s="36" t="s">
        <v>229</v>
      </c>
      <c r="N798" s="36" t="s">
        <v>557</v>
      </c>
      <c r="O798" s="3">
        <v>214</v>
      </c>
      <c r="P798" s="3">
        <f t="shared" si="43"/>
        <v>0.46728971962616817</v>
      </c>
      <c r="Q798" s="36">
        <v>25.215975616701474</v>
      </c>
      <c r="R798" s="8">
        <f t="shared" si="41"/>
        <v>0.11783166176028725</v>
      </c>
      <c r="S798" s="36">
        <v>1869.4253510962228</v>
      </c>
      <c r="T798" s="40">
        <f t="shared" si="42"/>
        <v>6.303095317028373E-3</v>
      </c>
      <c r="U798" s="109"/>
      <c r="V798" s="36">
        <v>1000</v>
      </c>
      <c r="W798" s="3"/>
      <c r="X798" s="3"/>
      <c r="Y798" s="3"/>
      <c r="Z798" s="3"/>
      <c r="AA798" s="3"/>
      <c r="AB798" s="3"/>
      <c r="AC798" s="3"/>
      <c r="AD798" s="3"/>
      <c r="AE798" s="3"/>
    </row>
    <row r="799" spans="1:31" ht="20.25" customHeight="1">
      <c r="A799" s="13">
        <v>43019</v>
      </c>
      <c r="B799" s="35" t="s">
        <v>159</v>
      </c>
      <c r="C799" s="165">
        <v>2017</v>
      </c>
      <c r="D799" s="53">
        <v>4</v>
      </c>
      <c r="E799" s="3" t="s">
        <v>223</v>
      </c>
      <c r="F799" s="3" t="s">
        <v>224</v>
      </c>
      <c r="G799" s="3" t="s">
        <v>225</v>
      </c>
      <c r="H799" s="3" t="s">
        <v>226</v>
      </c>
      <c r="I799" s="51" t="s">
        <v>235</v>
      </c>
      <c r="J799" s="51" t="s">
        <v>236</v>
      </c>
      <c r="K799" s="3"/>
      <c r="L799" s="36">
        <v>7</v>
      </c>
      <c r="M799" s="3" t="s">
        <v>229</v>
      </c>
      <c r="N799" s="36" t="s">
        <v>236</v>
      </c>
      <c r="O799" s="3">
        <v>248</v>
      </c>
      <c r="P799" s="3">
        <f t="shared" si="43"/>
        <v>2.82258064516129</v>
      </c>
      <c r="Q799" s="36">
        <v>1844.2093754795214</v>
      </c>
      <c r="R799" s="8">
        <f t="shared" si="41"/>
        <v>52.054296888534871</v>
      </c>
      <c r="S799" s="36">
        <v>1869.4253510962228</v>
      </c>
      <c r="T799" s="40">
        <f t="shared" si="42"/>
        <v>2.7845079161898845</v>
      </c>
      <c r="U799" s="109"/>
      <c r="V799" s="65">
        <v>250</v>
      </c>
      <c r="W799" s="51"/>
      <c r="X799" s="51"/>
      <c r="Y799" s="51"/>
      <c r="Z799" s="3"/>
      <c r="AA799" s="3"/>
      <c r="AB799" s="3"/>
      <c r="AC799" s="3"/>
      <c r="AD799" s="3"/>
      <c r="AE799" s="3"/>
    </row>
    <row r="800" spans="1:31" ht="20.25" customHeight="1">
      <c r="A800" s="13">
        <v>43019</v>
      </c>
      <c r="B800" s="35" t="s">
        <v>159</v>
      </c>
      <c r="C800" s="165">
        <v>2017</v>
      </c>
      <c r="D800" s="53">
        <v>4</v>
      </c>
      <c r="E800" s="36" t="s">
        <v>223</v>
      </c>
      <c r="F800" s="36" t="s">
        <v>267</v>
      </c>
      <c r="G800" s="36"/>
      <c r="H800" s="36" t="s">
        <v>273</v>
      </c>
      <c r="I800" s="36" t="s">
        <v>274</v>
      </c>
      <c r="J800" s="36" t="s">
        <v>275</v>
      </c>
      <c r="K800" s="36" t="s">
        <v>276</v>
      </c>
      <c r="L800" s="36">
        <v>17</v>
      </c>
      <c r="M800" s="36" t="s">
        <v>247</v>
      </c>
      <c r="N800" s="36" t="s">
        <v>275</v>
      </c>
      <c r="O800" s="3">
        <v>214</v>
      </c>
      <c r="P800" s="3">
        <f t="shared" si="43"/>
        <v>7.9439252336448591</v>
      </c>
      <c r="Q800" s="36">
        <v>25.215975616701474</v>
      </c>
      <c r="R800" s="8">
        <f t="shared" si="41"/>
        <v>2.0031382499248833</v>
      </c>
      <c r="S800" s="36">
        <v>1869.4253510962228</v>
      </c>
      <c r="T800" s="40">
        <f t="shared" si="42"/>
        <v>0.10715262038948235</v>
      </c>
      <c r="U800" s="109"/>
      <c r="V800" s="36">
        <v>1000</v>
      </c>
      <c r="W800" s="3"/>
      <c r="X800" s="3"/>
      <c r="Y800" s="3"/>
      <c r="Z800" s="3"/>
      <c r="AA800" s="3"/>
      <c r="AB800" s="3"/>
      <c r="AC800" s="3"/>
      <c r="AD800" s="3"/>
      <c r="AE800" s="3"/>
    </row>
    <row r="801" spans="1:31" ht="20.25" customHeight="1">
      <c r="A801" s="13">
        <v>43019</v>
      </c>
      <c r="B801" s="35" t="s">
        <v>159</v>
      </c>
      <c r="C801" s="165">
        <v>2017</v>
      </c>
      <c r="D801" s="53">
        <v>4</v>
      </c>
      <c r="E801" s="36" t="s">
        <v>223</v>
      </c>
      <c r="F801" s="36" t="s">
        <v>267</v>
      </c>
      <c r="G801" s="3"/>
      <c r="H801" s="36" t="s">
        <v>652</v>
      </c>
      <c r="I801" s="3"/>
      <c r="J801" s="36" t="s">
        <v>649</v>
      </c>
      <c r="K801" s="36" t="s">
        <v>650</v>
      </c>
      <c r="L801" s="36">
        <v>1</v>
      </c>
      <c r="M801" s="36" t="s">
        <v>247</v>
      </c>
      <c r="N801" s="36" t="s">
        <v>651</v>
      </c>
      <c r="O801" s="3">
        <v>214</v>
      </c>
      <c r="P801" s="3">
        <f t="shared" si="43"/>
        <v>0.46728971962616817</v>
      </c>
      <c r="Q801" s="36">
        <v>25.215975616701474</v>
      </c>
      <c r="R801" s="8">
        <f t="shared" si="41"/>
        <v>0.11783166176028725</v>
      </c>
      <c r="S801" s="36">
        <v>1869.4253510962228</v>
      </c>
      <c r="T801" s="40">
        <f t="shared" si="42"/>
        <v>6.303095317028373E-3</v>
      </c>
      <c r="U801" s="109"/>
      <c r="V801" s="36">
        <v>1000</v>
      </c>
      <c r="W801" s="3"/>
      <c r="X801" s="3"/>
      <c r="Y801" s="3"/>
      <c r="Z801" s="3"/>
      <c r="AA801" s="3"/>
      <c r="AB801" s="3"/>
      <c r="AC801" s="3"/>
      <c r="AD801" s="3"/>
      <c r="AE801" s="3"/>
    </row>
    <row r="802" spans="1:31" ht="20.25" customHeight="1">
      <c r="A802" s="13">
        <v>43019</v>
      </c>
      <c r="B802" s="72" t="s">
        <v>159</v>
      </c>
      <c r="C802" s="165">
        <v>2017</v>
      </c>
      <c r="D802" s="53">
        <v>4</v>
      </c>
      <c r="E802" s="36" t="s">
        <v>223</v>
      </c>
      <c r="F802" s="36" t="s">
        <v>224</v>
      </c>
      <c r="G802" s="36" t="s">
        <v>225</v>
      </c>
      <c r="H802" s="36" t="s">
        <v>226</v>
      </c>
      <c r="I802" s="36" t="s">
        <v>239</v>
      </c>
      <c r="J802" s="36" t="s">
        <v>240</v>
      </c>
      <c r="K802" s="3"/>
      <c r="L802" s="36">
        <v>105</v>
      </c>
      <c r="M802" s="3" t="s">
        <v>229</v>
      </c>
      <c r="N802" s="36" t="s">
        <v>240</v>
      </c>
      <c r="O802" s="3">
        <v>248</v>
      </c>
      <c r="P802" s="3">
        <f t="shared" si="43"/>
        <v>42.338709677419359</v>
      </c>
      <c r="Q802" s="36">
        <v>1844.2093754795214</v>
      </c>
      <c r="R802" s="8">
        <f t="shared" si="41"/>
        <v>780.81445332802332</v>
      </c>
      <c r="S802" s="36">
        <v>1869.4253510962228</v>
      </c>
      <c r="T802" s="40">
        <f t="shared" si="42"/>
        <v>41.767618742848285</v>
      </c>
      <c r="U802" s="109"/>
      <c r="V802" s="36">
        <v>250</v>
      </c>
      <c r="W802" s="3"/>
      <c r="X802" s="3"/>
      <c r="Y802" s="3"/>
      <c r="Z802" s="3"/>
      <c r="AA802" s="3"/>
      <c r="AB802" s="3"/>
      <c r="AC802" s="3"/>
      <c r="AD802" s="3"/>
      <c r="AE802" s="3"/>
    </row>
    <row r="803" spans="1:31" ht="20.25" customHeight="1">
      <c r="A803" s="13">
        <v>43019</v>
      </c>
      <c r="B803" s="35" t="s">
        <v>159</v>
      </c>
      <c r="C803" s="165">
        <v>2017</v>
      </c>
      <c r="D803" s="53">
        <v>4</v>
      </c>
      <c r="E803" s="36" t="s">
        <v>526</v>
      </c>
      <c r="F803" s="36" t="s">
        <v>267</v>
      </c>
      <c r="G803" s="36" t="s">
        <v>278</v>
      </c>
      <c r="H803" s="36" t="s">
        <v>272</v>
      </c>
      <c r="I803" s="36" t="s">
        <v>527</v>
      </c>
      <c r="J803" s="36" t="s">
        <v>528</v>
      </c>
      <c r="K803" s="36" t="s">
        <v>529</v>
      </c>
      <c r="L803" s="36">
        <v>1</v>
      </c>
      <c r="M803" s="36" t="s">
        <v>247</v>
      </c>
      <c r="N803" s="36" t="s">
        <v>530</v>
      </c>
      <c r="O803" s="3">
        <v>214</v>
      </c>
      <c r="P803" s="3">
        <f t="shared" si="43"/>
        <v>0.46728971962616817</v>
      </c>
      <c r="Q803" s="36">
        <v>25.215975616701474</v>
      </c>
      <c r="R803" s="8">
        <f t="shared" si="41"/>
        <v>0.11783166176028725</v>
      </c>
      <c r="S803" s="36">
        <v>1869.4253510962228</v>
      </c>
      <c r="T803" s="40">
        <f t="shared" si="42"/>
        <v>6.303095317028373E-3</v>
      </c>
      <c r="U803" s="109"/>
      <c r="V803" s="36">
        <v>1000</v>
      </c>
      <c r="W803" s="3"/>
      <c r="X803" s="3"/>
      <c r="Y803" s="3"/>
      <c r="Z803" s="3"/>
      <c r="AA803" s="3"/>
      <c r="AB803" s="3"/>
      <c r="AC803" s="3"/>
      <c r="AD803" s="3"/>
      <c r="AE803" s="3"/>
    </row>
    <row r="804" spans="1:31" ht="20.25" customHeight="1">
      <c r="A804" s="13">
        <v>43019</v>
      </c>
      <c r="B804" s="35" t="s">
        <v>159</v>
      </c>
      <c r="C804" s="165">
        <v>2017</v>
      </c>
      <c r="D804" s="53">
        <v>4</v>
      </c>
      <c r="E804" s="36" t="s">
        <v>223</v>
      </c>
      <c r="F804" s="36" t="s">
        <v>224</v>
      </c>
      <c r="G804" s="36" t="s">
        <v>225</v>
      </c>
      <c r="H804" s="36" t="s">
        <v>521</v>
      </c>
      <c r="I804" s="36" t="s">
        <v>522</v>
      </c>
      <c r="J804" s="36" t="s">
        <v>523</v>
      </c>
      <c r="K804" s="36" t="s">
        <v>551</v>
      </c>
      <c r="L804" s="36">
        <v>1</v>
      </c>
      <c r="M804" s="36" t="s">
        <v>247</v>
      </c>
      <c r="N804" s="36" t="s">
        <v>524</v>
      </c>
      <c r="O804" s="3">
        <v>214</v>
      </c>
      <c r="P804" s="3">
        <f t="shared" si="43"/>
        <v>0.46728971962616817</v>
      </c>
      <c r="Q804" s="36">
        <v>25.215975616701474</v>
      </c>
      <c r="R804" s="8">
        <f t="shared" si="41"/>
        <v>0.11783166176028725</v>
      </c>
      <c r="S804" s="36">
        <v>1869.4253510962228</v>
      </c>
      <c r="T804" s="40">
        <f t="shared" si="42"/>
        <v>6.303095317028373E-3</v>
      </c>
      <c r="U804" s="109"/>
      <c r="V804" s="36">
        <v>1000</v>
      </c>
      <c r="W804" s="3"/>
      <c r="X804" s="3"/>
      <c r="Y804" s="3"/>
      <c r="Z804" s="3"/>
      <c r="AA804" s="3"/>
      <c r="AB804" s="3"/>
      <c r="AC804" s="3"/>
      <c r="AD804" s="3"/>
      <c r="AE804" s="3"/>
    </row>
    <row r="805" spans="1:31" ht="20.25" customHeight="1">
      <c r="A805" s="13">
        <v>43019</v>
      </c>
      <c r="B805" s="72" t="s">
        <v>159</v>
      </c>
      <c r="C805" s="165">
        <v>2017</v>
      </c>
      <c r="D805" s="53">
        <v>4</v>
      </c>
      <c r="E805" s="65" t="s">
        <v>223</v>
      </c>
      <c r="F805" s="65" t="s">
        <v>267</v>
      </c>
      <c r="G805" s="65" t="s">
        <v>278</v>
      </c>
      <c r="H805" s="65" t="s">
        <v>279</v>
      </c>
      <c r="I805" s="65" t="s">
        <v>280</v>
      </c>
      <c r="J805" s="36" t="s">
        <v>284</v>
      </c>
      <c r="K805" s="36" t="s">
        <v>285</v>
      </c>
      <c r="L805" s="36">
        <v>193</v>
      </c>
      <c r="M805" s="36" t="s">
        <v>247</v>
      </c>
      <c r="N805" s="36" t="s">
        <v>24</v>
      </c>
      <c r="O805" s="3">
        <v>214</v>
      </c>
      <c r="P805" s="3">
        <f t="shared" si="43"/>
        <v>90.186915887850475</v>
      </c>
      <c r="Q805" s="36">
        <v>25.215975616701474</v>
      </c>
      <c r="R805" s="8">
        <f t="shared" si="41"/>
        <v>22.741510719735444</v>
      </c>
      <c r="S805" s="36">
        <v>1869.4253510962228</v>
      </c>
      <c r="T805" s="40">
        <f t="shared" si="42"/>
        <v>1.2164973961864765</v>
      </c>
      <c r="U805" s="109"/>
      <c r="V805" s="36">
        <v>1000</v>
      </c>
      <c r="W805" s="3"/>
      <c r="X805" s="3"/>
      <c r="Y805" s="3"/>
      <c r="Z805" s="3"/>
      <c r="AA805" s="3"/>
      <c r="AB805" s="3"/>
      <c r="AC805" s="3"/>
      <c r="AD805" s="3"/>
      <c r="AE805" s="3"/>
    </row>
    <row r="806" spans="1:31" ht="20.25" customHeight="1">
      <c r="A806" s="13">
        <v>43019</v>
      </c>
      <c r="B806" s="72" t="s">
        <v>159</v>
      </c>
      <c r="C806" s="165">
        <v>2017</v>
      </c>
      <c r="D806" s="53">
        <v>4</v>
      </c>
      <c r="E806" s="36" t="s">
        <v>323</v>
      </c>
      <c r="F806" s="36" t="s">
        <v>489</v>
      </c>
      <c r="G806" s="36"/>
      <c r="H806" s="36" t="s">
        <v>490</v>
      </c>
      <c r="I806" s="36" t="s">
        <v>491</v>
      </c>
      <c r="J806" s="36" t="s">
        <v>371</v>
      </c>
      <c r="K806" s="3" t="s">
        <v>372</v>
      </c>
      <c r="L806" s="3">
        <v>14</v>
      </c>
      <c r="M806" s="3" t="s">
        <v>247</v>
      </c>
      <c r="N806" s="3" t="s">
        <v>371</v>
      </c>
      <c r="O806" s="3">
        <v>248</v>
      </c>
      <c r="P806" s="3">
        <f t="shared" si="43"/>
        <v>5.6451612903225801</v>
      </c>
      <c r="Q806" s="36">
        <v>1844.2093754795214</v>
      </c>
      <c r="R806" s="8">
        <f t="shared" si="41"/>
        <v>104.10859377706974</v>
      </c>
      <c r="S806" s="36">
        <v>1869.4253510962228</v>
      </c>
      <c r="T806" s="40">
        <f t="shared" si="42"/>
        <v>5.5690158323797689</v>
      </c>
      <c r="U806" s="109"/>
      <c r="V806" s="36">
        <v>250</v>
      </c>
      <c r="W806" s="3"/>
      <c r="X806" s="3"/>
      <c r="Y806" s="3"/>
      <c r="Z806" s="3"/>
      <c r="AA806" s="3"/>
      <c r="AB806" s="3"/>
      <c r="AC806" s="3"/>
      <c r="AD806" s="3"/>
      <c r="AE806" s="3"/>
    </row>
    <row r="807" spans="1:31" ht="20.25" customHeight="1">
      <c r="A807" s="13">
        <v>43019</v>
      </c>
      <c r="B807" s="35" t="s">
        <v>159</v>
      </c>
      <c r="C807" s="165">
        <v>2017</v>
      </c>
      <c r="D807" s="53">
        <v>4</v>
      </c>
      <c r="E807" s="3" t="s">
        <v>223</v>
      </c>
      <c r="F807" s="3" t="s">
        <v>224</v>
      </c>
      <c r="G807" s="3" t="s">
        <v>225</v>
      </c>
      <c r="H807" s="3" t="s">
        <v>248</v>
      </c>
      <c r="I807" s="3" t="s">
        <v>249</v>
      </c>
      <c r="J807" s="3" t="s">
        <v>250</v>
      </c>
      <c r="K807" s="3"/>
      <c r="L807" s="3">
        <v>1</v>
      </c>
      <c r="M807" s="3" t="s">
        <v>229</v>
      </c>
      <c r="N807" s="3" t="s">
        <v>250</v>
      </c>
      <c r="O807" s="3">
        <v>248</v>
      </c>
      <c r="P807" s="3">
        <f t="shared" si="43"/>
        <v>0.40322580645161288</v>
      </c>
      <c r="Q807" s="36">
        <v>1844.2093754795214</v>
      </c>
      <c r="R807" s="8">
        <f t="shared" si="41"/>
        <v>7.4363281269335539</v>
      </c>
      <c r="S807" s="36">
        <v>1869.4253510962228</v>
      </c>
      <c r="T807" s="40">
        <f t="shared" si="42"/>
        <v>0.39778684516998364</v>
      </c>
      <c r="U807" s="109"/>
      <c r="V807" s="36">
        <v>250</v>
      </c>
      <c r="W807" s="3"/>
      <c r="X807" s="3"/>
      <c r="Y807" s="3"/>
      <c r="Z807" s="3"/>
      <c r="AA807" s="3"/>
      <c r="AB807" s="3"/>
      <c r="AC807" s="3"/>
      <c r="AD807" s="3"/>
      <c r="AE807" s="3"/>
    </row>
    <row r="808" spans="1:31" ht="20.25" customHeight="1">
      <c r="A808" s="13">
        <v>43019</v>
      </c>
      <c r="B808" s="35" t="s">
        <v>159</v>
      </c>
      <c r="C808" s="165">
        <v>2017</v>
      </c>
      <c r="D808" s="53">
        <v>4</v>
      </c>
      <c r="E808" s="36" t="s">
        <v>216</v>
      </c>
      <c r="F808" s="36" t="s">
        <v>217</v>
      </c>
      <c r="G808" s="36"/>
      <c r="H808" s="36"/>
      <c r="I808" s="36"/>
      <c r="J808" s="36"/>
      <c r="K808" s="36"/>
      <c r="L808" s="36">
        <v>3</v>
      </c>
      <c r="M808" s="36" t="s">
        <v>221</v>
      </c>
      <c r="N808" s="36" t="s">
        <v>219</v>
      </c>
      <c r="O808" s="3">
        <v>248</v>
      </c>
      <c r="P808" s="3">
        <f t="shared" si="43"/>
        <v>1.2096774193548387</v>
      </c>
      <c r="Q808" s="36">
        <v>1844.2093754795214</v>
      </c>
      <c r="R808" s="8">
        <f t="shared" si="41"/>
        <v>22.308984380800663</v>
      </c>
      <c r="S808" s="36">
        <v>1869.4253510962228</v>
      </c>
      <c r="T808" s="40">
        <f t="shared" si="42"/>
        <v>1.1933605355099508</v>
      </c>
      <c r="U808" s="109"/>
      <c r="V808" s="36">
        <v>250</v>
      </c>
      <c r="W808" s="3"/>
      <c r="X808" s="3"/>
      <c r="Y808" s="3"/>
      <c r="Z808" s="3"/>
      <c r="AA808" s="3"/>
      <c r="AB808" s="3"/>
      <c r="AC808" s="3"/>
      <c r="AD808" s="3"/>
      <c r="AE808" s="3"/>
    </row>
    <row r="809" spans="1:31" ht="20.25" customHeight="1">
      <c r="A809" s="13">
        <v>43019</v>
      </c>
      <c r="B809" s="35" t="s">
        <v>159</v>
      </c>
      <c r="C809" s="165">
        <v>2017</v>
      </c>
      <c r="D809" s="53">
        <v>4</v>
      </c>
      <c r="E809" s="36" t="s">
        <v>223</v>
      </c>
      <c r="F809" s="36" t="s">
        <v>224</v>
      </c>
      <c r="G809" s="36" t="s">
        <v>225</v>
      </c>
      <c r="H809" s="36" t="s">
        <v>226</v>
      </c>
      <c r="I809" s="36" t="s">
        <v>253</v>
      </c>
      <c r="J809" s="36" t="s">
        <v>256</v>
      </c>
      <c r="K809" s="3"/>
      <c r="L809" s="36">
        <v>4</v>
      </c>
      <c r="M809" s="3" t="s">
        <v>229</v>
      </c>
      <c r="N809" s="36" t="s">
        <v>256</v>
      </c>
      <c r="O809" s="3">
        <v>248</v>
      </c>
      <c r="P809" s="3">
        <f t="shared" si="43"/>
        <v>1.6129032258064515</v>
      </c>
      <c r="Q809" s="36">
        <v>1844.2093754795214</v>
      </c>
      <c r="R809" s="8">
        <f t="shared" si="41"/>
        <v>29.745312507734216</v>
      </c>
      <c r="S809" s="36">
        <v>1869.4253510962228</v>
      </c>
      <c r="T809" s="40">
        <f t="shared" si="42"/>
        <v>1.5911473806799346</v>
      </c>
      <c r="U809" s="109"/>
      <c r="V809" s="36">
        <v>250</v>
      </c>
      <c r="W809" s="3"/>
      <c r="X809" s="3"/>
      <c r="Y809" s="3"/>
      <c r="Z809" s="3"/>
      <c r="AA809" s="3"/>
      <c r="AB809" s="3"/>
      <c r="AC809" s="3"/>
      <c r="AD809" s="3"/>
      <c r="AE809" s="3"/>
    </row>
    <row r="810" spans="1:31" ht="20.25" customHeight="1">
      <c r="A810" s="13">
        <v>43019</v>
      </c>
      <c r="B810" s="35" t="s">
        <v>159</v>
      </c>
      <c r="C810" s="165">
        <v>2017</v>
      </c>
      <c r="D810" s="53">
        <v>4</v>
      </c>
      <c r="E810" s="65" t="s">
        <v>223</v>
      </c>
      <c r="F810" s="65" t="s">
        <v>224</v>
      </c>
      <c r="G810" s="65" t="s">
        <v>225</v>
      </c>
      <c r="H810" s="65" t="s">
        <v>226</v>
      </c>
      <c r="I810" s="146" t="s">
        <v>487</v>
      </c>
      <c r="J810" s="36" t="s">
        <v>486</v>
      </c>
      <c r="K810" s="3"/>
      <c r="L810" s="3">
        <v>39</v>
      </c>
      <c r="M810" s="3" t="s">
        <v>229</v>
      </c>
      <c r="N810" s="3" t="s">
        <v>488</v>
      </c>
      <c r="O810" s="3">
        <v>248</v>
      </c>
      <c r="P810" s="3">
        <f t="shared" si="43"/>
        <v>15.725806451612904</v>
      </c>
      <c r="Q810" s="36">
        <v>1844.2093754795214</v>
      </c>
      <c r="R810" s="8">
        <f t="shared" si="41"/>
        <v>290.0167969504086</v>
      </c>
      <c r="S810" s="36">
        <v>1869.4253510962228</v>
      </c>
      <c r="T810" s="40">
        <f t="shared" si="42"/>
        <v>15.513686961629361</v>
      </c>
      <c r="U810" s="109"/>
      <c r="V810" s="36">
        <v>250</v>
      </c>
      <c r="W810" s="3"/>
      <c r="X810" s="3"/>
      <c r="Y810" s="3"/>
      <c r="Z810" s="3"/>
      <c r="AA810" s="3"/>
      <c r="AB810" s="3"/>
      <c r="AC810" s="3"/>
      <c r="AD810" s="3"/>
      <c r="AE810" s="3"/>
    </row>
    <row r="811" spans="1:31" ht="20.25" customHeight="1">
      <c r="A811" s="13">
        <v>43019</v>
      </c>
      <c r="B811" s="35" t="s">
        <v>159</v>
      </c>
      <c r="C811" s="165">
        <v>2017</v>
      </c>
      <c r="D811" s="53">
        <v>4</v>
      </c>
      <c r="E811" s="65" t="s">
        <v>223</v>
      </c>
      <c r="F811" s="65" t="s">
        <v>224</v>
      </c>
      <c r="G811" s="65" t="s">
        <v>225</v>
      </c>
      <c r="H811" s="65" t="s">
        <v>226</v>
      </c>
      <c r="I811" s="65" t="s">
        <v>261</v>
      </c>
      <c r="J811" s="36" t="s">
        <v>262</v>
      </c>
      <c r="K811" s="36"/>
      <c r="L811" s="36">
        <v>9</v>
      </c>
      <c r="M811" s="3" t="s">
        <v>229</v>
      </c>
      <c r="N811" s="36" t="s">
        <v>264</v>
      </c>
      <c r="O811" s="3">
        <v>248</v>
      </c>
      <c r="P811" s="3">
        <f t="shared" si="43"/>
        <v>3.6290322580645165</v>
      </c>
      <c r="Q811" s="36">
        <v>1844.2093754795214</v>
      </c>
      <c r="R811" s="8">
        <f t="shared" si="41"/>
        <v>66.926953142401999</v>
      </c>
      <c r="S811" s="36">
        <v>1869.4253510962228</v>
      </c>
      <c r="T811" s="40">
        <f t="shared" si="42"/>
        <v>3.5800816065298529</v>
      </c>
      <c r="U811" s="109"/>
      <c r="V811" s="36">
        <v>250</v>
      </c>
      <c r="W811" s="3"/>
      <c r="X811" s="3"/>
      <c r="Y811" s="3"/>
      <c r="Z811" s="3"/>
      <c r="AA811" s="3"/>
      <c r="AB811" s="3"/>
      <c r="AC811" s="3"/>
      <c r="AD811" s="3"/>
      <c r="AE811" s="3"/>
    </row>
    <row r="812" spans="1:31" ht="20.25" customHeight="1">
      <c r="A812" s="35">
        <v>43019</v>
      </c>
      <c r="B812" s="35" t="s">
        <v>159</v>
      </c>
      <c r="C812" s="165">
        <v>2017</v>
      </c>
      <c r="D812" s="53">
        <v>2</v>
      </c>
      <c r="E812" s="36" t="s">
        <v>223</v>
      </c>
      <c r="F812" s="36" t="s">
        <v>224</v>
      </c>
      <c r="G812" s="36" t="s">
        <v>225</v>
      </c>
      <c r="H812" s="36" t="s">
        <v>226</v>
      </c>
      <c r="I812" s="36" t="s">
        <v>227</v>
      </c>
      <c r="J812" s="36" t="s">
        <v>228</v>
      </c>
      <c r="K812" s="36"/>
      <c r="L812" s="36">
        <v>104</v>
      </c>
      <c r="M812" s="36" t="s">
        <v>229</v>
      </c>
      <c r="N812" s="36" t="s">
        <v>228</v>
      </c>
      <c r="O812" s="36">
        <v>150</v>
      </c>
      <c r="P812" s="3">
        <f t="shared" si="43"/>
        <v>69.333333333333343</v>
      </c>
      <c r="Q812" s="36">
        <v>2064.6699115481451</v>
      </c>
      <c r="R812" s="8">
        <f t="shared" si="41"/>
        <v>1431.5044720067142</v>
      </c>
      <c r="S812" s="36">
        <v>2086.9554571104859</v>
      </c>
      <c r="T812" s="40">
        <f t="shared" si="42"/>
        <v>68.592957608626563</v>
      </c>
      <c r="U812" s="53"/>
      <c r="V812" s="36">
        <v>250</v>
      </c>
      <c r="W812" s="36"/>
      <c r="X812" s="36"/>
      <c r="Y812" s="36"/>
      <c r="Z812" s="3"/>
      <c r="AA812" s="3"/>
      <c r="AB812" s="3"/>
      <c r="AC812" s="3"/>
      <c r="AD812" s="3"/>
      <c r="AE812" s="3"/>
    </row>
    <row r="813" spans="1:31" ht="20.25" customHeight="1">
      <c r="A813" s="35">
        <v>43019</v>
      </c>
      <c r="B813" s="35" t="s">
        <v>159</v>
      </c>
      <c r="C813" s="165">
        <v>2017</v>
      </c>
      <c r="D813" s="53">
        <v>2</v>
      </c>
      <c r="E813" s="36" t="s">
        <v>223</v>
      </c>
      <c r="F813" s="36" t="s">
        <v>317</v>
      </c>
      <c r="G813" s="36" t="s">
        <v>314</v>
      </c>
      <c r="H813" s="36" t="s">
        <v>346</v>
      </c>
      <c r="I813" s="36" t="s">
        <v>315</v>
      </c>
      <c r="J813" s="36" t="s">
        <v>347</v>
      </c>
      <c r="K813" s="36"/>
      <c r="L813" s="36">
        <v>1</v>
      </c>
      <c r="M813" s="36" t="s">
        <v>229</v>
      </c>
      <c r="N813" s="36" t="s">
        <v>345</v>
      </c>
      <c r="O813" s="36">
        <v>150</v>
      </c>
      <c r="P813" s="3">
        <f t="shared" si="43"/>
        <v>0.66666666666666674</v>
      </c>
      <c r="Q813" s="36">
        <v>2064.6699115481451</v>
      </c>
      <c r="R813" s="8">
        <f t="shared" si="41"/>
        <v>13.764466076987635</v>
      </c>
      <c r="S813" s="36">
        <v>2086.9554571104859</v>
      </c>
      <c r="T813" s="40">
        <f t="shared" si="42"/>
        <v>0.65954766931371678</v>
      </c>
      <c r="U813" s="53"/>
      <c r="V813" s="36">
        <v>250</v>
      </c>
      <c r="W813" s="36"/>
      <c r="X813" s="36"/>
      <c r="Y813" s="36"/>
      <c r="Z813" s="3"/>
      <c r="AA813" s="3"/>
      <c r="AB813" s="3"/>
      <c r="AC813" s="3"/>
      <c r="AD813" s="3"/>
      <c r="AE813" s="3"/>
    </row>
    <row r="814" spans="1:31" ht="20.25" customHeight="1">
      <c r="A814" s="35">
        <v>43019</v>
      </c>
      <c r="B814" s="35" t="s">
        <v>159</v>
      </c>
      <c r="C814" s="165">
        <v>2017</v>
      </c>
      <c r="D814" s="53">
        <v>2</v>
      </c>
      <c r="E814" s="36" t="s">
        <v>223</v>
      </c>
      <c r="F814" s="36" t="s">
        <v>267</v>
      </c>
      <c r="G814" s="36"/>
      <c r="H814" s="36" t="s">
        <v>273</v>
      </c>
      <c r="I814" s="36"/>
      <c r="J814" s="36"/>
      <c r="K814" s="36"/>
      <c r="L814" s="36">
        <v>1</v>
      </c>
      <c r="M814" s="36" t="s">
        <v>508</v>
      </c>
      <c r="N814" s="36" t="s">
        <v>494</v>
      </c>
      <c r="O814" s="36">
        <v>317</v>
      </c>
      <c r="P814" s="3">
        <f t="shared" si="43"/>
        <v>0.31545741324921134</v>
      </c>
      <c r="Q814" s="36">
        <v>22.285545562340928</v>
      </c>
      <c r="R814" s="8">
        <f t="shared" si="41"/>
        <v>7.0301405559435107E-2</v>
      </c>
      <c r="S814" s="36">
        <v>2086.9554571104859</v>
      </c>
      <c r="T814" s="40">
        <f t="shared" si="42"/>
        <v>3.3686107348343502E-3</v>
      </c>
      <c r="U814" s="53"/>
      <c r="V814" s="36">
        <v>1000</v>
      </c>
      <c r="W814" s="36"/>
      <c r="X814" s="36"/>
      <c r="Y814" s="36"/>
      <c r="Z814" s="3"/>
      <c r="AA814" s="3"/>
      <c r="AB814" s="3"/>
      <c r="AC814" s="3"/>
      <c r="AD814" s="3"/>
      <c r="AE814" s="3"/>
    </row>
    <row r="815" spans="1:31" ht="20.25" customHeight="1">
      <c r="A815" s="35">
        <v>43019</v>
      </c>
      <c r="B815" s="35" t="s">
        <v>159</v>
      </c>
      <c r="C815" s="165">
        <v>2017</v>
      </c>
      <c r="D815" s="53">
        <v>2</v>
      </c>
      <c r="E815" s="36" t="s">
        <v>223</v>
      </c>
      <c r="F815" s="36" t="s">
        <v>224</v>
      </c>
      <c r="G815" s="36" t="s">
        <v>225</v>
      </c>
      <c r="H815" s="36" t="s">
        <v>226</v>
      </c>
      <c r="I815" s="36" t="s">
        <v>239</v>
      </c>
      <c r="J815" s="36" t="s">
        <v>240</v>
      </c>
      <c r="K815" s="36"/>
      <c r="L815" s="36">
        <v>45</v>
      </c>
      <c r="M815" s="36" t="s">
        <v>229</v>
      </c>
      <c r="N815" s="36" t="s">
        <v>240</v>
      </c>
      <c r="O815" s="36">
        <v>150</v>
      </c>
      <c r="P815" s="3">
        <f t="shared" si="43"/>
        <v>30</v>
      </c>
      <c r="Q815" s="36">
        <v>2064.6699115481451</v>
      </c>
      <c r="R815" s="8">
        <f t="shared" si="41"/>
        <v>619.4009734644435</v>
      </c>
      <c r="S815" s="36">
        <v>2086.9554571104859</v>
      </c>
      <c r="T815" s="40">
        <f t="shared" si="42"/>
        <v>29.679645119117254</v>
      </c>
      <c r="U815" s="53"/>
      <c r="V815" s="36">
        <v>250</v>
      </c>
      <c r="W815" s="36"/>
      <c r="X815" s="36"/>
      <c r="Y815" s="36"/>
      <c r="Z815" s="3"/>
      <c r="AA815" s="3"/>
      <c r="AB815" s="3"/>
      <c r="AC815" s="3"/>
      <c r="AD815" s="3"/>
      <c r="AE815" s="3"/>
    </row>
    <row r="816" spans="1:31" ht="20.25" customHeight="1">
      <c r="A816" s="35">
        <v>43019</v>
      </c>
      <c r="B816" s="35" t="s">
        <v>159</v>
      </c>
      <c r="C816" s="165">
        <v>2017</v>
      </c>
      <c r="D816" s="53">
        <v>2</v>
      </c>
      <c r="E816" s="36" t="s">
        <v>223</v>
      </c>
      <c r="F816" s="36" t="s">
        <v>224</v>
      </c>
      <c r="G816" s="36" t="s">
        <v>225</v>
      </c>
      <c r="H816" s="36" t="s">
        <v>521</v>
      </c>
      <c r="I816" s="36" t="s">
        <v>522</v>
      </c>
      <c r="J816" s="36" t="s">
        <v>523</v>
      </c>
      <c r="K816" s="36" t="s">
        <v>551</v>
      </c>
      <c r="L816" s="36">
        <v>1</v>
      </c>
      <c r="M816" s="36" t="s">
        <v>247</v>
      </c>
      <c r="N816" s="36" t="s">
        <v>524</v>
      </c>
      <c r="O816" s="36">
        <v>317</v>
      </c>
      <c r="P816" s="3">
        <f t="shared" si="43"/>
        <v>0.31545741324921134</v>
      </c>
      <c r="Q816" s="36">
        <v>22.285545562340928</v>
      </c>
      <c r="R816" s="8">
        <f t="shared" si="41"/>
        <v>7.0301405559435107E-2</v>
      </c>
      <c r="S816" s="36">
        <v>2086.9554571104859</v>
      </c>
      <c r="T816" s="40">
        <f t="shared" si="42"/>
        <v>3.3686107348343502E-3</v>
      </c>
      <c r="U816" s="53"/>
      <c r="V816" s="36">
        <v>1000</v>
      </c>
      <c r="W816" s="36"/>
      <c r="X816" s="36"/>
      <c r="Y816" s="36"/>
      <c r="Z816" s="3"/>
      <c r="AA816" s="3"/>
      <c r="AB816" s="3"/>
      <c r="AC816" s="3"/>
      <c r="AD816" s="3"/>
      <c r="AE816" s="3"/>
    </row>
    <row r="817" spans="1:31" ht="20.25" customHeight="1">
      <c r="A817" s="35">
        <v>43019</v>
      </c>
      <c r="B817" s="35" t="s">
        <v>159</v>
      </c>
      <c r="C817" s="165">
        <v>2017</v>
      </c>
      <c r="D817" s="53">
        <v>2</v>
      </c>
      <c r="E817" s="65" t="s">
        <v>223</v>
      </c>
      <c r="F817" s="65" t="s">
        <v>267</v>
      </c>
      <c r="G817" s="65" t="s">
        <v>278</v>
      </c>
      <c r="H817" s="65" t="s">
        <v>279</v>
      </c>
      <c r="I817" s="65" t="s">
        <v>280</v>
      </c>
      <c r="J817" s="36" t="s">
        <v>284</v>
      </c>
      <c r="K817" s="36" t="s">
        <v>285</v>
      </c>
      <c r="L817" s="36">
        <v>299</v>
      </c>
      <c r="M817" s="36" t="s">
        <v>247</v>
      </c>
      <c r="N817" s="36" t="s">
        <v>24</v>
      </c>
      <c r="O817" s="36">
        <v>317</v>
      </c>
      <c r="P817" s="3">
        <f t="shared" si="43"/>
        <v>94.321766561514195</v>
      </c>
      <c r="Q817" s="36">
        <v>22.285545562340928</v>
      </c>
      <c r="R817" s="8">
        <f t="shared" si="41"/>
        <v>21.020120262271096</v>
      </c>
      <c r="S817" s="36">
        <v>2086.9554571104859</v>
      </c>
      <c r="T817" s="40">
        <f t="shared" si="42"/>
        <v>1.0072146097154706</v>
      </c>
      <c r="U817" s="53"/>
      <c r="V817" s="36">
        <v>1000</v>
      </c>
      <c r="W817" s="36"/>
      <c r="X817" s="36"/>
      <c r="Y817" s="36"/>
      <c r="Z817" s="3"/>
      <c r="AA817" s="3"/>
      <c r="AB817" s="3"/>
      <c r="AC817" s="3"/>
      <c r="AD817" s="3"/>
      <c r="AE817" s="3"/>
    </row>
    <row r="818" spans="1:31" ht="20.25" customHeight="1">
      <c r="A818" s="35">
        <v>43019</v>
      </c>
      <c r="B818" s="35" t="s">
        <v>159</v>
      </c>
      <c r="C818" s="165">
        <v>2017</v>
      </c>
      <c r="D818" s="53">
        <v>2</v>
      </c>
      <c r="E818" s="36" t="s">
        <v>328</v>
      </c>
      <c r="F818" s="36" t="s">
        <v>706</v>
      </c>
      <c r="G818" s="36"/>
      <c r="H818" s="36"/>
      <c r="I818" s="36"/>
      <c r="J818" s="36"/>
      <c r="K818" s="36"/>
      <c r="L818" s="36">
        <v>16</v>
      </c>
      <c r="M818" s="36" t="s">
        <v>328</v>
      </c>
      <c r="N818" s="36" t="s">
        <v>328</v>
      </c>
      <c r="O818" s="36">
        <v>317</v>
      </c>
      <c r="P818" s="3">
        <f t="shared" si="43"/>
        <v>5.0473186119873814</v>
      </c>
      <c r="Q818" s="36">
        <v>22.285545562340928</v>
      </c>
      <c r="R818" s="8">
        <f t="shared" si="41"/>
        <v>1.1248224889509617</v>
      </c>
      <c r="S818" s="36">
        <v>2086.9554571104859</v>
      </c>
      <c r="T818" s="40">
        <f t="shared" si="42"/>
        <v>5.3897771757349604E-2</v>
      </c>
      <c r="U818" s="53"/>
      <c r="V818" s="36">
        <v>1000</v>
      </c>
      <c r="W818" s="36"/>
      <c r="X818" s="36"/>
      <c r="Y818" s="36"/>
      <c r="Z818" s="3"/>
      <c r="AA818" s="3"/>
      <c r="AB818" s="3"/>
      <c r="AC818" s="3"/>
      <c r="AD818" s="3"/>
      <c r="AE818" s="3"/>
    </row>
    <row r="819" spans="1:31" ht="20.25" customHeight="1">
      <c r="A819" s="3"/>
      <c r="B819" s="36"/>
      <c r="C819" s="163"/>
      <c r="D819" s="3"/>
      <c r="E819" s="3"/>
      <c r="F819" s="3"/>
      <c r="G819" s="3"/>
      <c r="H819" s="3"/>
      <c r="I819" s="3"/>
      <c r="J819" s="3"/>
      <c r="K819" s="3"/>
      <c r="L819" s="3"/>
      <c r="M819" s="3"/>
      <c r="N819" s="3"/>
      <c r="O819" s="3"/>
      <c r="P819" s="3"/>
      <c r="Q819" s="36"/>
      <c r="R819" s="8"/>
      <c r="S819" s="36"/>
      <c r="T819" s="40"/>
      <c r="U819" s="109"/>
      <c r="V819" s="3"/>
      <c r="W819" s="3"/>
      <c r="X819" s="3"/>
      <c r="Y819" s="3"/>
      <c r="Z819" s="3"/>
      <c r="AA819" s="3"/>
      <c r="AB819" s="3"/>
      <c r="AC819" s="3"/>
      <c r="AD819" s="3"/>
      <c r="AE819" s="3"/>
    </row>
    <row r="820" spans="1:31" ht="20.25" customHeight="1">
      <c r="A820" s="3"/>
      <c r="B820" s="36"/>
      <c r="C820" s="163"/>
      <c r="D820" s="3"/>
      <c r="E820" s="3"/>
      <c r="F820" s="3"/>
      <c r="G820" s="3"/>
      <c r="H820" s="3"/>
      <c r="I820" s="3"/>
      <c r="J820" s="3"/>
      <c r="K820" s="3"/>
      <c r="L820" s="3"/>
      <c r="M820" s="3"/>
      <c r="N820" s="3"/>
      <c r="O820" s="3"/>
      <c r="P820" s="3"/>
      <c r="Q820" s="36"/>
      <c r="R820" s="8"/>
      <c r="S820" s="36"/>
      <c r="T820" s="40"/>
      <c r="U820" s="109"/>
      <c r="V820" s="3"/>
      <c r="W820" s="3"/>
      <c r="X820" s="3"/>
      <c r="Y820" s="3"/>
      <c r="Z820" s="3"/>
      <c r="AA820" s="3"/>
      <c r="AB820" s="3"/>
      <c r="AC820" s="3"/>
      <c r="AD820" s="3"/>
      <c r="AE820" s="3"/>
    </row>
    <row r="821" spans="1:31" ht="20.25" customHeight="1">
      <c r="A821" s="3"/>
      <c r="B821" s="36"/>
      <c r="C821" s="163"/>
      <c r="D821" s="3"/>
      <c r="E821" s="3"/>
      <c r="F821" s="3"/>
      <c r="G821" s="3"/>
      <c r="H821" s="3"/>
      <c r="I821" s="3"/>
      <c r="J821" s="3"/>
      <c r="K821" s="3"/>
      <c r="L821" s="3"/>
      <c r="M821" s="3"/>
      <c r="N821" s="3"/>
      <c r="O821" s="3"/>
      <c r="P821" s="3"/>
      <c r="Q821" s="36"/>
      <c r="R821" s="8"/>
      <c r="S821" s="36"/>
      <c r="T821" s="40"/>
      <c r="U821" s="109"/>
      <c r="V821" s="3"/>
      <c r="W821" s="3"/>
      <c r="X821" s="3"/>
      <c r="Y821" s="3"/>
      <c r="Z821" s="3"/>
      <c r="AA821" s="3"/>
      <c r="AB821" s="3"/>
      <c r="AC821" s="3"/>
      <c r="AD821" s="3"/>
      <c r="AE821" s="3"/>
    </row>
    <row r="822" spans="1:31" ht="20.25" customHeight="1">
      <c r="A822" s="3"/>
      <c r="B822" s="36"/>
      <c r="C822" s="163"/>
      <c r="D822" s="3"/>
      <c r="E822" s="3"/>
      <c r="F822" s="3"/>
      <c r="G822" s="3"/>
      <c r="H822" s="3"/>
      <c r="I822" s="3"/>
      <c r="J822" s="3"/>
      <c r="K822" s="3"/>
      <c r="L822" s="3"/>
      <c r="M822" s="3"/>
      <c r="N822" s="3"/>
      <c r="O822" s="3"/>
      <c r="P822" s="3"/>
      <c r="Q822" s="36"/>
      <c r="R822" s="8"/>
      <c r="S822" s="36"/>
      <c r="T822" s="40"/>
      <c r="U822" s="109"/>
      <c r="V822" s="3"/>
      <c r="W822" s="3"/>
      <c r="X822" s="3"/>
      <c r="Y822" s="3"/>
      <c r="Z822" s="3"/>
      <c r="AA822" s="3"/>
      <c r="AB822" s="3"/>
      <c r="AC822" s="3"/>
      <c r="AD822" s="3"/>
      <c r="AE822" s="3"/>
    </row>
    <row r="823" spans="1:31" ht="20.25" customHeight="1">
      <c r="A823" s="3"/>
      <c r="B823" s="36"/>
      <c r="C823" s="163"/>
      <c r="D823" s="3"/>
      <c r="E823" s="3"/>
      <c r="F823" s="3"/>
      <c r="G823" s="3"/>
      <c r="H823" s="3"/>
      <c r="I823" s="3"/>
      <c r="J823" s="3"/>
      <c r="K823" s="3"/>
      <c r="L823" s="3"/>
      <c r="M823" s="3"/>
      <c r="N823" s="3"/>
      <c r="O823" s="3"/>
      <c r="P823" s="3"/>
      <c r="Q823" s="36"/>
      <c r="R823" s="8"/>
      <c r="S823" s="36"/>
      <c r="T823" s="40"/>
      <c r="U823" s="109"/>
      <c r="V823" s="3"/>
      <c r="W823" s="3"/>
      <c r="X823" s="3"/>
      <c r="Y823" s="3"/>
      <c r="Z823" s="3"/>
      <c r="AA823" s="3"/>
      <c r="AB823" s="3"/>
      <c r="AC823" s="3"/>
      <c r="AD823" s="3"/>
      <c r="AE823" s="3"/>
    </row>
    <row r="824" spans="1:31" ht="20.25" customHeight="1">
      <c r="A824" s="3"/>
      <c r="B824" s="36"/>
      <c r="C824" s="163"/>
      <c r="D824" s="3"/>
      <c r="E824" s="3"/>
      <c r="F824" s="3"/>
      <c r="G824" s="3"/>
      <c r="H824" s="3"/>
      <c r="I824" s="3"/>
      <c r="J824" s="3"/>
      <c r="K824" s="3"/>
      <c r="L824" s="3"/>
      <c r="M824" s="3"/>
      <c r="N824" s="3"/>
      <c r="O824" s="3"/>
      <c r="P824" s="3"/>
      <c r="Q824" s="36"/>
      <c r="R824" s="8"/>
      <c r="S824" s="36"/>
      <c r="T824" s="40"/>
      <c r="U824" s="109"/>
      <c r="V824" s="3"/>
      <c r="W824" s="3"/>
      <c r="X824" s="3"/>
      <c r="Y824" s="3"/>
      <c r="Z824" s="3"/>
      <c r="AA824" s="3"/>
      <c r="AB824" s="3"/>
      <c r="AC824" s="3"/>
      <c r="AD824" s="3"/>
      <c r="AE824" s="3"/>
    </row>
    <row r="825" spans="1:31" ht="20.25" customHeight="1">
      <c r="A825" s="3"/>
      <c r="B825" s="36"/>
      <c r="C825" s="163"/>
      <c r="D825" s="3"/>
      <c r="E825" s="3"/>
      <c r="F825" s="3"/>
      <c r="G825" s="3"/>
      <c r="H825" s="3"/>
      <c r="I825" s="3"/>
      <c r="J825" s="3"/>
      <c r="K825" s="3"/>
      <c r="L825" s="3"/>
      <c r="M825" s="3"/>
      <c r="N825" s="3"/>
      <c r="O825" s="3"/>
      <c r="P825" s="3"/>
      <c r="Q825" s="36"/>
      <c r="R825" s="8"/>
      <c r="S825" s="36"/>
      <c r="T825" s="40"/>
      <c r="U825" s="109"/>
      <c r="V825" s="3"/>
      <c r="W825" s="3"/>
      <c r="X825" s="3"/>
      <c r="Y825" s="3"/>
      <c r="Z825" s="3"/>
      <c r="AA825" s="3"/>
      <c r="AB825" s="3"/>
      <c r="AC825" s="3"/>
      <c r="AD825" s="3"/>
      <c r="AE825" s="3"/>
    </row>
    <row r="826" spans="1:31" ht="20.25" customHeight="1">
      <c r="A826" s="3"/>
      <c r="B826" s="36"/>
      <c r="C826" s="163"/>
      <c r="D826" s="3"/>
      <c r="E826" s="3"/>
      <c r="F826" s="3"/>
      <c r="G826" s="3"/>
      <c r="H826" s="3"/>
      <c r="I826" s="3"/>
      <c r="J826" s="3"/>
      <c r="K826" s="3"/>
      <c r="L826" s="3"/>
      <c r="M826" s="3"/>
      <c r="N826" s="3"/>
      <c r="O826" s="3"/>
      <c r="P826" s="3"/>
      <c r="Q826" s="36"/>
      <c r="R826" s="8"/>
      <c r="S826" s="36"/>
      <c r="T826" s="40"/>
      <c r="U826" s="109"/>
      <c r="V826" s="3"/>
      <c r="W826" s="3"/>
      <c r="X826" s="3"/>
      <c r="Y826" s="3"/>
      <c r="Z826" s="3"/>
      <c r="AA826" s="3"/>
      <c r="AB826" s="3"/>
      <c r="AC826" s="3"/>
      <c r="AD826" s="3"/>
      <c r="AE826" s="3"/>
    </row>
    <row r="827" spans="1:31" ht="20.25" customHeight="1">
      <c r="A827" s="3"/>
      <c r="B827" s="36"/>
      <c r="C827" s="163"/>
      <c r="D827" s="3"/>
      <c r="E827" s="3"/>
      <c r="F827" s="3"/>
      <c r="G827" s="3"/>
      <c r="H827" s="3"/>
      <c r="I827" s="3"/>
      <c r="J827" s="3"/>
      <c r="K827" s="3"/>
      <c r="L827" s="3"/>
      <c r="M827" s="3"/>
      <c r="N827" s="3"/>
      <c r="O827" s="3"/>
      <c r="P827" s="3"/>
      <c r="Q827" s="36"/>
      <c r="R827" s="8"/>
      <c r="S827" s="36"/>
      <c r="T827" s="40"/>
      <c r="U827" s="109"/>
      <c r="V827" s="3"/>
      <c r="W827" s="3"/>
      <c r="X827" s="3"/>
      <c r="Y827" s="3"/>
      <c r="Z827" s="3"/>
      <c r="AA827" s="3"/>
      <c r="AB827" s="3"/>
      <c r="AC827" s="3"/>
      <c r="AD827" s="3"/>
      <c r="AE827" s="3"/>
    </row>
    <row r="828" spans="1:31" ht="20.25" customHeight="1">
      <c r="A828" s="3"/>
      <c r="B828" s="36"/>
      <c r="C828" s="163"/>
      <c r="D828" s="3"/>
      <c r="E828" s="3"/>
      <c r="F828" s="3"/>
      <c r="G828" s="3"/>
      <c r="H828" s="3"/>
      <c r="I828" s="3"/>
      <c r="J828" s="3"/>
      <c r="K828" s="3"/>
      <c r="L828" s="3"/>
      <c r="M828" s="3"/>
      <c r="N828" s="3"/>
      <c r="O828" s="3"/>
      <c r="P828" s="3"/>
      <c r="Q828" s="36"/>
      <c r="R828" s="8"/>
      <c r="S828" s="36"/>
      <c r="T828" s="40"/>
      <c r="U828" s="109"/>
      <c r="V828" s="3"/>
      <c r="W828" s="3"/>
      <c r="X828" s="3"/>
      <c r="Y828" s="3"/>
      <c r="Z828" s="3"/>
      <c r="AA828" s="3"/>
      <c r="AB828" s="3"/>
      <c r="AC828" s="3"/>
      <c r="AD828" s="3"/>
      <c r="AE828" s="3"/>
    </row>
    <row r="829" spans="1:31" ht="20.25" customHeight="1">
      <c r="A829" s="3"/>
      <c r="B829" s="36"/>
      <c r="C829" s="163"/>
      <c r="D829" s="3"/>
      <c r="E829" s="3"/>
      <c r="F829" s="3"/>
      <c r="G829" s="3"/>
      <c r="H829" s="3"/>
      <c r="I829" s="3"/>
      <c r="J829" s="3"/>
      <c r="K829" s="3"/>
      <c r="L829" s="3"/>
      <c r="M829" s="3"/>
      <c r="N829" s="3"/>
      <c r="O829" s="3"/>
      <c r="P829" s="3"/>
      <c r="Q829" s="36"/>
      <c r="R829" s="8"/>
      <c r="S829" s="36"/>
      <c r="T829" s="40"/>
      <c r="U829" s="109"/>
      <c r="V829" s="3"/>
      <c r="W829" s="3"/>
      <c r="X829" s="3"/>
      <c r="Y829" s="3"/>
      <c r="Z829" s="3"/>
      <c r="AA829" s="3"/>
      <c r="AB829" s="3"/>
      <c r="AC829" s="3"/>
      <c r="AD829" s="3"/>
      <c r="AE829" s="3"/>
    </row>
    <row r="830" spans="1:31" ht="20.25" customHeight="1">
      <c r="A830" s="3"/>
      <c r="B830" s="36"/>
      <c r="C830" s="163"/>
      <c r="D830" s="3"/>
      <c r="E830" s="3"/>
      <c r="F830" s="3"/>
      <c r="G830" s="3"/>
      <c r="H830" s="3"/>
      <c r="I830" s="3"/>
      <c r="J830" s="3"/>
      <c r="K830" s="3"/>
      <c r="L830" s="3"/>
      <c r="M830" s="3"/>
      <c r="N830" s="3"/>
      <c r="O830" s="3"/>
      <c r="P830" s="3"/>
      <c r="Q830" s="36"/>
      <c r="R830" s="8"/>
      <c r="S830" s="36"/>
      <c r="T830" s="40"/>
      <c r="U830" s="109"/>
      <c r="V830" s="3"/>
      <c r="W830" s="3"/>
      <c r="X830" s="3"/>
      <c r="Y830" s="3"/>
      <c r="Z830" s="3"/>
      <c r="AA830" s="3"/>
      <c r="AB830" s="3"/>
      <c r="AC830" s="3"/>
      <c r="AD830" s="3"/>
      <c r="AE830" s="3"/>
    </row>
    <row r="831" spans="1:31" ht="20.25" customHeight="1">
      <c r="A831" s="3"/>
      <c r="B831" s="36"/>
      <c r="C831" s="163"/>
      <c r="D831" s="3"/>
      <c r="E831" s="3"/>
      <c r="F831" s="3"/>
      <c r="G831" s="3"/>
      <c r="H831" s="3"/>
      <c r="I831" s="3"/>
      <c r="J831" s="3"/>
      <c r="K831" s="3"/>
      <c r="L831" s="3"/>
      <c r="M831" s="3"/>
      <c r="N831" s="3"/>
      <c r="O831" s="3"/>
      <c r="P831" s="3"/>
      <c r="Q831" s="36"/>
      <c r="R831" s="8"/>
      <c r="S831" s="36"/>
      <c r="T831" s="40"/>
      <c r="U831" s="109"/>
      <c r="V831" s="3"/>
      <c r="W831" s="3"/>
      <c r="X831" s="3"/>
      <c r="Y831" s="3"/>
      <c r="Z831" s="3"/>
      <c r="AA831" s="3"/>
      <c r="AB831" s="3"/>
      <c r="AC831" s="3"/>
      <c r="AD831" s="3"/>
      <c r="AE831" s="3"/>
    </row>
    <row r="832" spans="1:31" ht="20.25" customHeight="1">
      <c r="A832" s="3"/>
      <c r="B832" s="36"/>
      <c r="C832" s="163"/>
      <c r="D832" s="3"/>
      <c r="E832" s="3"/>
      <c r="F832" s="3"/>
      <c r="G832" s="3"/>
      <c r="H832" s="3"/>
      <c r="I832" s="3"/>
      <c r="J832" s="3"/>
      <c r="K832" s="3"/>
      <c r="L832" s="3"/>
      <c r="M832" s="3"/>
      <c r="N832" s="3"/>
      <c r="O832" s="3"/>
      <c r="P832" s="3"/>
      <c r="Q832" s="36"/>
      <c r="R832" s="8"/>
      <c r="S832" s="36"/>
      <c r="T832" s="8"/>
      <c r="U832" s="109"/>
      <c r="V832" s="3"/>
      <c r="W832" s="3"/>
      <c r="X832" s="3"/>
      <c r="Y832" s="3"/>
      <c r="Z832" s="3"/>
      <c r="AA832" s="3"/>
      <c r="AB832" s="3"/>
      <c r="AC832" s="3"/>
      <c r="AD832" s="3"/>
      <c r="AE832" s="3"/>
    </row>
    <row r="833" spans="1:31" ht="20.25" customHeight="1">
      <c r="A833" s="3"/>
      <c r="B833" s="36"/>
      <c r="C833" s="163"/>
      <c r="D833" s="3"/>
      <c r="E833" s="3"/>
      <c r="F833" s="3"/>
      <c r="G833" s="3"/>
      <c r="H833" s="3"/>
      <c r="I833" s="3"/>
      <c r="J833" s="3"/>
      <c r="K833" s="3"/>
      <c r="L833" s="3"/>
      <c r="M833" s="3"/>
      <c r="N833" s="3"/>
      <c r="O833" s="3"/>
      <c r="P833" s="3"/>
      <c r="Q833" s="36"/>
      <c r="R833" s="8"/>
      <c r="S833" s="36"/>
      <c r="T833" s="8"/>
      <c r="U833" s="109"/>
      <c r="V833" s="3"/>
      <c r="W833" s="3"/>
      <c r="X833" s="3"/>
      <c r="Y833" s="3"/>
      <c r="Z833" s="3"/>
      <c r="AA833" s="3"/>
      <c r="AB833" s="3"/>
      <c r="AC833" s="3"/>
      <c r="AD833" s="3"/>
      <c r="AE833" s="3"/>
    </row>
    <row r="834" spans="1:31" ht="20.25" customHeight="1">
      <c r="A834" s="3"/>
      <c r="B834" s="36"/>
      <c r="C834" s="163"/>
      <c r="D834" s="3"/>
      <c r="E834" s="3"/>
      <c r="F834" s="3"/>
      <c r="G834" s="3"/>
      <c r="H834" s="3"/>
      <c r="I834" s="3"/>
      <c r="J834" s="3"/>
      <c r="K834" s="3"/>
      <c r="L834" s="3"/>
      <c r="M834" s="3"/>
      <c r="N834" s="3"/>
      <c r="O834" s="3"/>
      <c r="P834" s="3"/>
      <c r="Q834" s="36"/>
      <c r="R834" s="8"/>
      <c r="S834" s="36"/>
      <c r="T834" s="8"/>
      <c r="U834" s="109"/>
      <c r="V834" s="3"/>
      <c r="W834" s="3"/>
      <c r="X834" s="3"/>
      <c r="Y834" s="3"/>
      <c r="Z834" s="3"/>
      <c r="AA834" s="3"/>
      <c r="AB834" s="3"/>
      <c r="AC834" s="3"/>
      <c r="AD834" s="3"/>
      <c r="AE834" s="3"/>
    </row>
    <row r="835" spans="1:31" ht="20.25" customHeight="1">
      <c r="A835" s="3"/>
      <c r="B835" s="36"/>
      <c r="C835" s="163"/>
      <c r="D835" s="3"/>
      <c r="E835" s="3"/>
      <c r="F835" s="3"/>
      <c r="G835" s="3"/>
      <c r="H835" s="3"/>
      <c r="I835" s="3"/>
      <c r="J835" s="3"/>
      <c r="K835" s="3"/>
      <c r="L835" s="3"/>
      <c r="M835" s="3"/>
      <c r="N835" s="3"/>
      <c r="O835" s="3"/>
      <c r="P835" s="3"/>
      <c r="Q835" s="36"/>
      <c r="R835" s="8"/>
      <c r="S835" s="36"/>
      <c r="T835" s="8"/>
      <c r="U835" s="109"/>
      <c r="V835" s="3"/>
      <c r="W835" s="3"/>
      <c r="X835" s="3"/>
      <c r="Y835" s="3"/>
      <c r="Z835" s="3"/>
      <c r="AA835" s="3"/>
      <c r="AB835" s="3"/>
      <c r="AC835" s="3"/>
      <c r="AD835" s="3"/>
      <c r="AE835" s="3"/>
    </row>
    <row r="836" spans="1:31" ht="20.25" customHeight="1">
      <c r="A836" s="3"/>
      <c r="B836" s="36"/>
      <c r="C836" s="163"/>
      <c r="D836" s="3"/>
      <c r="E836" s="3"/>
      <c r="F836" s="3"/>
      <c r="G836" s="3"/>
      <c r="H836" s="3"/>
      <c r="I836" s="3"/>
      <c r="J836" s="3"/>
      <c r="K836" s="3"/>
      <c r="L836" s="3"/>
      <c r="M836" s="3"/>
      <c r="N836" s="3"/>
      <c r="O836" s="3"/>
      <c r="P836" s="3"/>
      <c r="Q836" s="36"/>
      <c r="R836" s="8"/>
      <c r="S836" s="36"/>
      <c r="T836" s="8"/>
      <c r="U836" s="109"/>
      <c r="V836" s="3"/>
      <c r="W836" s="3"/>
      <c r="X836" s="3"/>
      <c r="Y836" s="3"/>
      <c r="Z836" s="3"/>
      <c r="AA836" s="3"/>
      <c r="AB836" s="3"/>
      <c r="AC836" s="3"/>
      <c r="AD836" s="3"/>
      <c r="AE836" s="3"/>
    </row>
    <row r="837" spans="1:31" ht="20.25" customHeight="1">
      <c r="A837" s="3"/>
      <c r="B837" s="36"/>
      <c r="C837" s="163"/>
      <c r="D837" s="3"/>
      <c r="E837" s="3"/>
      <c r="F837" s="3"/>
      <c r="G837" s="3"/>
      <c r="H837" s="3"/>
      <c r="I837" s="3"/>
      <c r="J837" s="3"/>
      <c r="K837" s="3"/>
      <c r="L837" s="3"/>
      <c r="M837" s="3"/>
      <c r="N837" s="3"/>
      <c r="O837" s="3"/>
      <c r="P837" s="3"/>
      <c r="Q837" s="36"/>
      <c r="R837" s="8"/>
      <c r="S837" s="36"/>
      <c r="T837" s="8"/>
      <c r="U837" s="109"/>
      <c r="V837" s="3"/>
      <c r="W837" s="3"/>
      <c r="X837" s="3"/>
      <c r="Y837" s="3"/>
      <c r="Z837" s="3"/>
      <c r="AA837" s="3"/>
      <c r="AB837" s="3"/>
      <c r="AC837" s="3"/>
      <c r="AD837" s="3"/>
      <c r="AE837" s="3"/>
    </row>
    <row r="838" spans="1:31" ht="20.25" customHeight="1">
      <c r="A838" s="3"/>
      <c r="B838" s="36"/>
      <c r="C838" s="163"/>
      <c r="D838" s="3"/>
      <c r="E838" s="3"/>
      <c r="F838" s="3"/>
      <c r="G838" s="3"/>
      <c r="H838" s="3"/>
      <c r="I838" s="3"/>
      <c r="J838" s="3"/>
      <c r="K838" s="3"/>
      <c r="L838" s="3"/>
      <c r="M838" s="3"/>
      <c r="N838" s="3"/>
      <c r="O838" s="3"/>
      <c r="P838" s="3"/>
      <c r="Q838" s="36"/>
      <c r="R838" s="8"/>
      <c r="S838" s="36"/>
      <c r="T838" s="8"/>
      <c r="U838" s="109"/>
      <c r="V838" s="3"/>
      <c r="W838" s="3"/>
      <c r="X838" s="3"/>
      <c r="Y838" s="3"/>
      <c r="Z838" s="3"/>
      <c r="AA838" s="3"/>
      <c r="AB838" s="3"/>
      <c r="AC838" s="3"/>
      <c r="AD838" s="3"/>
      <c r="AE838" s="3"/>
    </row>
    <row r="839" spans="1:31" ht="20.25" customHeight="1">
      <c r="A839" s="3"/>
      <c r="B839" s="36"/>
      <c r="C839" s="163"/>
      <c r="D839" s="3"/>
      <c r="E839" s="3"/>
      <c r="F839" s="3"/>
      <c r="G839" s="3"/>
      <c r="H839" s="3"/>
      <c r="I839" s="3"/>
      <c r="J839" s="3"/>
      <c r="K839" s="3"/>
      <c r="L839" s="3"/>
      <c r="M839" s="3"/>
      <c r="N839" s="3"/>
      <c r="O839" s="3"/>
      <c r="P839" s="3"/>
      <c r="Q839" s="36"/>
      <c r="R839" s="8"/>
      <c r="S839" s="36"/>
      <c r="T839" s="8"/>
      <c r="U839" s="109"/>
      <c r="V839" s="3"/>
      <c r="W839" s="3"/>
      <c r="X839" s="3"/>
      <c r="Y839" s="3"/>
      <c r="Z839" s="3"/>
      <c r="AA839" s="3"/>
      <c r="AB839" s="3"/>
      <c r="AC839" s="3"/>
      <c r="AD839" s="3"/>
      <c r="AE839" s="3"/>
    </row>
    <row r="840" spans="1:31" ht="20.25" customHeight="1">
      <c r="A840" s="3"/>
      <c r="B840" s="36"/>
      <c r="C840" s="163"/>
      <c r="D840" s="3"/>
      <c r="E840" s="3"/>
      <c r="F840" s="3"/>
      <c r="G840" s="3"/>
      <c r="H840" s="3"/>
      <c r="I840" s="3"/>
      <c r="J840" s="3"/>
      <c r="K840" s="3"/>
      <c r="L840" s="3"/>
      <c r="M840" s="3"/>
      <c r="N840" s="3"/>
      <c r="O840" s="3"/>
      <c r="P840" s="3"/>
      <c r="Q840" s="36"/>
      <c r="R840" s="8"/>
      <c r="S840" s="36"/>
      <c r="T840" s="8"/>
      <c r="U840" s="109"/>
      <c r="V840" s="3"/>
      <c r="W840" s="3"/>
      <c r="X840" s="3"/>
      <c r="Y840" s="3"/>
      <c r="Z840" s="3"/>
      <c r="AA840" s="3"/>
      <c r="AB840" s="3"/>
      <c r="AC840" s="3"/>
      <c r="AD840" s="3"/>
      <c r="AE840" s="3"/>
    </row>
    <row r="841" spans="1:31" ht="20.25" customHeight="1">
      <c r="A841" s="3"/>
      <c r="B841" s="36"/>
      <c r="C841" s="163"/>
      <c r="D841" s="3"/>
      <c r="E841" s="3"/>
      <c r="F841" s="3"/>
      <c r="G841" s="3"/>
      <c r="H841" s="3"/>
      <c r="I841" s="3"/>
      <c r="J841" s="3"/>
      <c r="K841" s="3"/>
      <c r="L841" s="3"/>
      <c r="M841" s="3"/>
      <c r="N841" s="3"/>
      <c r="O841" s="3"/>
      <c r="P841" s="3"/>
      <c r="Q841" s="36"/>
      <c r="R841" s="8"/>
      <c r="S841" s="36"/>
      <c r="T841" s="8"/>
      <c r="U841" s="109"/>
      <c r="V841" s="3"/>
      <c r="W841" s="3"/>
      <c r="X841" s="3"/>
      <c r="Y841" s="3"/>
      <c r="Z841" s="3"/>
      <c r="AA841" s="3"/>
      <c r="AB841" s="3"/>
      <c r="AC841" s="3"/>
      <c r="AD841" s="3"/>
      <c r="AE841" s="3"/>
    </row>
    <row r="842" spans="1:31" ht="20.25" customHeight="1">
      <c r="A842" s="3"/>
      <c r="B842" s="36"/>
      <c r="C842" s="163"/>
      <c r="D842" s="3"/>
      <c r="E842" s="3"/>
      <c r="F842" s="3"/>
      <c r="G842" s="3"/>
      <c r="H842" s="3"/>
      <c r="I842" s="3"/>
      <c r="J842" s="3"/>
      <c r="K842" s="3"/>
      <c r="L842" s="3"/>
      <c r="M842" s="3"/>
      <c r="N842" s="3"/>
      <c r="O842" s="3"/>
      <c r="P842" s="3"/>
      <c r="Q842" s="36"/>
      <c r="R842" s="8"/>
      <c r="S842" s="36"/>
      <c r="T842" s="8"/>
      <c r="U842" s="109"/>
      <c r="V842" s="3"/>
      <c r="W842" s="3"/>
      <c r="X842" s="3"/>
      <c r="Y842" s="3"/>
      <c r="Z842" s="3"/>
      <c r="AA842" s="3"/>
      <c r="AB842" s="3"/>
      <c r="AC842" s="3"/>
      <c r="AD842" s="3"/>
      <c r="AE842" s="3"/>
    </row>
    <row r="843" spans="1:31" ht="20.25" customHeight="1">
      <c r="A843" s="3"/>
      <c r="B843" s="36"/>
      <c r="C843" s="163"/>
      <c r="D843" s="3"/>
      <c r="E843" s="3"/>
      <c r="F843" s="3"/>
      <c r="G843" s="3"/>
      <c r="H843" s="3"/>
      <c r="I843" s="3"/>
      <c r="J843" s="3"/>
      <c r="K843" s="3"/>
      <c r="L843" s="3"/>
      <c r="M843" s="3"/>
      <c r="N843" s="3"/>
      <c r="O843" s="3"/>
      <c r="P843" s="3"/>
      <c r="Q843" s="36"/>
      <c r="R843" s="8"/>
      <c r="S843" s="36"/>
      <c r="T843" s="8"/>
      <c r="U843" s="109"/>
      <c r="V843" s="3"/>
      <c r="W843" s="3"/>
      <c r="X843" s="3"/>
      <c r="Y843" s="3"/>
      <c r="Z843" s="3"/>
      <c r="AA843" s="3"/>
      <c r="AB843" s="3"/>
      <c r="AC843" s="3"/>
      <c r="AD843" s="3"/>
      <c r="AE843" s="3"/>
    </row>
    <row r="844" spans="1:31" ht="20.25" customHeight="1">
      <c r="A844" s="3"/>
      <c r="B844" s="36"/>
      <c r="C844" s="163"/>
      <c r="D844" s="3"/>
      <c r="E844" s="3"/>
      <c r="F844" s="3"/>
      <c r="G844" s="3"/>
      <c r="H844" s="3"/>
      <c r="I844" s="3"/>
      <c r="J844" s="3"/>
      <c r="K844" s="3"/>
      <c r="L844" s="3"/>
      <c r="M844" s="3"/>
      <c r="N844" s="3"/>
      <c r="O844" s="3"/>
      <c r="P844" s="3"/>
      <c r="Q844" s="36"/>
      <c r="R844" s="8"/>
      <c r="S844" s="36"/>
      <c r="T844" s="8"/>
      <c r="U844" s="109"/>
      <c r="V844" s="3"/>
      <c r="W844" s="3"/>
      <c r="X844" s="3"/>
      <c r="Y844" s="3"/>
      <c r="Z844" s="3"/>
      <c r="AA844" s="3"/>
      <c r="AB844" s="3"/>
      <c r="AC844" s="3"/>
      <c r="AD844" s="3"/>
      <c r="AE844" s="3"/>
    </row>
    <row r="845" spans="1:31" ht="20.25" customHeight="1">
      <c r="A845" s="3"/>
      <c r="B845" s="36"/>
      <c r="C845" s="163"/>
      <c r="D845" s="3"/>
      <c r="E845" s="3"/>
      <c r="F845" s="3"/>
      <c r="G845" s="3"/>
      <c r="H845" s="3"/>
      <c r="I845" s="3"/>
      <c r="J845" s="3"/>
      <c r="K845" s="3"/>
      <c r="L845" s="3"/>
      <c r="M845" s="3"/>
      <c r="N845" s="3"/>
      <c r="O845" s="3"/>
      <c r="P845" s="3"/>
      <c r="Q845" s="36"/>
      <c r="R845" s="8"/>
      <c r="S845" s="36"/>
      <c r="T845" s="8"/>
      <c r="U845" s="109"/>
      <c r="V845" s="3"/>
      <c r="W845" s="3"/>
      <c r="X845" s="3"/>
      <c r="Y845" s="3"/>
      <c r="Z845" s="3"/>
      <c r="AA845" s="3"/>
      <c r="AB845" s="3"/>
      <c r="AC845" s="3"/>
      <c r="AD845" s="3"/>
      <c r="AE845" s="3"/>
    </row>
    <row r="846" spans="1:31" ht="20.25" customHeight="1">
      <c r="A846" s="3"/>
      <c r="B846" s="36"/>
      <c r="C846" s="163"/>
      <c r="D846" s="3"/>
      <c r="E846" s="3"/>
      <c r="F846" s="3"/>
      <c r="G846" s="3"/>
      <c r="H846" s="3"/>
      <c r="I846" s="3"/>
      <c r="J846" s="3"/>
      <c r="K846" s="3"/>
      <c r="L846" s="3"/>
      <c r="M846" s="3"/>
      <c r="N846" s="3"/>
      <c r="O846" s="3"/>
      <c r="P846" s="3"/>
      <c r="Q846" s="36"/>
      <c r="R846" s="8"/>
      <c r="S846" s="36"/>
      <c r="T846" s="8"/>
      <c r="U846" s="109"/>
      <c r="V846" s="3"/>
      <c r="W846" s="3"/>
      <c r="X846" s="3"/>
      <c r="Y846" s="3"/>
      <c r="Z846" s="3"/>
      <c r="AA846" s="3"/>
      <c r="AB846" s="3"/>
      <c r="AC846" s="3"/>
      <c r="AD846" s="3"/>
      <c r="AE846" s="3"/>
    </row>
    <row r="847" spans="1:31" ht="20.25" customHeight="1">
      <c r="A847" s="3"/>
      <c r="B847" s="36"/>
      <c r="C847" s="163"/>
      <c r="D847" s="3"/>
      <c r="E847" s="3"/>
      <c r="F847" s="3"/>
      <c r="G847" s="3"/>
      <c r="H847" s="3"/>
      <c r="I847" s="3"/>
      <c r="J847" s="3"/>
      <c r="K847" s="3"/>
      <c r="L847" s="3"/>
      <c r="M847" s="3"/>
      <c r="N847" s="3"/>
      <c r="O847" s="3"/>
      <c r="P847" s="3"/>
      <c r="Q847" s="36"/>
      <c r="R847" s="8"/>
      <c r="S847" s="36"/>
      <c r="T847" s="8"/>
      <c r="U847" s="109"/>
      <c r="V847" s="3"/>
      <c r="W847" s="3"/>
      <c r="X847" s="3"/>
      <c r="Y847" s="3"/>
      <c r="Z847" s="3"/>
      <c r="AA847" s="3"/>
      <c r="AB847" s="3"/>
      <c r="AC847" s="3"/>
      <c r="AD847" s="3"/>
      <c r="AE847" s="3"/>
    </row>
    <row r="848" spans="1:31" ht="20.25" customHeight="1">
      <c r="A848" s="3"/>
      <c r="B848" s="36"/>
      <c r="C848" s="163"/>
      <c r="D848" s="3"/>
      <c r="E848" s="3"/>
      <c r="F848" s="3"/>
      <c r="G848" s="3"/>
      <c r="H848" s="3"/>
      <c r="I848" s="3"/>
      <c r="J848" s="3"/>
      <c r="K848" s="3"/>
      <c r="L848" s="3"/>
      <c r="M848" s="3"/>
      <c r="N848" s="3"/>
      <c r="O848" s="3"/>
      <c r="P848" s="3"/>
      <c r="Q848" s="36"/>
      <c r="R848" s="8"/>
      <c r="S848" s="36"/>
      <c r="T848" s="8"/>
      <c r="U848" s="109"/>
      <c r="V848" s="3"/>
      <c r="W848" s="3"/>
      <c r="X848" s="3"/>
      <c r="Y848" s="3"/>
      <c r="Z848" s="3"/>
      <c r="AA848" s="3"/>
      <c r="AB848" s="3"/>
      <c r="AC848" s="3"/>
      <c r="AD848" s="3"/>
      <c r="AE848" s="3"/>
    </row>
    <row r="849" spans="1:31" ht="20.25" customHeight="1">
      <c r="A849" s="3"/>
      <c r="B849" s="36"/>
      <c r="C849" s="163"/>
      <c r="D849" s="3"/>
      <c r="E849" s="3"/>
      <c r="F849" s="3"/>
      <c r="G849" s="3"/>
      <c r="H849" s="3"/>
      <c r="I849" s="3"/>
      <c r="J849" s="3"/>
      <c r="K849" s="3"/>
      <c r="L849" s="3"/>
      <c r="M849" s="3"/>
      <c r="N849" s="3"/>
      <c r="O849" s="3"/>
      <c r="P849" s="3"/>
      <c r="Q849" s="36"/>
      <c r="R849" s="8"/>
      <c r="S849" s="36"/>
      <c r="T849" s="8"/>
      <c r="U849" s="109"/>
      <c r="V849" s="3"/>
      <c r="W849" s="3"/>
      <c r="X849" s="3"/>
      <c r="Y849" s="3"/>
      <c r="Z849" s="3"/>
      <c r="AA849" s="3"/>
      <c r="AB849" s="3"/>
      <c r="AC849" s="3"/>
      <c r="AD849" s="3"/>
      <c r="AE849" s="3"/>
    </row>
    <row r="850" spans="1:31" ht="20.25" customHeight="1">
      <c r="A850" s="3"/>
      <c r="B850" s="36"/>
      <c r="C850" s="163"/>
      <c r="D850" s="3"/>
      <c r="E850" s="3"/>
      <c r="F850" s="3"/>
      <c r="G850" s="3"/>
      <c r="H850" s="3"/>
      <c r="I850" s="3"/>
      <c r="J850" s="3"/>
      <c r="K850" s="3"/>
      <c r="L850" s="3"/>
      <c r="M850" s="3"/>
      <c r="N850" s="3"/>
      <c r="O850" s="3"/>
      <c r="P850" s="3"/>
      <c r="Q850" s="36"/>
      <c r="R850" s="8"/>
      <c r="S850" s="36"/>
      <c r="T850" s="8"/>
      <c r="U850" s="109"/>
      <c r="V850" s="3"/>
      <c r="W850" s="3"/>
      <c r="X850" s="3"/>
      <c r="Y850" s="3"/>
      <c r="Z850" s="3"/>
      <c r="AA850" s="3"/>
      <c r="AB850" s="3"/>
      <c r="AC850" s="3"/>
      <c r="AD850" s="3"/>
      <c r="AE850" s="3"/>
    </row>
    <row r="851" spans="1:31" ht="20.25" customHeight="1">
      <c r="A851" s="3"/>
      <c r="B851" s="36"/>
      <c r="C851" s="163"/>
      <c r="D851" s="3"/>
      <c r="E851" s="3"/>
      <c r="F851" s="3"/>
      <c r="G851" s="3"/>
      <c r="H851" s="3"/>
      <c r="I851" s="3"/>
      <c r="J851" s="3"/>
      <c r="K851" s="3"/>
      <c r="L851" s="3"/>
      <c r="M851" s="3"/>
      <c r="N851" s="3"/>
      <c r="O851" s="3"/>
      <c r="P851" s="3"/>
      <c r="Q851" s="36"/>
      <c r="R851" s="8"/>
      <c r="S851" s="36"/>
      <c r="T851" s="8"/>
      <c r="U851" s="109"/>
      <c r="V851" s="3"/>
      <c r="W851" s="3"/>
      <c r="X851" s="3"/>
      <c r="Y851" s="3"/>
      <c r="Z851" s="3"/>
      <c r="AA851" s="3"/>
      <c r="AB851" s="3"/>
      <c r="AC851" s="3"/>
      <c r="AD851" s="3"/>
      <c r="AE851" s="3"/>
    </row>
    <row r="852" spans="1:31" ht="20.25" customHeight="1">
      <c r="A852" s="3"/>
      <c r="B852" s="36"/>
      <c r="C852" s="163"/>
      <c r="D852" s="3"/>
      <c r="E852" s="3"/>
      <c r="F852" s="3"/>
      <c r="G852" s="3"/>
      <c r="H852" s="3"/>
      <c r="I852" s="3"/>
      <c r="J852" s="3"/>
      <c r="K852" s="3"/>
      <c r="L852" s="3"/>
      <c r="M852" s="3"/>
      <c r="N852" s="3"/>
      <c r="O852" s="3"/>
      <c r="P852" s="3"/>
      <c r="Q852" s="36"/>
      <c r="R852" s="8"/>
      <c r="S852" s="36"/>
      <c r="T852" s="8"/>
      <c r="U852" s="109"/>
      <c r="V852" s="3"/>
      <c r="W852" s="3"/>
      <c r="X852" s="3"/>
      <c r="Y852" s="3"/>
      <c r="Z852" s="3"/>
      <c r="AA852" s="3"/>
      <c r="AB852" s="3"/>
      <c r="AC852" s="3"/>
      <c r="AD852" s="3"/>
      <c r="AE852" s="3"/>
    </row>
    <row r="853" spans="1:31" ht="20.25" customHeight="1">
      <c r="A853" s="3"/>
      <c r="B853" s="36"/>
      <c r="C853" s="163"/>
      <c r="D853" s="3"/>
      <c r="E853" s="3"/>
      <c r="F853" s="3"/>
      <c r="G853" s="3"/>
      <c r="H853" s="3"/>
      <c r="I853" s="3"/>
      <c r="J853" s="3"/>
      <c r="K853" s="3"/>
      <c r="L853" s="3"/>
      <c r="M853" s="3"/>
      <c r="N853" s="3"/>
      <c r="O853" s="3"/>
      <c r="P853" s="3"/>
      <c r="Q853" s="36"/>
      <c r="R853" s="8"/>
      <c r="S853" s="36"/>
      <c r="T853" s="8"/>
      <c r="U853" s="109"/>
      <c r="V853" s="3"/>
      <c r="W853" s="3"/>
      <c r="X853" s="3"/>
      <c r="Y853" s="3"/>
      <c r="Z853" s="3"/>
      <c r="AA853" s="3"/>
      <c r="AB853" s="3"/>
      <c r="AC853" s="3"/>
      <c r="AD853" s="3"/>
      <c r="AE853" s="3"/>
    </row>
    <row r="854" spans="1:31" ht="20.25" customHeight="1">
      <c r="A854" s="3"/>
      <c r="B854" s="36"/>
      <c r="C854" s="163"/>
      <c r="D854" s="3"/>
      <c r="E854" s="3"/>
      <c r="F854" s="3"/>
      <c r="G854" s="3"/>
      <c r="H854" s="3"/>
      <c r="I854" s="3"/>
      <c r="J854" s="3"/>
      <c r="K854" s="3"/>
      <c r="L854" s="3"/>
      <c r="M854" s="3"/>
      <c r="N854" s="3"/>
      <c r="O854" s="3"/>
      <c r="P854" s="3"/>
      <c r="Q854" s="36"/>
      <c r="R854" s="8"/>
      <c r="S854" s="36"/>
      <c r="T854" s="8"/>
      <c r="U854" s="109"/>
      <c r="V854" s="3"/>
      <c r="W854" s="3"/>
      <c r="X854" s="3"/>
      <c r="Y854" s="3"/>
      <c r="Z854" s="3"/>
      <c r="AA854" s="3"/>
      <c r="AB854" s="3"/>
      <c r="AC854" s="3"/>
      <c r="AD854" s="3"/>
      <c r="AE854" s="3"/>
    </row>
    <row r="855" spans="1:31" ht="20.25" customHeight="1">
      <c r="A855" s="3"/>
      <c r="B855" s="36"/>
      <c r="C855" s="163"/>
      <c r="D855" s="3"/>
      <c r="E855" s="3"/>
      <c r="F855" s="3"/>
      <c r="G855" s="3"/>
      <c r="H855" s="3"/>
      <c r="I855" s="3"/>
      <c r="J855" s="3"/>
      <c r="K855" s="3"/>
      <c r="L855" s="3"/>
      <c r="M855" s="3"/>
      <c r="N855" s="3"/>
      <c r="O855" s="3"/>
      <c r="P855" s="3"/>
      <c r="Q855" s="36"/>
      <c r="R855" s="8"/>
      <c r="S855" s="36"/>
      <c r="T855" s="8"/>
      <c r="U855" s="109"/>
      <c r="V855" s="3"/>
      <c r="W855" s="3"/>
      <c r="X855" s="3"/>
      <c r="Y855" s="3"/>
      <c r="Z855" s="3"/>
      <c r="AA855" s="3"/>
      <c r="AB855" s="3"/>
      <c r="AC855" s="3"/>
      <c r="AD855" s="3"/>
      <c r="AE855" s="3"/>
    </row>
    <row r="856" spans="1:31" ht="20.25" customHeight="1">
      <c r="A856" s="3"/>
      <c r="B856" s="36"/>
      <c r="C856" s="163"/>
      <c r="D856" s="3"/>
      <c r="E856" s="3"/>
      <c r="F856" s="3"/>
      <c r="G856" s="3"/>
      <c r="H856" s="3"/>
      <c r="I856" s="3"/>
      <c r="J856" s="3"/>
      <c r="K856" s="3"/>
      <c r="L856" s="3"/>
      <c r="M856" s="3"/>
      <c r="N856" s="3"/>
      <c r="O856" s="3"/>
      <c r="P856" s="3"/>
      <c r="Q856" s="36"/>
      <c r="R856" s="8"/>
      <c r="S856" s="36"/>
      <c r="T856" s="8"/>
      <c r="U856" s="109"/>
      <c r="V856" s="3"/>
      <c r="W856" s="3"/>
      <c r="X856" s="3"/>
      <c r="Y856" s="3"/>
      <c r="Z856" s="3"/>
      <c r="AA856" s="3"/>
      <c r="AB856" s="3"/>
      <c r="AC856" s="3"/>
      <c r="AD856" s="3"/>
      <c r="AE856" s="3"/>
    </row>
    <row r="857" spans="1:31" ht="20.25" customHeight="1">
      <c r="A857" s="3"/>
      <c r="B857" s="36"/>
      <c r="C857" s="163"/>
      <c r="D857" s="3"/>
      <c r="E857" s="3"/>
      <c r="F857" s="3"/>
      <c r="G857" s="3"/>
      <c r="H857" s="3"/>
      <c r="I857" s="3"/>
      <c r="J857" s="3"/>
      <c r="K857" s="3"/>
      <c r="L857" s="3"/>
      <c r="M857" s="3"/>
      <c r="N857" s="3"/>
      <c r="O857" s="3"/>
      <c r="P857" s="3"/>
      <c r="Q857" s="36"/>
      <c r="R857" s="8"/>
      <c r="S857" s="36"/>
      <c r="T857" s="8"/>
      <c r="U857" s="109"/>
      <c r="V857" s="3"/>
      <c r="W857" s="3"/>
      <c r="X857" s="3"/>
      <c r="Y857" s="3"/>
      <c r="Z857" s="3"/>
      <c r="AA857" s="3"/>
      <c r="AB857" s="3"/>
      <c r="AC857" s="3"/>
      <c r="AD857" s="3"/>
      <c r="AE857" s="3"/>
    </row>
    <row r="858" spans="1:31" ht="20.25" customHeight="1">
      <c r="A858" s="3"/>
      <c r="B858" s="36"/>
      <c r="C858" s="163"/>
      <c r="D858" s="3"/>
      <c r="E858" s="3"/>
      <c r="F858" s="3"/>
      <c r="G858" s="3"/>
      <c r="H858" s="3"/>
      <c r="I858" s="3"/>
      <c r="J858" s="3"/>
      <c r="K858" s="3"/>
      <c r="L858" s="3"/>
      <c r="M858" s="3"/>
      <c r="N858" s="3"/>
      <c r="O858" s="3"/>
      <c r="P858" s="3"/>
      <c r="Q858" s="36"/>
      <c r="R858" s="8"/>
      <c r="S858" s="36"/>
      <c r="T858" s="8"/>
      <c r="U858" s="109"/>
      <c r="V858" s="3"/>
      <c r="W858" s="3"/>
      <c r="X858" s="3"/>
      <c r="Y858" s="3"/>
      <c r="Z858" s="3"/>
      <c r="AA858" s="3"/>
      <c r="AB858" s="3"/>
      <c r="AC858" s="3"/>
      <c r="AD858" s="3"/>
      <c r="AE858" s="3"/>
    </row>
    <row r="859" spans="1:31" ht="20.25" customHeight="1">
      <c r="A859" s="3"/>
      <c r="B859" s="36"/>
      <c r="C859" s="163"/>
      <c r="D859" s="3"/>
      <c r="E859" s="3"/>
      <c r="F859" s="3"/>
      <c r="G859" s="3"/>
      <c r="H859" s="3"/>
      <c r="I859" s="3"/>
      <c r="J859" s="3"/>
      <c r="K859" s="3"/>
      <c r="L859" s="3"/>
      <c r="M859" s="3"/>
      <c r="N859" s="3"/>
      <c r="O859" s="3"/>
      <c r="P859" s="3"/>
      <c r="Q859" s="36"/>
      <c r="R859" s="8"/>
      <c r="S859" s="36"/>
      <c r="T859" s="8"/>
      <c r="U859" s="109"/>
      <c r="V859" s="3"/>
      <c r="W859" s="3"/>
      <c r="X859" s="3"/>
      <c r="Y859" s="3"/>
      <c r="Z859" s="3"/>
      <c r="AA859" s="3"/>
      <c r="AB859" s="3"/>
      <c r="AC859" s="3"/>
      <c r="AD859" s="3"/>
      <c r="AE859" s="3"/>
    </row>
    <row r="860" spans="1:31" ht="20.25" customHeight="1">
      <c r="A860" s="3"/>
      <c r="B860" s="36"/>
      <c r="C860" s="163"/>
      <c r="D860" s="3"/>
      <c r="E860" s="3"/>
      <c r="F860" s="3"/>
      <c r="G860" s="3"/>
      <c r="H860" s="3"/>
      <c r="I860" s="3"/>
      <c r="J860" s="3"/>
      <c r="K860" s="3"/>
      <c r="L860" s="3"/>
      <c r="M860" s="3"/>
      <c r="N860" s="3"/>
      <c r="O860" s="3"/>
      <c r="P860" s="3"/>
      <c r="Q860" s="36"/>
      <c r="R860" s="8"/>
      <c r="S860" s="36"/>
      <c r="T860" s="8"/>
      <c r="U860" s="109"/>
      <c r="V860" s="3"/>
      <c r="W860" s="3"/>
      <c r="X860" s="3"/>
      <c r="Y860" s="3"/>
      <c r="Z860" s="3"/>
      <c r="AA860" s="3"/>
      <c r="AB860" s="3"/>
      <c r="AC860" s="3"/>
      <c r="AD860" s="3"/>
      <c r="AE860" s="3"/>
    </row>
    <row r="861" spans="1:31" ht="20.25" customHeight="1">
      <c r="A861" s="3"/>
      <c r="B861" s="36"/>
      <c r="C861" s="163"/>
      <c r="D861" s="3"/>
      <c r="E861" s="3"/>
      <c r="F861" s="3"/>
      <c r="G861" s="3"/>
      <c r="H861" s="3"/>
      <c r="I861" s="3"/>
      <c r="J861" s="3"/>
      <c r="K861" s="3"/>
      <c r="L861" s="3"/>
      <c r="M861" s="3"/>
      <c r="N861" s="3"/>
      <c r="O861" s="3"/>
      <c r="P861" s="3"/>
      <c r="Q861" s="36"/>
      <c r="R861" s="8"/>
      <c r="S861" s="36"/>
      <c r="T861" s="8"/>
      <c r="U861" s="109"/>
      <c r="V861" s="3"/>
      <c r="W861" s="3"/>
      <c r="X861" s="3"/>
      <c r="Y861" s="3"/>
      <c r="Z861" s="3"/>
      <c r="AA861" s="3"/>
      <c r="AB861" s="3"/>
      <c r="AC861" s="3"/>
      <c r="AD861" s="3"/>
      <c r="AE861" s="3"/>
    </row>
    <row r="862" spans="1:31" ht="20.25" customHeight="1">
      <c r="A862" s="3"/>
      <c r="B862" s="36"/>
      <c r="C862" s="163"/>
      <c r="D862" s="3"/>
      <c r="E862" s="3"/>
      <c r="F862" s="3"/>
      <c r="G862" s="3"/>
      <c r="H862" s="3"/>
      <c r="I862" s="3"/>
      <c r="J862" s="3"/>
      <c r="K862" s="3"/>
      <c r="L862" s="3"/>
      <c r="M862" s="3"/>
      <c r="N862" s="3"/>
      <c r="O862" s="3"/>
      <c r="P862" s="3"/>
      <c r="Q862" s="36"/>
      <c r="R862" s="8"/>
      <c r="S862" s="36"/>
      <c r="T862" s="8"/>
      <c r="U862" s="109"/>
      <c r="V862" s="3"/>
      <c r="W862" s="3"/>
      <c r="X862" s="3"/>
      <c r="Y862" s="3"/>
      <c r="Z862" s="3"/>
      <c r="AA862" s="3"/>
      <c r="AB862" s="3"/>
      <c r="AC862" s="3"/>
      <c r="AD862" s="3"/>
      <c r="AE862" s="3"/>
    </row>
    <row r="863" spans="1:31" ht="20.25" customHeight="1">
      <c r="A863" s="3"/>
      <c r="B863" s="36"/>
      <c r="C863" s="163"/>
      <c r="D863" s="3"/>
      <c r="E863" s="3"/>
      <c r="F863" s="3"/>
      <c r="G863" s="3"/>
      <c r="H863" s="3"/>
      <c r="I863" s="3"/>
      <c r="J863" s="3"/>
      <c r="K863" s="3"/>
      <c r="L863" s="3"/>
      <c r="M863" s="3"/>
      <c r="N863" s="3"/>
      <c r="O863" s="3"/>
      <c r="P863" s="3"/>
      <c r="Q863" s="36"/>
      <c r="R863" s="8"/>
      <c r="S863" s="36"/>
      <c r="T863" s="8"/>
      <c r="U863" s="109"/>
      <c r="V863" s="3"/>
      <c r="W863" s="3"/>
      <c r="X863" s="3"/>
      <c r="Y863" s="3"/>
      <c r="Z863" s="3"/>
      <c r="AA863" s="3"/>
      <c r="AB863" s="3"/>
      <c r="AC863" s="3"/>
      <c r="AD863" s="3"/>
      <c r="AE863" s="3"/>
    </row>
    <row r="864" spans="1:31" ht="20.25" customHeight="1">
      <c r="A864" s="3"/>
      <c r="B864" s="36"/>
      <c r="C864" s="163"/>
      <c r="D864" s="3"/>
      <c r="E864" s="3"/>
      <c r="F864" s="3"/>
      <c r="G864" s="3"/>
      <c r="H864" s="3"/>
      <c r="I864" s="3"/>
      <c r="J864" s="3"/>
      <c r="K864" s="3"/>
      <c r="L864" s="3"/>
      <c r="M864" s="3"/>
      <c r="N864" s="3"/>
      <c r="O864" s="3"/>
      <c r="P864" s="3"/>
      <c r="Q864" s="36"/>
      <c r="R864" s="8"/>
      <c r="S864" s="36"/>
      <c r="T864" s="8"/>
      <c r="U864" s="109"/>
      <c r="V864" s="3"/>
      <c r="W864" s="3"/>
      <c r="X864" s="3"/>
      <c r="Y864" s="3"/>
      <c r="Z864" s="3"/>
      <c r="AA864" s="3"/>
      <c r="AB864" s="3"/>
      <c r="AC864" s="3"/>
      <c r="AD864" s="3"/>
      <c r="AE864" s="3"/>
    </row>
    <row r="865" spans="1:31" ht="20.25" customHeight="1">
      <c r="A865" s="3"/>
      <c r="B865" s="36"/>
      <c r="C865" s="163"/>
      <c r="D865" s="3"/>
      <c r="E865" s="3"/>
      <c r="F865" s="3"/>
      <c r="G865" s="3"/>
      <c r="H865" s="3"/>
      <c r="I865" s="3"/>
      <c r="J865" s="3"/>
      <c r="K865" s="3"/>
      <c r="L865" s="3"/>
      <c r="M865" s="3"/>
      <c r="N865" s="3"/>
      <c r="O865" s="3"/>
      <c r="P865" s="3"/>
      <c r="Q865" s="36"/>
      <c r="R865" s="8"/>
      <c r="S865" s="36"/>
      <c r="T865" s="8"/>
      <c r="U865" s="109"/>
      <c r="V865" s="3"/>
      <c r="W865" s="3"/>
      <c r="X865" s="3"/>
      <c r="Y865" s="3"/>
      <c r="Z865" s="3"/>
      <c r="AA865" s="3"/>
      <c r="AB865" s="3"/>
      <c r="AC865" s="3"/>
      <c r="AD865" s="3"/>
      <c r="AE865" s="3"/>
    </row>
    <row r="866" spans="1:31" ht="20.25" customHeight="1">
      <c r="A866" s="3"/>
      <c r="B866" s="36"/>
      <c r="C866" s="163"/>
      <c r="D866" s="3"/>
      <c r="E866" s="3"/>
      <c r="F866" s="3"/>
      <c r="G866" s="3"/>
      <c r="H866" s="3"/>
      <c r="I866" s="3"/>
      <c r="J866" s="3"/>
      <c r="K866" s="3"/>
      <c r="L866" s="3"/>
      <c r="M866" s="3"/>
      <c r="N866" s="3"/>
      <c r="O866" s="3"/>
      <c r="P866" s="3"/>
      <c r="Q866" s="36"/>
      <c r="R866" s="8"/>
      <c r="S866" s="36"/>
      <c r="T866" s="8"/>
      <c r="U866" s="109"/>
      <c r="V866" s="3"/>
      <c r="W866" s="3"/>
      <c r="X866" s="3"/>
      <c r="Y866" s="3"/>
      <c r="Z866" s="3"/>
      <c r="AA866" s="3"/>
      <c r="AB866" s="3"/>
      <c r="AC866" s="3"/>
      <c r="AD866" s="3"/>
      <c r="AE866" s="3"/>
    </row>
    <row r="867" spans="1:31" ht="20.25" customHeight="1">
      <c r="A867" s="3"/>
      <c r="B867" s="36"/>
      <c r="C867" s="163"/>
      <c r="D867" s="3"/>
      <c r="E867" s="3"/>
      <c r="F867" s="3"/>
      <c r="G867" s="3"/>
      <c r="H867" s="3"/>
      <c r="I867" s="3"/>
      <c r="J867" s="3"/>
      <c r="K867" s="3"/>
      <c r="L867" s="3"/>
      <c r="M867" s="3"/>
      <c r="N867" s="3"/>
      <c r="O867" s="3"/>
      <c r="P867" s="3"/>
      <c r="Q867" s="36"/>
      <c r="R867" s="8"/>
      <c r="S867" s="36"/>
      <c r="T867" s="8"/>
      <c r="U867" s="109"/>
      <c r="V867" s="3"/>
      <c r="W867" s="3"/>
      <c r="X867" s="3"/>
      <c r="Y867" s="3"/>
      <c r="Z867" s="3"/>
      <c r="AA867" s="3"/>
      <c r="AB867" s="3"/>
      <c r="AC867" s="3"/>
      <c r="AD867" s="3"/>
      <c r="AE867" s="3"/>
    </row>
    <row r="868" spans="1:31" ht="20.25" customHeight="1">
      <c r="A868" s="3"/>
      <c r="B868" s="36"/>
      <c r="C868" s="163"/>
      <c r="D868" s="3"/>
      <c r="E868" s="3"/>
      <c r="F868" s="3"/>
      <c r="G868" s="3"/>
      <c r="H868" s="3"/>
      <c r="I868" s="3"/>
      <c r="J868" s="3"/>
      <c r="K868" s="3"/>
      <c r="L868" s="3"/>
      <c r="M868" s="3"/>
      <c r="N868" s="3"/>
      <c r="O868" s="3"/>
      <c r="P868" s="3"/>
      <c r="Q868" s="36"/>
      <c r="R868" s="8"/>
      <c r="S868" s="36"/>
      <c r="T868" s="8"/>
      <c r="U868" s="109"/>
      <c r="V868" s="3"/>
      <c r="W868" s="3"/>
      <c r="X868" s="3"/>
      <c r="Y868" s="3"/>
      <c r="Z868" s="3"/>
      <c r="AA868" s="3"/>
      <c r="AB868" s="3"/>
      <c r="AC868" s="3"/>
      <c r="AD868" s="3"/>
      <c r="AE868" s="3"/>
    </row>
    <row r="869" spans="1:31" ht="20.25" customHeight="1">
      <c r="A869" s="3"/>
      <c r="B869" s="36"/>
      <c r="C869" s="163"/>
      <c r="D869" s="3"/>
      <c r="E869" s="3"/>
      <c r="F869" s="3"/>
      <c r="G869" s="3"/>
      <c r="H869" s="3"/>
      <c r="I869" s="3"/>
      <c r="J869" s="3"/>
      <c r="K869" s="3"/>
      <c r="L869" s="3"/>
      <c r="M869" s="3"/>
      <c r="N869" s="3"/>
      <c r="O869" s="3"/>
      <c r="P869" s="3"/>
      <c r="Q869" s="36"/>
      <c r="R869" s="8"/>
      <c r="S869" s="36"/>
      <c r="T869" s="8"/>
      <c r="U869" s="109"/>
      <c r="V869" s="3"/>
      <c r="W869" s="3"/>
      <c r="X869" s="3"/>
      <c r="Y869" s="3"/>
      <c r="Z869" s="3"/>
      <c r="AA869" s="3"/>
      <c r="AB869" s="3"/>
      <c r="AC869" s="3"/>
      <c r="AD869" s="3"/>
      <c r="AE869" s="3"/>
    </row>
    <row r="870" spans="1:31" ht="20.25" customHeight="1">
      <c r="A870" s="3"/>
      <c r="B870" s="36"/>
      <c r="C870" s="163"/>
      <c r="D870" s="3"/>
      <c r="E870" s="3"/>
      <c r="F870" s="3"/>
      <c r="G870" s="3"/>
      <c r="H870" s="3"/>
      <c r="I870" s="3"/>
      <c r="J870" s="3"/>
      <c r="K870" s="3"/>
      <c r="L870" s="3"/>
      <c r="M870" s="3"/>
      <c r="N870" s="3"/>
      <c r="O870" s="3"/>
      <c r="P870" s="3"/>
      <c r="Q870" s="36"/>
      <c r="R870" s="8"/>
      <c r="S870" s="36"/>
      <c r="T870" s="8"/>
      <c r="U870" s="109"/>
      <c r="V870" s="3"/>
      <c r="W870" s="3"/>
      <c r="X870" s="3"/>
      <c r="Y870" s="3"/>
      <c r="Z870" s="3"/>
      <c r="AA870" s="3"/>
      <c r="AB870" s="3"/>
      <c r="AC870" s="3"/>
      <c r="AD870" s="3"/>
      <c r="AE870" s="3"/>
    </row>
    <row r="871" spans="1:31" ht="20.25" customHeight="1">
      <c r="A871" s="3"/>
      <c r="B871" s="36"/>
      <c r="C871" s="163"/>
      <c r="D871" s="3"/>
      <c r="E871" s="3"/>
      <c r="F871" s="3"/>
      <c r="G871" s="3"/>
      <c r="H871" s="3"/>
      <c r="I871" s="3"/>
      <c r="J871" s="3"/>
      <c r="K871" s="3"/>
      <c r="L871" s="3"/>
      <c r="M871" s="3"/>
      <c r="N871" s="3"/>
      <c r="O871" s="3"/>
      <c r="P871" s="3"/>
      <c r="Q871" s="36"/>
      <c r="R871" s="8"/>
      <c r="S871" s="36"/>
      <c r="T871" s="8"/>
      <c r="U871" s="109"/>
      <c r="V871" s="3"/>
      <c r="W871" s="3"/>
      <c r="X871" s="3"/>
      <c r="Y871" s="3"/>
      <c r="Z871" s="3"/>
      <c r="AA871" s="3"/>
      <c r="AB871" s="3"/>
      <c r="AC871" s="3"/>
      <c r="AD871" s="3"/>
      <c r="AE871" s="3"/>
    </row>
    <row r="872" spans="1:31" ht="20.25" customHeight="1">
      <c r="A872" s="3"/>
      <c r="B872" s="36"/>
      <c r="C872" s="163"/>
      <c r="D872" s="3"/>
      <c r="E872" s="3"/>
      <c r="F872" s="3"/>
      <c r="G872" s="3"/>
      <c r="H872" s="3"/>
      <c r="I872" s="3"/>
      <c r="J872" s="3"/>
      <c r="K872" s="3"/>
      <c r="L872" s="3"/>
      <c r="M872" s="3"/>
      <c r="N872" s="3"/>
      <c r="O872" s="3"/>
      <c r="P872" s="3"/>
      <c r="Q872" s="36"/>
      <c r="R872" s="8"/>
      <c r="S872" s="36"/>
      <c r="T872" s="8"/>
      <c r="U872" s="109"/>
      <c r="V872" s="3"/>
      <c r="W872" s="3"/>
      <c r="X872" s="3"/>
      <c r="Y872" s="3"/>
      <c r="Z872" s="3"/>
      <c r="AA872" s="3"/>
      <c r="AB872" s="3"/>
      <c r="AC872" s="3"/>
      <c r="AD872" s="3"/>
      <c r="AE872" s="3"/>
    </row>
    <row r="873" spans="1:31" ht="20.25" customHeight="1">
      <c r="A873" s="3"/>
      <c r="B873" s="36"/>
      <c r="C873" s="163"/>
      <c r="D873" s="3"/>
      <c r="E873" s="3"/>
      <c r="F873" s="3"/>
      <c r="G873" s="3"/>
      <c r="H873" s="3"/>
      <c r="I873" s="3"/>
      <c r="J873" s="3"/>
      <c r="K873" s="3"/>
      <c r="L873" s="3"/>
      <c r="M873" s="3"/>
      <c r="N873" s="3"/>
      <c r="O873" s="3"/>
      <c r="P873" s="3"/>
      <c r="Q873" s="36"/>
      <c r="R873" s="8"/>
      <c r="S873" s="36"/>
      <c r="T873" s="8"/>
      <c r="U873" s="109"/>
      <c r="V873" s="3"/>
      <c r="W873" s="3"/>
      <c r="X873" s="3"/>
      <c r="Y873" s="3"/>
      <c r="Z873" s="3"/>
      <c r="AA873" s="3"/>
      <c r="AB873" s="3"/>
      <c r="AC873" s="3"/>
      <c r="AD873" s="3"/>
      <c r="AE873" s="3"/>
    </row>
    <row r="874" spans="1:31" ht="20.25" customHeight="1">
      <c r="A874" s="3"/>
      <c r="B874" s="36"/>
      <c r="C874" s="163"/>
      <c r="D874" s="3"/>
      <c r="E874" s="3"/>
      <c r="F874" s="3"/>
      <c r="G874" s="3"/>
      <c r="H874" s="3"/>
      <c r="I874" s="3"/>
      <c r="J874" s="3"/>
      <c r="K874" s="3"/>
      <c r="L874" s="3"/>
      <c r="M874" s="3"/>
      <c r="N874" s="3"/>
      <c r="O874" s="3"/>
      <c r="P874" s="3"/>
      <c r="Q874" s="36"/>
      <c r="R874" s="8"/>
      <c r="S874" s="36"/>
      <c r="T874" s="8"/>
      <c r="U874" s="109"/>
      <c r="V874" s="3"/>
      <c r="W874" s="3"/>
      <c r="X874" s="3"/>
      <c r="Y874" s="3"/>
      <c r="Z874" s="3"/>
      <c r="AA874" s="3"/>
      <c r="AB874" s="3"/>
      <c r="AC874" s="3"/>
      <c r="AD874" s="3"/>
      <c r="AE874" s="3"/>
    </row>
    <row r="875" spans="1:31" ht="20.25" customHeight="1">
      <c r="A875" s="3"/>
      <c r="B875" s="36"/>
      <c r="C875" s="163"/>
      <c r="D875" s="3"/>
      <c r="E875" s="3"/>
      <c r="F875" s="3"/>
      <c r="G875" s="3"/>
      <c r="H875" s="3"/>
      <c r="I875" s="3"/>
      <c r="J875" s="3"/>
      <c r="K875" s="3"/>
      <c r="L875" s="3"/>
      <c r="M875" s="3"/>
      <c r="N875" s="3"/>
      <c r="O875" s="3"/>
      <c r="P875" s="3"/>
      <c r="Q875" s="36"/>
      <c r="R875" s="8"/>
      <c r="S875" s="36"/>
      <c r="T875" s="8"/>
      <c r="U875" s="109"/>
      <c r="V875" s="3"/>
      <c r="W875" s="3"/>
      <c r="X875" s="3"/>
      <c r="Y875" s="3"/>
      <c r="Z875" s="3"/>
      <c r="AA875" s="3"/>
      <c r="AB875" s="3"/>
      <c r="AC875" s="3"/>
      <c r="AD875" s="3"/>
      <c r="AE875" s="3"/>
    </row>
    <row r="876" spans="1:31" ht="20.25" customHeight="1">
      <c r="A876" s="3"/>
      <c r="B876" s="36"/>
      <c r="C876" s="163"/>
      <c r="D876" s="3"/>
      <c r="E876" s="3"/>
      <c r="F876" s="3"/>
      <c r="G876" s="3"/>
      <c r="H876" s="3"/>
      <c r="I876" s="3"/>
      <c r="J876" s="3"/>
      <c r="K876" s="3"/>
      <c r="L876" s="3"/>
      <c r="M876" s="3"/>
      <c r="N876" s="3"/>
      <c r="O876" s="3"/>
      <c r="P876" s="3"/>
      <c r="Q876" s="36"/>
      <c r="R876" s="8"/>
      <c r="S876" s="36"/>
      <c r="T876" s="8"/>
      <c r="U876" s="109"/>
      <c r="V876" s="3"/>
      <c r="W876" s="3"/>
      <c r="X876" s="3"/>
      <c r="Y876" s="3"/>
      <c r="Z876" s="3"/>
      <c r="AA876" s="3"/>
      <c r="AB876" s="3"/>
      <c r="AC876" s="3"/>
      <c r="AD876" s="3"/>
      <c r="AE876" s="3"/>
    </row>
    <row r="877" spans="1:31" ht="20.25" customHeight="1">
      <c r="A877" s="3"/>
      <c r="B877" s="36"/>
      <c r="C877" s="163"/>
      <c r="D877" s="3"/>
      <c r="E877" s="3"/>
      <c r="F877" s="3"/>
      <c r="G877" s="3"/>
      <c r="H877" s="3"/>
      <c r="I877" s="3"/>
      <c r="J877" s="3"/>
      <c r="K877" s="3"/>
      <c r="L877" s="3"/>
      <c r="M877" s="3"/>
      <c r="N877" s="3"/>
      <c r="O877" s="3"/>
      <c r="P877" s="3"/>
      <c r="Q877" s="36"/>
      <c r="R877" s="8"/>
      <c r="S877" s="36"/>
      <c r="T877" s="8"/>
      <c r="U877" s="109"/>
      <c r="V877" s="3"/>
      <c r="W877" s="3"/>
      <c r="X877" s="3"/>
      <c r="Y877" s="3"/>
      <c r="Z877" s="3"/>
      <c r="AA877" s="3"/>
      <c r="AB877" s="3"/>
      <c r="AC877" s="3"/>
      <c r="AD877" s="3"/>
      <c r="AE877" s="3"/>
    </row>
    <row r="878" spans="1:31" ht="20.25" customHeight="1">
      <c r="A878" s="3"/>
      <c r="B878" s="36"/>
      <c r="C878" s="163"/>
      <c r="D878" s="3"/>
      <c r="E878" s="3"/>
      <c r="F878" s="3"/>
      <c r="G878" s="3"/>
      <c r="H878" s="3"/>
      <c r="I878" s="3"/>
      <c r="J878" s="3"/>
      <c r="K878" s="3"/>
      <c r="L878" s="3"/>
      <c r="M878" s="3"/>
      <c r="N878" s="3"/>
      <c r="O878" s="3"/>
      <c r="P878" s="3"/>
      <c r="Q878" s="36"/>
      <c r="R878" s="8"/>
      <c r="S878" s="36"/>
      <c r="T878" s="8"/>
      <c r="U878" s="109"/>
      <c r="V878" s="3"/>
      <c r="W878" s="3"/>
      <c r="X878" s="3"/>
      <c r="Y878" s="3"/>
      <c r="Z878" s="3"/>
      <c r="AA878" s="3"/>
      <c r="AB878" s="3"/>
      <c r="AC878" s="3"/>
      <c r="AD878" s="3"/>
      <c r="AE878" s="3"/>
    </row>
    <row r="879" spans="1:31" ht="20.25" customHeight="1">
      <c r="A879" s="3"/>
      <c r="B879" s="36"/>
      <c r="C879" s="163"/>
      <c r="D879" s="3"/>
      <c r="E879" s="3"/>
      <c r="F879" s="3"/>
      <c r="G879" s="3"/>
      <c r="H879" s="3"/>
      <c r="I879" s="3"/>
      <c r="J879" s="3"/>
      <c r="K879" s="3"/>
      <c r="L879" s="3"/>
      <c r="M879" s="3"/>
      <c r="N879" s="3"/>
      <c r="O879" s="3"/>
      <c r="P879" s="3"/>
      <c r="Q879" s="36"/>
      <c r="R879" s="8"/>
      <c r="S879" s="36"/>
      <c r="T879" s="8"/>
      <c r="U879" s="109"/>
      <c r="V879" s="3"/>
      <c r="W879" s="3"/>
      <c r="X879" s="3"/>
      <c r="Y879" s="3"/>
      <c r="Z879" s="3"/>
      <c r="AA879" s="3"/>
      <c r="AB879" s="3"/>
      <c r="AC879" s="3"/>
      <c r="AD879" s="3"/>
      <c r="AE879" s="3"/>
    </row>
    <row r="880" spans="1:31" ht="20.25" customHeight="1">
      <c r="A880" s="3"/>
      <c r="B880" s="36"/>
      <c r="C880" s="163"/>
      <c r="D880" s="3"/>
      <c r="E880" s="3"/>
      <c r="F880" s="3"/>
      <c r="G880" s="3"/>
      <c r="H880" s="3"/>
      <c r="I880" s="3"/>
      <c r="J880" s="3"/>
      <c r="K880" s="3"/>
      <c r="L880" s="3"/>
      <c r="M880" s="3"/>
      <c r="N880" s="3"/>
      <c r="O880" s="3"/>
      <c r="P880" s="3"/>
      <c r="Q880" s="36"/>
      <c r="R880" s="8"/>
      <c r="S880" s="36"/>
      <c r="T880" s="8"/>
      <c r="U880" s="109"/>
      <c r="V880" s="3"/>
      <c r="W880" s="3"/>
      <c r="X880" s="3"/>
      <c r="Y880" s="3"/>
      <c r="Z880" s="3"/>
      <c r="AA880" s="3"/>
      <c r="AB880" s="3"/>
      <c r="AC880" s="3"/>
      <c r="AD880" s="3"/>
      <c r="AE880" s="3"/>
    </row>
    <row r="881" spans="1:31" ht="20.25" customHeight="1">
      <c r="A881" s="3"/>
      <c r="B881" s="36"/>
      <c r="C881" s="163"/>
      <c r="D881" s="3"/>
      <c r="E881" s="3"/>
      <c r="F881" s="3"/>
      <c r="G881" s="3"/>
      <c r="H881" s="3"/>
      <c r="I881" s="3"/>
      <c r="J881" s="3"/>
      <c r="K881" s="3"/>
      <c r="L881" s="3"/>
      <c r="M881" s="3"/>
      <c r="N881" s="3"/>
      <c r="O881" s="3"/>
      <c r="P881" s="3"/>
      <c r="Q881" s="36"/>
      <c r="R881" s="8"/>
      <c r="S881" s="36"/>
      <c r="T881" s="8"/>
      <c r="U881" s="109"/>
      <c r="V881" s="3"/>
      <c r="W881" s="3"/>
      <c r="X881" s="3"/>
      <c r="Y881" s="3"/>
      <c r="Z881" s="3"/>
      <c r="AA881" s="3"/>
      <c r="AB881" s="3"/>
      <c r="AC881" s="3"/>
      <c r="AD881" s="3"/>
      <c r="AE881" s="3"/>
    </row>
    <row r="882" spans="1:31" ht="20.25" customHeight="1">
      <c r="A882" s="3"/>
      <c r="B882" s="36"/>
      <c r="C882" s="163"/>
      <c r="D882" s="3"/>
      <c r="E882" s="3"/>
      <c r="F882" s="3"/>
      <c r="G882" s="3"/>
      <c r="H882" s="3"/>
      <c r="I882" s="3"/>
      <c r="J882" s="3"/>
      <c r="K882" s="3"/>
      <c r="L882" s="3"/>
      <c r="M882" s="3"/>
      <c r="N882" s="3"/>
      <c r="O882" s="3"/>
      <c r="P882" s="3"/>
      <c r="Q882" s="36"/>
      <c r="R882" s="8"/>
      <c r="S882" s="36"/>
      <c r="T882" s="8"/>
      <c r="U882" s="109"/>
      <c r="V882" s="3"/>
      <c r="W882" s="3"/>
      <c r="X882" s="3"/>
      <c r="Y882" s="3"/>
      <c r="Z882" s="3"/>
      <c r="AA882" s="3"/>
      <c r="AB882" s="3"/>
      <c r="AC882" s="3"/>
      <c r="AD882" s="3"/>
      <c r="AE882" s="3"/>
    </row>
    <row r="883" spans="1:31" ht="20.25" customHeight="1">
      <c r="A883" s="3"/>
      <c r="B883" s="36"/>
      <c r="C883" s="163"/>
      <c r="D883" s="3"/>
      <c r="E883" s="3"/>
      <c r="F883" s="3"/>
      <c r="G883" s="3"/>
      <c r="H883" s="3"/>
      <c r="I883" s="3"/>
      <c r="J883" s="3"/>
      <c r="K883" s="3"/>
      <c r="L883" s="3"/>
      <c r="M883" s="3"/>
      <c r="N883" s="3"/>
      <c r="O883" s="3"/>
      <c r="P883" s="3"/>
      <c r="Q883" s="36"/>
      <c r="R883" s="8"/>
      <c r="S883" s="36"/>
      <c r="T883" s="8"/>
      <c r="U883" s="109"/>
      <c r="V883" s="3"/>
      <c r="W883" s="3"/>
      <c r="X883" s="3"/>
      <c r="Y883" s="3"/>
      <c r="Z883" s="3"/>
      <c r="AA883" s="3"/>
      <c r="AB883" s="3"/>
      <c r="AC883" s="3"/>
      <c r="AD883" s="3"/>
      <c r="AE883" s="3"/>
    </row>
    <row r="884" spans="1:31" ht="20.25" customHeight="1">
      <c r="A884" s="3"/>
      <c r="B884" s="36"/>
      <c r="C884" s="163"/>
      <c r="D884" s="3"/>
      <c r="E884" s="3"/>
      <c r="F884" s="3"/>
      <c r="G884" s="3"/>
      <c r="H884" s="3"/>
      <c r="I884" s="3"/>
      <c r="J884" s="3"/>
      <c r="K884" s="3"/>
      <c r="L884" s="3"/>
      <c r="M884" s="3"/>
      <c r="N884" s="3"/>
      <c r="O884" s="3"/>
      <c r="P884" s="3"/>
      <c r="Q884" s="36"/>
      <c r="R884" s="8"/>
      <c r="S884" s="36"/>
      <c r="T884" s="8"/>
      <c r="U884" s="109"/>
      <c r="V884" s="3"/>
      <c r="W884" s="3"/>
      <c r="X884" s="3"/>
      <c r="Y884" s="3"/>
      <c r="Z884" s="3"/>
      <c r="AA884" s="3"/>
      <c r="AB884" s="3"/>
      <c r="AC884" s="3"/>
      <c r="AD884" s="3"/>
      <c r="AE884" s="3"/>
    </row>
    <row r="885" spans="1:31" ht="20.25" customHeight="1">
      <c r="A885" s="3"/>
      <c r="B885" s="36"/>
      <c r="C885" s="163"/>
      <c r="D885" s="3"/>
      <c r="E885" s="3"/>
      <c r="F885" s="3"/>
      <c r="G885" s="3"/>
      <c r="H885" s="3"/>
      <c r="I885" s="3"/>
      <c r="J885" s="3"/>
      <c r="K885" s="3"/>
      <c r="L885" s="3"/>
      <c r="M885" s="3"/>
      <c r="N885" s="3"/>
      <c r="O885" s="3"/>
      <c r="P885" s="3"/>
      <c r="Q885" s="36"/>
      <c r="R885" s="8"/>
      <c r="S885" s="36"/>
      <c r="T885" s="8"/>
      <c r="U885" s="109"/>
      <c r="V885" s="3"/>
      <c r="W885" s="3"/>
      <c r="X885" s="3"/>
      <c r="Y885" s="3"/>
      <c r="Z885" s="3"/>
      <c r="AA885" s="3"/>
      <c r="AB885" s="3"/>
      <c r="AC885" s="3"/>
      <c r="AD885" s="3"/>
      <c r="AE885" s="3"/>
    </row>
    <row r="886" spans="1:31" ht="20.25" customHeight="1">
      <c r="A886" s="3"/>
      <c r="B886" s="36"/>
      <c r="C886" s="163"/>
      <c r="D886" s="3"/>
      <c r="E886" s="3"/>
      <c r="F886" s="3"/>
      <c r="G886" s="3"/>
      <c r="H886" s="3"/>
      <c r="I886" s="3"/>
      <c r="J886" s="3"/>
      <c r="K886" s="3"/>
      <c r="L886" s="3"/>
      <c r="M886" s="3"/>
      <c r="N886" s="3"/>
      <c r="O886" s="3"/>
      <c r="P886" s="3"/>
      <c r="Q886" s="36"/>
      <c r="R886" s="8"/>
      <c r="S886" s="36"/>
      <c r="T886" s="8"/>
      <c r="U886" s="109"/>
      <c r="V886" s="3"/>
      <c r="W886" s="3"/>
      <c r="X886" s="3"/>
      <c r="Y886" s="3"/>
      <c r="Z886" s="3"/>
      <c r="AA886" s="3"/>
      <c r="AB886" s="3"/>
      <c r="AC886" s="3"/>
      <c r="AD886" s="3"/>
      <c r="AE886" s="3"/>
    </row>
    <row r="887" spans="1:31" ht="20.25" customHeight="1">
      <c r="A887" s="3"/>
      <c r="B887" s="36"/>
      <c r="C887" s="163"/>
      <c r="D887" s="3"/>
      <c r="E887" s="3"/>
      <c r="F887" s="3"/>
      <c r="G887" s="3"/>
      <c r="H887" s="3"/>
      <c r="I887" s="3"/>
      <c r="J887" s="3"/>
      <c r="K887" s="3"/>
      <c r="L887" s="3"/>
      <c r="M887" s="3"/>
      <c r="N887" s="3"/>
      <c r="O887" s="3"/>
      <c r="P887" s="3"/>
      <c r="Q887" s="36"/>
      <c r="R887" s="8"/>
      <c r="S887" s="36"/>
      <c r="T887" s="8"/>
      <c r="U887" s="109"/>
      <c r="V887" s="3"/>
      <c r="W887" s="3"/>
      <c r="X887" s="3"/>
      <c r="Y887" s="3"/>
      <c r="Z887" s="3"/>
      <c r="AA887" s="3"/>
      <c r="AB887" s="3"/>
      <c r="AC887" s="3"/>
      <c r="AD887" s="3"/>
      <c r="AE887" s="3"/>
    </row>
    <row r="888" spans="1:31" ht="20.25" customHeight="1">
      <c r="A888" s="3"/>
      <c r="B888" s="36"/>
      <c r="C888" s="163"/>
      <c r="D888" s="3"/>
      <c r="E888" s="3"/>
      <c r="F888" s="3"/>
      <c r="G888" s="3"/>
      <c r="H888" s="3"/>
      <c r="I888" s="3"/>
      <c r="J888" s="3"/>
      <c r="K888" s="3"/>
      <c r="L888" s="3"/>
      <c r="M888" s="3"/>
      <c r="N888" s="3"/>
      <c r="O888" s="3"/>
      <c r="P888" s="3"/>
      <c r="Q888" s="36"/>
      <c r="R888" s="8"/>
      <c r="S888" s="36"/>
      <c r="T888" s="8"/>
      <c r="U888" s="109"/>
      <c r="V888" s="3"/>
      <c r="W888" s="3"/>
      <c r="X888" s="3"/>
      <c r="Y888" s="3"/>
      <c r="Z888" s="3"/>
      <c r="AA888" s="3"/>
      <c r="AB888" s="3"/>
      <c r="AC888" s="3"/>
      <c r="AD888" s="3"/>
      <c r="AE888" s="3"/>
    </row>
    <row r="889" spans="1:31" ht="20.25" customHeight="1">
      <c r="A889" s="3"/>
      <c r="B889" s="36"/>
      <c r="C889" s="163"/>
      <c r="D889" s="3"/>
      <c r="E889" s="3"/>
      <c r="F889" s="3"/>
      <c r="G889" s="3"/>
      <c r="H889" s="3"/>
      <c r="I889" s="3"/>
      <c r="J889" s="3"/>
      <c r="K889" s="3"/>
      <c r="L889" s="3"/>
      <c r="M889" s="3"/>
      <c r="N889" s="3"/>
      <c r="O889" s="3"/>
      <c r="P889" s="3"/>
      <c r="Q889" s="36"/>
      <c r="R889" s="8"/>
      <c r="S889" s="36"/>
      <c r="T889" s="8"/>
      <c r="U889" s="109"/>
      <c r="V889" s="3"/>
      <c r="W889" s="3"/>
      <c r="X889" s="3"/>
      <c r="Y889" s="3"/>
      <c r="Z889" s="3"/>
      <c r="AA889" s="3"/>
      <c r="AB889" s="3"/>
      <c r="AC889" s="3"/>
      <c r="AD889" s="3"/>
      <c r="AE889" s="3"/>
    </row>
    <row r="890" spans="1:31" ht="20.25" customHeight="1">
      <c r="A890" s="3"/>
      <c r="B890" s="36"/>
      <c r="C890" s="163"/>
      <c r="D890" s="3"/>
      <c r="E890" s="3"/>
      <c r="F890" s="3"/>
      <c r="G890" s="3"/>
      <c r="H890" s="3"/>
      <c r="I890" s="3"/>
      <c r="J890" s="3"/>
      <c r="K890" s="3"/>
      <c r="L890" s="3"/>
      <c r="M890" s="3"/>
      <c r="N890" s="3"/>
      <c r="O890" s="3"/>
      <c r="P890" s="3"/>
      <c r="Q890" s="36"/>
      <c r="R890" s="8"/>
      <c r="S890" s="36"/>
      <c r="T890" s="8"/>
      <c r="U890" s="109"/>
      <c r="V890" s="3"/>
      <c r="W890" s="3"/>
      <c r="X890" s="3"/>
      <c r="Y890" s="3"/>
      <c r="Z890" s="3"/>
      <c r="AA890" s="3"/>
      <c r="AB890" s="3"/>
      <c r="AC890" s="3"/>
      <c r="AD890" s="3"/>
      <c r="AE890" s="3"/>
    </row>
    <row r="891" spans="1:31" ht="20.25" customHeight="1">
      <c r="A891" s="3"/>
      <c r="B891" s="36"/>
      <c r="C891" s="163"/>
      <c r="D891" s="3"/>
      <c r="E891" s="3"/>
      <c r="F891" s="3"/>
      <c r="G891" s="3"/>
      <c r="H891" s="3"/>
      <c r="I891" s="3"/>
      <c r="J891" s="3"/>
      <c r="K891" s="3"/>
      <c r="L891" s="3"/>
      <c r="M891" s="3"/>
      <c r="N891" s="3"/>
      <c r="O891" s="3"/>
      <c r="P891" s="3"/>
      <c r="Q891" s="36"/>
      <c r="R891" s="8"/>
      <c r="S891" s="36"/>
      <c r="T891" s="8"/>
      <c r="U891" s="109"/>
      <c r="V891" s="3"/>
      <c r="W891" s="3"/>
      <c r="X891" s="3"/>
      <c r="Y891" s="3"/>
      <c r="Z891" s="3"/>
      <c r="AA891" s="3"/>
      <c r="AB891" s="3"/>
      <c r="AC891" s="3"/>
      <c r="AD891" s="3"/>
      <c r="AE891" s="3"/>
    </row>
    <row r="892" spans="1:31" ht="20.25" customHeight="1">
      <c r="A892" s="3"/>
      <c r="B892" s="36"/>
      <c r="C892" s="163"/>
      <c r="D892" s="3"/>
      <c r="E892" s="3"/>
      <c r="F892" s="3"/>
      <c r="G892" s="3"/>
      <c r="H892" s="3"/>
      <c r="I892" s="3"/>
      <c r="J892" s="3"/>
      <c r="K892" s="3"/>
      <c r="L892" s="3"/>
      <c r="M892" s="3"/>
      <c r="N892" s="3"/>
      <c r="O892" s="3"/>
      <c r="P892" s="3"/>
      <c r="Q892" s="36"/>
      <c r="R892" s="8"/>
      <c r="S892" s="36"/>
      <c r="T892" s="8"/>
      <c r="U892" s="109"/>
      <c r="V892" s="3"/>
      <c r="W892" s="3"/>
      <c r="X892" s="3"/>
      <c r="Y892" s="3"/>
      <c r="Z892" s="3"/>
      <c r="AA892" s="3"/>
      <c r="AB892" s="3"/>
      <c r="AC892" s="3"/>
      <c r="AD892" s="3"/>
      <c r="AE892" s="3"/>
    </row>
    <row r="893" spans="1:31" ht="20.25" customHeight="1">
      <c r="A893" s="3"/>
      <c r="B893" s="36"/>
      <c r="C893" s="163"/>
      <c r="D893" s="3"/>
      <c r="E893" s="3"/>
      <c r="F893" s="3"/>
      <c r="G893" s="3"/>
      <c r="H893" s="3"/>
      <c r="I893" s="3"/>
      <c r="J893" s="3"/>
      <c r="K893" s="3"/>
      <c r="L893" s="3"/>
      <c r="M893" s="3"/>
      <c r="N893" s="3"/>
      <c r="O893" s="3"/>
      <c r="P893" s="3"/>
      <c r="Q893" s="36"/>
      <c r="R893" s="8"/>
      <c r="S893" s="36"/>
      <c r="T893" s="8"/>
      <c r="U893" s="109"/>
      <c r="V893" s="3"/>
      <c r="W893" s="3"/>
      <c r="X893" s="3"/>
      <c r="Y893" s="3"/>
      <c r="Z893" s="3"/>
      <c r="AA893" s="3"/>
      <c r="AB893" s="3"/>
      <c r="AC893" s="3"/>
      <c r="AD893" s="3"/>
      <c r="AE893" s="3"/>
    </row>
    <row r="894" spans="1:31" ht="20.25" customHeight="1">
      <c r="A894" s="3"/>
      <c r="B894" s="36"/>
      <c r="C894" s="163"/>
      <c r="D894" s="3"/>
      <c r="E894" s="3"/>
      <c r="F894" s="3"/>
      <c r="G894" s="3"/>
      <c r="H894" s="3"/>
      <c r="I894" s="3"/>
      <c r="J894" s="3"/>
      <c r="K894" s="3"/>
      <c r="L894" s="3"/>
      <c r="M894" s="3"/>
      <c r="N894" s="3"/>
      <c r="O894" s="3"/>
      <c r="P894" s="3"/>
      <c r="Q894" s="36"/>
      <c r="R894" s="8"/>
      <c r="S894" s="36"/>
      <c r="T894" s="8"/>
      <c r="U894" s="109"/>
      <c r="V894" s="3"/>
      <c r="W894" s="3"/>
      <c r="X894" s="3"/>
      <c r="Y894" s="3"/>
      <c r="Z894" s="3"/>
      <c r="AA894" s="3"/>
      <c r="AB894" s="3"/>
      <c r="AC894" s="3"/>
      <c r="AD894" s="3"/>
      <c r="AE894" s="3"/>
    </row>
    <row r="895" spans="1:31" ht="20.25" customHeight="1">
      <c r="A895" s="3"/>
      <c r="B895" s="36"/>
      <c r="C895" s="163"/>
      <c r="D895" s="3"/>
      <c r="E895" s="3"/>
      <c r="F895" s="3"/>
      <c r="G895" s="3"/>
      <c r="H895" s="3"/>
      <c r="I895" s="3"/>
      <c r="J895" s="3"/>
      <c r="K895" s="3"/>
      <c r="L895" s="3"/>
      <c r="M895" s="3"/>
      <c r="N895" s="3"/>
      <c r="O895" s="3"/>
      <c r="P895" s="3"/>
      <c r="Q895" s="36"/>
      <c r="R895" s="8"/>
      <c r="S895" s="36"/>
      <c r="T895" s="8"/>
      <c r="U895" s="109"/>
      <c r="V895" s="3"/>
      <c r="W895" s="3"/>
      <c r="X895" s="3"/>
      <c r="Y895" s="3"/>
      <c r="Z895" s="3"/>
      <c r="AA895" s="3"/>
      <c r="AB895" s="3"/>
      <c r="AC895" s="3"/>
      <c r="AD895" s="3"/>
      <c r="AE895" s="3"/>
    </row>
    <row r="896" spans="1:31" ht="20.25" customHeight="1">
      <c r="A896" s="3"/>
      <c r="B896" s="36"/>
      <c r="C896" s="163"/>
      <c r="D896" s="3"/>
      <c r="E896" s="3"/>
      <c r="F896" s="3"/>
      <c r="G896" s="3"/>
      <c r="H896" s="3"/>
      <c r="I896" s="3"/>
      <c r="J896" s="3"/>
      <c r="K896" s="3"/>
      <c r="L896" s="3"/>
      <c r="M896" s="3"/>
      <c r="N896" s="3"/>
      <c r="O896" s="3"/>
      <c r="P896" s="3"/>
      <c r="Q896" s="36"/>
      <c r="R896" s="8"/>
      <c r="S896" s="36"/>
      <c r="T896" s="8"/>
      <c r="U896" s="109"/>
      <c r="V896" s="3"/>
      <c r="W896" s="3"/>
      <c r="X896" s="3"/>
      <c r="Y896" s="3"/>
      <c r="Z896" s="3"/>
      <c r="AA896" s="3"/>
      <c r="AB896" s="3"/>
      <c r="AC896" s="3"/>
      <c r="AD896" s="3"/>
      <c r="AE896" s="3"/>
    </row>
    <row r="897" spans="1:31" ht="20.25" customHeight="1">
      <c r="A897" s="3"/>
      <c r="B897" s="36"/>
      <c r="C897" s="163"/>
      <c r="D897" s="3"/>
      <c r="E897" s="3"/>
      <c r="F897" s="3"/>
      <c r="G897" s="3"/>
      <c r="H897" s="3"/>
      <c r="I897" s="3"/>
      <c r="J897" s="3"/>
      <c r="K897" s="3"/>
      <c r="L897" s="3"/>
      <c r="M897" s="3"/>
      <c r="N897" s="3"/>
      <c r="O897" s="3"/>
      <c r="P897" s="3"/>
      <c r="Q897" s="36"/>
      <c r="R897" s="8"/>
      <c r="S897" s="36"/>
      <c r="T897" s="8"/>
      <c r="U897" s="109"/>
      <c r="V897" s="3"/>
      <c r="W897" s="3"/>
      <c r="X897" s="3"/>
      <c r="Y897" s="3"/>
      <c r="Z897" s="3"/>
      <c r="AA897" s="3"/>
      <c r="AB897" s="3"/>
      <c r="AC897" s="3"/>
      <c r="AD897" s="3"/>
      <c r="AE897" s="3"/>
    </row>
    <row r="898" spans="1:31" ht="20.25" customHeight="1">
      <c r="A898" s="3"/>
      <c r="B898" s="36"/>
      <c r="C898" s="163"/>
      <c r="D898" s="3"/>
      <c r="E898" s="3"/>
      <c r="F898" s="3"/>
      <c r="G898" s="3"/>
      <c r="H898" s="3"/>
      <c r="I898" s="3"/>
      <c r="J898" s="3"/>
      <c r="K898" s="3"/>
      <c r="L898" s="3"/>
      <c r="M898" s="3"/>
      <c r="N898" s="3"/>
      <c r="O898" s="3"/>
      <c r="P898" s="3"/>
      <c r="Q898" s="36"/>
      <c r="R898" s="8"/>
      <c r="S898" s="36"/>
      <c r="T898" s="8"/>
      <c r="U898" s="109"/>
      <c r="V898" s="3"/>
      <c r="W898" s="3"/>
      <c r="X898" s="3"/>
      <c r="Y898" s="3"/>
      <c r="Z898" s="3"/>
      <c r="AA898" s="3"/>
      <c r="AB898" s="3"/>
      <c r="AC898" s="3"/>
      <c r="AD898" s="3"/>
      <c r="AE898" s="3"/>
    </row>
    <row r="899" spans="1:31" ht="20.25" customHeight="1">
      <c r="A899" s="3"/>
      <c r="B899" s="36"/>
      <c r="C899" s="163"/>
      <c r="D899" s="3"/>
      <c r="E899" s="3"/>
      <c r="F899" s="3"/>
      <c r="G899" s="3"/>
      <c r="H899" s="3"/>
      <c r="I899" s="3"/>
      <c r="J899" s="3"/>
      <c r="K899" s="3"/>
      <c r="L899" s="3"/>
      <c r="M899" s="3"/>
      <c r="N899" s="3"/>
      <c r="O899" s="3"/>
      <c r="P899" s="3"/>
      <c r="Q899" s="36"/>
      <c r="R899" s="8"/>
      <c r="S899" s="36"/>
      <c r="T899" s="8"/>
      <c r="U899" s="109"/>
      <c r="V899" s="3"/>
      <c r="W899" s="3"/>
      <c r="X899" s="3"/>
      <c r="Y899" s="3"/>
      <c r="Z899" s="3"/>
      <c r="AA899" s="3"/>
      <c r="AB899" s="3"/>
      <c r="AC899" s="3"/>
      <c r="AD899" s="3"/>
      <c r="AE899" s="3"/>
    </row>
    <row r="900" spans="1:31" ht="20.25" customHeight="1">
      <c r="A900" s="3"/>
      <c r="B900" s="36"/>
      <c r="C900" s="163"/>
      <c r="D900" s="3"/>
      <c r="E900" s="3"/>
      <c r="F900" s="3"/>
      <c r="G900" s="3"/>
      <c r="H900" s="3"/>
      <c r="I900" s="3"/>
      <c r="J900" s="3"/>
      <c r="K900" s="3"/>
      <c r="L900" s="3"/>
      <c r="M900" s="3"/>
      <c r="N900" s="3"/>
      <c r="O900" s="3"/>
      <c r="P900" s="3"/>
      <c r="Q900" s="36"/>
      <c r="R900" s="8"/>
      <c r="S900" s="36"/>
      <c r="T900" s="8"/>
      <c r="U900" s="109"/>
      <c r="V900" s="3"/>
      <c r="W900" s="3"/>
      <c r="X900" s="3"/>
      <c r="Y900" s="3"/>
      <c r="Z900" s="3"/>
      <c r="AA900" s="3"/>
      <c r="AB900" s="3"/>
      <c r="AC900" s="3"/>
      <c r="AD900" s="3"/>
      <c r="AE900" s="3"/>
    </row>
    <row r="901" spans="1:31" ht="20.25" customHeight="1">
      <c r="A901" s="3"/>
      <c r="B901" s="36"/>
      <c r="C901" s="163"/>
      <c r="D901" s="3"/>
      <c r="E901" s="3"/>
      <c r="F901" s="3"/>
      <c r="G901" s="3"/>
      <c r="H901" s="3"/>
      <c r="I901" s="3"/>
      <c r="J901" s="3"/>
      <c r="K901" s="3"/>
      <c r="L901" s="3"/>
      <c r="M901" s="3"/>
      <c r="N901" s="3"/>
      <c r="O901" s="3"/>
      <c r="P901" s="3"/>
      <c r="Q901" s="36"/>
      <c r="R901" s="8"/>
      <c r="S901" s="36"/>
      <c r="T901" s="8"/>
      <c r="U901" s="109"/>
      <c r="V901" s="3"/>
      <c r="W901" s="3"/>
      <c r="X901" s="3"/>
      <c r="Y901" s="3"/>
      <c r="Z901" s="3"/>
      <c r="AA901" s="3"/>
      <c r="AB901" s="3"/>
      <c r="AC901" s="3"/>
      <c r="AD901" s="3"/>
      <c r="AE901" s="3"/>
    </row>
    <row r="902" spans="1:31" ht="20.25" customHeight="1">
      <c r="A902" s="3"/>
      <c r="B902" s="36"/>
      <c r="C902" s="163"/>
      <c r="D902" s="3"/>
      <c r="E902" s="3"/>
      <c r="F902" s="3"/>
      <c r="G902" s="3"/>
      <c r="H902" s="3"/>
      <c r="I902" s="3"/>
      <c r="J902" s="3"/>
      <c r="K902" s="3"/>
      <c r="L902" s="3"/>
      <c r="M902" s="3"/>
      <c r="N902" s="3"/>
      <c r="O902" s="3"/>
      <c r="P902" s="3"/>
      <c r="Q902" s="36"/>
      <c r="R902" s="8"/>
      <c r="S902" s="36"/>
      <c r="T902" s="8"/>
      <c r="U902" s="109"/>
      <c r="V902" s="3"/>
      <c r="W902" s="3"/>
      <c r="X902" s="3"/>
      <c r="Y902" s="3"/>
      <c r="Z902" s="3"/>
      <c r="AA902" s="3"/>
      <c r="AB902" s="3"/>
      <c r="AC902" s="3"/>
      <c r="AD902" s="3"/>
      <c r="AE902" s="3"/>
    </row>
    <row r="903" spans="1:31" ht="20.25" customHeight="1">
      <c r="A903" s="3"/>
      <c r="B903" s="36"/>
      <c r="C903" s="163"/>
      <c r="D903" s="3"/>
      <c r="E903" s="3"/>
      <c r="F903" s="3"/>
      <c r="G903" s="3"/>
      <c r="H903" s="3"/>
      <c r="I903" s="3"/>
      <c r="J903" s="3"/>
      <c r="K903" s="3"/>
      <c r="L903" s="3"/>
      <c r="M903" s="3"/>
      <c r="N903" s="3"/>
      <c r="O903" s="3"/>
      <c r="P903" s="3"/>
      <c r="Q903" s="36"/>
      <c r="R903" s="8"/>
      <c r="S903" s="36"/>
      <c r="T903" s="8"/>
      <c r="U903" s="109"/>
      <c r="V903" s="3"/>
      <c r="W903" s="3"/>
      <c r="X903" s="3"/>
      <c r="Y903" s="3"/>
      <c r="Z903" s="3"/>
      <c r="AA903" s="3"/>
      <c r="AB903" s="3"/>
      <c r="AC903" s="3"/>
      <c r="AD903" s="3"/>
      <c r="AE903" s="3"/>
    </row>
    <row r="904" spans="1:31" ht="20.25" customHeight="1">
      <c r="A904" s="3"/>
      <c r="B904" s="36"/>
      <c r="C904" s="163"/>
      <c r="D904" s="3"/>
      <c r="E904" s="3"/>
      <c r="F904" s="3"/>
      <c r="G904" s="3"/>
      <c r="H904" s="3"/>
      <c r="I904" s="3"/>
      <c r="J904" s="3"/>
      <c r="K904" s="3"/>
      <c r="L904" s="3"/>
      <c r="M904" s="3"/>
      <c r="N904" s="3"/>
      <c r="O904" s="3"/>
      <c r="P904" s="3"/>
      <c r="Q904" s="36"/>
      <c r="R904" s="8"/>
      <c r="S904" s="36"/>
      <c r="T904" s="8"/>
      <c r="U904" s="109"/>
      <c r="V904" s="3"/>
      <c r="W904" s="3"/>
      <c r="X904" s="3"/>
      <c r="Y904" s="3"/>
      <c r="Z904" s="3"/>
      <c r="AA904" s="3"/>
      <c r="AB904" s="3"/>
      <c r="AC904" s="3"/>
      <c r="AD904" s="3"/>
      <c r="AE904" s="3"/>
    </row>
    <row r="905" spans="1:31" ht="20.25" customHeight="1">
      <c r="A905" s="3"/>
      <c r="B905" s="36"/>
      <c r="C905" s="163"/>
      <c r="D905" s="3"/>
      <c r="E905" s="3"/>
      <c r="F905" s="3"/>
      <c r="G905" s="3"/>
      <c r="H905" s="3"/>
      <c r="I905" s="3"/>
      <c r="J905" s="3"/>
      <c r="K905" s="3"/>
      <c r="L905" s="3"/>
      <c r="M905" s="3"/>
      <c r="N905" s="3"/>
      <c r="O905" s="3"/>
      <c r="P905" s="3"/>
      <c r="Q905" s="36"/>
      <c r="R905" s="8"/>
      <c r="S905" s="36"/>
      <c r="T905" s="8"/>
      <c r="U905" s="109"/>
      <c r="V905" s="3"/>
      <c r="W905" s="3"/>
      <c r="X905" s="3"/>
      <c r="Y905" s="3"/>
      <c r="Z905" s="3"/>
      <c r="AA905" s="3"/>
      <c r="AB905" s="3"/>
      <c r="AC905" s="3"/>
      <c r="AD905" s="3"/>
      <c r="AE905" s="3"/>
    </row>
    <row r="906" spans="1:31" ht="20.25" customHeight="1">
      <c r="A906" s="3"/>
      <c r="B906" s="36"/>
      <c r="C906" s="163"/>
      <c r="D906" s="3"/>
      <c r="E906" s="3"/>
      <c r="F906" s="3"/>
      <c r="G906" s="3"/>
      <c r="H906" s="3"/>
      <c r="I906" s="3"/>
      <c r="J906" s="3"/>
      <c r="K906" s="3"/>
      <c r="L906" s="3"/>
      <c r="M906" s="3"/>
      <c r="N906" s="3"/>
      <c r="O906" s="3"/>
      <c r="P906" s="3"/>
      <c r="Q906" s="36"/>
      <c r="R906" s="8"/>
      <c r="S906" s="36"/>
      <c r="T906" s="8"/>
      <c r="U906" s="109"/>
      <c r="V906" s="3"/>
      <c r="W906" s="3"/>
      <c r="X906" s="3"/>
      <c r="Y906" s="3"/>
      <c r="Z906" s="3"/>
      <c r="AA906" s="3"/>
      <c r="AB906" s="3"/>
      <c r="AC906" s="3"/>
      <c r="AD906" s="3"/>
      <c r="AE906" s="3"/>
    </row>
    <row r="907" spans="1:31" ht="20.25" customHeight="1">
      <c r="A907" s="3"/>
      <c r="B907" s="36"/>
      <c r="C907" s="163"/>
      <c r="D907" s="3"/>
      <c r="E907" s="3"/>
      <c r="F907" s="3"/>
      <c r="G907" s="3"/>
      <c r="H907" s="3"/>
      <c r="I907" s="3"/>
      <c r="J907" s="3"/>
      <c r="K907" s="3"/>
      <c r="L907" s="3"/>
      <c r="M907" s="3"/>
      <c r="N907" s="3"/>
      <c r="O907" s="3"/>
      <c r="P907" s="3"/>
      <c r="Q907" s="36"/>
      <c r="R907" s="8"/>
      <c r="S907" s="36"/>
      <c r="T907" s="8"/>
      <c r="U907" s="109"/>
      <c r="V907" s="3"/>
      <c r="W907" s="3"/>
      <c r="X907" s="3"/>
      <c r="Y907" s="3"/>
      <c r="Z907" s="3"/>
      <c r="AA907" s="3"/>
      <c r="AB907" s="3"/>
      <c r="AC907" s="3"/>
      <c r="AD907" s="3"/>
      <c r="AE907" s="3"/>
    </row>
    <row r="908" spans="1:31" ht="20.25" customHeight="1">
      <c r="A908" s="3"/>
      <c r="B908" s="36"/>
      <c r="C908" s="163"/>
      <c r="D908" s="3"/>
      <c r="E908" s="3"/>
      <c r="F908" s="3"/>
      <c r="G908" s="3"/>
      <c r="H908" s="3"/>
      <c r="I908" s="3"/>
      <c r="J908" s="3"/>
      <c r="K908" s="3"/>
      <c r="L908" s="3"/>
      <c r="M908" s="3"/>
      <c r="N908" s="3"/>
      <c r="O908" s="3"/>
      <c r="P908" s="3"/>
      <c r="Q908" s="36"/>
      <c r="R908" s="8"/>
      <c r="S908" s="36"/>
      <c r="T908" s="8"/>
      <c r="U908" s="109"/>
      <c r="V908" s="3"/>
      <c r="W908" s="3"/>
      <c r="X908" s="3"/>
      <c r="Y908" s="3"/>
      <c r="Z908" s="3"/>
      <c r="AA908" s="3"/>
      <c r="AB908" s="3"/>
      <c r="AC908" s="3"/>
      <c r="AD908" s="3"/>
      <c r="AE908" s="3"/>
    </row>
    <row r="909" spans="1:31" ht="20.25" customHeight="1">
      <c r="A909" s="3"/>
      <c r="B909" s="36"/>
      <c r="C909" s="163"/>
      <c r="D909" s="3"/>
      <c r="E909" s="3"/>
      <c r="F909" s="3"/>
      <c r="G909" s="3"/>
      <c r="H909" s="3"/>
      <c r="I909" s="3"/>
      <c r="J909" s="3"/>
      <c r="K909" s="3"/>
      <c r="L909" s="3"/>
      <c r="M909" s="3"/>
      <c r="N909" s="3"/>
      <c r="O909" s="3"/>
      <c r="P909" s="3"/>
      <c r="Q909" s="36"/>
      <c r="R909" s="8"/>
      <c r="S909" s="36"/>
      <c r="T909" s="8"/>
      <c r="U909" s="109"/>
      <c r="V909" s="3"/>
      <c r="W909" s="3"/>
      <c r="X909" s="3"/>
      <c r="Y909" s="3"/>
      <c r="Z909" s="3"/>
      <c r="AA909" s="3"/>
      <c r="AB909" s="3"/>
      <c r="AC909" s="3"/>
      <c r="AD909" s="3"/>
      <c r="AE909" s="3"/>
    </row>
    <row r="910" spans="1:31" ht="20.25" customHeight="1">
      <c r="A910" s="3"/>
      <c r="B910" s="36"/>
      <c r="C910" s="163"/>
      <c r="D910" s="3"/>
      <c r="E910" s="3"/>
      <c r="F910" s="3"/>
      <c r="G910" s="3"/>
      <c r="H910" s="3"/>
      <c r="I910" s="3"/>
      <c r="J910" s="3"/>
      <c r="K910" s="3"/>
      <c r="L910" s="3"/>
      <c r="M910" s="3"/>
      <c r="N910" s="3"/>
      <c r="O910" s="3"/>
      <c r="P910" s="3"/>
      <c r="Q910" s="36"/>
      <c r="R910" s="8"/>
      <c r="S910" s="36"/>
      <c r="T910" s="8"/>
      <c r="U910" s="109"/>
      <c r="V910" s="3"/>
      <c r="W910" s="3"/>
      <c r="X910" s="3"/>
      <c r="Y910" s="3"/>
      <c r="Z910" s="3"/>
      <c r="AA910" s="3"/>
      <c r="AB910" s="3"/>
      <c r="AC910" s="3"/>
      <c r="AD910" s="3"/>
      <c r="AE910" s="3"/>
    </row>
    <row r="911" spans="1:31" ht="20.25" customHeight="1">
      <c r="A911" s="3"/>
      <c r="B911" s="36"/>
      <c r="C911" s="163"/>
      <c r="D911" s="3"/>
      <c r="E911" s="3"/>
      <c r="F911" s="3"/>
      <c r="G911" s="3"/>
      <c r="H911" s="3"/>
      <c r="I911" s="3"/>
      <c r="J911" s="3"/>
      <c r="K911" s="3"/>
      <c r="L911" s="3"/>
      <c r="M911" s="3"/>
      <c r="N911" s="3"/>
      <c r="O911" s="3"/>
      <c r="P911" s="3"/>
      <c r="Q911" s="36"/>
      <c r="R911" s="8"/>
      <c r="S911" s="36"/>
      <c r="T911" s="8"/>
      <c r="U911" s="109"/>
      <c r="V911" s="3"/>
      <c r="W911" s="3"/>
      <c r="X911" s="3"/>
      <c r="Y911" s="3"/>
      <c r="Z911" s="3"/>
      <c r="AA911" s="3"/>
      <c r="AB911" s="3"/>
      <c r="AC911" s="3"/>
      <c r="AD911" s="3"/>
      <c r="AE911" s="3"/>
    </row>
    <row r="912" spans="1:31" ht="20.25" customHeight="1">
      <c r="A912" s="3"/>
      <c r="B912" s="36"/>
      <c r="C912" s="163"/>
      <c r="D912" s="3"/>
      <c r="E912" s="3"/>
      <c r="F912" s="3"/>
      <c r="G912" s="3"/>
      <c r="H912" s="3"/>
      <c r="I912" s="3"/>
      <c r="J912" s="3"/>
      <c r="K912" s="3"/>
      <c r="L912" s="3"/>
      <c r="M912" s="3"/>
      <c r="N912" s="3"/>
      <c r="O912" s="3"/>
      <c r="P912" s="3"/>
      <c r="Q912" s="36"/>
      <c r="R912" s="8"/>
      <c r="S912" s="36"/>
      <c r="T912" s="8"/>
      <c r="U912" s="109"/>
      <c r="V912" s="3"/>
      <c r="W912" s="3"/>
      <c r="X912" s="3"/>
      <c r="Y912" s="3"/>
      <c r="Z912" s="3"/>
      <c r="AA912" s="3"/>
      <c r="AB912" s="3"/>
      <c r="AC912" s="3"/>
      <c r="AD912" s="3"/>
      <c r="AE912" s="3"/>
    </row>
    <row r="913" spans="1:31" ht="20.25" customHeight="1">
      <c r="A913" s="3"/>
      <c r="B913" s="36"/>
      <c r="C913" s="163"/>
      <c r="D913" s="3"/>
      <c r="E913" s="3"/>
      <c r="F913" s="3"/>
      <c r="G913" s="3"/>
      <c r="H913" s="3"/>
      <c r="I913" s="3"/>
      <c r="J913" s="3"/>
      <c r="K913" s="3"/>
      <c r="L913" s="3"/>
      <c r="M913" s="3"/>
      <c r="N913" s="3"/>
      <c r="O913" s="3"/>
      <c r="P913" s="3"/>
      <c r="Q913" s="36"/>
      <c r="R913" s="8"/>
      <c r="S913" s="36"/>
      <c r="T913" s="8"/>
      <c r="U913" s="109"/>
      <c r="V913" s="3"/>
      <c r="W913" s="3"/>
      <c r="X913" s="3"/>
      <c r="Y913" s="3"/>
      <c r="Z913" s="3"/>
      <c r="AA913" s="3"/>
      <c r="AB913" s="3"/>
      <c r="AC913" s="3"/>
      <c r="AD913" s="3"/>
      <c r="AE913" s="3"/>
    </row>
    <row r="914" spans="1:31" ht="20.25" customHeight="1">
      <c r="A914" s="3"/>
      <c r="B914" s="36"/>
      <c r="C914" s="163"/>
      <c r="D914" s="3"/>
      <c r="E914" s="3"/>
      <c r="F914" s="3"/>
      <c r="G914" s="3"/>
      <c r="H914" s="3"/>
      <c r="I914" s="3"/>
      <c r="J914" s="3"/>
      <c r="K914" s="3"/>
      <c r="L914" s="3"/>
      <c r="M914" s="3"/>
      <c r="N914" s="3"/>
      <c r="O914" s="3"/>
      <c r="P914" s="3"/>
      <c r="Q914" s="36"/>
      <c r="R914" s="8"/>
      <c r="S914" s="36"/>
      <c r="T914" s="8"/>
      <c r="U914" s="109"/>
      <c r="V914" s="3"/>
      <c r="W914" s="3"/>
      <c r="X914" s="3"/>
      <c r="Y914" s="3"/>
      <c r="Z914" s="3"/>
      <c r="AA914" s="3"/>
      <c r="AB914" s="3"/>
      <c r="AC914" s="3"/>
      <c r="AD914" s="3"/>
      <c r="AE914" s="3"/>
    </row>
    <row r="915" spans="1:31" ht="20.25" customHeight="1">
      <c r="A915" s="3"/>
      <c r="B915" s="36"/>
      <c r="C915" s="163"/>
      <c r="D915" s="3"/>
      <c r="E915" s="3"/>
      <c r="F915" s="3"/>
      <c r="G915" s="3"/>
      <c r="H915" s="3"/>
      <c r="I915" s="3"/>
      <c r="J915" s="3"/>
      <c r="K915" s="3"/>
      <c r="L915" s="3"/>
      <c r="M915" s="3"/>
      <c r="N915" s="3"/>
      <c r="O915" s="3"/>
      <c r="P915" s="3"/>
      <c r="Q915" s="36"/>
      <c r="R915" s="8"/>
      <c r="S915" s="36"/>
      <c r="T915" s="8"/>
      <c r="U915" s="109"/>
      <c r="V915" s="3"/>
      <c r="W915" s="3"/>
      <c r="X915" s="3"/>
      <c r="Y915" s="3"/>
      <c r="Z915" s="3"/>
      <c r="AA915" s="3"/>
      <c r="AB915" s="3"/>
      <c r="AC915" s="3"/>
      <c r="AD915" s="3"/>
      <c r="AE915" s="3"/>
    </row>
    <row r="916" spans="1:31" ht="20.25" customHeight="1">
      <c r="A916" s="3"/>
      <c r="B916" s="36"/>
      <c r="C916" s="163"/>
      <c r="D916" s="3"/>
      <c r="E916" s="3"/>
      <c r="F916" s="3"/>
      <c r="G916" s="3"/>
      <c r="H916" s="3"/>
      <c r="I916" s="3"/>
      <c r="J916" s="3"/>
      <c r="K916" s="3"/>
      <c r="L916" s="3"/>
      <c r="M916" s="3"/>
      <c r="N916" s="3"/>
      <c r="O916" s="3"/>
      <c r="P916" s="3"/>
      <c r="Q916" s="36"/>
      <c r="R916" s="8"/>
      <c r="S916" s="36"/>
      <c r="T916" s="8"/>
      <c r="U916" s="109"/>
      <c r="V916" s="3"/>
      <c r="W916" s="3"/>
      <c r="X916" s="3"/>
      <c r="Y916" s="3"/>
      <c r="Z916" s="3"/>
      <c r="AA916" s="3"/>
      <c r="AB916" s="3"/>
      <c r="AC916" s="3"/>
      <c r="AD916" s="3"/>
      <c r="AE916" s="3"/>
    </row>
    <row r="917" spans="1:31" ht="20.25" customHeight="1">
      <c r="A917" s="3"/>
      <c r="B917" s="36"/>
      <c r="C917" s="163"/>
      <c r="D917" s="3"/>
      <c r="E917" s="3"/>
      <c r="F917" s="3"/>
      <c r="G917" s="3"/>
      <c r="H917" s="3"/>
      <c r="I917" s="3"/>
      <c r="J917" s="3"/>
      <c r="K917" s="3"/>
      <c r="L917" s="3"/>
      <c r="M917" s="3"/>
      <c r="N917" s="3"/>
      <c r="O917" s="3"/>
      <c r="P917" s="3"/>
      <c r="Q917" s="36"/>
      <c r="R917" s="8"/>
      <c r="S917" s="36"/>
      <c r="T917" s="8"/>
      <c r="U917" s="109"/>
      <c r="V917" s="3"/>
      <c r="W917" s="3"/>
      <c r="X917" s="3"/>
      <c r="Y917" s="3"/>
      <c r="Z917" s="3"/>
      <c r="AA917" s="3"/>
      <c r="AB917" s="3"/>
      <c r="AC917" s="3"/>
      <c r="AD917" s="3"/>
      <c r="AE917" s="3"/>
    </row>
    <row r="918" spans="1:31" ht="20.25" customHeight="1">
      <c r="A918" s="3"/>
      <c r="B918" s="36"/>
      <c r="C918" s="163"/>
      <c r="D918" s="3"/>
      <c r="E918" s="3"/>
      <c r="F918" s="3"/>
      <c r="G918" s="3"/>
      <c r="H918" s="3"/>
      <c r="I918" s="3"/>
      <c r="J918" s="3"/>
      <c r="K918" s="3"/>
      <c r="L918" s="3"/>
      <c r="M918" s="3"/>
      <c r="N918" s="3"/>
      <c r="O918" s="3"/>
      <c r="P918" s="3"/>
      <c r="Q918" s="36"/>
      <c r="R918" s="8"/>
      <c r="S918" s="36"/>
      <c r="T918" s="8"/>
      <c r="U918" s="109"/>
      <c r="V918" s="3"/>
      <c r="W918" s="3"/>
      <c r="X918" s="3"/>
      <c r="Y918" s="3"/>
      <c r="Z918" s="3"/>
      <c r="AA918" s="3"/>
      <c r="AB918" s="3"/>
      <c r="AC918" s="3"/>
      <c r="AD918" s="3"/>
      <c r="AE918" s="3"/>
    </row>
    <row r="919" spans="1:31" ht="20.25" customHeight="1">
      <c r="A919" s="3"/>
      <c r="B919" s="36"/>
      <c r="C919" s="163"/>
      <c r="D919" s="3"/>
      <c r="E919" s="3"/>
      <c r="F919" s="3"/>
      <c r="G919" s="3"/>
      <c r="H919" s="3"/>
      <c r="I919" s="3"/>
      <c r="J919" s="3"/>
      <c r="K919" s="3"/>
      <c r="L919" s="3"/>
      <c r="M919" s="3"/>
      <c r="N919" s="3"/>
      <c r="O919" s="3"/>
      <c r="P919" s="3"/>
      <c r="Q919" s="36"/>
      <c r="R919" s="8"/>
      <c r="S919" s="36"/>
      <c r="T919" s="8"/>
      <c r="U919" s="109"/>
      <c r="V919" s="3"/>
      <c r="W919" s="3"/>
      <c r="X919" s="3"/>
      <c r="Y919" s="3"/>
      <c r="Z919" s="3"/>
      <c r="AA919" s="3"/>
      <c r="AB919" s="3"/>
      <c r="AC919" s="3"/>
      <c r="AD919" s="3"/>
      <c r="AE919" s="3"/>
    </row>
    <row r="920" spans="1:31" ht="20.25" customHeight="1">
      <c r="A920" s="3"/>
      <c r="B920" s="36"/>
      <c r="C920" s="163"/>
      <c r="D920" s="3"/>
      <c r="E920" s="3"/>
      <c r="F920" s="3"/>
      <c r="G920" s="3"/>
      <c r="H920" s="3"/>
      <c r="I920" s="3"/>
      <c r="J920" s="3"/>
      <c r="K920" s="3"/>
      <c r="L920" s="3"/>
      <c r="M920" s="3"/>
      <c r="N920" s="3"/>
      <c r="O920" s="3"/>
      <c r="P920" s="3"/>
      <c r="Q920" s="36"/>
      <c r="R920" s="8"/>
      <c r="S920" s="36"/>
      <c r="T920" s="8"/>
      <c r="U920" s="109"/>
      <c r="V920" s="3"/>
      <c r="W920" s="3"/>
      <c r="X920" s="3"/>
      <c r="Y920" s="3"/>
      <c r="Z920" s="3"/>
      <c r="AA920" s="3"/>
      <c r="AB920" s="3"/>
      <c r="AC920" s="3"/>
      <c r="AD920" s="3"/>
      <c r="AE920" s="3"/>
    </row>
    <row r="921" spans="1:31" ht="20.25" customHeight="1">
      <c r="A921" s="3"/>
      <c r="B921" s="36"/>
      <c r="C921" s="163"/>
      <c r="D921" s="3"/>
      <c r="E921" s="3"/>
      <c r="F921" s="3"/>
      <c r="G921" s="3"/>
      <c r="H921" s="3"/>
      <c r="I921" s="3"/>
      <c r="J921" s="3"/>
      <c r="K921" s="3"/>
      <c r="L921" s="3"/>
      <c r="M921" s="3"/>
      <c r="N921" s="3"/>
      <c r="O921" s="3"/>
      <c r="P921" s="3"/>
      <c r="Q921" s="36"/>
      <c r="R921" s="8"/>
      <c r="S921" s="36"/>
      <c r="T921" s="8"/>
      <c r="U921" s="109"/>
      <c r="V921" s="3"/>
      <c r="W921" s="3"/>
      <c r="X921" s="3"/>
      <c r="Y921" s="3"/>
      <c r="Z921" s="3"/>
      <c r="AA921" s="3"/>
      <c r="AB921" s="3"/>
      <c r="AC921" s="3"/>
      <c r="AD921" s="3"/>
      <c r="AE921" s="3"/>
    </row>
    <row r="922" spans="1:31" ht="20.25" customHeight="1">
      <c r="A922" s="3"/>
      <c r="B922" s="36"/>
      <c r="C922" s="163"/>
      <c r="D922" s="3"/>
      <c r="E922" s="3"/>
      <c r="F922" s="3"/>
      <c r="G922" s="3"/>
      <c r="H922" s="3"/>
      <c r="I922" s="3"/>
      <c r="J922" s="3"/>
      <c r="K922" s="3"/>
      <c r="L922" s="3"/>
      <c r="M922" s="3"/>
      <c r="N922" s="3"/>
      <c r="O922" s="3"/>
      <c r="P922" s="3"/>
      <c r="Q922" s="36"/>
      <c r="R922" s="8"/>
      <c r="S922" s="36"/>
      <c r="T922" s="8"/>
      <c r="U922" s="109"/>
      <c r="V922" s="3"/>
      <c r="W922" s="3"/>
      <c r="X922" s="3"/>
      <c r="Y922" s="3"/>
      <c r="Z922" s="3"/>
      <c r="AA922" s="3"/>
      <c r="AB922" s="3"/>
      <c r="AC922" s="3"/>
      <c r="AD922" s="3"/>
      <c r="AE922" s="3"/>
    </row>
    <row r="923" spans="1:31" ht="20.25" customHeight="1">
      <c r="A923" s="3"/>
      <c r="B923" s="36"/>
      <c r="C923" s="163"/>
      <c r="D923" s="3"/>
      <c r="E923" s="3"/>
      <c r="F923" s="3"/>
      <c r="G923" s="3"/>
      <c r="H923" s="3"/>
      <c r="I923" s="3"/>
      <c r="J923" s="3"/>
      <c r="K923" s="3"/>
      <c r="L923" s="3"/>
      <c r="M923" s="3"/>
      <c r="N923" s="3"/>
      <c r="O923" s="3"/>
      <c r="P923" s="3"/>
      <c r="Q923" s="36"/>
      <c r="R923" s="8"/>
      <c r="S923" s="36"/>
      <c r="T923" s="8"/>
      <c r="U923" s="109"/>
      <c r="V923" s="3"/>
      <c r="W923" s="3"/>
      <c r="X923" s="3"/>
      <c r="Y923" s="3"/>
      <c r="Z923" s="3"/>
      <c r="AA923" s="3"/>
      <c r="AB923" s="3"/>
      <c r="AC923" s="3"/>
      <c r="AD923" s="3"/>
      <c r="AE923" s="3"/>
    </row>
    <row r="924" spans="1:31" ht="20.25" customHeight="1">
      <c r="A924" s="3"/>
      <c r="B924" s="36"/>
      <c r="C924" s="163"/>
      <c r="D924" s="3"/>
      <c r="E924" s="3"/>
      <c r="F924" s="3"/>
      <c r="G924" s="3"/>
      <c r="H924" s="3"/>
      <c r="I924" s="3"/>
      <c r="J924" s="3"/>
      <c r="K924" s="3"/>
      <c r="L924" s="3"/>
      <c r="M924" s="3"/>
      <c r="N924" s="3"/>
      <c r="O924" s="3"/>
      <c r="P924" s="3"/>
      <c r="Q924" s="36"/>
      <c r="R924" s="8"/>
      <c r="S924" s="36"/>
      <c r="T924" s="8"/>
      <c r="U924" s="109"/>
      <c r="V924" s="3"/>
      <c r="W924" s="3"/>
      <c r="X924" s="3"/>
      <c r="Y924" s="3"/>
      <c r="Z924" s="3"/>
      <c r="AA924" s="3"/>
      <c r="AB924" s="3"/>
      <c r="AC924" s="3"/>
      <c r="AD924" s="3"/>
      <c r="AE924" s="3"/>
    </row>
    <row r="925" spans="1:31" ht="20.25" customHeight="1">
      <c r="A925" s="3"/>
      <c r="B925" s="36"/>
      <c r="C925" s="163"/>
      <c r="D925" s="3"/>
      <c r="E925" s="3"/>
      <c r="F925" s="3"/>
      <c r="G925" s="3"/>
      <c r="H925" s="3"/>
      <c r="I925" s="3"/>
      <c r="J925" s="3"/>
      <c r="K925" s="3"/>
      <c r="L925" s="3"/>
      <c r="M925" s="3"/>
      <c r="N925" s="3"/>
      <c r="O925" s="3"/>
      <c r="P925" s="3"/>
      <c r="Q925" s="36"/>
      <c r="R925" s="8"/>
      <c r="S925" s="36"/>
      <c r="T925" s="8"/>
      <c r="U925" s="109"/>
      <c r="V925" s="3"/>
      <c r="W925" s="3"/>
      <c r="X925" s="3"/>
      <c r="Y925" s="3"/>
      <c r="Z925" s="3"/>
      <c r="AA925" s="3"/>
      <c r="AB925" s="3"/>
      <c r="AC925" s="3"/>
      <c r="AD925" s="3"/>
      <c r="AE925" s="3"/>
    </row>
    <row r="926" spans="1:31" ht="20.25" customHeight="1">
      <c r="A926" s="3"/>
      <c r="B926" s="36"/>
      <c r="C926" s="163"/>
      <c r="D926" s="3"/>
      <c r="E926" s="3"/>
      <c r="F926" s="3"/>
      <c r="G926" s="3"/>
      <c r="H926" s="3"/>
      <c r="I926" s="3"/>
      <c r="J926" s="3"/>
      <c r="K926" s="3"/>
      <c r="L926" s="3"/>
      <c r="M926" s="3"/>
      <c r="N926" s="3"/>
      <c r="O926" s="3"/>
      <c r="P926" s="3"/>
      <c r="Q926" s="36"/>
      <c r="R926" s="8"/>
      <c r="S926" s="36"/>
      <c r="T926" s="8"/>
      <c r="U926" s="109"/>
      <c r="V926" s="3"/>
      <c r="W926" s="3"/>
      <c r="X926" s="3"/>
      <c r="Y926" s="3"/>
      <c r="Z926" s="3"/>
      <c r="AA926" s="3"/>
      <c r="AB926" s="3"/>
      <c r="AC926" s="3"/>
      <c r="AD926" s="3"/>
      <c r="AE926" s="3"/>
    </row>
    <row r="927" spans="1:31" ht="20.25" customHeight="1">
      <c r="A927" s="3"/>
      <c r="B927" s="36"/>
      <c r="C927" s="163"/>
      <c r="D927" s="3"/>
      <c r="E927" s="3"/>
      <c r="F927" s="3"/>
      <c r="G927" s="3"/>
      <c r="H927" s="3"/>
      <c r="I927" s="3"/>
      <c r="J927" s="3"/>
      <c r="K927" s="3"/>
      <c r="L927" s="3"/>
      <c r="M927" s="3"/>
      <c r="N927" s="3"/>
      <c r="O927" s="3"/>
      <c r="P927" s="3"/>
      <c r="Q927" s="36"/>
      <c r="R927" s="8"/>
      <c r="S927" s="36"/>
      <c r="T927" s="8"/>
      <c r="U927" s="109"/>
      <c r="V927" s="3"/>
      <c r="W927" s="3"/>
      <c r="X927" s="3"/>
      <c r="Y927" s="3"/>
      <c r="Z927" s="3"/>
      <c r="AA927" s="3"/>
      <c r="AB927" s="3"/>
      <c r="AC927" s="3"/>
      <c r="AD927" s="3"/>
      <c r="AE927" s="3"/>
    </row>
    <row r="928" spans="1:31" ht="20.25" customHeight="1">
      <c r="A928" s="3"/>
      <c r="B928" s="36"/>
      <c r="C928" s="163"/>
      <c r="D928" s="3"/>
      <c r="E928" s="3"/>
      <c r="F928" s="3"/>
      <c r="G928" s="3"/>
      <c r="H928" s="3"/>
      <c r="I928" s="3"/>
      <c r="J928" s="3"/>
      <c r="K928" s="3"/>
      <c r="L928" s="3"/>
      <c r="M928" s="3"/>
      <c r="N928" s="3"/>
      <c r="O928" s="3"/>
      <c r="P928" s="3"/>
      <c r="Q928" s="36"/>
      <c r="R928" s="8"/>
      <c r="S928" s="36"/>
      <c r="T928" s="8"/>
      <c r="U928" s="109"/>
      <c r="V928" s="3"/>
      <c r="W928" s="3"/>
      <c r="X928" s="3"/>
      <c r="Y928" s="3"/>
      <c r="Z928" s="3"/>
      <c r="AA928" s="3"/>
      <c r="AB928" s="3"/>
      <c r="AC928" s="3"/>
      <c r="AD928" s="3"/>
      <c r="AE928" s="3"/>
    </row>
    <row r="929" spans="1:31" ht="20.25" customHeight="1">
      <c r="A929" s="3"/>
      <c r="B929" s="36"/>
      <c r="C929" s="163"/>
      <c r="D929" s="3"/>
      <c r="E929" s="3"/>
      <c r="F929" s="3"/>
      <c r="G929" s="3"/>
      <c r="H929" s="3"/>
      <c r="I929" s="3"/>
      <c r="J929" s="3"/>
      <c r="K929" s="3"/>
      <c r="L929" s="3"/>
      <c r="M929" s="3"/>
      <c r="N929" s="3"/>
      <c r="O929" s="3"/>
      <c r="P929" s="3"/>
      <c r="Q929" s="36"/>
      <c r="R929" s="8"/>
      <c r="S929" s="36"/>
      <c r="T929" s="8"/>
      <c r="U929" s="109"/>
      <c r="V929" s="3"/>
      <c r="W929" s="3"/>
      <c r="X929" s="3"/>
      <c r="Y929" s="3"/>
      <c r="Z929" s="3"/>
      <c r="AA929" s="3"/>
      <c r="AB929" s="3"/>
      <c r="AC929" s="3"/>
      <c r="AD929" s="3"/>
      <c r="AE929" s="3"/>
    </row>
    <row r="930" spans="1:31" ht="20.25" customHeight="1">
      <c r="A930" s="3"/>
      <c r="B930" s="36"/>
      <c r="C930" s="163"/>
      <c r="D930" s="3"/>
      <c r="E930" s="3"/>
      <c r="F930" s="3"/>
      <c r="G930" s="3"/>
      <c r="H930" s="3"/>
      <c r="I930" s="3"/>
      <c r="J930" s="3"/>
      <c r="K930" s="3"/>
      <c r="L930" s="3"/>
      <c r="M930" s="3"/>
      <c r="N930" s="3"/>
      <c r="O930" s="3"/>
      <c r="P930" s="3"/>
      <c r="Q930" s="36"/>
      <c r="R930" s="8"/>
      <c r="S930" s="36"/>
      <c r="T930" s="8"/>
      <c r="U930" s="109"/>
      <c r="V930" s="3"/>
      <c r="W930" s="3"/>
      <c r="X930" s="3"/>
      <c r="Y930" s="3"/>
      <c r="Z930" s="3"/>
      <c r="AA930" s="3"/>
      <c r="AB930" s="3"/>
      <c r="AC930" s="3"/>
      <c r="AD930" s="3"/>
      <c r="AE930" s="3"/>
    </row>
    <row r="931" spans="1:31" ht="20.25" customHeight="1">
      <c r="A931" s="3"/>
      <c r="B931" s="36"/>
      <c r="C931" s="163"/>
      <c r="D931" s="3"/>
      <c r="E931" s="3"/>
      <c r="F931" s="3"/>
      <c r="G931" s="3"/>
      <c r="H931" s="3"/>
      <c r="I931" s="3"/>
      <c r="J931" s="3"/>
      <c r="K931" s="3"/>
      <c r="L931" s="3"/>
      <c r="M931" s="3"/>
      <c r="N931" s="3"/>
      <c r="O931" s="3"/>
      <c r="P931" s="3"/>
      <c r="Q931" s="36"/>
      <c r="R931" s="8"/>
      <c r="S931" s="36"/>
      <c r="T931" s="8"/>
      <c r="U931" s="109"/>
      <c r="V931" s="3"/>
      <c r="W931" s="3"/>
      <c r="X931" s="3"/>
      <c r="Y931" s="3"/>
      <c r="Z931" s="3"/>
      <c r="AA931" s="3"/>
      <c r="AB931" s="3"/>
      <c r="AC931" s="3"/>
      <c r="AD931" s="3"/>
      <c r="AE931" s="3"/>
    </row>
    <row r="932" spans="1:31" ht="20.25" customHeight="1">
      <c r="A932" s="3"/>
      <c r="B932" s="36"/>
      <c r="C932" s="163"/>
      <c r="D932" s="3"/>
      <c r="E932" s="3"/>
      <c r="F932" s="3"/>
      <c r="G932" s="3"/>
      <c r="H932" s="3"/>
      <c r="I932" s="3"/>
      <c r="J932" s="3"/>
      <c r="K932" s="3"/>
      <c r="L932" s="3"/>
      <c r="M932" s="3"/>
      <c r="N932" s="3"/>
      <c r="O932" s="3"/>
      <c r="P932" s="3"/>
      <c r="Q932" s="36"/>
      <c r="R932" s="8"/>
      <c r="S932" s="36"/>
      <c r="T932" s="8"/>
      <c r="U932" s="109"/>
      <c r="V932" s="3"/>
      <c r="W932" s="3"/>
      <c r="X932" s="3"/>
      <c r="Y932" s="3"/>
      <c r="Z932" s="3"/>
      <c r="AA932" s="3"/>
      <c r="AB932" s="3"/>
      <c r="AC932" s="3"/>
      <c r="AD932" s="3"/>
      <c r="AE932" s="3"/>
    </row>
    <row r="933" spans="1:31" ht="20.25" customHeight="1">
      <c r="A933" s="3"/>
      <c r="B933" s="36"/>
      <c r="C933" s="163"/>
      <c r="D933" s="3"/>
      <c r="E933" s="3"/>
      <c r="F933" s="3"/>
      <c r="G933" s="3"/>
      <c r="H933" s="3"/>
      <c r="I933" s="3"/>
      <c r="J933" s="3"/>
      <c r="K933" s="3"/>
      <c r="L933" s="3"/>
      <c r="M933" s="3"/>
      <c r="N933" s="3"/>
      <c r="O933" s="3"/>
      <c r="P933" s="3"/>
      <c r="Q933" s="36"/>
      <c r="R933" s="8"/>
      <c r="S933" s="36"/>
      <c r="T933" s="8"/>
      <c r="U933" s="109"/>
      <c r="V933" s="3"/>
      <c r="W933" s="3"/>
      <c r="X933" s="3"/>
      <c r="Y933" s="3"/>
      <c r="Z933" s="3"/>
      <c r="AA933" s="3"/>
      <c r="AB933" s="3"/>
      <c r="AC933" s="3"/>
      <c r="AD933" s="3"/>
      <c r="AE933" s="3"/>
    </row>
    <row r="934" spans="1:31" ht="20.25" customHeight="1">
      <c r="A934" s="3"/>
      <c r="B934" s="36"/>
      <c r="C934" s="163"/>
      <c r="D934" s="3"/>
      <c r="E934" s="3"/>
      <c r="F934" s="3"/>
      <c r="G934" s="3"/>
      <c r="H934" s="3"/>
      <c r="I934" s="3"/>
      <c r="J934" s="3"/>
      <c r="K934" s="3"/>
      <c r="L934" s="3"/>
      <c r="M934" s="3"/>
      <c r="N934" s="3"/>
      <c r="O934" s="3"/>
      <c r="P934" s="3"/>
      <c r="Q934" s="36"/>
      <c r="R934" s="8"/>
      <c r="S934" s="36"/>
      <c r="T934" s="8"/>
      <c r="U934" s="109"/>
      <c r="V934" s="3"/>
      <c r="W934" s="3"/>
      <c r="X934" s="3"/>
      <c r="Y934" s="3"/>
      <c r="Z934" s="3"/>
      <c r="AA934" s="3"/>
      <c r="AB934" s="3"/>
      <c r="AC934" s="3"/>
      <c r="AD934" s="3"/>
      <c r="AE934" s="3"/>
    </row>
    <row r="935" spans="1:31" ht="20.25" customHeight="1">
      <c r="A935" s="3"/>
      <c r="B935" s="36"/>
      <c r="C935" s="163"/>
      <c r="D935" s="3"/>
      <c r="E935" s="3"/>
      <c r="F935" s="3"/>
      <c r="G935" s="3"/>
      <c r="H935" s="3"/>
      <c r="I935" s="3"/>
      <c r="J935" s="3"/>
      <c r="K935" s="3"/>
      <c r="L935" s="3"/>
      <c r="M935" s="3"/>
      <c r="N935" s="3"/>
      <c r="O935" s="3"/>
      <c r="P935" s="3"/>
      <c r="Q935" s="36"/>
      <c r="R935" s="8"/>
      <c r="S935" s="36"/>
      <c r="T935" s="8"/>
      <c r="U935" s="109"/>
      <c r="V935" s="3"/>
      <c r="W935" s="3"/>
      <c r="X935" s="3"/>
      <c r="Y935" s="3"/>
      <c r="Z935" s="3"/>
      <c r="AA935" s="3"/>
      <c r="AB935" s="3"/>
      <c r="AC935" s="3"/>
      <c r="AD935" s="3"/>
      <c r="AE935" s="3"/>
    </row>
    <row r="936" spans="1:31" ht="20.25" customHeight="1">
      <c r="A936" s="3"/>
      <c r="B936" s="36"/>
      <c r="C936" s="163"/>
      <c r="D936" s="3"/>
      <c r="E936" s="3"/>
      <c r="F936" s="3"/>
      <c r="G936" s="3"/>
      <c r="H936" s="3"/>
      <c r="I936" s="3"/>
      <c r="J936" s="3"/>
      <c r="K936" s="3"/>
      <c r="L936" s="3"/>
      <c r="M936" s="3"/>
      <c r="N936" s="3"/>
      <c r="O936" s="3"/>
      <c r="P936" s="3"/>
      <c r="Q936" s="36"/>
      <c r="R936" s="8"/>
      <c r="S936" s="36"/>
      <c r="T936" s="8"/>
      <c r="U936" s="109"/>
      <c r="V936" s="3"/>
      <c r="W936" s="3"/>
      <c r="X936" s="3"/>
      <c r="Y936" s="3"/>
      <c r="Z936" s="3"/>
      <c r="AA936" s="3"/>
      <c r="AB936" s="3"/>
      <c r="AC936" s="3"/>
      <c r="AD936" s="3"/>
      <c r="AE936" s="3"/>
    </row>
    <row r="937" spans="1:31" ht="20.25" customHeight="1">
      <c r="A937" s="3"/>
      <c r="B937" s="36"/>
      <c r="C937" s="163"/>
      <c r="D937" s="3"/>
      <c r="E937" s="3"/>
      <c r="F937" s="3"/>
      <c r="G937" s="3"/>
      <c r="H937" s="3"/>
      <c r="I937" s="3"/>
      <c r="J937" s="3"/>
      <c r="K937" s="3"/>
      <c r="L937" s="3"/>
      <c r="M937" s="3"/>
      <c r="N937" s="3"/>
      <c r="O937" s="3"/>
      <c r="P937" s="3"/>
      <c r="Q937" s="36"/>
      <c r="R937" s="8"/>
      <c r="S937" s="36"/>
      <c r="T937" s="8"/>
      <c r="U937" s="109"/>
      <c r="V937" s="3"/>
      <c r="W937" s="3"/>
      <c r="X937" s="3"/>
      <c r="Y937" s="3"/>
      <c r="Z937" s="3"/>
      <c r="AA937" s="3"/>
      <c r="AB937" s="3"/>
      <c r="AC937" s="3"/>
      <c r="AD937" s="3"/>
      <c r="AE937" s="3"/>
    </row>
    <row r="938" spans="1:31" ht="20.25" customHeight="1">
      <c r="A938" s="3"/>
      <c r="B938" s="36"/>
      <c r="C938" s="163"/>
      <c r="D938" s="3"/>
      <c r="E938" s="3"/>
      <c r="F938" s="3"/>
      <c r="G938" s="3"/>
      <c r="H938" s="3"/>
      <c r="I938" s="3"/>
      <c r="J938" s="3"/>
      <c r="K938" s="3"/>
      <c r="L938" s="3"/>
      <c r="M938" s="3"/>
      <c r="N938" s="3"/>
      <c r="O938" s="3"/>
      <c r="P938" s="3"/>
      <c r="Q938" s="36"/>
      <c r="R938" s="8"/>
      <c r="S938" s="36"/>
      <c r="T938" s="8"/>
      <c r="U938" s="109"/>
      <c r="V938" s="3"/>
      <c r="W938" s="3"/>
      <c r="X938" s="3"/>
      <c r="Y938" s="3"/>
      <c r="Z938" s="3"/>
      <c r="AA938" s="3"/>
      <c r="AB938" s="3"/>
      <c r="AC938" s="3"/>
      <c r="AD938" s="3"/>
      <c r="AE938" s="3"/>
    </row>
    <row r="939" spans="1:31" ht="20.25" customHeight="1">
      <c r="A939" s="3"/>
      <c r="B939" s="36"/>
      <c r="C939" s="163"/>
      <c r="D939" s="3"/>
      <c r="E939" s="3"/>
      <c r="F939" s="3"/>
      <c r="G939" s="3"/>
      <c r="H939" s="3"/>
      <c r="I939" s="3"/>
      <c r="J939" s="3"/>
      <c r="K939" s="3"/>
      <c r="L939" s="3"/>
      <c r="M939" s="3"/>
      <c r="N939" s="3"/>
      <c r="O939" s="3"/>
      <c r="P939" s="3"/>
      <c r="Q939" s="36"/>
      <c r="R939" s="8"/>
      <c r="S939" s="36"/>
      <c r="T939" s="8"/>
      <c r="U939" s="109"/>
      <c r="V939" s="3"/>
      <c r="W939" s="3"/>
      <c r="X939" s="3"/>
      <c r="Y939" s="3"/>
      <c r="Z939" s="3"/>
      <c r="AA939" s="3"/>
      <c r="AB939" s="3"/>
      <c r="AC939" s="3"/>
      <c r="AD939" s="3"/>
      <c r="AE939" s="3"/>
    </row>
    <row r="940" spans="1:31" ht="20.25" customHeight="1">
      <c r="A940" s="3"/>
      <c r="B940" s="36"/>
      <c r="C940" s="163"/>
      <c r="D940" s="3"/>
      <c r="E940" s="3"/>
      <c r="F940" s="3"/>
      <c r="G940" s="3"/>
      <c r="H940" s="3"/>
      <c r="I940" s="3"/>
      <c r="J940" s="3"/>
      <c r="K940" s="3"/>
      <c r="L940" s="3"/>
      <c r="M940" s="3"/>
      <c r="N940" s="3"/>
      <c r="O940" s="3"/>
      <c r="P940" s="3"/>
      <c r="Q940" s="36"/>
      <c r="R940" s="8"/>
      <c r="S940" s="36"/>
      <c r="T940" s="8"/>
      <c r="U940" s="109"/>
      <c r="V940" s="3"/>
      <c r="W940" s="3"/>
      <c r="X940" s="3"/>
      <c r="Y940" s="3"/>
      <c r="Z940" s="3"/>
      <c r="AA940" s="3"/>
      <c r="AB940" s="3"/>
      <c r="AC940" s="3"/>
      <c r="AD940" s="3"/>
      <c r="AE940" s="3"/>
    </row>
    <row r="941" spans="1:31" ht="20.25" customHeight="1">
      <c r="A941" s="3"/>
      <c r="B941" s="36"/>
      <c r="C941" s="163"/>
      <c r="D941" s="3"/>
      <c r="E941" s="3"/>
      <c r="F941" s="3"/>
      <c r="G941" s="3"/>
      <c r="H941" s="3"/>
      <c r="I941" s="3"/>
      <c r="J941" s="3"/>
      <c r="K941" s="3"/>
      <c r="L941" s="3"/>
      <c r="M941" s="3"/>
      <c r="N941" s="3"/>
      <c r="O941" s="3"/>
      <c r="P941" s="3"/>
      <c r="Q941" s="36"/>
      <c r="R941" s="8"/>
      <c r="S941" s="36"/>
      <c r="T941" s="8"/>
      <c r="U941" s="109"/>
      <c r="V941" s="3"/>
      <c r="W941" s="3"/>
      <c r="X941" s="3"/>
      <c r="Y941" s="3"/>
      <c r="Z941" s="3"/>
      <c r="AA941" s="3"/>
      <c r="AB941" s="3"/>
      <c r="AC941" s="3"/>
      <c r="AD941" s="3"/>
      <c r="AE941" s="3"/>
    </row>
    <row r="942" spans="1:31" ht="20.25" customHeight="1">
      <c r="A942" s="3"/>
      <c r="B942" s="36"/>
      <c r="C942" s="163"/>
      <c r="D942" s="3"/>
      <c r="E942" s="3"/>
      <c r="F942" s="3"/>
      <c r="G942" s="3"/>
      <c r="H942" s="3"/>
      <c r="I942" s="3"/>
      <c r="J942" s="3"/>
      <c r="K942" s="3"/>
      <c r="L942" s="3"/>
      <c r="M942" s="3"/>
      <c r="N942" s="3"/>
      <c r="O942" s="3"/>
      <c r="P942" s="3"/>
      <c r="Q942" s="36"/>
      <c r="R942" s="8"/>
      <c r="S942" s="36"/>
      <c r="T942" s="8"/>
      <c r="U942" s="109"/>
      <c r="V942" s="3"/>
      <c r="W942" s="3"/>
      <c r="X942" s="3"/>
      <c r="Y942" s="3"/>
      <c r="Z942" s="3"/>
      <c r="AA942" s="3"/>
      <c r="AB942" s="3"/>
      <c r="AC942" s="3"/>
      <c r="AD942" s="3"/>
      <c r="AE942" s="3"/>
    </row>
    <row r="943" spans="1:31" ht="20.25" customHeight="1">
      <c r="A943" s="3"/>
      <c r="B943" s="36"/>
      <c r="C943" s="163"/>
      <c r="D943" s="3"/>
      <c r="E943" s="3"/>
      <c r="F943" s="3"/>
      <c r="G943" s="3"/>
      <c r="H943" s="3"/>
      <c r="I943" s="3"/>
      <c r="J943" s="3"/>
      <c r="K943" s="3"/>
      <c r="L943" s="3"/>
      <c r="M943" s="3"/>
      <c r="N943" s="3"/>
      <c r="O943" s="3"/>
      <c r="P943" s="3"/>
      <c r="Q943" s="36"/>
      <c r="R943" s="8"/>
      <c r="S943" s="36"/>
      <c r="T943" s="8"/>
      <c r="U943" s="109"/>
      <c r="V943" s="3"/>
      <c r="W943" s="3"/>
      <c r="X943" s="3"/>
      <c r="Y943" s="3"/>
      <c r="Z943" s="3"/>
      <c r="AA943" s="3"/>
      <c r="AB943" s="3"/>
      <c r="AC943" s="3"/>
      <c r="AD943" s="3"/>
      <c r="AE943" s="3"/>
    </row>
    <row r="944" spans="1:31" ht="20.25" customHeight="1">
      <c r="A944" s="3"/>
      <c r="B944" s="36"/>
      <c r="C944" s="163"/>
      <c r="D944" s="3"/>
      <c r="E944" s="3"/>
      <c r="F944" s="3"/>
      <c r="G944" s="3"/>
      <c r="H944" s="3"/>
      <c r="I944" s="3"/>
      <c r="J944" s="3"/>
      <c r="K944" s="3"/>
      <c r="L944" s="3"/>
      <c r="M944" s="3"/>
      <c r="N944" s="3"/>
      <c r="O944" s="3"/>
      <c r="P944" s="3"/>
      <c r="Q944" s="36"/>
      <c r="R944" s="8"/>
      <c r="S944" s="36"/>
      <c r="T944" s="8"/>
      <c r="U944" s="109"/>
      <c r="V944" s="3"/>
      <c r="W944" s="3"/>
      <c r="X944" s="3"/>
      <c r="Y944" s="3"/>
      <c r="Z944" s="3"/>
      <c r="AA944" s="3"/>
      <c r="AB944" s="3"/>
      <c r="AC944" s="3"/>
      <c r="AD944" s="3"/>
      <c r="AE944" s="3"/>
    </row>
    <row r="945" spans="1:31" ht="20.25" customHeight="1">
      <c r="A945" s="3"/>
      <c r="B945" s="36"/>
      <c r="C945" s="163"/>
      <c r="D945" s="3"/>
      <c r="E945" s="3"/>
      <c r="F945" s="3"/>
      <c r="G945" s="3"/>
      <c r="H945" s="3"/>
      <c r="I945" s="3"/>
      <c r="J945" s="3"/>
      <c r="K945" s="3"/>
      <c r="L945" s="3"/>
      <c r="M945" s="3"/>
      <c r="N945" s="3"/>
      <c r="O945" s="3"/>
      <c r="P945" s="3"/>
      <c r="Q945" s="36"/>
      <c r="R945" s="8"/>
      <c r="S945" s="36"/>
      <c r="T945" s="8"/>
      <c r="U945" s="109"/>
      <c r="V945" s="3"/>
      <c r="W945" s="3"/>
      <c r="X945" s="3"/>
      <c r="Y945" s="3"/>
      <c r="Z945" s="3"/>
      <c r="AA945" s="3"/>
      <c r="AB945" s="3"/>
      <c r="AC945" s="3"/>
      <c r="AD945" s="3"/>
      <c r="AE945" s="3"/>
    </row>
  </sheetData>
  <sortState ref="A2:Y818">
    <sortCondition ref="A2"/>
  </sortState>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18"/>
  <sheetViews>
    <sheetView topLeftCell="I1" workbookViewId="0">
      <pane ySplit="1" topLeftCell="A753" activePane="bottomLeft" state="frozen"/>
      <selection activeCell="I1" sqref="I1"/>
      <selection pane="bottomLeft" activeCell="AB761" sqref="AB761:AE761"/>
    </sheetView>
  </sheetViews>
  <sheetFormatPr baseColWidth="10" defaultColWidth="14.5" defaultRowHeight="15" customHeight="1" x14ac:dyDescent="0"/>
  <cols>
    <col min="1" max="1" width="9.6640625" style="38" customWidth="1"/>
    <col min="2" max="10" width="9.1640625" style="38" customWidth="1"/>
    <col min="11" max="11" width="12" style="38" customWidth="1"/>
    <col min="12" max="12" width="9.5" style="38" customWidth="1"/>
    <col min="13" max="13" width="18.5" style="38" hidden="1" customWidth="1"/>
    <col min="14" max="14" width="12.6640625" style="38" hidden="1" customWidth="1"/>
    <col min="15" max="15" width="15.5" style="38" hidden="1" customWidth="1"/>
    <col min="16" max="16" width="16" style="38" hidden="1" customWidth="1"/>
    <col min="17" max="17" width="21.33203125" style="38" hidden="1" customWidth="1"/>
    <col min="18" max="18" width="19.1640625" style="38" hidden="1" customWidth="1"/>
    <col min="19" max="19" width="11.1640625" style="38" hidden="1" customWidth="1"/>
    <col min="20" max="20" width="24.5" style="147" hidden="1" customWidth="1"/>
    <col min="21" max="24" width="11.1640625" style="147" hidden="1" customWidth="1"/>
    <col min="25" max="25" width="23.6640625" style="147" bestFit="1" customWidth="1"/>
    <col min="26" max="26" width="11.1640625" style="147" customWidth="1"/>
    <col min="27" max="27" width="11.1640625" style="151" customWidth="1"/>
    <col min="28" max="28" width="22.5" style="94" bestFit="1" customWidth="1"/>
    <col min="29" max="29" width="22.5" style="99" customWidth="1"/>
    <col min="30" max="31" width="11.1640625" style="99" customWidth="1"/>
    <col min="32" max="32" width="22.6640625" style="38" customWidth="1"/>
    <col min="33" max="33" width="105.83203125" style="38" customWidth="1"/>
    <col min="34" max="40" width="9.1640625" style="38" customWidth="1"/>
    <col min="41" max="16384" width="14.5" style="38"/>
  </cols>
  <sheetData>
    <row r="1" spans="1:40" customFormat="1" ht="20.25" customHeight="1">
      <c r="A1" s="3" t="s">
        <v>190</v>
      </c>
      <c r="B1" s="3" t="s">
        <v>191</v>
      </c>
      <c r="C1" s="3" t="s">
        <v>192</v>
      </c>
      <c r="D1" s="3" t="s">
        <v>193</v>
      </c>
      <c r="E1" s="3" t="s">
        <v>194</v>
      </c>
      <c r="F1" s="3" t="s">
        <v>195</v>
      </c>
      <c r="G1" s="3" t="s">
        <v>196</v>
      </c>
      <c r="H1" s="3" t="s">
        <v>197</v>
      </c>
      <c r="I1" s="3" t="s">
        <v>198</v>
      </c>
      <c r="J1" s="3" t="s">
        <v>199</v>
      </c>
      <c r="K1" s="3" t="s">
        <v>200</v>
      </c>
      <c r="L1" s="3" t="s">
        <v>201</v>
      </c>
      <c r="M1" s="3" t="s">
        <v>202</v>
      </c>
      <c r="N1" s="3" t="s">
        <v>203</v>
      </c>
      <c r="O1" s="36" t="s">
        <v>608</v>
      </c>
      <c r="P1" s="8" t="s">
        <v>204</v>
      </c>
      <c r="Q1" s="36" t="s">
        <v>613</v>
      </c>
      <c r="R1" s="8" t="s">
        <v>205</v>
      </c>
      <c r="S1" s="3" t="s">
        <v>621</v>
      </c>
      <c r="T1" s="95" t="s">
        <v>625</v>
      </c>
      <c r="U1" s="95" t="s">
        <v>627</v>
      </c>
      <c r="V1" s="95" t="s">
        <v>623</v>
      </c>
      <c r="W1" s="95" t="s">
        <v>628</v>
      </c>
      <c r="X1" s="95" t="s">
        <v>636</v>
      </c>
      <c r="Y1" s="93" t="s">
        <v>626</v>
      </c>
      <c r="Z1" s="37" t="s">
        <v>622</v>
      </c>
      <c r="AA1" s="148" t="s">
        <v>623</v>
      </c>
      <c r="AB1" s="93" t="s">
        <v>624</v>
      </c>
      <c r="AC1" s="97" t="s">
        <v>631</v>
      </c>
      <c r="AD1" s="97" t="s">
        <v>632</v>
      </c>
      <c r="AE1" s="97" t="s">
        <v>630</v>
      </c>
      <c r="AF1" s="3" t="s">
        <v>207</v>
      </c>
      <c r="AG1" s="3" t="s">
        <v>208</v>
      </c>
      <c r="AH1" s="3"/>
      <c r="AI1" s="3"/>
      <c r="AJ1" s="3"/>
      <c r="AK1" s="3"/>
      <c r="AL1" s="3"/>
      <c r="AM1" s="3"/>
      <c r="AN1" s="3"/>
    </row>
    <row r="2" spans="1:40" customFormat="1" ht="20.25" customHeight="1">
      <c r="A2" s="35">
        <v>41422</v>
      </c>
      <c r="B2" s="65">
        <v>8</v>
      </c>
      <c r="C2" s="65" t="s">
        <v>223</v>
      </c>
      <c r="D2" s="65" t="s">
        <v>267</v>
      </c>
      <c r="E2" s="65" t="s">
        <v>268</v>
      </c>
      <c r="F2" s="65" t="s">
        <v>269</v>
      </c>
      <c r="G2" s="65"/>
      <c r="H2" s="36" t="s">
        <v>270</v>
      </c>
      <c r="I2" s="36"/>
      <c r="J2" s="36">
        <v>1</v>
      </c>
      <c r="K2" s="36" t="s">
        <v>229</v>
      </c>
      <c r="L2" s="36" t="s">
        <v>270</v>
      </c>
      <c r="M2" s="36">
        <v>19</v>
      </c>
      <c r="N2" s="36">
        <f t="shared" ref="N2:N65" si="0">J2/M2*100</f>
        <v>5.2631578947368416</v>
      </c>
      <c r="O2" s="36">
        <v>2.0785055180675185</v>
      </c>
      <c r="P2" s="40">
        <f t="shared" ref="P2:P65" si="1">(N2/100)*O2</f>
        <v>0.10939502726671149</v>
      </c>
      <c r="Q2" s="36">
        <v>8175.5362462554531</v>
      </c>
      <c r="R2" s="40">
        <f t="shared" ref="R2:R65" si="2">P2/Q2*100</f>
        <v>1.3380776987786756E-3</v>
      </c>
      <c r="S2" s="36">
        <v>1000</v>
      </c>
      <c r="T2" s="95">
        <f>(J2/108)</f>
        <v>9.2592592592592587E-3</v>
      </c>
      <c r="U2" s="95">
        <f>LN(T2)</f>
        <v>-4.6821312271242199</v>
      </c>
      <c r="V2" s="95">
        <f>(T2*U2)</f>
        <v>-4.3353066917816846E-2</v>
      </c>
      <c r="W2" s="95">
        <f>SUM(V2:V20)*(-1)</f>
        <v>2.3972433006887757</v>
      </c>
      <c r="X2" s="95">
        <f>SUM(R2:R20)</f>
        <v>100.00000000000001</v>
      </c>
      <c r="Y2" s="37">
        <f t="shared" ref="Y2:Y20" si="3">(R2/100)</f>
        <v>1.3380776987786755E-5</v>
      </c>
      <c r="Z2" s="37">
        <f>LN(Y2)</f>
        <v>-11.221691434114158</v>
      </c>
      <c r="AA2" s="149">
        <f>(Y2*Z2)</f>
        <v>-1.5015495050563847E-4</v>
      </c>
      <c r="AB2" s="37">
        <f>SUM(AA2:AA20)*(-1)</f>
        <v>2.148720796281558</v>
      </c>
      <c r="AC2" s="98">
        <v>16</v>
      </c>
      <c r="AD2" s="98">
        <f>LN(AC2)</f>
        <v>2.7725887222397811</v>
      </c>
      <c r="AE2" s="98">
        <f>(AB2/AD2)</f>
        <v>0.77498720926259712</v>
      </c>
      <c r="AF2" s="36" t="s">
        <v>287</v>
      </c>
      <c r="AG2" s="96" t="s">
        <v>629</v>
      </c>
      <c r="AH2" s="36"/>
      <c r="AI2" s="3"/>
      <c r="AJ2" s="3"/>
      <c r="AK2" s="3"/>
      <c r="AL2" s="3"/>
      <c r="AM2" s="3"/>
      <c r="AN2" s="3"/>
    </row>
    <row r="3" spans="1:40" customFormat="1" ht="20.25" customHeight="1">
      <c r="A3" s="35">
        <v>41422</v>
      </c>
      <c r="B3" s="65">
        <v>8</v>
      </c>
      <c r="C3" s="36" t="s">
        <v>223</v>
      </c>
      <c r="D3" s="36" t="s">
        <v>267</v>
      </c>
      <c r="E3" s="36"/>
      <c r="F3" s="36" t="s">
        <v>273</v>
      </c>
      <c r="G3" s="36" t="s">
        <v>274</v>
      </c>
      <c r="H3" s="36" t="s">
        <v>275</v>
      </c>
      <c r="I3" s="36" t="s">
        <v>276</v>
      </c>
      <c r="J3" s="36">
        <v>2</v>
      </c>
      <c r="K3" s="36" t="s">
        <v>247</v>
      </c>
      <c r="L3" s="36" t="s">
        <v>275</v>
      </c>
      <c r="M3" s="36">
        <v>19</v>
      </c>
      <c r="N3" s="36">
        <f t="shared" si="0"/>
        <v>10.526315789473683</v>
      </c>
      <c r="O3" s="36">
        <v>2.0785055180675185</v>
      </c>
      <c r="P3" s="40">
        <f t="shared" si="1"/>
        <v>0.21879005453342298</v>
      </c>
      <c r="Q3" s="36">
        <v>8175.5362462554531</v>
      </c>
      <c r="R3" s="40">
        <f t="shared" si="2"/>
        <v>2.6761553975573511E-3</v>
      </c>
      <c r="S3" s="36">
        <v>1000</v>
      </c>
      <c r="T3" s="95">
        <f t="shared" ref="T3:T20" si="4">(J3/108)</f>
        <v>1.8518518518518517E-2</v>
      </c>
      <c r="U3" s="95">
        <f t="shared" ref="U3:U64" si="5">LN(T3)</f>
        <v>-3.9889840465642745</v>
      </c>
      <c r="V3" s="95">
        <f t="shared" ref="V3:V21" si="6">(T3*U3)</f>
        <v>-7.3870074936375443E-2</v>
      </c>
      <c r="W3" s="95"/>
      <c r="X3" s="95"/>
      <c r="Y3" s="37">
        <f t="shared" si="3"/>
        <v>2.676155397557351E-5</v>
      </c>
      <c r="Z3" s="37">
        <f t="shared" ref="Z3:Z66" si="7">LN(Y3)</f>
        <v>-10.528544253554212</v>
      </c>
      <c r="AA3" s="149">
        <f t="shared" ref="AA3:AA20" si="8">(Y3*Z3)</f>
        <v>-2.8176020532570537E-4</v>
      </c>
      <c r="AB3" s="37"/>
      <c r="AC3" s="98"/>
      <c r="AD3" s="98"/>
      <c r="AE3" s="98"/>
      <c r="AF3" s="36"/>
      <c r="AG3" s="36"/>
      <c r="AH3" s="36"/>
      <c r="AI3" s="3"/>
      <c r="AJ3" s="3"/>
      <c r="AK3" s="3"/>
      <c r="AL3" s="3"/>
      <c r="AM3" s="3"/>
      <c r="AN3" s="3"/>
    </row>
    <row r="4" spans="1:40" customFormat="1" ht="20.25" customHeight="1">
      <c r="A4" s="35">
        <v>41422</v>
      </c>
      <c r="B4" s="65">
        <v>8</v>
      </c>
      <c r="C4" s="36" t="s">
        <v>223</v>
      </c>
      <c r="D4" s="36" t="s">
        <v>267</v>
      </c>
      <c r="E4" s="36"/>
      <c r="F4" s="36" t="s">
        <v>273</v>
      </c>
      <c r="G4" s="36" t="s">
        <v>274</v>
      </c>
      <c r="H4" s="36" t="s">
        <v>275</v>
      </c>
      <c r="I4" s="36" t="s">
        <v>276</v>
      </c>
      <c r="J4" s="36">
        <v>1</v>
      </c>
      <c r="K4" s="36" t="s">
        <v>247</v>
      </c>
      <c r="L4" s="36" t="s">
        <v>275</v>
      </c>
      <c r="M4" s="36">
        <v>19</v>
      </c>
      <c r="N4" s="36">
        <f t="shared" si="0"/>
        <v>5.2631578947368416</v>
      </c>
      <c r="O4" s="36">
        <v>2.0785055180675198</v>
      </c>
      <c r="P4" s="40">
        <f t="shared" si="1"/>
        <v>0.10939502726671156</v>
      </c>
      <c r="Q4" s="36">
        <v>8175.5362462554504</v>
      </c>
      <c r="R4" s="40">
        <f t="shared" si="2"/>
        <v>1.3380776987786771E-3</v>
      </c>
      <c r="S4" s="36">
        <v>1000</v>
      </c>
      <c r="T4" s="95">
        <f t="shared" si="4"/>
        <v>9.2592592592592587E-3</v>
      </c>
      <c r="U4" s="95">
        <f t="shared" si="5"/>
        <v>-4.6821312271242199</v>
      </c>
      <c r="V4" s="95">
        <f t="shared" si="6"/>
        <v>-4.3353066917816846E-2</v>
      </c>
      <c r="W4" s="95"/>
      <c r="X4" s="95"/>
      <c r="Y4" s="37">
        <f t="shared" si="3"/>
        <v>1.338077698778677E-5</v>
      </c>
      <c r="Z4" s="37">
        <f t="shared" si="7"/>
        <v>-11.221691434114156</v>
      </c>
      <c r="AA4" s="149">
        <f t="shared" si="8"/>
        <v>-1.5015495050563861E-4</v>
      </c>
      <c r="AB4" s="37"/>
      <c r="AC4" s="98"/>
      <c r="AD4" s="98"/>
      <c r="AE4" s="98"/>
      <c r="AF4" s="36" t="s">
        <v>277</v>
      </c>
      <c r="AG4" s="36"/>
      <c r="AH4" s="36"/>
      <c r="AI4" s="3"/>
      <c r="AJ4" s="3"/>
      <c r="AK4" s="3"/>
      <c r="AL4" s="3"/>
      <c r="AM4" s="3"/>
      <c r="AN4" s="3"/>
    </row>
    <row r="5" spans="1:40" customFormat="1" ht="20.25" customHeight="1">
      <c r="A5" s="35">
        <v>41422</v>
      </c>
      <c r="B5" s="65">
        <v>8</v>
      </c>
      <c r="C5" s="36" t="s">
        <v>223</v>
      </c>
      <c r="D5" s="36" t="s">
        <v>267</v>
      </c>
      <c r="E5" s="36" t="s">
        <v>278</v>
      </c>
      <c r="F5" s="36" t="s">
        <v>279</v>
      </c>
      <c r="G5" s="36" t="s">
        <v>280</v>
      </c>
      <c r="H5" s="36" t="s">
        <v>281</v>
      </c>
      <c r="I5" s="36" t="s">
        <v>282</v>
      </c>
      <c r="J5" s="36">
        <v>1</v>
      </c>
      <c r="K5" s="36" t="s">
        <v>247</v>
      </c>
      <c r="L5" s="36" t="s">
        <v>283</v>
      </c>
      <c r="M5" s="36">
        <v>19</v>
      </c>
      <c r="N5" s="36">
        <f t="shared" si="0"/>
        <v>5.2631578947368416</v>
      </c>
      <c r="O5" s="36">
        <v>2.0785055180675198</v>
      </c>
      <c r="P5" s="40">
        <f t="shared" si="1"/>
        <v>0.10939502726671156</v>
      </c>
      <c r="Q5" s="65">
        <v>8175.5362462554504</v>
      </c>
      <c r="R5" s="40">
        <f t="shared" si="2"/>
        <v>1.3380776987786771E-3</v>
      </c>
      <c r="S5" s="36">
        <v>1000</v>
      </c>
      <c r="T5" s="95">
        <f t="shared" si="4"/>
        <v>9.2592592592592587E-3</v>
      </c>
      <c r="U5" s="95">
        <f t="shared" si="5"/>
        <v>-4.6821312271242199</v>
      </c>
      <c r="V5" s="95">
        <f t="shared" si="6"/>
        <v>-4.3353066917816846E-2</v>
      </c>
      <c r="W5" s="95"/>
      <c r="X5" s="95"/>
      <c r="Y5" s="37">
        <f t="shared" si="3"/>
        <v>1.338077698778677E-5</v>
      </c>
      <c r="Z5" s="37">
        <f t="shared" si="7"/>
        <v>-11.221691434114156</v>
      </c>
      <c r="AA5" s="149">
        <f t="shared" si="8"/>
        <v>-1.5015495050563861E-4</v>
      </c>
      <c r="AB5" s="37"/>
      <c r="AC5" s="98"/>
      <c r="AD5" s="98"/>
      <c r="AE5" s="98"/>
      <c r="AF5" s="36"/>
      <c r="AG5" s="36"/>
      <c r="AH5" s="36"/>
      <c r="AI5" s="3"/>
      <c r="AJ5" s="3"/>
      <c r="AK5" s="3"/>
      <c r="AL5" s="3"/>
      <c r="AM5" s="3"/>
      <c r="AN5" s="3"/>
    </row>
    <row r="6" spans="1:40" customFormat="1" ht="20.25" customHeight="1">
      <c r="A6" s="35">
        <v>41422</v>
      </c>
      <c r="B6" s="65">
        <v>8</v>
      </c>
      <c r="C6" s="36" t="s">
        <v>223</v>
      </c>
      <c r="D6" s="36" t="s">
        <v>267</v>
      </c>
      <c r="E6" s="36" t="s">
        <v>278</v>
      </c>
      <c r="F6" s="36" t="s">
        <v>279</v>
      </c>
      <c r="G6" s="36" t="s">
        <v>280</v>
      </c>
      <c r="H6" s="36" t="s">
        <v>284</v>
      </c>
      <c r="I6" s="36" t="s">
        <v>285</v>
      </c>
      <c r="J6" s="36">
        <v>14</v>
      </c>
      <c r="K6" s="36" t="s">
        <v>247</v>
      </c>
      <c r="L6" s="36" t="s">
        <v>283</v>
      </c>
      <c r="M6" s="36">
        <v>19</v>
      </c>
      <c r="N6" s="36">
        <f t="shared" si="0"/>
        <v>73.68421052631578</v>
      </c>
      <c r="O6" s="36">
        <v>2.0785055180675198</v>
      </c>
      <c r="P6" s="40">
        <f t="shared" si="1"/>
        <v>1.5315303817339618</v>
      </c>
      <c r="Q6" s="65">
        <v>8175.5362462554504</v>
      </c>
      <c r="R6" s="40">
        <f t="shared" si="2"/>
        <v>1.8733087782901479E-2</v>
      </c>
      <c r="S6" s="36">
        <v>1000</v>
      </c>
      <c r="T6" s="95">
        <f t="shared" si="4"/>
        <v>0.12962962962962962</v>
      </c>
      <c r="U6" s="95">
        <f t="shared" si="5"/>
        <v>-2.0430738975089611</v>
      </c>
      <c r="V6" s="95">
        <f t="shared" si="6"/>
        <v>-0.2648429126400505</v>
      </c>
      <c r="W6" s="95"/>
      <c r="X6" s="95"/>
      <c r="Y6" s="37">
        <f t="shared" si="3"/>
        <v>1.8733087782901478E-4</v>
      </c>
      <c r="Z6" s="37">
        <f t="shared" si="7"/>
        <v>-8.5826341044988972</v>
      </c>
      <c r="AA6" s="149">
        <f t="shared" si="8"/>
        <v>-1.6077923808810186E-3</v>
      </c>
      <c r="AB6" s="37"/>
      <c r="AC6" s="98"/>
      <c r="AD6" s="98"/>
      <c r="AE6" s="98"/>
      <c r="AF6" s="36"/>
      <c r="AG6" s="36"/>
      <c r="AH6" s="36"/>
      <c r="AI6" s="3"/>
      <c r="AJ6" s="3"/>
      <c r="AK6" s="3"/>
      <c r="AL6" s="3"/>
      <c r="AM6" s="3"/>
      <c r="AN6" s="3"/>
    </row>
    <row r="7" spans="1:40" customFormat="1" ht="20.25" customHeight="1">
      <c r="A7" s="13">
        <v>41422</v>
      </c>
      <c r="B7" s="51">
        <v>8</v>
      </c>
      <c r="C7" s="51" t="s">
        <v>223</v>
      </c>
      <c r="D7" s="51" t="s">
        <v>224</v>
      </c>
      <c r="E7" s="51" t="s">
        <v>225</v>
      </c>
      <c r="F7" s="51" t="s">
        <v>226</v>
      </c>
      <c r="G7" s="51" t="s">
        <v>227</v>
      </c>
      <c r="H7" s="3" t="s">
        <v>228</v>
      </c>
      <c r="I7" s="3"/>
      <c r="J7" s="3">
        <v>7</v>
      </c>
      <c r="K7" s="3" t="s">
        <v>229</v>
      </c>
      <c r="L7" s="3" t="s">
        <v>228</v>
      </c>
      <c r="M7" s="3">
        <v>89</v>
      </c>
      <c r="N7" s="3">
        <f t="shared" si="0"/>
        <v>7.8651685393258424</v>
      </c>
      <c r="O7" s="36">
        <v>8173.4577407373854</v>
      </c>
      <c r="P7" s="8">
        <f t="shared" si="1"/>
        <v>642.85622679956964</v>
      </c>
      <c r="Q7" s="36">
        <v>8175.5362462554504</v>
      </c>
      <c r="R7" s="8">
        <f t="shared" si="2"/>
        <v>7.8631689400681202</v>
      </c>
      <c r="S7" s="3">
        <v>250</v>
      </c>
      <c r="T7" s="95">
        <f t="shared" si="4"/>
        <v>6.4814814814814811E-2</v>
      </c>
      <c r="U7" s="95">
        <f t="shared" si="5"/>
        <v>-2.7362210780689065</v>
      </c>
      <c r="V7" s="95">
        <f t="shared" si="6"/>
        <v>-0.17734766246742911</v>
      </c>
      <c r="W7" s="95"/>
      <c r="X7" s="95"/>
      <c r="Y7" s="37">
        <f t="shared" si="3"/>
        <v>7.8631689400681201E-2</v>
      </c>
      <c r="Z7" s="37">
        <f t="shared" si="7"/>
        <v>-2.5429804877627298</v>
      </c>
      <c r="AA7" s="149">
        <f t="shared" si="8"/>
        <v>-0.19995885186575174</v>
      </c>
      <c r="AB7" s="37"/>
      <c r="AC7" s="98"/>
      <c r="AD7" s="98"/>
      <c r="AE7" s="98"/>
      <c r="AF7" s="3" t="s">
        <v>231</v>
      </c>
      <c r="AG7" s="3"/>
      <c r="AH7" s="36"/>
      <c r="AI7" s="3"/>
      <c r="AJ7" s="3"/>
      <c r="AK7" s="3"/>
      <c r="AL7" s="3"/>
      <c r="AM7" s="3"/>
      <c r="AN7" s="3"/>
    </row>
    <row r="8" spans="1:40" customFormat="1" ht="20.25" customHeight="1">
      <c r="A8" s="13">
        <v>41422</v>
      </c>
      <c r="B8" s="51">
        <v>8</v>
      </c>
      <c r="C8" s="3" t="s">
        <v>223</v>
      </c>
      <c r="D8" s="3" t="s">
        <v>303</v>
      </c>
      <c r="E8" s="3" t="s">
        <v>304</v>
      </c>
      <c r="F8" s="3" t="s">
        <v>305</v>
      </c>
      <c r="G8" s="3" t="s">
        <v>306</v>
      </c>
      <c r="H8" s="3" t="s">
        <v>307</v>
      </c>
      <c r="I8" s="3"/>
      <c r="J8" s="3">
        <v>4</v>
      </c>
      <c r="K8" s="3" t="s">
        <v>229</v>
      </c>
      <c r="L8" s="3" t="s">
        <v>307</v>
      </c>
      <c r="M8" s="3">
        <v>89</v>
      </c>
      <c r="N8" s="3">
        <f t="shared" si="0"/>
        <v>4.4943820224719104</v>
      </c>
      <c r="O8" s="36">
        <v>8173.4577407373854</v>
      </c>
      <c r="P8" s="8">
        <f t="shared" si="1"/>
        <v>367.34641531403986</v>
      </c>
      <c r="Q8" s="36">
        <v>8175.5362462554504</v>
      </c>
      <c r="R8" s="8">
        <f t="shared" si="2"/>
        <v>4.4932393943246405</v>
      </c>
      <c r="S8" s="3">
        <v>250</v>
      </c>
      <c r="T8" s="95">
        <f t="shared" si="4"/>
        <v>3.7037037037037035E-2</v>
      </c>
      <c r="U8" s="95">
        <f t="shared" si="5"/>
        <v>-3.2958368660043291</v>
      </c>
      <c r="V8" s="95">
        <f t="shared" si="6"/>
        <v>-0.1220680320742344</v>
      </c>
      <c r="W8" s="95"/>
      <c r="X8" s="95"/>
      <c r="Y8" s="37">
        <f t="shared" si="3"/>
        <v>4.4932393943246406E-2</v>
      </c>
      <c r="Z8" s="37">
        <f t="shared" si="7"/>
        <v>-3.1025962756981524</v>
      </c>
      <c r="AA8" s="149">
        <f t="shared" si="8"/>
        <v>-0.13940707810651851</v>
      </c>
      <c r="AB8" s="37"/>
      <c r="AC8" s="98"/>
      <c r="AD8" s="98"/>
      <c r="AE8" s="98"/>
      <c r="AF8" s="36" t="s">
        <v>308</v>
      </c>
      <c r="AG8" s="3"/>
      <c r="AH8" s="36"/>
      <c r="AI8" s="3"/>
      <c r="AJ8" s="3"/>
      <c r="AK8" s="3"/>
      <c r="AL8" s="3"/>
      <c r="AM8" s="3"/>
      <c r="AN8" s="3"/>
    </row>
    <row r="9" spans="1:40" customFormat="1" ht="20.25" customHeight="1">
      <c r="A9" s="13">
        <v>41422</v>
      </c>
      <c r="B9" s="51">
        <v>8</v>
      </c>
      <c r="C9" s="3" t="s">
        <v>223</v>
      </c>
      <c r="D9" s="3" t="s">
        <v>303</v>
      </c>
      <c r="E9" s="3" t="s">
        <v>304</v>
      </c>
      <c r="F9" s="3" t="s">
        <v>305</v>
      </c>
      <c r="G9" s="3" t="s">
        <v>306</v>
      </c>
      <c r="H9" s="3" t="s">
        <v>307</v>
      </c>
      <c r="I9" s="3"/>
      <c r="J9" s="3">
        <v>2</v>
      </c>
      <c r="K9" s="3" t="s">
        <v>229</v>
      </c>
      <c r="L9" s="3" t="s">
        <v>307</v>
      </c>
      <c r="M9" s="3">
        <v>89</v>
      </c>
      <c r="N9" s="3">
        <f t="shared" si="0"/>
        <v>2.2471910112359552</v>
      </c>
      <c r="O9" s="36">
        <v>8173.4577407373854</v>
      </c>
      <c r="P9" s="8">
        <f t="shared" si="1"/>
        <v>183.67320765701993</v>
      </c>
      <c r="Q9" s="36">
        <v>8175.5362462554504</v>
      </c>
      <c r="R9" s="8">
        <f t="shared" si="2"/>
        <v>2.2466196971623202</v>
      </c>
      <c r="S9" s="3">
        <v>250</v>
      </c>
      <c r="T9" s="95">
        <f t="shared" si="4"/>
        <v>1.8518518518518517E-2</v>
      </c>
      <c r="U9" s="95">
        <f t="shared" si="5"/>
        <v>-3.9889840465642745</v>
      </c>
      <c r="V9" s="95">
        <f t="shared" si="6"/>
        <v>-7.3870074936375443E-2</v>
      </c>
      <c r="W9" s="95"/>
      <c r="X9" s="95"/>
      <c r="Y9" s="37">
        <f t="shared" si="3"/>
        <v>2.2466196971623203E-2</v>
      </c>
      <c r="Z9" s="37">
        <f t="shared" si="7"/>
        <v>-3.7957434562580978</v>
      </c>
      <c r="AA9" s="149">
        <f t="shared" si="8"/>
        <v>-8.527592014204427E-2</v>
      </c>
      <c r="AB9" s="37"/>
      <c r="AC9" s="98"/>
      <c r="AD9" s="98"/>
      <c r="AE9" s="98"/>
      <c r="AF9" s="36" t="s">
        <v>620</v>
      </c>
      <c r="AG9" s="3"/>
      <c r="AH9" s="36"/>
      <c r="AI9" s="3"/>
      <c r="AJ9" s="3"/>
      <c r="AK9" s="3"/>
      <c r="AL9" s="3"/>
      <c r="AM9" s="3"/>
      <c r="AN9" s="3"/>
    </row>
    <row r="10" spans="1:40" customFormat="1" ht="20.25" customHeight="1">
      <c r="A10" s="35">
        <v>41422</v>
      </c>
      <c r="B10" s="65">
        <v>8</v>
      </c>
      <c r="C10" s="65" t="s">
        <v>300</v>
      </c>
      <c r="D10" s="65" t="s">
        <v>320</v>
      </c>
      <c r="E10" s="65"/>
      <c r="F10" s="65"/>
      <c r="G10" s="65"/>
      <c r="H10" s="36"/>
      <c r="I10" s="36"/>
      <c r="J10" s="36">
        <v>1</v>
      </c>
      <c r="K10" s="36" t="s">
        <v>221</v>
      </c>
      <c r="L10" s="36" t="s">
        <v>322</v>
      </c>
      <c r="M10" s="3">
        <v>89</v>
      </c>
      <c r="N10" s="36">
        <f t="shared" si="0"/>
        <v>1.1235955056179776</v>
      </c>
      <c r="O10" s="36">
        <v>8173.4577407373854</v>
      </c>
      <c r="P10" s="8">
        <f t="shared" si="1"/>
        <v>91.836603828509965</v>
      </c>
      <c r="Q10" s="36">
        <v>8175.5362462554504</v>
      </c>
      <c r="R10" s="8">
        <f t="shared" si="2"/>
        <v>1.1233098485811601</v>
      </c>
      <c r="S10" s="36">
        <v>250</v>
      </c>
      <c r="T10" s="95">
        <f t="shared" si="4"/>
        <v>9.2592592592592587E-3</v>
      </c>
      <c r="U10" s="95">
        <f t="shared" si="5"/>
        <v>-4.6821312271242199</v>
      </c>
      <c r="V10" s="95">
        <f t="shared" si="6"/>
        <v>-4.3353066917816846E-2</v>
      </c>
      <c r="W10" s="95"/>
      <c r="X10" s="95"/>
      <c r="Y10" s="37">
        <f t="shared" si="3"/>
        <v>1.1233098485811601E-2</v>
      </c>
      <c r="Z10" s="37">
        <f t="shared" si="7"/>
        <v>-4.4888906368180432</v>
      </c>
      <c r="AA10" s="149">
        <f t="shared" si="8"/>
        <v>-5.0424150615414637E-2</v>
      </c>
      <c r="AB10" s="37"/>
      <c r="AC10" s="98"/>
      <c r="AD10" s="98"/>
      <c r="AE10" s="98"/>
      <c r="AF10" s="36" t="s">
        <v>222</v>
      </c>
      <c r="AG10" s="36"/>
      <c r="AH10" s="36"/>
      <c r="AI10" s="3"/>
      <c r="AJ10" s="3"/>
      <c r="AK10" s="3"/>
      <c r="AL10" s="3"/>
      <c r="AM10" s="3"/>
      <c r="AN10" s="3"/>
    </row>
    <row r="11" spans="1:40" customFormat="1" ht="20.25" customHeight="1">
      <c r="A11" s="13">
        <v>41422</v>
      </c>
      <c r="B11" s="51">
        <v>8</v>
      </c>
      <c r="C11" s="3" t="s">
        <v>223</v>
      </c>
      <c r="D11" s="3" t="s">
        <v>224</v>
      </c>
      <c r="E11" s="3" t="s">
        <v>225</v>
      </c>
      <c r="F11" s="3" t="s">
        <v>226</v>
      </c>
      <c r="G11" s="3"/>
      <c r="H11" s="3"/>
      <c r="I11" s="3"/>
      <c r="J11" s="3">
        <v>7</v>
      </c>
      <c r="K11" s="3" t="s">
        <v>508</v>
      </c>
      <c r="L11" s="36" t="s">
        <v>600</v>
      </c>
      <c r="M11" s="3">
        <v>89</v>
      </c>
      <c r="N11" s="3">
        <f t="shared" si="0"/>
        <v>7.8651685393258424</v>
      </c>
      <c r="O11" s="65">
        <v>8173.4577407373854</v>
      </c>
      <c r="P11" s="8">
        <f t="shared" si="1"/>
        <v>642.85622679956964</v>
      </c>
      <c r="Q11" s="36">
        <v>8175.5362462554504</v>
      </c>
      <c r="R11" s="8">
        <f t="shared" si="2"/>
        <v>7.8631689400681202</v>
      </c>
      <c r="S11" s="3">
        <v>250</v>
      </c>
      <c r="T11" s="95">
        <f t="shared" si="4"/>
        <v>6.4814814814814811E-2</v>
      </c>
      <c r="U11" s="95">
        <f t="shared" si="5"/>
        <v>-2.7362210780689065</v>
      </c>
      <c r="V11" s="95">
        <f t="shared" si="6"/>
        <v>-0.17734766246742911</v>
      </c>
      <c r="W11" s="95"/>
      <c r="X11" s="95"/>
      <c r="Y11" s="37">
        <f t="shared" si="3"/>
        <v>7.8631689400681201E-2</v>
      </c>
      <c r="Z11" s="37">
        <f t="shared" si="7"/>
        <v>-2.5429804877627298</v>
      </c>
      <c r="AA11" s="149">
        <f t="shared" si="8"/>
        <v>-0.19995885186575174</v>
      </c>
      <c r="AB11" s="37"/>
      <c r="AC11" s="98"/>
      <c r="AD11" s="98"/>
      <c r="AE11" s="98"/>
      <c r="AF11" s="3" t="s">
        <v>266</v>
      </c>
      <c r="AG11" s="3"/>
      <c r="AH11" s="36"/>
      <c r="AI11" s="3"/>
      <c r="AJ11" s="3"/>
      <c r="AK11" s="3"/>
      <c r="AL11" s="3"/>
      <c r="AM11" s="3"/>
      <c r="AN11" s="3"/>
    </row>
    <row r="12" spans="1:40" customFormat="1" ht="20.25" customHeight="1">
      <c r="A12" s="13">
        <v>41422</v>
      </c>
      <c r="B12" s="51">
        <v>8</v>
      </c>
      <c r="C12" s="3" t="s">
        <v>223</v>
      </c>
      <c r="D12" s="3" t="s">
        <v>224</v>
      </c>
      <c r="E12" s="3" t="s">
        <v>225</v>
      </c>
      <c r="F12" s="3" t="s">
        <v>226</v>
      </c>
      <c r="G12" s="3" t="s">
        <v>232</v>
      </c>
      <c r="H12" s="3" t="s">
        <v>233</v>
      </c>
      <c r="I12" s="3" t="s">
        <v>234</v>
      </c>
      <c r="J12" s="3">
        <v>1</v>
      </c>
      <c r="K12" s="3" t="s">
        <v>247</v>
      </c>
      <c r="L12" s="3" t="s">
        <v>233</v>
      </c>
      <c r="M12" s="3">
        <v>89</v>
      </c>
      <c r="N12" s="3">
        <f t="shared" si="0"/>
        <v>1.1235955056179776</v>
      </c>
      <c r="O12" s="36">
        <v>8173.4577407373854</v>
      </c>
      <c r="P12" s="8">
        <f t="shared" si="1"/>
        <v>91.836603828509965</v>
      </c>
      <c r="Q12" s="36">
        <v>8175.5362462554504</v>
      </c>
      <c r="R12" s="8">
        <f t="shared" si="2"/>
        <v>1.1233098485811601</v>
      </c>
      <c r="S12" s="3">
        <v>250</v>
      </c>
      <c r="T12" s="95">
        <f t="shared" si="4"/>
        <v>9.2592592592592587E-3</v>
      </c>
      <c r="U12" s="95">
        <f t="shared" si="5"/>
        <v>-4.6821312271242199</v>
      </c>
      <c r="V12" s="95">
        <f t="shared" si="6"/>
        <v>-4.3353066917816846E-2</v>
      </c>
      <c r="W12" s="95"/>
      <c r="X12" s="95"/>
      <c r="Y12" s="37">
        <f t="shared" si="3"/>
        <v>1.1233098485811601E-2</v>
      </c>
      <c r="Z12" s="37">
        <f t="shared" si="7"/>
        <v>-4.4888906368180432</v>
      </c>
      <c r="AA12" s="149">
        <f t="shared" si="8"/>
        <v>-5.0424150615414637E-2</v>
      </c>
      <c r="AB12" s="37"/>
      <c r="AC12" s="98"/>
      <c r="AD12" s="98"/>
      <c r="AE12" s="98"/>
      <c r="AF12" s="3"/>
      <c r="AG12" s="3"/>
      <c r="AH12" s="36"/>
      <c r="AI12" s="3"/>
      <c r="AJ12" s="3"/>
      <c r="AK12" s="3"/>
      <c r="AL12" s="3"/>
      <c r="AM12" s="3"/>
      <c r="AN12" s="3"/>
    </row>
    <row r="13" spans="1:40" customFormat="1" ht="20.25" customHeight="1">
      <c r="A13" s="13">
        <v>41422</v>
      </c>
      <c r="B13" s="51">
        <v>8</v>
      </c>
      <c r="C13" s="3" t="s">
        <v>223</v>
      </c>
      <c r="D13" s="3" t="s">
        <v>224</v>
      </c>
      <c r="E13" s="3" t="s">
        <v>225</v>
      </c>
      <c r="F13" s="3" t="s">
        <v>226</v>
      </c>
      <c r="G13" s="3" t="s">
        <v>235</v>
      </c>
      <c r="H13" s="3" t="s">
        <v>236</v>
      </c>
      <c r="I13" s="3" t="s">
        <v>237</v>
      </c>
      <c r="J13" s="3">
        <v>4</v>
      </c>
      <c r="K13" s="3" t="s">
        <v>247</v>
      </c>
      <c r="L13" s="3" t="s">
        <v>238</v>
      </c>
      <c r="M13" s="3">
        <v>89</v>
      </c>
      <c r="N13" s="3">
        <f t="shared" si="0"/>
        <v>4.4943820224719104</v>
      </c>
      <c r="O13" s="36">
        <v>8173.4577407373854</v>
      </c>
      <c r="P13" s="8">
        <f t="shared" si="1"/>
        <v>367.34641531403986</v>
      </c>
      <c r="Q13" s="36">
        <v>8175.5362462554504</v>
      </c>
      <c r="R13" s="8">
        <f t="shared" si="2"/>
        <v>4.4932393943246405</v>
      </c>
      <c r="S13" s="3">
        <v>250</v>
      </c>
      <c r="T13" s="95">
        <f t="shared" si="4"/>
        <v>3.7037037037037035E-2</v>
      </c>
      <c r="U13" s="95">
        <f t="shared" si="5"/>
        <v>-3.2958368660043291</v>
      </c>
      <c r="V13" s="95">
        <f t="shared" si="6"/>
        <v>-0.1220680320742344</v>
      </c>
      <c r="W13" s="95"/>
      <c r="X13" s="95"/>
      <c r="Y13" s="37">
        <f t="shared" si="3"/>
        <v>4.4932393943246406E-2</v>
      </c>
      <c r="Z13" s="37">
        <f t="shared" si="7"/>
        <v>-3.1025962756981524</v>
      </c>
      <c r="AA13" s="149">
        <f t="shared" si="8"/>
        <v>-0.13940707810651851</v>
      </c>
      <c r="AB13" s="37"/>
      <c r="AC13" s="98"/>
      <c r="AD13" s="98"/>
      <c r="AE13" s="98"/>
      <c r="AF13" s="3"/>
      <c r="AG13" s="3"/>
      <c r="AH13" s="36"/>
      <c r="AI13" s="3"/>
      <c r="AJ13" s="3"/>
      <c r="AK13" s="3"/>
      <c r="AL13" s="3"/>
      <c r="AM13" s="3"/>
      <c r="AN13" s="3"/>
    </row>
    <row r="14" spans="1:40" customFormat="1" ht="20.25" customHeight="1">
      <c r="A14" s="13">
        <v>41422</v>
      </c>
      <c r="B14" s="51">
        <v>8</v>
      </c>
      <c r="C14" s="51" t="s">
        <v>223</v>
      </c>
      <c r="D14" s="51" t="s">
        <v>224</v>
      </c>
      <c r="E14" s="51" t="s">
        <v>225</v>
      </c>
      <c r="F14" s="51" t="s">
        <v>226</v>
      </c>
      <c r="G14" s="51" t="s">
        <v>239</v>
      </c>
      <c r="H14" s="51" t="s">
        <v>240</v>
      </c>
      <c r="I14" s="3"/>
      <c r="J14" s="3">
        <v>26</v>
      </c>
      <c r="K14" s="3" t="s">
        <v>229</v>
      </c>
      <c r="L14" s="3" t="s">
        <v>240</v>
      </c>
      <c r="M14" s="3">
        <v>89</v>
      </c>
      <c r="N14" s="3">
        <f t="shared" si="0"/>
        <v>29.213483146067414</v>
      </c>
      <c r="O14" s="36">
        <v>8173.4577407373854</v>
      </c>
      <c r="P14" s="8">
        <f t="shared" si="1"/>
        <v>2387.7516995412584</v>
      </c>
      <c r="Q14" s="36">
        <v>8175.5362462554504</v>
      </c>
      <c r="R14" s="8">
        <f t="shared" si="2"/>
        <v>29.206056063110157</v>
      </c>
      <c r="S14" s="3">
        <v>250</v>
      </c>
      <c r="T14" s="95">
        <f t="shared" si="4"/>
        <v>0.24074074074074073</v>
      </c>
      <c r="U14" s="95">
        <f t="shared" si="5"/>
        <v>-1.4240346891027378</v>
      </c>
      <c r="V14" s="95">
        <f t="shared" si="6"/>
        <v>-0.34282316589510353</v>
      </c>
      <c r="W14" s="95"/>
      <c r="X14" s="95"/>
      <c r="Y14" s="37">
        <f t="shared" si="3"/>
        <v>0.29206056063110158</v>
      </c>
      <c r="Z14" s="37">
        <f t="shared" si="7"/>
        <v>-1.2307940987965613</v>
      </c>
      <c r="AA14" s="149">
        <f t="shared" si="8"/>
        <v>-0.35946641451597511</v>
      </c>
      <c r="AB14" s="37"/>
      <c r="AC14" s="98"/>
      <c r="AD14" s="98"/>
      <c r="AE14" s="98"/>
      <c r="AF14" s="3" t="s">
        <v>242</v>
      </c>
      <c r="AG14" s="3"/>
      <c r="AH14" s="36"/>
      <c r="AI14" s="3"/>
      <c r="AJ14" s="3"/>
      <c r="AK14" s="3"/>
      <c r="AL14" s="3"/>
      <c r="AM14" s="3"/>
      <c r="AN14" s="3"/>
    </row>
    <row r="15" spans="1:40" customFormat="1" ht="20.25" customHeight="1">
      <c r="A15" s="35">
        <v>41422</v>
      </c>
      <c r="B15" s="65">
        <v>8</v>
      </c>
      <c r="C15" s="65" t="s">
        <v>300</v>
      </c>
      <c r="D15" s="65" t="s">
        <v>301</v>
      </c>
      <c r="E15" s="65"/>
      <c r="F15" s="65"/>
      <c r="G15" s="65"/>
      <c r="H15" s="36"/>
      <c r="I15" s="36"/>
      <c r="J15" s="36">
        <v>3</v>
      </c>
      <c r="K15" s="36" t="s">
        <v>221</v>
      </c>
      <c r="L15" s="36" t="s">
        <v>302</v>
      </c>
      <c r="M15" s="3">
        <v>89</v>
      </c>
      <c r="N15" s="36">
        <f t="shared" si="0"/>
        <v>3.3707865168539324</v>
      </c>
      <c r="O15" s="36">
        <v>8173.4577407373854</v>
      </c>
      <c r="P15" s="8">
        <f t="shared" si="1"/>
        <v>275.50981148552984</v>
      </c>
      <c r="Q15" s="36">
        <v>8175.5362462554504</v>
      </c>
      <c r="R15" s="8">
        <f t="shared" si="2"/>
        <v>3.3699295457434797</v>
      </c>
      <c r="S15" s="36">
        <v>250</v>
      </c>
      <c r="T15" s="95">
        <f t="shared" si="4"/>
        <v>2.7777777777777776E-2</v>
      </c>
      <c r="U15" s="95">
        <f t="shared" si="5"/>
        <v>-3.5835189384561099</v>
      </c>
      <c r="V15" s="95">
        <f t="shared" si="6"/>
        <v>-9.9542192734891941E-2</v>
      </c>
      <c r="W15" s="95"/>
      <c r="X15" s="95"/>
      <c r="Y15" s="37">
        <f t="shared" si="3"/>
        <v>3.3699295457434796E-2</v>
      </c>
      <c r="Z15" s="37">
        <f t="shared" si="7"/>
        <v>-3.3902783481499337</v>
      </c>
      <c r="AA15" s="149">
        <f t="shared" si="8"/>
        <v>-0.1142499917372486</v>
      </c>
      <c r="AB15" s="37"/>
      <c r="AC15" s="98"/>
      <c r="AD15" s="98"/>
      <c r="AE15" s="98"/>
      <c r="AF15" s="36" t="s">
        <v>222</v>
      </c>
      <c r="AG15" s="36"/>
      <c r="AH15" s="36"/>
      <c r="AI15" s="3"/>
      <c r="AJ15" s="3"/>
      <c r="AK15" s="3"/>
      <c r="AL15" s="3"/>
      <c r="AM15" s="3"/>
      <c r="AN15" s="3"/>
    </row>
    <row r="16" spans="1:40" customFormat="1" ht="20.25" customHeight="1">
      <c r="A16" s="13">
        <v>41422</v>
      </c>
      <c r="B16" s="51">
        <v>8</v>
      </c>
      <c r="C16" s="3" t="s">
        <v>223</v>
      </c>
      <c r="D16" s="3" t="s">
        <v>224</v>
      </c>
      <c r="E16" s="3" t="s">
        <v>225</v>
      </c>
      <c r="F16" s="3" t="s">
        <v>243</v>
      </c>
      <c r="G16" s="3" t="s">
        <v>244</v>
      </c>
      <c r="H16" s="3" t="s">
        <v>245</v>
      </c>
      <c r="I16" s="3" t="s">
        <v>246</v>
      </c>
      <c r="J16" s="3">
        <v>2</v>
      </c>
      <c r="K16" s="3" t="s">
        <v>247</v>
      </c>
      <c r="L16" s="3" t="s">
        <v>357</v>
      </c>
      <c r="M16" s="3">
        <v>89</v>
      </c>
      <c r="N16" s="3">
        <f t="shared" si="0"/>
        <v>2.2471910112359552</v>
      </c>
      <c r="O16" s="36">
        <v>8173.4577407373854</v>
      </c>
      <c r="P16" s="8">
        <f t="shared" si="1"/>
        <v>183.67320765701993</v>
      </c>
      <c r="Q16" s="36">
        <v>8175.5362462554504</v>
      </c>
      <c r="R16" s="8">
        <f t="shared" si="2"/>
        <v>2.2466196971623202</v>
      </c>
      <c r="S16" s="3">
        <v>250</v>
      </c>
      <c r="T16" s="95">
        <f t="shared" si="4"/>
        <v>1.8518518518518517E-2</v>
      </c>
      <c r="U16" s="95">
        <f t="shared" si="5"/>
        <v>-3.9889840465642745</v>
      </c>
      <c r="V16" s="95">
        <f t="shared" si="6"/>
        <v>-7.3870074936375443E-2</v>
      </c>
      <c r="W16" s="95"/>
      <c r="X16" s="95"/>
      <c r="Y16" s="37">
        <f t="shared" si="3"/>
        <v>2.2466196971623203E-2</v>
      </c>
      <c r="Z16" s="37">
        <f t="shared" si="7"/>
        <v>-3.7957434562580978</v>
      </c>
      <c r="AA16" s="149">
        <f t="shared" si="8"/>
        <v>-8.527592014204427E-2</v>
      </c>
      <c r="AB16" s="37"/>
      <c r="AC16" s="98"/>
      <c r="AD16" s="98"/>
      <c r="AE16" s="98"/>
      <c r="AF16" s="3"/>
      <c r="AG16" s="3"/>
      <c r="AH16" s="36"/>
      <c r="AI16" s="3"/>
      <c r="AJ16" s="3"/>
      <c r="AK16" s="3"/>
      <c r="AL16" s="3"/>
      <c r="AM16" s="3"/>
      <c r="AN16" s="3"/>
    </row>
    <row r="17" spans="1:40" customFormat="1" ht="20.25" customHeight="1">
      <c r="A17" s="13">
        <v>41422</v>
      </c>
      <c r="B17" s="51">
        <v>8</v>
      </c>
      <c r="C17" s="3" t="s">
        <v>223</v>
      </c>
      <c r="D17" s="3" t="s">
        <v>224</v>
      </c>
      <c r="E17" s="3" t="s">
        <v>225</v>
      </c>
      <c r="F17" s="3" t="s">
        <v>248</v>
      </c>
      <c r="G17" s="3" t="s">
        <v>249</v>
      </c>
      <c r="H17" s="3" t="s">
        <v>250</v>
      </c>
      <c r="I17" s="3" t="s">
        <v>251</v>
      </c>
      <c r="J17" s="3">
        <v>20</v>
      </c>
      <c r="K17" s="3" t="s">
        <v>247</v>
      </c>
      <c r="L17" s="3" t="s">
        <v>250</v>
      </c>
      <c r="M17" s="3">
        <v>89</v>
      </c>
      <c r="N17" s="3">
        <f t="shared" si="0"/>
        <v>22.471910112359549</v>
      </c>
      <c r="O17" s="65">
        <v>8173.4577407373854</v>
      </c>
      <c r="P17" s="8">
        <f t="shared" si="1"/>
        <v>1836.7320765701988</v>
      </c>
      <c r="Q17" s="36">
        <v>8175.5362462554504</v>
      </c>
      <c r="R17" s="8">
        <f t="shared" si="2"/>
        <v>22.466196971623198</v>
      </c>
      <c r="S17" s="3">
        <v>250</v>
      </c>
      <c r="T17" s="95">
        <f t="shared" si="4"/>
        <v>0.18518518518518517</v>
      </c>
      <c r="U17" s="95">
        <f t="shared" si="5"/>
        <v>-1.6863989535702288</v>
      </c>
      <c r="V17" s="95">
        <f t="shared" si="6"/>
        <v>-0.31229610251300532</v>
      </c>
      <c r="W17" s="95"/>
      <c r="X17" s="95"/>
      <c r="Y17" s="37">
        <f t="shared" si="3"/>
        <v>0.22466196971623198</v>
      </c>
      <c r="Z17" s="37">
        <f t="shared" si="7"/>
        <v>-1.4931583632640524</v>
      </c>
      <c r="AA17" s="149">
        <f t="shared" si="8"/>
        <v>-0.33545589898916706</v>
      </c>
      <c r="AB17" s="37"/>
      <c r="AC17" s="98"/>
      <c r="AD17" s="98"/>
      <c r="AE17" s="98"/>
      <c r="AF17" s="3" t="s">
        <v>252</v>
      </c>
      <c r="AG17" s="3"/>
      <c r="AH17" s="36"/>
      <c r="AI17" s="3"/>
      <c r="AJ17" s="3"/>
      <c r="AK17" s="3"/>
      <c r="AL17" s="3"/>
      <c r="AM17" s="3"/>
      <c r="AN17" s="3"/>
    </row>
    <row r="18" spans="1:40" customFormat="1" ht="20.25" customHeight="1">
      <c r="A18" s="13">
        <v>41422</v>
      </c>
      <c r="B18" s="51">
        <v>8</v>
      </c>
      <c r="C18" s="51" t="s">
        <v>216</v>
      </c>
      <c r="D18" s="51" t="s">
        <v>217</v>
      </c>
      <c r="E18" s="51"/>
      <c r="F18" s="51"/>
      <c r="G18" s="51"/>
      <c r="H18" s="3" t="s">
        <v>219</v>
      </c>
      <c r="I18" s="3"/>
      <c r="J18" s="3">
        <v>8</v>
      </c>
      <c r="K18" s="36" t="s">
        <v>229</v>
      </c>
      <c r="L18" s="3" t="s">
        <v>219</v>
      </c>
      <c r="M18" s="3">
        <v>89</v>
      </c>
      <c r="N18" s="3">
        <f t="shared" si="0"/>
        <v>8.9887640449438209</v>
      </c>
      <c r="O18" s="36">
        <v>8173.4577407373854</v>
      </c>
      <c r="P18" s="8">
        <f t="shared" si="1"/>
        <v>734.69283062807972</v>
      </c>
      <c r="Q18" s="36">
        <v>8175.5362462554504</v>
      </c>
      <c r="R18" s="8">
        <f t="shared" si="2"/>
        <v>8.986478788649281</v>
      </c>
      <c r="S18" s="3">
        <v>250</v>
      </c>
      <c r="T18" s="95">
        <f t="shared" si="4"/>
        <v>7.407407407407407E-2</v>
      </c>
      <c r="U18" s="95">
        <f t="shared" si="5"/>
        <v>-2.6026896854443837</v>
      </c>
      <c r="V18" s="95">
        <f t="shared" si="6"/>
        <v>-0.19279182855143581</v>
      </c>
      <c r="W18" s="95"/>
      <c r="X18" s="95"/>
      <c r="Y18" s="37">
        <f t="shared" si="3"/>
        <v>8.9864787886492811E-2</v>
      </c>
      <c r="Z18" s="37">
        <f t="shared" si="7"/>
        <v>-2.409449095138207</v>
      </c>
      <c r="AA18" s="149">
        <f t="shared" si="8"/>
        <v>-0.21652463185789703</v>
      </c>
      <c r="AB18" s="37"/>
      <c r="AC18" s="98"/>
      <c r="AD18" s="98"/>
      <c r="AE18" s="98"/>
      <c r="AF18" s="3" t="s">
        <v>222</v>
      </c>
      <c r="AG18" s="3"/>
      <c r="AH18" s="36"/>
      <c r="AI18" s="3"/>
      <c r="AJ18" s="3"/>
      <c r="AK18" s="3"/>
      <c r="AL18" s="3"/>
      <c r="AM18" s="3"/>
      <c r="AN18" s="3"/>
    </row>
    <row r="19" spans="1:40" customFormat="1" ht="20.25" customHeight="1">
      <c r="A19" s="13">
        <v>41422</v>
      </c>
      <c r="B19" s="51">
        <v>8</v>
      </c>
      <c r="C19" s="3" t="s">
        <v>223</v>
      </c>
      <c r="D19" s="3" t="s">
        <v>224</v>
      </c>
      <c r="E19" s="3" t="s">
        <v>225</v>
      </c>
      <c r="F19" s="3" t="s">
        <v>226</v>
      </c>
      <c r="G19" s="3" t="s">
        <v>253</v>
      </c>
      <c r="H19" s="3" t="s">
        <v>256</v>
      </c>
      <c r="I19" s="3"/>
      <c r="J19" s="3">
        <v>2</v>
      </c>
      <c r="K19" s="3" t="s">
        <v>229</v>
      </c>
      <c r="L19" s="3" t="s">
        <v>256</v>
      </c>
      <c r="M19" s="3">
        <v>89</v>
      </c>
      <c r="N19" s="3">
        <f t="shared" si="0"/>
        <v>2.2471910112359552</v>
      </c>
      <c r="O19" s="65">
        <v>8173.4577407373854</v>
      </c>
      <c r="P19" s="8">
        <f t="shared" si="1"/>
        <v>183.67320765701993</v>
      </c>
      <c r="Q19" s="36">
        <v>8175.5362462554504</v>
      </c>
      <c r="R19" s="8">
        <f t="shared" si="2"/>
        <v>2.2466196971623202</v>
      </c>
      <c r="S19" s="3">
        <v>250</v>
      </c>
      <c r="T19" s="95">
        <f t="shared" si="4"/>
        <v>1.8518518518518517E-2</v>
      </c>
      <c r="U19" s="95">
        <f t="shared" si="5"/>
        <v>-3.9889840465642745</v>
      </c>
      <c r="V19" s="95">
        <f t="shared" si="6"/>
        <v>-7.3870074936375443E-2</v>
      </c>
      <c r="W19" s="95"/>
      <c r="X19" s="95"/>
      <c r="Y19" s="37">
        <f t="shared" si="3"/>
        <v>2.2466196971623203E-2</v>
      </c>
      <c r="Z19" s="37">
        <f t="shared" si="7"/>
        <v>-3.7957434562580978</v>
      </c>
      <c r="AA19" s="149">
        <f t="shared" si="8"/>
        <v>-8.527592014204427E-2</v>
      </c>
      <c r="AB19" s="37"/>
      <c r="AC19" s="98"/>
      <c r="AD19" s="98"/>
      <c r="AE19" s="98"/>
      <c r="AF19" s="3" t="s">
        <v>257</v>
      </c>
      <c r="AG19" s="3"/>
      <c r="AH19" s="36"/>
      <c r="AI19" s="3"/>
      <c r="AJ19" s="3"/>
      <c r="AK19" s="3"/>
      <c r="AL19" s="3"/>
      <c r="AM19" s="3"/>
      <c r="AN19" s="3"/>
    </row>
    <row r="20" spans="1:40" customFormat="1" ht="20.25" customHeight="1">
      <c r="A20" s="71">
        <v>41422</v>
      </c>
      <c r="B20" s="51">
        <v>8</v>
      </c>
      <c r="C20" s="3" t="s">
        <v>223</v>
      </c>
      <c r="D20" s="3" t="s">
        <v>224</v>
      </c>
      <c r="E20" s="3" t="s">
        <v>225</v>
      </c>
      <c r="F20" s="3" t="s">
        <v>226</v>
      </c>
      <c r="G20" s="3" t="s">
        <v>261</v>
      </c>
      <c r="H20" s="3" t="s">
        <v>262</v>
      </c>
      <c r="I20" s="3" t="s">
        <v>263</v>
      </c>
      <c r="J20" s="3">
        <v>2</v>
      </c>
      <c r="K20" s="3" t="s">
        <v>247</v>
      </c>
      <c r="L20" s="3" t="s">
        <v>264</v>
      </c>
      <c r="M20" s="3">
        <v>89</v>
      </c>
      <c r="N20" s="3">
        <f t="shared" si="0"/>
        <v>2.2471910112359552</v>
      </c>
      <c r="O20" s="65">
        <v>8173.4577407373854</v>
      </c>
      <c r="P20" s="8">
        <f t="shared" si="1"/>
        <v>183.67320765701993</v>
      </c>
      <c r="Q20" s="36">
        <v>8175.5362462554504</v>
      </c>
      <c r="R20" s="8">
        <f t="shared" si="2"/>
        <v>2.2466196971623202</v>
      </c>
      <c r="S20" s="3">
        <v>250</v>
      </c>
      <c r="T20" s="95">
        <f t="shared" si="4"/>
        <v>1.8518518518518517E-2</v>
      </c>
      <c r="U20" s="95">
        <f t="shared" si="5"/>
        <v>-3.9889840465642745</v>
      </c>
      <c r="V20" s="95">
        <f t="shared" si="6"/>
        <v>-7.3870074936375443E-2</v>
      </c>
      <c r="W20" s="95"/>
      <c r="X20" s="95"/>
      <c r="Y20" s="37">
        <f t="shared" si="3"/>
        <v>2.2466196971623203E-2</v>
      </c>
      <c r="Z20" s="37">
        <f t="shared" si="7"/>
        <v>-3.7957434562580978</v>
      </c>
      <c r="AA20" s="149">
        <f t="shared" si="8"/>
        <v>-8.527592014204427E-2</v>
      </c>
      <c r="AB20" s="37"/>
      <c r="AC20" s="98"/>
      <c r="AD20" s="98"/>
      <c r="AE20" s="98"/>
      <c r="AF20" s="3"/>
      <c r="AG20" s="3"/>
      <c r="AH20" s="36"/>
      <c r="AI20" s="3"/>
      <c r="AJ20" s="3"/>
      <c r="AK20" s="3"/>
      <c r="AL20" s="3"/>
      <c r="AM20" s="3"/>
      <c r="AN20" s="3"/>
    </row>
    <row r="21" spans="1:40" customFormat="1" ht="20.25" customHeight="1">
      <c r="A21" s="13">
        <v>41422</v>
      </c>
      <c r="B21" s="51">
        <v>5</v>
      </c>
      <c r="C21" s="3" t="s">
        <v>223</v>
      </c>
      <c r="D21" s="3" t="s">
        <v>224</v>
      </c>
      <c r="E21" s="3" t="s">
        <v>225</v>
      </c>
      <c r="F21" s="3" t="s">
        <v>226</v>
      </c>
      <c r="G21" s="3" t="s">
        <v>227</v>
      </c>
      <c r="H21" s="3" t="s">
        <v>228</v>
      </c>
      <c r="I21" s="3"/>
      <c r="J21" s="3">
        <v>33</v>
      </c>
      <c r="K21" s="3" t="s">
        <v>229</v>
      </c>
      <c r="L21" s="3" t="s">
        <v>228</v>
      </c>
      <c r="M21" s="3">
        <v>120</v>
      </c>
      <c r="N21" s="3">
        <f t="shared" si="0"/>
        <v>27.500000000000004</v>
      </c>
      <c r="O21" s="36">
        <v>6166.1908760830775</v>
      </c>
      <c r="P21" s="8">
        <f t="shared" si="1"/>
        <v>1695.7024909228464</v>
      </c>
      <c r="Q21" s="36">
        <v>6166.1908760830775</v>
      </c>
      <c r="R21" s="8">
        <f t="shared" si="2"/>
        <v>27.500000000000004</v>
      </c>
      <c r="S21" s="3">
        <v>250</v>
      </c>
      <c r="T21" s="95">
        <f>J21/M21</f>
        <v>0.27500000000000002</v>
      </c>
      <c r="U21" s="95">
        <f t="shared" si="5"/>
        <v>-1.2909841813155656</v>
      </c>
      <c r="V21" s="95">
        <f t="shared" si="6"/>
        <v>-0.35502064986178056</v>
      </c>
      <c r="W21" s="95">
        <f>SUM(V21:V33)*(-1)</f>
        <v>2.1383427212995065</v>
      </c>
      <c r="X21" s="95">
        <f>SUM(R21:R33)</f>
        <v>100</v>
      </c>
      <c r="Y21" s="37">
        <f t="shared" ref="Y21:Y33" si="9">(R21/100)</f>
        <v>0.27500000000000002</v>
      </c>
      <c r="Z21" s="37">
        <f t="shared" si="7"/>
        <v>-1.2909841813155656</v>
      </c>
      <c r="AA21" s="149">
        <f t="shared" ref="AA21:AA33" si="10">(Y21*Z21)</f>
        <v>-0.35502064986178056</v>
      </c>
      <c r="AB21" s="37">
        <f>SUM(AA21:AA33)*(-1)</f>
        <v>2.1383427212995065</v>
      </c>
      <c r="AC21" s="98">
        <v>12</v>
      </c>
      <c r="AD21" s="98">
        <f t="shared" ref="AD21:AD65" si="11">LN(AC21)</f>
        <v>2.4849066497880004</v>
      </c>
      <c r="AE21" s="98">
        <f>(AB21/AD21)</f>
        <v>0.86053241536535752</v>
      </c>
      <c r="AF21" s="3" t="s">
        <v>617</v>
      </c>
      <c r="AG21" s="3"/>
      <c r="AH21" s="36"/>
      <c r="AI21" s="3"/>
      <c r="AJ21" s="3"/>
      <c r="AK21" s="3"/>
      <c r="AL21" s="3"/>
      <c r="AM21" s="3"/>
      <c r="AN21" s="3"/>
    </row>
    <row r="22" spans="1:40" customFormat="1" ht="20.25" customHeight="1">
      <c r="A22" s="13">
        <v>41422</v>
      </c>
      <c r="B22" s="51">
        <v>5</v>
      </c>
      <c r="C22" s="3" t="s">
        <v>223</v>
      </c>
      <c r="D22" s="3" t="s">
        <v>303</v>
      </c>
      <c r="E22" s="3" t="s">
        <v>304</v>
      </c>
      <c r="F22" s="3" t="s">
        <v>305</v>
      </c>
      <c r="G22" s="3" t="s">
        <v>306</v>
      </c>
      <c r="H22" s="3" t="s">
        <v>307</v>
      </c>
      <c r="I22" s="3"/>
      <c r="J22" s="3">
        <v>12</v>
      </c>
      <c r="K22" s="3" t="s">
        <v>229</v>
      </c>
      <c r="L22" s="3" t="s">
        <v>307</v>
      </c>
      <c r="M22" s="3">
        <v>120</v>
      </c>
      <c r="N22" s="3">
        <f t="shared" si="0"/>
        <v>10</v>
      </c>
      <c r="O22" s="36">
        <v>6166.1908760830775</v>
      </c>
      <c r="P22" s="8">
        <f t="shared" si="1"/>
        <v>616.61908760830784</v>
      </c>
      <c r="Q22" s="36">
        <v>6166.1908760830775</v>
      </c>
      <c r="R22" s="8">
        <f t="shared" si="2"/>
        <v>10.000000000000002</v>
      </c>
      <c r="S22" s="3">
        <v>250</v>
      </c>
      <c r="T22" s="95">
        <f t="shared" ref="T22:T32" si="12">J22/M22</f>
        <v>0.1</v>
      </c>
      <c r="U22" s="95">
        <f t="shared" si="5"/>
        <v>-2.3025850929940455</v>
      </c>
      <c r="V22" s="95">
        <f t="shared" ref="V22:V33" si="13">(T22*U22)</f>
        <v>-0.23025850929940456</v>
      </c>
      <c r="W22" s="95"/>
      <c r="X22" s="95"/>
      <c r="Y22" s="37">
        <f t="shared" si="9"/>
        <v>0.10000000000000002</v>
      </c>
      <c r="Z22" s="37">
        <f t="shared" si="7"/>
        <v>-2.3025850929940455</v>
      </c>
      <c r="AA22" s="149">
        <f t="shared" si="10"/>
        <v>-0.23025850929940458</v>
      </c>
      <c r="AB22" s="37"/>
      <c r="AC22" s="98"/>
      <c r="AD22" s="98"/>
      <c r="AE22" s="98"/>
      <c r="AF22" s="36" t="s">
        <v>308</v>
      </c>
      <c r="AG22" s="3"/>
      <c r="AH22" s="36"/>
      <c r="AI22" s="3"/>
      <c r="AJ22" s="3"/>
      <c r="AK22" s="3"/>
      <c r="AL22" s="3"/>
      <c r="AM22" s="3"/>
      <c r="AN22" s="3"/>
    </row>
    <row r="23" spans="1:40" customFormat="1" ht="20.25" customHeight="1">
      <c r="A23" s="13">
        <v>41422</v>
      </c>
      <c r="B23" s="51">
        <v>5</v>
      </c>
      <c r="C23" s="3" t="s">
        <v>223</v>
      </c>
      <c r="D23" s="3" t="s">
        <v>303</v>
      </c>
      <c r="E23" s="3" t="s">
        <v>304</v>
      </c>
      <c r="F23" s="3" t="s">
        <v>305</v>
      </c>
      <c r="G23" s="3" t="s">
        <v>306</v>
      </c>
      <c r="H23" s="3" t="s">
        <v>307</v>
      </c>
      <c r="I23" s="3"/>
      <c r="J23" s="3">
        <v>5</v>
      </c>
      <c r="K23" s="3" t="s">
        <v>229</v>
      </c>
      <c r="L23" s="3" t="s">
        <v>307</v>
      </c>
      <c r="M23" s="3">
        <v>120</v>
      </c>
      <c r="N23" s="3">
        <f t="shared" si="0"/>
        <v>4.1666666666666661</v>
      </c>
      <c r="O23" s="36">
        <v>6166.1908760830775</v>
      </c>
      <c r="P23" s="8">
        <f t="shared" si="1"/>
        <v>256.92461983679482</v>
      </c>
      <c r="Q23" s="36">
        <v>6166.1908760830775</v>
      </c>
      <c r="R23" s="8">
        <f t="shared" si="2"/>
        <v>4.1666666666666661</v>
      </c>
      <c r="S23" s="3">
        <v>250</v>
      </c>
      <c r="T23" s="95">
        <f t="shared" si="12"/>
        <v>4.1666666666666664E-2</v>
      </c>
      <c r="U23" s="95">
        <f t="shared" si="5"/>
        <v>-3.1780538303479458</v>
      </c>
      <c r="V23" s="95">
        <f t="shared" si="13"/>
        <v>-0.13241890959783106</v>
      </c>
      <c r="W23" s="95"/>
      <c r="X23" s="95"/>
      <c r="Y23" s="37">
        <f t="shared" si="9"/>
        <v>4.1666666666666657E-2</v>
      </c>
      <c r="Z23" s="37">
        <f t="shared" si="7"/>
        <v>-3.1780538303479458</v>
      </c>
      <c r="AA23" s="149">
        <f t="shared" si="10"/>
        <v>-0.13241890959783104</v>
      </c>
      <c r="AB23" s="37"/>
      <c r="AC23" s="98"/>
      <c r="AD23" s="98"/>
      <c r="AE23" s="98"/>
      <c r="AF23" s="36" t="s">
        <v>620</v>
      </c>
      <c r="AG23" s="3"/>
      <c r="AH23" s="36"/>
      <c r="AI23" s="3"/>
      <c r="AJ23" s="3"/>
      <c r="AK23" s="3"/>
      <c r="AL23" s="3"/>
      <c r="AM23" s="3"/>
      <c r="AN23" s="3"/>
    </row>
    <row r="24" spans="1:40" customFormat="1" ht="20.25" customHeight="1">
      <c r="A24" s="72">
        <v>41422</v>
      </c>
      <c r="B24" s="65">
        <v>5</v>
      </c>
      <c r="C24" s="36" t="s">
        <v>300</v>
      </c>
      <c r="D24" s="36" t="s">
        <v>320</v>
      </c>
      <c r="E24" s="36"/>
      <c r="F24" s="36"/>
      <c r="G24" s="36"/>
      <c r="H24" s="36"/>
      <c r="I24" s="36"/>
      <c r="J24" s="36">
        <v>2</v>
      </c>
      <c r="K24" s="36" t="s">
        <v>221</v>
      </c>
      <c r="L24" s="36" t="s">
        <v>322</v>
      </c>
      <c r="M24" s="3">
        <v>120</v>
      </c>
      <c r="N24" s="36">
        <f t="shared" si="0"/>
        <v>1.6666666666666667</v>
      </c>
      <c r="O24" s="36">
        <v>6166.1908760830775</v>
      </c>
      <c r="P24" s="8">
        <f t="shared" si="1"/>
        <v>102.76984793471796</v>
      </c>
      <c r="Q24" s="36">
        <v>6166.1908760830775</v>
      </c>
      <c r="R24" s="8">
        <f t="shared" si="2"/>
        <v>1.6666666666666667</v>
      </c>
      <c r="S24" s="36">
        <v>250</v>
      </c>
      <c r="T24" s="95">
        <f t="shared" si="12"/>
        <v>1.6666666666666666E-2</v>
      </c>
      <c r="U24" s="95">
        <f t="shared" si="5"/>
        <v>-4.0943445622221004</v>
      </c>
      <c r="V24" s="95">
        <f t="shared" si="13"/>
        <v>-6.823907603703501E-2</v>
      </c>
      <c r="W24" s="95"/>
      <c r="X24" s="95"/>
      <c r="Y24" s="37">
        <f t="shared" si="9"/>
        <v>1.6666666666666666E-2</v>
      </c>
      <c r="Z24" s="37">
        <f t="shared" si="7"/>
        <v>-4.0943445622221004</v>
      </c>
      <c r="AA24" s="149">
        <f t="shared" si="10"/>
        <v>-6.823907603703501E-2</v>
      </c>
      <c r="AB24" s="37"/>
      <c r="AC24" s="98"/>
      <c r="AD24" s="98"/>
      <c r="AE24" s="98"/>
      <c r="AF24" s="36" t="s">
        <v>222</v>
      </c>
      <c r="AG24" s="36"/>
      <c r="AH24" s="36"/>
      <c r="AI24" s="3"/>
      <c r="AJ24" s="3"/>
      <c r="AK24" s="3"/>
      <c r="AL24" s="3"/>
      <c r="AM24" s="3"/>
      <c r="AN24" s="3"/>
    </row>
    <row r="25" spans="1:40" customFormat="1" ht="20.25" customHeight="1">
      <c r="A25" s="71">
        <v>41422</v>
      </c>
      <c r="B25" s="51">
        <v>5</v>
      </c>
      <c r="C25" s="3" t="s">
        <v>223</v>
      </c>
      <c r="D25" s="3" t="s">
        <v>224</v>
      </c>
      <c r="E25" s="3" t="s">
        <v>225</v>
      </c>
      <c r="F25" s="3" t="s">
        <v>226</v>
      </c>
      <c r="G25" s="3"/>
      <c r="H25" s="3"/>
      <c r="I25" s="3"/>
      <c r="J25" s="3">
        <v>3</v>
      </c>
      <c r="K25" s="3" t="s">
        <v>508</v>
      </c>
      <c r="L25" s="36" t="s">
        <v>600</v>
      </c>
      <c r="M25" s="3">
        <v>120</v>
      </c>
      <c r="N25" s="3">
        <f t="shared" si="0"/>
        <v>2.5</v>
      </c>
      <c r="O25" s="36">
        <v>6166.1908760830775</v>
      </c>
      <c r="P25" s="8">
        <f t="shared" si="1"/>
        <v>154.15477190207696</v>
      </c>
      <c r="Q25" s="36">
        <v>6166.1908760830775</v>
      </c>
      <c r="R25" s="8">
        <f t="shared" si="2"/>
        <v>2.5000000000000004</v>
      </c>
      <c r="S25" s="3">
        <v>250</v>
      </c>
      <c r="T25" s="95">
        <f t="shared" si="12"/>
        <v>2.5000000000000001E-2</v>
      </c>
      <c r="U25" s="95">
        <f t="shared" si="5"/>
        <v>-3.6888794541139363</v>
      </c>
      <c r="V25" s="95">
        <f t="shared" si="13"/>
        <v>-9.2221986352848409E-2</v>
      </c>
      <c r="W25" s="95"/>
      <c r="X25" s="95"/>
      <c r="Y25" s="37">
        <f t="shared" si="9"/>
        <v>2.5000000000000005E-2</v>
      </c>
      <c r="Z25" s="37">
        <f t="shared" si="7"/>
        <v>-3.6888794541139363</v>
      </c>
      <c r="AA25" s="149">
        <f t="shared" si="10"/>
        <v>-9.2221986352848423E-2</v>
      </c>
      <c r="AB25" s="37"/>
      <c r="AC25" s="98"/>
      <c r="AD25" s="98"/>
      <c r="AE25" s="98"/>
      <c r="AF25" s="3" t="s">
        <v>222</v>
      </c>
      <c r="AG25" s="3"/>
      <c r="AH25" s="36"/>
      <c r="AI25" s="3"/>
      <c r="AJ25" s="3"/>
      <c r="AK25" s="3"/>
      <c r="AL25" s="3"/>
      <c r="AM25" s="3"/>
      <c r="AN25" s="3"/>
    </row>
    <row r="26" spans="1:40" customFormat="1" ht="20.25" customHeight="1">
      <c r="A26" s="71">
        <v>41422</v>
      </c>
      <c r="B26" s="51">
        <v>5</v>
      </c>
      <c r="C26" s="3" t="s">
        <v>223</v>
      </c>
      <c r="D26" s="3" t="s">
        <v>224</v>
      </c>
      <c r="E26" s="3" t="s">
        <v>225</v>
      </c>
      <c r="F26" s="3" t="s">
        <v>226</v>
      </c>
      <c r="G26" s="3" t="s">
        <v>235</v>
      </c>
      <c r="H26" s="3" t="s">
        <v>236</v>
      </c>
      <c r="I26" s="3" t="s">
        <v>237</v>
      </c>
      <c r="J26" s="3">
        <v>7</v>
      </c>
      <c r="K26" s="3" t="s">
        <v>247</v>
      </c>
      <c r="L26" s="3" t="s">
        <v>238</v>
      </c>
      <c r="M26" s="3">
        <v>120</v>
      </c>
      <c r="N26" s="3">
        <f t="shared" si="0"/>
        <v>5.833333333333333</v>
      </c>
      <c r="O26" s="36">
        <v>6166.1908760830775</v>
      </c>
      <c r="P26" s="8">
        <f t="shared" si="1"/>
        <v>359.69446777151279</v>
      </c>
      <c r="Q26" s="36">
        <v>6166.1908760830775</v>
      </c>
      <c r="R26" s="8">
        <f t="shared" si="2"/>
        <v>5.8333333333333321</v>
      </c>
      <c r="S26" s="3">
        <v>250</v>
      </c>
      <c r="T26" s="95">
        <f t="shared" si="12"/>
        <v>5.8333333333333334E-2</v>
      </c>
      <c r="U26" s="95">
        <f t="shared" si="5"/>
        <v>-2.8415815937267328</v>
      </c>
      <c r="V26" s="95">
        <f t="shared" si="13"/>
        <v>-0.16575892630072608</v>
      </c>
      <c r="W26" s="95"/>
      <c r="X26" s="95"/>
      <c r="Y26" s="37">
        <f t="shared" si="9"/>
        <v>5.833333333333332E-2</v>
      </c>
      <c r="Z26" s="37">
        <f t="shared" si="7"/>
        <v>-2.8415815937267328</v>
      </c>
      <c r="AA26" s="149">
        <f t="shared" si="10"/>
        <v>-0.16575892630072606</v>
      </c>
      <c r="AB26" s="37"/>
      <c r="AC26" s="98"/>
      <c r="AD26" s="98"/>
      <c r="AE26" s="98"/>
      <c r="AF26" s="3"/>
      <c r="AG26" s="3"/>
      <c r="AH26" s="36"/>
      <c r="AI26" s="3"/>
      <c r="AJ26" s="3"/>
      <c r="AK26" s="3"/>
      <c r="AL26" s="3"/>
      <c r="AM26" s="3"/>
      <c r="AN26" s="3"/>
    </row>
    <row r="27" spans="1:40" customFormat="1" ht="20.25" customHeight="1">
      <c r="A27" s="71">
        <v>41422</v>
      </c>
      <c r="B27" s="51">
        <v>5</v>
      </c>
      <c r="C27" s="3" t="s">
        <v>223</v>
      </c>
      <c r="D27" s="3" t="s">
        <v>224</v>
      </c>
      <c r="E27" s="3" t="s">
        <v>225</v>
      </c>
      <c r="F27" s="3" t="s">
        <v>226</v>
      </c>
      <c r="G27" s="3" t="s">
        <v>239</v>
      </c>
      <c r="H27" s="3" t="s">
        <v>240</v>
      </c>
      <c r="I27" s="3"/>
      <c r="J27" s="3">
        <v>22</v>
      </c>
      <c r="K27" s="3" t="s">
        <v>229</v>
      </c>
      <c r="L27" s="3" t="s">
        <v>240</v>
      </c>
      <c r="M27" s="3">
        <v>120</v>
      </c>
      <c r="N27" s="3">
        <f t="shared" si="0"/>
        <v>18.333333333333332</v>
      </c>
      <c r="O27" s="36">
        <v>6166.1908760830775</v>
      </c>
      <c r="P27" s="8">
        <f t="shared" si="1"/>
        <v>1130.4683272818975</v>
      </c>
      <c r="Q27" s="36">
        <v>6166.1908760830775</v>
      </c>
      <c r="R27" s="8">
        <f t="shared" si="2"/>
        <v>18.333333333333332</v>
      </c>
      <c r="S27" s="3">
        <v>250</v>
      </c>
      <c r="T27" s="95">
        <f t="shared" si="12"/>
        <v>0.18333333333333332</v>
      </c>
      <c r="U27" s="95">
        <f t="shared" si="5"/>
        <v>-1.6964492894237302</v>
      </c>
      <c r="V27" s="95">
        <f t="shared" si="13"/>
        <v>-0.31101570306101717</v>
      </c>
      <c r="W27" s="95"/>
      <c r="X27" s="95"/>
      <c r="Y27" s="37">
        <f t="shared" si="9"/>
        <v>0.18333333333333332</v>
      </c>
      <c r="Z27" s="37">
        <f t="shared" si="7"/>
        <v>-1.6964492894237302</v>
      </c>
      <c r="AA27" s="149">
        <f t="shared" si="10"/>
        <v>-0.31101570306101717</v>
      </c>
      <c r="AB27" s="37"/>
      <c r="AC27" s="98"/>
      <c r="AD27" s="98"/>
      <c r="AE27" s="98"/>
      <c r="AF27" s="3" t="s">
        <v>242</v>
      </c>
      <c r="AG27" s="3"/>
      <c r="AH27" s="41"/>
      <c r="AI27" s="3"/>
      <c r="AJ27" s="3"/>
      <c r="AK27" s="3"/>
      <c r="AL27" s="3"/>
      <c r="AM27" s="3"/>
      <c r="AN27" s="3"/>
    </row>
    <row r="28" spans="1:40" customFormat="1" ht="20.25" customHeight="1">
      <c r="A28" s="71">
        <v>41422</v>
      </c>
      <c r="B28" s="51">
        <v>5</v>
      </c>
      <c r="C28" s="3" t="s">
        <v>223</v>
      </c>
      <c r="D28" s="3" t="s">
        <v>224</v>
      </c>
      <c r="E28" s="3" t="s">
        <v>225</v>
      </c>
      <c r="F28" s="3" t="s">
        <v>243</v>
      </c>
      <c r="G28" s="3" t="s">
        <v>244</v>
      </c>
      <c r="H28" s="3" t="s">
        <v>245</v>
      </c>
      <c r="I28" s="3" t="s">
        <v>246</v>
      </c>
      <c r="J28" s="3">
        <v>1</v>
      </c>
      <c r="K28" s="3" t="s">
        <v>247</v>
      </c>
      <c r="L28" s="3" t="s">
        <v>357</v>
      </c>
      <c r="M28" s="3">
        <v>120</v>
      </c>
      <c r="N28" s="3">
        <f t="shared" si="0"/>
        <v>0.83333333333333337</v>
      </c>
      <c r="O28" s="36">
        <v>6166.1908760830775</v>
      </c>
      <c r="P28" s="8">
        <f t="shared" si="1"/>
        <v>51.384923967358979</v>
      </c>
      <c r="Q28" s="36">
        <v>6166.1908760830775</v>
      </c>
      <c r="R28" s="8">
        <f t="shared" si="2"/>
        <v>0.83333333333333337</v>
      </c>
      <c r="S28" s="3">
        <v>250</v>
      </c>
      <c r="T28" s="95">
        <f t="shared" si="12"/>
        <v>8.3333333333333332E-3</v>
      </c>
      <c r="U28" s="95">
        <f t="shared" si="5"/>
        <v>-4.7874917427820458</v>
      </c>
      <c r="V28" s="95">
        <f t="shared" si="13"/>
        <v>-3.9895764523183712E-2</v>
      </c>
      <c r="W28" s="95"/>
      <c r="X28" s="95"/>
      <c r="Y28" s="37">
        <f t="shared" si="9"/>
        <v>8.3333333333333332E-3</v>
      </c>
      <c r="Z28" s="37">
        <f t="shared" si="7"/>
        <v>-4.7874917427820458</v>
      </c>
      <c r="AA28" s="149">
        <f t="shared" si="10"/>
        <v>-3.9895764523183712E-2</v>
      </c>
      <c r="AB28" s="37"/>
      <c r="AC28" s="98"/>
      <c r="AD28" s="98"/>
      <c r="AE28" s="98"/>
      <c r="AF28" s="3"/>
      <c r="AG28" s="3"/>
      <c r="AH28" s="36"/>
      <c r="AI28" s="3"/>
      <c r="AJ28" s="3"/>
      <c r="AK28" s="3"/>
      <c r="AL28" s="3"/>
      <c r="AM28" s="3"/>
      <c r="AN28" s="3"/>
    </row>
    <row r="29" spans="1:40" customFormat="1" ht="20.25" customHeight="1">
      <c r="A29" s="71">
        <v>41422</v>
      </c>
      <c r="B29" s="51">
        <v>5</v>
      </c>
      <c r="C29" s="51" t="s">
        <v>223</v>
      </c>
      <c r="D29" s="51" t="s">
        <v>224</v>
      </c>
      <c r="E29" s="51" t="s">
        <v>225</v>
      </c>
      <c r="F29" s="51" t="s">
        <v>248</v>
      </c>
      <c r="G29" s="51" t="s">
        <v>249</v>
      </c>
      <c r="H29" s="3" t="s">
        <v>250</v>
      </c>
      <c r="I29" s="3" t="s">
        <v>251</v>
      </c>
      <c r="J29" s="3">
        <v>15</v>
      </c>
      <c r="K29" s="3" t="s">
        <v>247</v>
      </c>
      <c r="L29" s="3" t="s">
        <v>250</v>
      </c>
      <c r="M29" s="3">
        <v>120</v>
      </c>
      <c r="N29" s="3">
        <f t="shared" si="0"/>
        <v>12.5</v>
      </c>
      <c r="O29" s="36">
        <v>6166.1908760830775</v>
      </c>
      <c r="P29" s="8">
        <f t="shared" si="1"/>
        <v>770.77385951038468</v>
      </c>
      <c r="Q29" s="36">
        <v>6166.1908760830775</v>
      </c>
      <c r="R29" s="8">
        <f t="shared" si="2"/>
        <v>12.5</v>
      </c>
      <c r="S29" s="3">
        <v>250</v>
      </c>
      <c r="T29" s="95">
        <f t="shared" si="12"/>
        <v>0.125</v>
      </c>
      <c r="U29" s="95">
        <f t="shared" si="5"/>
        <v>-2.0794415416798357</v>
      </c>
      <c r="V29" s="95">
        <f t="shared" si="13"/>
        <v>-0.25993019270997947</v>
      </c>
      <c r="W29" s="95"/>
      <c r="X29" s="95"/>
      <c r="Y29" s="37">
        <f t="shared" si="9"/>
        <v>0.125</v>
      </c>
      <c r="Z29" s="37">
        <f t="shared" si="7"/>
        <v>-2.0794415416798357</v>
      </c>
      <c r="AA29" s="149">
        <f t="shared" si="10"/>
        <v>-0.25993019270997947</v>
      </c>
      <c r="AB29" s="37"/>
      <c r="AC29" s="98"/>
      <c r="AD29" s="98"/>
      <c r="AE29" s="98"/>
      <c r="AF29" s="3"/>
      <c r="AG29" s="3"/>
      <c r="AH29" s="36"/>
      <c r="AI29" s="3"/>
      <c r="AJ29" s="3"/>
      <c r="AK29" s="3"/>
      <c r="AL29" s="3"/>
      <c r="AM29" s="3"/>
      <c r="AN29" s="3"/>
    </row>
    <row r="30" spans="1:40" s="70" customFormat="1" ht="20.25" customHeight="1">
      <c r="A30" s="13">
        <v>41422</v>
      </c>
      <c r="B30" s="51">
        <v>5</v>
      </c>
      <c r="C30" s="3" t="s">
        <v>216</v>
      </c>
      <c r="D30" s="3" t="s">
        <v>217</v>
      </c>
      <c r="E30" s="3"/>
      <c r="F30" s="3"/>
      <c r="G30" s="3"/>
      <c r="H30" s="3" t="s">
        <v>219</v>
      </c>
      <c r="I30" s="3"/>
      <c r="J30" s="3">
        <v>3</v>
      </c>
      <c r="K30" s="36" t="s">
        <v>229</v>
      </c>
      <c r="L30" s="3" t="s">
        <v>219</v>
      </c>
      <c r="M30" s="3">
        <v>120</v>
      </c>
      <c r="N30" s="3">
        <f t="shared" si="0"/>
        <v>2.5</v>
      </c>
      <c r="O30" s="36">
        <v>6166.1908760830775</v>
      </c>
      <c r="P30" s="8">
        <f t="shared" si="1"/>
        <v>154.15477190207696</v>
      </c>
      <c r="Q30" s="36">
        <v>6166.1908760830775</v>
      </c>
      <c r="R30" s="8">
        <f t="shared" si="2"/>
        <v>2.5000000000000004</v>
      </c>
      <c r="S30" s="3">
        <v>250</v>
      </c>
      <c r="T30" s="95">
        <f t="shared" si="12"/>
        <v>2.5000000000000001E-2</v>
      </c>
      <c r="U30" s="95">
        <f t="shared" si="5"/>
        <v>-3.6888794541139363</v>
      </c>
      <c r="V30" s="95">
        <f t="shared" si="13"/>
        <v>-9.2221986352848409E-2</v>
      </c>
      <c r="W30" s="95"/>
      <c r="X30" s="95"/>
      <c r="Y30" s="37">
        <f t="shared" si="9"/>
        <v>2.5000000000000005E-2</v>
      </c>
      <c r="Z30" s="37">
        <f t="shared" si="7"/>
        <v>-3.6888794541139363</v>
      </c>
      <c r="AA30" s="149">
        <f t="shared" si="10"/>
        <v>-9.2221986352848423E-2</v>
      </c>
      <c r="AB30" s="37"/>
      <c r="AC30" s="98"/>
      <c r="AD30" s="98"/>
      <c r="AE30" s="98"/>
      <c r="AF30" s="3"/>
      <c r="AG30" s="3"/>
      <c r="AH30" s="36"/>
      <c r="AI30" s="67"/>
      <c r="AJ30" s="67"/>
      <c r="AK30" s="67"/>
      <c r="AL30" s="67"/>
      <c r="AM30" s="67"/>
      <c r="AN30" s="67"/>
    </row>
    <row r="31" spans="1:40" customFormat="1" ht="20.25" customHeight="1">
      <c r="A31" s="13">
        <v>41422</v>
      </c>
      <c r="B31" s="51">
        <v>5</v>
      </c>
      <c r="C31" s="3" t="s">
        <v>223</v>
      </c>
      <c r="D31" s="3" t="s">
        <v>224</v>
      </c>
      <c r="E31" s="3" t="s">
        <v>225</v>
      </c>
      <c r="F31" s="3" t="s">
        <v>226</v>
      </c>
      <c r="G31" s="3" t="s">
        <v>253</v>
      </c>
      <c r="H31" s="3" t="s">
        <v>256</v>
      </c>
      <c r="I31" s="3"/>
      <c r="J31" s="3">
        <v>11</v>
      </c>
      <c r="K31" s="3" t="s">
        <v>229</v>
      </c>
      <c r="L31" s="3" t="s">
        <v>256</v>
      </c>
      <c r="M31" s="3">
        <v>120</v>
      </c>
      <c r="N31" s="3">
        <f t="shared" si="0"/>
        <v>9.1666666666666661</v>
      </c>
      <c r="O31" s="36">
        <v>6166.1908760830775</v>
      </c>
      <c r="P31" s="8">
        <f t="shared" si="1"/>
        <v>565.23416364094874</v>
      </c>
      <c r="Q31" s="36">
        <v>6166.1908760830775</v>
      </c>
      <c r="R31" s="8">
        <f t="shared" si="2"/>
        <v>9.1666666666666661</v>
      </c>
      <c r="S31" s="3">
        <v>250</v>
      </c>
      <c r="T31" s="95">
        <f t="shared" si="12"/>
        <v>9.166666666666666E-2</v>
      </c>
      <c r="U31" s="95">
        <f t="shared" si="5"/>
        <v>-2.3895964699836756</v>
      </c>
      <c r="V31" s="95">
        <f t="shared" si="13"/>
        <v>-0.2190463430818369</v>
      </c>
      <c r="W31" s="95"/>
      <c r="X31" s="95"/>
      <c r="Y31" s="37">
        <f t="shared" si="9"/>
        <v>9.166666666666666E-2</v>
      </c>
      <c r="Z31" s="37">
        <f t="shared" si="7"/>
        <v>-2.3895964699836756</v>
      </c>
      <c r="AA31" s="149">
        <f t="shared" si="10"/>
        <v>-0.2190463430818369</v>
      </c>
      <c r="AB31" s="37"/>
      <c r="AC31" s="98"/>
      <c r="AD31" s="98"/>
      <c r="AE31" s="98"/>
      <c r="AF31" s="3" t="s">
        <v>257</v>
      </c>
      <c r="AG31" s="3"/>
      <c r="AH31" s="36"/>
      <c r="AI31" s="3"/>
      <c r="AJ31" s="3"/>
      <c r="AK31" s="3"/>
      <c r="AL31" s="3"/>
      <c r="AM31" s="3"/>
      <c r="AN31" s="3"/>
    </row>
    <row r="32" spans="1:40" customFormat="1" ht="20.25" customHeight="1">
      <c r="A32" s="71">
        <v>41422</v>
      </c>
      <c r="B32" s="51">
        <v>5</v>
      </c>
      <c r="C32" s="51" t="s">
        <v>223</v>
      </c>
      <c r="D32" s="51" t="s">
        <v>224</v>
      </c>
      <c r="E32" s="51" t="s">
        <v>225</v>
      </c>
      <c r="F32" s="51" t="s">
        <v>226</v>
      </c>
      <c r="G32" s="51" t="s">
        <v>239</v>
      </c>
      <c r="H32" s="3" t="s">
        <v>258</v>
      </c>
      <c r="I32" s="3" t="s">
        <v>259</v>
      </c>
      <c r="J32" s="3">
        <v>1</v>
      </c>
      <c r="K32" s="3" t="s">
        <v>247</v>
      </c>
      <c r="L32" s="3" t="s">
        <v>260</v>
      </c>
      <c r="M32" s="3">
        <v>120</v>
      </c>
      <c r="N32" s="3">
        <f t="shared" si="0"/>
        <v>0.83333333333333337</v>
      </c>
      <c r="O32" s="36">
        <v>6166.1908760830775</v>
      </c>
      <c r="P32" s="8">
        <f t="shared" si="1"/>
        <v>51.384923967358979</v>
      </c>
      <c r="Q32" s="36">
        <v>6166.1908760830775</v>
      </c>
      <c r="R32" s="8">
        <f t="shared" si="2"/>
        <v>0.83333333333333337</v>
      </c>
      <c r="S32" s="3">
        <v>250</v>
      </c>
      <c r="T32" s="95">
        <f t="shared" si="12"/>
        <v>8.3333333333333332E-3</v>
      </c>
      <c r="U32" s="95">
        <f t="shared" si="5"/>
        <v>-4.7874917427820458</v>
      </c>
      <c r="V32" s="95">
        <f t="shared" si="13"/>
        <v>-3.9895764523183712E-2</v>
      </c>
      <c r="W32" s="95"/>
      <c r="X32" s="95"/>
      <c r="Y32" s="37">
        <f t="shared" si="9"/>
        <v>8.3333333333333332E-3</v>
      </c>
      <c r="Z32" s="37">
        <f t="shared" si="7"/>
        <v>-4.7874917427820458</v>
      </c>
      <c r="AA32" s="149">
        <f t="shared" si="10"/>
        <v>-3.9895764523183712E-2</v>
      </c>
      <c r="AB32" s="37"/>
      <c r="AC32" s="98"/>
      <c r="AD32" s="98"/>
      <c r="AE32" s="98"/>
      <c r="AF32" s="3"/>
      <c r="AG32" s="3"/>
      <c r="AH32" s="36"/>
      <c r="AI32" s="3"/>
      <c r="AJ32" s="3"/>
      <c r="AK32" s="3"/>
      <c r="AL32" s="3"/>
      <c r="AM32" s="3"/>
      <c r="AN32" s="3"/>
    </row>
    <row r="33" spans="1:40" customFormat="1" ht="20.25" customHeight="1">
      <c r="A33" s="71">
        <v>41422</v>
      </c>
      <c r="B33" s="51">
        <v>5</v>
      </c>
      <c r="C33" s="51" t="s">
        <v>223</v>
      </c>
      <c r="D33" s="51" t="s">
        <v>224</v>
      </c>
      <c r="E33" s="51" t="s">
        <v>225</v>
      </c>
      <c r="F33" s="51" t="s">
        <v>226</v>
      </c>
      <c r="G33" s="51" t="s">
        <v>261</v>
      </c>
      <c r="H33" s="3" t="s">
        <v>262</v>
      </c>
      <c r="I33" s="3" t="s">
        <v>263</v>
      </c>
      <c r="J33" s="3">
        <v>5</v>
      </c>
      <c r="K33" s="3" t="s">
        <v>247</v>
      </c>
      <c r="L33" s="3" t="s">
        <v>264</v>
      </c>
      <c r="M33" s="3">
        <v>120</v>
      </c>
      <c r="N33" s="3">
        <f t="shared" si="0"/>
        <v>4.1666666666666661</v>
      </c>
      <c r="O33" s="36">
        <v>6166.1908760830775</v>
      </c>
      <c r="P33" s="8">
        <f t="shared" si="1"/>
        <v>256.92461983679482</v>
      </c>
      <c r="Q33" s="36">
        <v>6166.1908760830775</v>
      </c>
      <c r="R33" s="8">
        <f t="shared" si="2"/>
        <v>4.1666666666666661</v>
      </c>
      <c r="S33" s="3">
        <v>250</v>
      </c>
      <c r="T33" s="95">
        <f>J33/M33</f>
        <v>4.1666666666666664E-2</v>
      </c>
      <c r="U33" s="95">
        <f t="shared" si="5"/>
        <v>-3.1780538303479458</v>
      </c>
      <c r="V33" s="95">
        <f t="shared" si="13"/>
        <v>-0.13241890959783106</v>
      </c>
      <c r="W33" s="95"/>
      <c r="X33" s="95"/>
      <c r="Y33" s="37">
        <f t="shared" si="9"/>
        <v>4.1666666666666657E-2</v>
      </c>
      <c r="Z33" s="37">
        <f t="shared" si="7"/>
        <v>-3.1780538303479458</v>
      </c>
      <c r="AA33" s="149">
        <f t="shared" si="10"/>
        <v>-0.13241890959783104</v>
      </c>
      <c r="AB33" s="37"/>
      <c r="AC33" s="98"/>
      <c r="AD33" s="98"/>
      <c r="AE33" s="98"/>
      <c r="AF33" s="3"/>
      <c r="AG33" s="3"/>
      <c r="AH33" s="36"/>
      <c r="AI33" s="3"/>
      <c r="AJ33" s="3"/>
      <c r="AK33" s="3"/>
      <c r="AL33" s="3"/>
      <c r="AM33" s="3"/>
      <c r="AN33" s="3"/>
    </row>
    <row r="34" spans="1:40" customFormat="1" ht="20.25" customHeight="1">
      <c r="A34" s="35">
        <v>41422</v>
      </c>
      <c r="B34" s="65">
        <v>4</v>
      </c>
      <c r="C34" s="36" t="s">
        <v>223</v>
      </c>
      <c r="D34" s="36" t="s">
        <v>267</v>
      </c>
      <c r="E34" s="36" t="s">
        <v>268</v>
      </c>
      <c r="F34" s="36" t="s">
        <v>269</v>
      </c>
      <c r="G34" s="36"/>
      <c r="H34" s="36" t="s">
        <v>270</v>
      </c>
      <c r="I34" s="36"/>
      <c r="J34" s="36">
        <v>24</v>
      </c>
      <c r="K34" s="36" t="s">
        <v>229</v>
      </c>
      <c r="L34" s="36" t="s">
        <v>270</v>
      </c>
      <c r="M34" s="36">
        <v>88</v>
      </c>
      <c r="N34" s="36">
        <f t="shared" si="0"/>
        <v>27.27272727272727</v>
      </c>
      <c r="O34" s="36">
        <v>10.185892538833855</v>
      </c>
      <c r="P34" s="40">
        <f t="shared" si="1"/>
        <v>2.7779706924092329</v>
      </c>
      <c r="Q34" s="36">
        <v>6905.2203806524058</v>
      </c>
      <c r="R34" s="40">
        <f t="shared" si="2"/>
        <v>4.0230007722748019E-2</v>
      </c>
      <c r="S34" s="36">
        <v>1000</v>
      </c>
      <c r="T34" s="95">
        <f t="shared" ref="T34:T50" si="14">(J34/106)</f>
        <v>0.22641509433962265</v>
      </c>
      <c r="U34" s="95">
        <f t="shared" si="5"/>
        <v>-1.4853852637641216</v>
      </c>
      <c r="V34" s="95">
        <f t="shared" ref="V34:V52" si="15">(T34*U34)</f>
        <v>-0.33631364462583885</v>
      </c>
      <c r="W34" s="95">
        <f>SUM(V34:V51)*(-1)</f>
        <v>3.2939940554004639</v>
      </c>
      <c r="X34" s="95">
        <f>SUM(R34:R51)</f>
        <v>99.999999999999929</v>
      </c>
      <c r="Y34" s="37">
        <f t="shared" ref="Y34:Y51" si="16">(R34/100)</f>
        <v>4.0230007722748018E-4</v>
      </c>
      <c r="Z34" s="37">
        <f t="shared" si="7"/>
        <v>-7.8183122870436481</v>
      </c>
      <c r="AA34" s="149">
        <f t="shared" ref="AA34:AA51" si="17">(Y34*Z34)</f>
        <v>-3.1453076368662168E-3</v>
      </c>
      <c r="AB34" s="37">
        <f>SUM(AA34:AA51)*(-1)</f>
        <v>2.3573477769734072</v>
      </c>
      <c r="AC34" s="98">
        <v>17</v>
      </c>
      <c r="AD34" s="98">
        <f t="shared" si="11"/>
        <v>2.8332133440562162</v>
      </c>
      <c r="AE34" s="98">
        <f>(AB34/AD34)</f>
        <v>0.83204033396174526</v>
      </c>
      <c r="AF34" s="36" t="s">
        <v>286</v>
      </c>
      <c r="AG34" s="36"/>
      <c r="AH34" s="36"/>
      <c r="AI34" s="3"/>
      <c r="AJ34" s="3"/>
      <c r="AK34" s="3"/>
      <c r="AL34" s="3"/>
      <c r="AM34" s="3"/>
      <c r="AN34" s="3"/>
    </row>
    <row r="35" spans="1:40" customFormat="1" ht="20.25" customHeight="1">
      <c r="A35" s="35">
        <v>41422</v>
      </c>
      <c r="B35" s="65">
        <v>4</v>
      </c>
      <c r="C35" s="65" t="s">
        <v>323</v>
      </c>
      <c r="D35" s="65" t="s">
        <v>324</v>
      </c>
      <c r="E35" s="65"/>
      <c r="F35" s="65" t="s">
        <v>325</v>
      </c>
      <c r="G35" s="65" t="s">
        <v>326</v>
      </c>
      <c r="H35" s="36"/>
      <c r="I35" s="36"/>
      <c r="J35" s="36">
        <v>13</v>
      </c>
      <c r="K35" s="36" t="s">
        <v>509</v>
      </c>
      <c r="L35" s="36" t="s">
        <v>327</v>
      </c>
      <c r="M35" s="36">
        <v>88</v>
      </c>
      <c r="N35" s="36">
        <f t="shared" si="0"/>
        <v>14.772727272727273</v>
      </c>
      <c r="O35" s="36">
        <v>10.185892538833855</v>
      </c>
      <c r="P35" s="40">
        <f t="shared" si="1"/>
        <v>1.5047341250550013</v>
      </c>
      <c r="Q35" s="36">
        <v>6905.2203806524058</v>
      </c>
      <c r="R35" s="40">
        <f t="shared" si="2"/>
        <v>2.1791254183155178E-2</v>
      </c>
      <c r="S35" s="36">
        <v>1000</v>
      </c>
      <c r="T35" s="95">
        <f t="shared" si="14"/>
        <v>0.12264150943396226</v>
      </c>
      <c r="U35" s="95">
        <f t="shared" si="5"/>
        <v>-2.0984897366505306</v>
      </c>
      <c r="V35" s="95">
        <f t="shared" si="15"/>
        <v>-0.25736194883449903</v>
      </c>
      <c r="W35" s="95"/>
      <c r="X35" s="95"/>
      <c r="Y35" s="37">
        <f t="shared" si="16"/>
        <v>2.1791254183155178E-4</v>
      </c>
      <c r="Z35" s="37">
        <f t="shared" si="7"/>
        <v>-8.4314167599300571</v>
      </c>
      <c r="AA35" s="149">
        <f t="shared" si="17"/>
        <v>-1.8373114573975054E-3</v>
      </c>
      <c r="AB35" s="37"/>
      <c r="AC35" s="98" t="s">
        <v>682</v>
      </c>
      <c r="AD35" s="98"/>
      <c r="AE35" s="98"/>
      <c r="AF35" s="36"/>
      <c r="AG35" s="36"/>
      <c r="AH35" s="36"/>
      <c r="AI35" s="3"/>
      <c r="AJ35" s="3"/>
      <c r="AK35" s="3"/>
      <c r="AL35" s="3"/>
      <c r="AM35" s="3"/>
      <c r="AN35" s="3"/>
    </row>
    <row r="36" spans="1:40" customFormat="1" ht="20.25" customHeight="1">
      <c r="A36" s="35">
        <v>41422</v>
      </c>
      <c r="B36" s="65">
        <v>4</v>
      </c>
      <c r="C36" s="65" t="s">
        <v>223</v>
      </c>
      <c r="D36" s="65" t="s">
        <v>267</v>
      </c>
      <c r="E36" s="65" t="s">
        <v>278</v>
      </c>
      <c r="F36" s="65" t="s">
        <v>279</v>
      </c>
      <c r="G36" s="65" t="s">
        <v>280</v>
      </c>
      <c r="H36" s="36" t="s">
        <v>284</v>
      </c>
      <c r="I36" s="36" t="s">
        <v>285</v>
      </c>
      <c r="J36" s="36">
        <v>51</v>
      </c>
      <c r="K36" s="36" t="s">
        <v>247</v>
      </c>
      <c r="L36" s="36" t="s">
        <v>283</v>
      </c>
      <c r="M36" s="36">
        <v>88</v>
      </c>
      <c r="N36" s="36">
        <f t="shared" si="0"/>
        <v>57.95454545454546</v>
      </c>
      <c r="O36" s="36">
        <v>10.185892538833855</v>
      </c>
      <c r="P36" s="40">
        <f t="shared" si="1"/>
        <v>5.9031877213696209</v>
      </c>
      <c r="Q36" s="65">
        <v>6905.2203806524103</v>
      </c>
      <c r="R36" s="40">
        <f t="shared" si="2"/>
        <v>8.5488766410839495E-2</v>
      </c>
      <c r="S36" s="36">
        <v>1000</v>
      </c>
      <c r="T36" s="95">
        <f t="shared" si="14"/>
        <v>0.48113207547169812</v>
      </c>
      <c r="U36" s="95">
        <f t="shared" si="5"/>
        <v>-0.73161346138774142</v>
      </c>
      <c r="V36" s="95">
        <f t="shared" si="15"/>
        <v>-0.35200270312051712</v>
      </c>
      <c r="W36" s="95"/>
      <c r="X36" s="95"/>
      <c r="Y36" s="37">
        <f t="shared" si="16"/>
        <v>8.5488766410839493E-4</v>
      </c>
      <c r="Z36" s="37">
        <f t="shared" si="7"/>
        <v>-7.0645404846672681</v>
      </c>
      <c r="AA36" s="149">
        <f t="shared" si="17"/>
        <v>-6.0393885129363892E-3</v>
      </c>
      <c r="AB36" s="37"/>
      <c r="AC36" s="98"/>
      <c r="AD36" s="98"/>
      <c r="AE36" s="98"/>
      <c r="AF36" s="36"/>
      <c r="AG36" s="36"/>
      <c r="AH36" s="36"/>
      <c r="AI36" s="3"/>
      <c r="AJ36" s="3"/>
      <c r="AK36" s="3"/>
      <c r="AL36" s="3"/>
      <c r="AM36" s="3"/>
      <c r="AN36" s="3"/>
    </row>
    <row r="37" spans="1:40" customFormat="1" ht="20.25" customHeight="1">
      <c r="A37" s="71">
        <v>41422</v>
      </c>
      <c r="B37" s="51">
        <v>4</v>
      </c>
      <c r="C37" s="51" t="s">
        <v>223</v>
      </c>
      <c r="D37" s="51" t="s">
        <v>224</v>
      </c>
      <c r="E37" s="51" t="s">
        <v>225</v>
      </c>
      <c r="F37" s="51" t="s">
        <v>226</v>
      </c>
      <c r="G37" s="51" t="s">
        <v>227</v>
      </c>
      <c r="H37" s="3" t="s">
        <v>228</v>
      </c>
      <c r="I37" s="3"/>
      <c r="J37" s="3">
        <v>11</v>
      </c>
      <c r="K37" s="3" t="s">
        <v>229</v>
      </c>
      <c r="L37" s="3" t="s">
        <v>228</v>
      </c>
      <c r="M37" s="3">
        <v>106</v>
      </c>
      <c r="N37" s="3">
        <f t="shared" si="0"/>
        <v>10.377358490566039</v>
      </c>
      <c r="O37" s="65">
        <v>6895.0344881135716</v>
      </c>
      <c r="P37" s="8">
        <f t="shared" si="1"/>
        <v>715.52244687971029</v>
      </c>
      <c r="Q37" s="36">
        <v>6905.2203806524103</v>
      </c>
      <c r="R37" s="8">
        <f t="shared" si="2"/>
        <v>10.362050846118066</v>
      </c>
      <c r="S37" s="3">
        <v>250</v>
      </c>
      <c r="T37" s="95">
        <f t="shared" si="14"/>
        <v>0.10377358490566038</v>
      </c>
      <c r="U37" s="95">
        <f t="shared" si="5"/>
        <v>-2.2655438213136967</v>
      </c>
      <c r="V37" s="95">
        <f t="shared" si="15"/>
        <v>-0.23510360409859118</v>
      </c>
      <c r="W37" s="95"/>
      <c r="X37" s="95"/>
      <c r="Y37" s="37">
        <f t="shared" si="16"/>
        <v>0.10362050846118066</v>
      </c>
      <c r="Z37" s="37">
        <f t="shared" si="7"/>
        <v>-2.2670200106283729</v>
      </c>
      <c r="AA37" s="149">
        <f t="shared" si="17"/>
        <v>-0.23490976619298318</v>
      </c>
      <c r="AB37" s="37"/>
      <c r="AC37" s="98"/>
      <c r="AD37" s="98"/>
      <c r="AE37" s="98"/>
      <c r="AF37" s="3" t="s">
        <v>230</v>
      </c>
      <c r="AG37" s="3"/>
      <c r="AH37" s="36"/>
      <c r="AI37" s="3"/>
      <c r="AJ37" s="3"/>
      <c r="AK37" s="3"/>
      <c r="AL37" s="3"/>
      <c r="AM37" s="3"/>
      <c r="AN37" s="3"/>
    </row>
    <row r="38" spans="1:40" customFormat="1" ht="20.25" customHeight="1">
      <c r="A38" s="71">
        <v>41422</v>
      </c>
      <c r="B38" s="51">
        <v>4</v>
      </c>
      <c r="C38" s="3" t="s">
        <v>223</v>
      </c>
      <c r="D38" s="3" t="s">
        <v>303</v>
      </c>
      <c r="E38" s="3" t="s">
        <v>304</v>
      </c>
      <c r="F38" s="3" t="s">
        <v>305</v>
      </c>
      <c r="G38" s="3" t="s">
        <v>306</v>
      </c>
      <c r="H38" s="3" t="s">
        <v>307</v>
      </c>
      <c r="I38" s="3"/>
      <c r="J38" s="3">
        <v>4</v>
      </c>
      <c r="K38" s="3" t="s">
        <v>229</v>
      </c>
      <c r="L38" s="3" t="s">
        <v>307</v>
      </c>
      <c r="M38" s="3">
        <v>106</v>
      </c>
      <c r="N38" s="3">
        <f t="shared" si="0"/>
        <v>3.7735849056603774</v>
      </c>
      <c r="O38" s="65">
        <v>6895.0344881135716</v>
      </c>
      <c r="P38" s="8">
        <f t="shared" si="1"/>
        <v>260.18998068353102</v>
      </c>
      <c r="Q38" s="36">
        <v>6905.2203806524103</v>
      </c>
      <c r="R38" s="8">
        <f t="shared" si="2"/>
        <v>3.7680184894974786</v>
      </c>
      <c r="S38" s="3">
        <v>250</v>
      </c>
      <c r="T38" s="95">
        <f t="shared" si="14"/>
        <v>3.7735849056603772E-2</v>
      </c>
      <c r="U38" s="95">
        <f t="shared" si="5"/>
        <v>-3.2771447329921766</v>
      </c>
      <c r="V38" s="95">
        <f t="shared" si="15"/>
        <v>-0.12366583898083684</v>
      </c>
      <c r="W38" s="95"/>
      <c r="X38" s="95"/>
      <c r="Y38" s="37">
        <f t="shared" si="16"/>
        <v>3.7680184894974787E-2</v>
      </c>
      <c r="Z38" s="37">
        <f t="shared" si="7"/>
        <v>-3.2786209223068528</v>
      </c>
      <c r="AA38" s="149">
        <f t="shared" si="17"/>
        <v>-0.12353904255305498</v>
      </c>
      <c r="AB38" s="37"/>
      <c r="AC38" s="98"/>
      <c r="AD38" s="98"/>
      <c r="AE38" s="98"/>
      <c r="AF38" s="36" t="s">
        <v>308</v>
      </c>
      <c r="AG38" s="3"/>
      <c r="AH38" s="36"/>
      <c r="AI38" s="3"/>
      <c r="AJ38" s="3"/>
      <c r="AK38" s="3"/>
      <c r="AL38" s="3"/>
      <c r="AM38" s="3"/>
      <c r="AN38" s="3"/>
    </row>
    <row r="39" spans="1:40" customFormat="1" ht="20.25" customHeight="1">
      <c r="A39" s="72">
        <v>41422</v>
      </c>
      <c r="B39" s="65">
        <v>4</v>
      </c>
      <c r="C39" s="65" t="s">
        <v>300</v>
      </c>
      <c r="D39" s="65" t="s">
        <v>320</v>
      </c>
      <c r="E39" s="65"/>
      <c r="F39" s="65"/>
      <c r="G39" s="65"/>
      <c r="H39" s="36"/>
      <c r="I39" s="36"/>
      <c r="J39" s="36">
        <v>1</v>
      </c>
      <c r="K39" s="36" t="s">
        <v>221</v>
      </c>
      <c r="L39" s="36" t="s">
        <v>322</v>
      </c>
      <c r="M39" s="3">
        <v>106</v>
      </c>
      <c r="N39" s="36">
        <f t="shared" si="0"/>
        <v>0.94339622641509435</v>
      </c>
      <c r="O39" s="65">
        <v>6895.0344881135716</v>
      </c>
      <c r="P39" s="8">
        <f t="shared" si="1"/>
        <v>65.047495170882755</v>
      </c>
      <c r="Q39" s="36">
        <v>6905.2203806524103</v>
      </c>
      <c r="R39" s="8">
        <f t="shared" si="2"/>
        <v>0.94200462237436966</v>
      </c>
      <c r="S39" s="36">
        <v>250</v>
      </c>
      <c r="T39" s="95">
        <f t="shared" si="14"/>
        <v>9.433962264150943E-3</v>
      </c>
      <c r="U39" s="95">
        <f t="shared" si="5"/>
        <v>-4.6634390941120669</v>
      </c>
      <c r="V39" s="95">
        <f t="shared" si="15"/>
        <v>-4.39947084350195E-2</v>
      </c>
      <c r="W39" s="95"/>
      <c r="X39" s="95"/>
      <c r="Y39" s="37">
        <f t="shared" si="16"/>
        <v>9.4200462237436968E-3</v>
      </c>
      <c r="Z39" s="37">
        <f t="shared" si="7"/>
        <v>-4.6649152834267431</v>
      </c>
      <c r="AA39" s="149">
        <f t="shared" si="17"/>
        <v>-4.3943717599728351E-2</v>
      </c>
      <c r="AB39" s="37"/>
      <c r="AC39" s="98"/>
      <c r="AD39" s="98"/>
      <c r="AE39" s="98"/>
      <c r="AF39" s="36" t="s">
        <v>222</v>
      </c>
      <c r="AG39" s="36"/>
      <c r="AH39" s="36"/>
      <c r="AI39" s="3"/>
      <c r="AJ39" s="3"/>
      <c r="AK39" s="3"/>
      <c r="AL39" s="3"/>
      <c r="AM39" s="3"/>
      <c r="AN39" s="3"/>
    </row>
    <row r="40" spans="1:40" customFormat="1" ht="20.25" customHeight="1">
      <c r="A40" s="13">
        <v>41422</v>
      </c>
      <c r="B40" s="51">
        <v>4</v>
      </c>
      <c r="C40" s="3" t="s">
        <v>295</v>
      </c>
      <c r="D40" s="3" t="s">
        <v>296</v>
      </c>
      <c r="E40" s="3"/>
      <c r="F40" s="3" t="s">
        <v>297</v>
      </c>
      <c r="G40" s="3" t="s">
        <v>298</v>
      </c>
      <c r="H40" s="3" t="s">
        <v>299</v>
      </c>
      <c r="I40" s="3"/>
      <c r="J40" s="3">
        <v>1</v>
      </c>
      <c r="K40" s="3" t="s">
        <v>229</v>
      </c>
      <c r="L40" s="3" t="s">
        <v>479</v>
      </c>
      <c r="M40" s="3">
        <v>106</v>
      </c>
      <c r="N40" s="3">
        <f t="shared" si="0"/>
        <v>0.94339622641509435</v>
      </c>
      <c r="O40" s="65">
        <v>6895.0344881135716</v>
      </c>
      <c r="P40" s="8">
        <f t="shared" si="1"/>
        <v>65.047495170882755</v>
      </c>
      <c r="Q40" s="36">
        <v>6905.2203806524103</v>
      </c>
      <c r="R40" s="8">
        <f t="shared" si="2"/>
        <v>0.94200462237436966</v>
      </c>
      <c r="S40" s="3">
        <v>250</v>
      </c>
      <c r="T40" s="95">
        <f t="shared" si="14"/>
        <v>9.433962264150943E-3</v>
      </c>
      <c r="U40" s="95">
        <f t="shared" si="5"/>
        <v>-4.6634390941120669</v>
      </c>
      <c r="V40" s="95">
        <f t="shared" si="15"/>
        <v>-4.39947084350195E-2</v>
      </c>
      <c r="W40" s="95"/>
      <c r="X40" s="95"/>
      <c r="Y40" s="37">
        <f t="shared" si="16"/>
        <v>9.4200462237436968E-3</v>
      </c>
      <c r="Z40" s="37">
        <f t="shared" si="7"/>
        <v>-4.6649152834267431</v>
      </c>
      <c r="AA40" s="149">
        <f t="shared" si="17"/>
        <v>-4.3943717599728351E-2</v>
      </c>
      <c r="AB40" s="37"/>
      <c r="AC40" s="98"/>
      <c r="AD40" s="98"/>
      <c r="AE40" s="98"/>
      <c r="AF40" s="3" t="s">
        <v>222</v>
      </c>
      <c r="AG40" s="3"/>
      <c r="AH40" s="36"/>
      <c r="AI40" s="3"/>
      <c r="AJ40" s="3"/>
      <c r="AK40" s="3"/>
      <c r="AL40" s="3"/>
      <c r="AM40" s="3"/>
      <c r="AN40" s="3"/>
    </row>
    <row r="41" spans="1:40" customFormat="1" ht="20.25" customHeight="1">
      <c r="A41" s="13">
        <v>41422</v>
      </c>
      <c r="B41" s="51">
        <v>4</v>
      </c>
      <c r="C41" s="3" t="s">
        <v>223</v>
      </c>
      <c r="D41" s="3" t="s">
        <v>224</v>
      </c>
      <c r="E41" s="3" t="s">
        <v>225</v>
      </c>
      <c r="F41" s="3" t="s">
        <v>226</v>
      </c>
      <c r="G41" s="3"/>
      <c r="H41" s="3"/>
      <c r="I41" s="3"/>
      <c r="J41" s="3">
        <v>11</v>
      </c>
      <c r="K41" s="3" t="s">
        <v>508</v>
      </c>
      <c r="L41" s="36" t="s">
        <v>600</v>
      </c>
      <c r="M41" s="3">
        <v>106</v>
      </c>
      <c r="N41" s="3">
        <f t="shared" si="0"/>
        <v>10.377358490566039</v>
      </c>
      <c r="O41" s="65">
        <v>6895.0344881135716</v>
      </c>
      <c r="P41" s="8">
        <f t="shared" si="1"/>
        <v>715.52244687971029</v>
      </c>
      <c r="Q41" s="36">
        <v>6905.2203806524103</v>
      </c>
      <c r="R41" s="8">
        <f t="shared" si="2"/>
        <v>10.362050846118066</v>
      </c>
      <c r="S41" s="3">
        <v>250</v>
      </c>
      <c r="T41" s="95">
        <f t="shared" si="14"/>
        <v>0.10377358490566038</v>
      </c>
      <c r="U41" s="95">
        <f t="shared" si="5"/>
        <v>-2.2655438213136967</v>
      </c>
      <c r="V41" s="95">
        <f t="shared" si="15"/>
        <v>-0.23510360409859118</v>
      </c>
      <c r="W41" s="95"/>
      <c r="X41" s="95"/>
      <c r="Y41" s="37">
        <f t="shared" si="16"/>
        <v>0.10362050846118066</v>
      </c>
      <c r="Z41" s="37">
        <f t="shared" si="7"/>
        <v>-2.2670200106283729</v>
      </c>
      <c r="AA41" s="149">
        <f t="shared" si="17"/>
        <v>-0.23490976619298318</v>
      </c>
      <c r="AB41" s="37"/>
      <c r="AC41" s="98"/>
      <c r="AD41" s="98"/>
      <c r="AE41" s="98"/>
      <c r="AF41" s="3" t="s">
        <v>265</v>
      </c>
      <c r="AG41" s="3"/>
      <c r="AH41" s="36"/>
      <c r="AI41" s="3"/>
      <c r="AJ41" s="3"/>
      <c r="AK41" s="3"/>
      <c r="AL41" s="3"/>
      <c r="AM41" s="3"/>
      <c r="AN41" s="3"/>
    </row>
    <row r="42" spans="1:40" ht="20.25" customHeight="1">
      <c r="A42" s="13">
        <v>41422</v>
      </c>
      <c r="B42" s="51">
        <v>4</v>
      </c>
      <c r="C42" s="3" t="s">
        <v>223</v>
      </c>
      <c r="D42" s="3" t="s">
        <v>224</v>
      </c>
      <c r="E42" s="3" t="s">
        <v>225</v>
      </c>
      <c r="F42" s="3" t="s">
        <v>226</v>
      </c>
      <c r="G42" s="3" t="s">
        <v>235</v>
      </c>
      <c r="H42" s="3" t="s">
        <v>236</v>
      </c>
      <c r="I42" s="3" t="s">
        <v>237</v>
      </c>
      <c r="J42" s="3">
        <v>1</v>
      </c>
      <c r="K42" s="3" t="s">
        <v>247</v>
      </c>
      <c r="L42" s="3" t="s">
        <v>238</v>
      </c>
      <c r="M42" s="3">
        <v>106</v>
      </c>
      <c r="N42" s="3">
        <f t="shared" si="0"/>
        <v>0.94339622641509435</v>
      </c>
      <c r="O42" s="65">
        <v>6895.0344881135716</v>
      </c>
      <c r="P42" s="8">
        <f t="shared" si="1"/>
        <v>65.047495170882755</v>
      </c>
      <c r="Q42" s="36">
        <v>6905.2203806524103</v>
      </c>
      <c r="R42" s="8">
        <f t="shared" si="2"/>
        <v>0.94200462237436966</v>
      </c>
      <c r="S42" s="3">
        <v>250</v>
      </c>
      <c r="T42" s="95">
        <f t="shared" si="14"/>
        <v>9.433962264150943E-3</v>
      </c>
      <c r="U42" s="95">
        <f t="shared" si="5"/>
        <v>-4.6634390941120669</v>
      </c>
      <c r="V42" s="95">
        <f t="shared" si="15"/>
        <v>-4.39947084350195E-2</v>
      </c>
      <c r="W42" s="95"/>
      <c r="X42" s="95"/>
      <c r="Y42" s="37">
        <f t="shared" si="16"/>
        <v>9.4200462237436968E-3</v>
      </c>
      <c r="Z42" s="37">
        <f t="shared" si="7"/>
        <v>-4.6649152834267431</v>
      </c>
      <c r="AA42" s="149">
        <f t="shared" si="17"/>
        <v>-4.3943717599728351E-2</v>
      </c>
      <c r="AB42" s="37"/>
      <c r="AC42" s="98"/>
      <c r="AD42" s="98"/>
      <c r="AE42" s="98"/>
      <c r="AF42" s="3"/>
      <c r="AG42" s="3"/>
      <c r="AH42" s="36"/>
      <c r="AI42" s="36"/>
      <c r="AJ42" s="36"/>
      <c r="AK42" s="36"/>
      <c r="AL42" s="36"/>
      <c r="AM42" s="36"/>
      <c r="AN42" s="36"/>
    </row>
    <row r="43" spans="1:40" ht="20.25" customHeight="1">
      <c r="A43" s="13">
        <v>41422</v>
      </c>
      <c r="B43" s="51">
        <v>4</v>
      </c>
      <c r="C43" s="3" t="s">
        <v>223</v>
      </c>
      <c r="D43" s="3" t="s">
        <v>310</v>
      </c>
      <c r="E43" s="3" t="s">
        <v>314</v>
      </c>
      <c r="F43" s="3" t="s">
        <v>311</v>
      </c>
      <c r="G43" s="3" t="s">
        <v>312</v>
      </c>
      <c r="H43" s="3" t="s">
        <v>313</v>
      </c>
      <c r="I43" s="3"/>
      <c r="J43" s="3">
        <v>4</v>
      </c>
      <c r="K43" s="3" t="s">
        <v>229</v>
      </c>
      <c r="L43" s="3" t="s">
        <v>345</v>
      </c>
      <c r="M43" s="3">
        <v>106</v>
      </c>
      <c r="N43" s="3">
        <f t="shared" si="0"/>
        <v>3.7735849056603774</v>
      </c>
      <c r="O43" s="65">
        <v>6895.0344881135716</v>
      </c>
      <c r="P43" s="8">
        <f t="shared" si="1"/>
        <v>260.18998068353102</v>
      </c>
      <c r="Q43" s="36">
        <v>6905.2203806524103</v>
      </c>
      <c r="R43" s="8">
        <f t="shared" si="2"/>
        <v>3.7680184894974786</v>
      </c>
      <c r="S43" s="3">
        <v>250</v>
      </c>
      <c r="T43" s="95">
        <f t="shared" si="14"/>
        <v>3.7735849056603772E-2</v>
      </c>
      <c r="U43" s="95">
        <f t="shared" si="5"/>
        <v>-3.2771447329921766</v>
      </c>
      <c r="V43" s="95">
        <f t="shared" si="15"/>
        <v>-0.12366583898083684</v>
      </c>
      <c r="W43" s="95"/>
      <c r="X43" s="95"/>
      <c r="Y43" s="37">
        <f t="shared" si="16"/>
        <v>3.7680184894974787E-2</v>
      </c>
      <c r="Z43" s="37">
        <f t="shared" si="7"/>
        <v>-3.2786209223068528</v>
      </c>
      <c r="AA43" s="149">
        <f t="shared" si="17"/>
        <v>-0.12353904255305498</v>
      </c>
      <c r="AB43" s="37"/>
      <c r="AC43" s="98"/>
      <c r="AD43" s="98"/>
      <c r="AE43" s="98"/>
      <c r="AF43" s="3"/>
      <c r="AG43" s="3"/>
      <c r="AH43" s="36"/>
      <c r="AI43" s="36"/>
      <c r="AJ43" s="36"/>
      <c r="AK43" s="36"/>
      <c r="AL43" s="36"/>
      <c r="AM43" s="36"/>
      <c r="AN43" s="36"/>
    </row>
    <row r="44" spans="1:40" ht="20.25" customHeight="1">
      <c r="A44" s="13">
        <v>41422</v>
      </c>
      <c r="B44" s="51">
        <v>4</v>
      </c>
      <c r="C44" s="51" t="s">
        <v>223</v>
      </c>
      <c r="D44" s="3" t="s">
        <v>224</v>
      </c>
      <c r="E44" s="3" t="s">
        <v>225</v>
      </c>
      <c r="F44" s="51" t="s">
        <v>226</v>
      </c>
      <c r="G44" s="51" t="s">
        <v>239</v>
      </c>
      <c r="H44" s="51" t="s">
        <v>240</v>
      </c>
      <c r="I44" s="3"/>
      <c r="J44" s="3">
        <v>22</v>
      </c>
      <c r="K44" s="3" t="s">
        <v>229</v>
      </c>
      <c r="L44" s="3" t="s">
        <v>240</v>
      </c>
      <c r="M44" s="3">
        <v>106</v>
      </c>
      <c r="N44" s="3">
        <f t="shared" si="0"/>
        <v>20.754716981132077</v>
      </c>
      <c r="O44" s="65">
        <v>6895.0344881135716</v>
      </c>
      <c r="P44" s="8">
        <f t="shared" si="1"/>
        <v>1431.0448937594206</v>
      </c>
      <c r="Q44" s="36">
        <v>6905.2203806524103</v>
      </c>
      <c r="R44" s="8">
        <f t="shared" si="2"/>
        <v>20.724101692236133</v>
      </c>
      <c r="S44" s="3">
        <v>250</v>
      </c>
      <c r="T44" s="95">
        <f t="shared" si="14"/>
        <v>0.20754716981132076</v>
      </c>
      <c r="U44" s="95">
        <f t="shared" si="5"/>
        <v>-1.5723966407537513</v>
      </c>
      <c r="V44" s="95">
        <f t="shared" si="15"/>
        <v>-0.32634647260926913</v>
      </c>
      <c r="W44" s="95"/>
      <c r="X44" s="95"/>
      <c r="Y44" s="37">
        <f t="shared" si="16"/>
        <v>0.20724101692236133</v>
      </c>
      <c r="Z44" s="37">
        <f t="shared" si="7"/>
        <v>-1.5738728300684277</v>
      </c>
      <c r="AA44" s="149">
        <f t="shared" si="17"/>
        <v>-0.32617100580985575</v>
      </c>
      <c r="AB44" s="37"/>
      <c r="AC44" s="98"/>
      <c r="AD44" s="98"/>
      <c r="AE44" s="98"/>
      <c r="AF44" s="3" t="s">
        <v>241</v>
      </c>
      <c r="AG44" s="3"/>
      <c r="AH44" s="36"/>
      <c r="AI44" s="36"/>
      <c r="AJ44" s="36"/>
      <c r="AK44" s="36"/>
      <c r="AL44" s="36"/>
      <c r="AM44" s="36"/>
      <c r="AN44" s="36"/>
    </row>
    <row r="45" spans="1:40" ht="20.25" customHeight="1">
      <c r="A45" s="13">
        <v>41422</v>
      </c>
      <c r="B45" s="51">
        <v>4</v>
      </c>
      <c r="C45" s="3" t="s">
        <v>223</v>
      </c>
      <c r="D45" s="3" t="s">
        <v>310</v>
      </c>
      <c r="E45" s="3" t="s">
        <v>314</v>
      </c>
      <c r="F45" s="3" t="s">
        <v>311</v>
      </c>
      <c r="G45" s="3" t="s">
        <v>315</v>
      </c>
      <c r="H45" s="3" t="s">
        <v>316</v>
      </c>
      <c r="I45" s="3"/>
      <c r="J45" s="3">
        <v>3</v>
      </c>
      <c r="K45" s="3" t="s">
        <v>229</v>
      </c>
      <c r="L45" s="3" t="s">
        <v>345</v>
      </c>
      <c r="M45" s="3">
        <v>106</v>
      </c>
      <c r="N45" s="3">
        <f t="shared" si="0"/>
        <v>2.8301886792452833</v>
      </c>
      <c r="O45" s="65">
        <v>6895.0344881135716</v>
      </c>
      <c r="P45" s="8">
        <f t="shared" si="1"/>
        <v>195.14248551264828</v>
      </c>
      <c r="Q45" s="36">
        <v>6905.2203806524103</v>
      </c>
      <c r="R45" s="8">
        <f t="shared" si="2"/>
        <v>2.8260138671231094</v>
      </c>
      <c r="S45" s="3">
        <v>250</v>
      </c>
      <c r="T45" s="95">
        <f t="shared" si="14"/>
        <v>2.8301886792452831E-2</v>
      </c>
      <c r="U45" s="95">
        <f t="shared" si="5"/>
        <v>-3.5648268054439574</v>
      </c>
      <c r="V45" s="95">
        <f t="shared" si="15"/>
        <v>-0.10089132468237616</v>
      </c>
      <c r="W45" s="95"/>
      <c r="X45" s="95"/>
      <c r="Y45" s="37">
        <f t="shared" si="16"/>
        <v>2.8260138671231096E-2</v>
      </c>
      <c r="Z45" s="37">
        <f t="shared" si="7"/>
        <v>-3.5663029947586335</v>
      </c>
      <c r="AA45" s="149">
        <f t="shared" si="17"/>
        <v>-0.10078421717550573</v>
      </c>
      <c r="AB45" s="37"/>
      <c r="AC45" s="98"/>
      <c r="AD45" s="98"/>
      <c r="AE45" s="98"/>
      <c r="AF45" s="3"/>
      <c r="AG45" s="3"/>
      <c r="AH45" s="36"/>
      <c r="AI45" s="36"/>
      <c r="AJ45" s="36"/>
      <c r="AK45" s="36"/>
      <c r="AL45" s="36"/>
      <c r="AM45" s="36"/>
      <c r="AN45" s="36"/>
    </row>
    <row r="46" spans="1:40" customFormat="1" ht="20.25" customHeight="1">
      <c r="A46" s="13">
        <v>41422</v>
      </c>
      <c r="B46" s="51">
        <v>4</v>
      </c>
      <c r="C46" s="3" t="s">
        <v>223</v>
      </c>
      <c r="D46" s="3" t="s">
        <v>224</v>
      </c>
      <c r="E46" s="3" t="s">
        <v>225</v>
      </c>
      <c r="F46" s="3" t="s">
        <v>243</v>
      </c>
      <c r="G46" s="3" t="s">
        <v>244</v>
      </c>
      <c r="H46" s="3" t="s">
        <v>245</v>
      </c>
      <c r="I46" s="3" t="s">
        <v>246</v>
      </c>
      <c r="J46" s="3">
        <v>10</v>
      </c>
      <c r="K46" s="3" t="s">
        <v>247</v>
      </c>
      <c r="L46" s="3" t="s">
        <v>357</v>
      </c>
      <c r="M46" s="3">
        <v>106</v>
      </c>
      <c r="N46" s="3">
        <f t="shared" si="0"/>
        <v>9.433962264150944</v>
      </c>
      <c r="O46" s="65">
        <v>6895.0344881135716</v>
      </c>
      <c r="P46" s="8">
        <f t="shared" si="1"/>
        <v>650.47495170882758</v>
      </c>
      <c r="Q46" s="36">
        <v>6905.2203806524103</v>
      </c>
      <c r="R46" s="8">
        <f t="shared" si="2"/>
        <v>9.4200462237436966</v>
      </c>
      <c r="S46" s="3">
        <v>250</v>
      </c>
      <c r="T46" s="95">
        <f t="shared" si="14"/>
        <v>9.4339622641509441E-2</v>
      </c>
      <c r="U46" s="95">
        <f t="shared" si="5"/>
        <v>-2.3608540011180215</v>
      </c>
      <c r="V46" s="95">
        <f t="shared" si="15"/>
        <v>-0.22272207557717186</v>
      </c>
      <c r="W46" s="95"/>
      <c r="X46" s="95"/>
      <c r="Y46" s="37">
        <f t="shared" si="16"/>
        <v>9.4200462237436972E-2</v>
      </c>
      <c r="Z46" s="37">
        <f t="shared" si="7"/>
        <v>-2.3623301904326977</v>
      </c>
      <c r="AA46" s="149">
        <f t="shared" si="17"/>
        <v>-0.22253259589621263</v>
      </c>
      <c r="AB46" s="37"/>
      <c r="AC46" s="98"/>
      <c r="AD46" s="98"/>
      <c r="AE46" s="98"/>
      <c r="AF46" s="3"/>
      <c r="AG46" s="3"/>
      <c r="AH46" s="36"/>
      <c r="AI46" s="3"/>
      <c r="AJ46" s="3"/>
      <c r="AK46" s="3"/>
      <c r="AL46" s="3"/>
      <c r="AM46" s="3"/>
      <c r="AN46" s="3"/>
    </row>
    <row r="47" spans="1:40" customFormat="1" ht="20.25" customHeight="1">
      <c r="A47" s="71">
        <v>41422</v>
      </c>
      <c r="B47" s="51">
        <v>4</v>
      </c>
      <c r="C47" s="51" t="s">
        <v>223</v>
      </c>
      <c r="D47" s="51" t="s">
        <v>224</v>
      </c>
      <c r="E47" s="51" t="s">
        <v>225</v>
      </c>
      <c r="F47" s="51" t="s">
        <v>248</v>
      </c>
      <c r="G47" s="51" t="s">
        <v>249</v>
      </c>
      <c r="H47" s="3" t="s">
        <v>250</v>
      </c>
      <c r="I47" s="3" t="s">
        <v>251</v>
      </c>
      <c r="J47" s="3">
        <v>18</v>
      </c>
      <c r="K47" s="3" t="s">
        <v>247</v>
      </c>
      <c r="L47" s="3" t="s">
        <v>250</v>
      </c>
      <c r="M47" s="3">
        <v>106</v>
      </c>
      <c r="N47" s="3">
        <f t="shared" si="0"/>
        <v>16.981132075471699</v>
      </c>
      <c r="O47" s="65">
        <v>6895.0344881135716</v>
      </c>
      <c r="P47" s="8">
        <f t="shared" si="1"/>
        <v>1170.8549130758897</v>
      </c>
      <c r="Q47" s="36">
        <v>6905.2203806524103</v>
      </c>
      <c r="R47" s="8">
        <f t="shared" si="2"/>
        <v>16.956083202738657</v>
      </c>
      <c r="S47" s="3">
        <v>250</v>
      </c>
      <c r="T47" s="95">
        <f t="shared" si="14"/>
        <v>0.16981132075471697</v>
      </c>
      <c r="U47" s="95">
        <f t="shared" si="5"/>
        <v>-1.7730673362159024</v>
      </c>
      <c r="V47" s="95">
        <f t="shared" si="15"/>
        <v>-0.30108690614987021</v>
      </c>
      <c r="W47" s="95"/>
      <c r="X47" s="95"/>
      <c r="Y47" s="37">
        <f t="shared" si="16"/>
        <v>0.16956083202738659</v>
      </c>
      <c r="Z47" s="37">
        <f t="shared" si="7"/>
        <v>-1.7745435255305786</v>
      </c>
      <c r="AA47" s="149">
        <f t="shared" si="17"/>
        <v>-0.30089307665777681</v>
      </c>
      <c r="AB47" s="37"/>
      <c r="AC47" s="98"/>
      <c r="AD47" s="98"/>
      <c r="AE47" s="98"/>
      <c r="AF47" s="3"/>
      <c r="AG47" s="3"/>
      <c r="AH47" s="36"/>
      <c r="AI47" s="3"/>
      <c r="AJ47" s="3"/>
      <c r="AK47" s="3"/>
      <c r="AL47" s="3"/>
      <c r="AM47" s="3"/>
      <c r="AN47" s="3"/>
    </row>
    <row r="48" spans="1:40" customFormat="1" ht="20.25" customHeight="1">
      <c r="A48" s="71">
        <v>41422</v>
      </c>
      <c r="B48" s="51">
        <v>4</v>
      </c>
      <c r="C48" s="3" t="s">
        <v>216</v>
      </c>
      <c r="D48" s="3" t="s">
        <v>217</v>
      </c>
      <c r="E48" s="3"/>
      <c r="F48" s="3"/>
      <c r="G48" s="3"/>
      <c r="H48" s="3" t="s">
        <v>219</v>
      </c>
      <c r="I48" s="3"/>
      <c r="J48" s="3">
        <v>9</v>
      </c>
      <c r="K48" s="36" t="s">
        <v>229</v>
      </c>
      <c r="L48" s="3" t="s">
        <v>219</v>
      </c>
      <c r="M48" s="3">
        <v>106</v>
      </c>
      <c r="N48" s="3">
        <f t="shared" si="0"/>
        <v>8.4905660377358494</v>
      </c>
      <c r="O48" s="36">
        <v>6895.0344881135716</v>
      </c>
      <c r="P48" s="8">
        <f t="shared" si="1"/>
        <v>585.42745653794486</v>
      </c>
      <c r="Q48" s="36">
        <v>6905.2203806524103</v>
      </c>
      <c r="R48" s="8">
        <f t="shared" si="2"/>
        <v>8.4780416013693287</v>
      </c>
      <c r="S48" s="3">
        <v>250</v>
      </c>
      <c r="T48" s="95">
        <f t="shared" si="14"/>
        <v>8.4905660377358486E-2</v>
      </c>
      <c r="U48" s="95">
        <f t="shared" si="5"/>
        <v>-2.4662145167758478</v>
      </c>
      <c r="V48" s="95">
        <f t="shared" si="15"/>
        <v>-0.20939557217908142</v>
      </c>
      <c r="W48" s="95"/>
      <c r="X48" s="95"/>
      <c r="Y48" s="37">
        <f t="shared" si="16"/>
        <v>8.4780416013693294E-2</v>
      </c>
      <c r="Z48" s="37">
        <f t="shared" si="7"/>
        <v>-2.467690706090524</v>
      </c>
      <c r="AA48" s="149">
        <f t="shared" si="17"/>
        <v>-0.20921184465547918</v>
      </c>
      <c r="AB48" s="37"/>
      <c r="AC48" s="98"/>
      <c r="AD48" s="98"/>
      <c r="AE48" s="98"/>
      <c r="AF48" s="3" t="s">
        <v>222</v>
      </c>
      <c r="AG48" s="3"/>
      <c r="AH48" s="36"/>
      <c r="AI48" s="3"/>
      <c r="AJ48" s="3"/>
      <c r="AK48" s="3"/>
      <c r="AL48" s="3"/>
      <c r="AM48" s="3"/>
      <c r="AN48" s="3"/>
    </row>
    <row r="49" spans="1:40" customFormat="1" ht="20.25" customHeight="1">
      <c r="A49" s="71">
        <v>41422</v>
      </c>
      <c r="B49" s="51">
        <v>4</v>
      </c>
      <c r="C49" s="3" t="s">
        <v>223</v>
      </c>
      <c r="D49" s="3" t="s">
        <v>224</v>
      </c>
      <c r="E49" s="3" t="s">
        <v>225</v>
      </c>
      <c r="F49" s="3" t="s">
        <v>226</v>
      </c>
      <c r="G49" s="3" t="s">
        <v>253</v>
      </c>
      <c r="H49" s="3" t="s">
        <v>256</v>
      </c>
      <c r="I49" s="3"/>
      <c r="J49" s="3">
        <v>6</v>
      </c>
      <c r="K49" s="3" t="s">
        <v>229</v>
      </c>
      <c r="L49" s="3" t="s">
        <v>256</v>
      </c>
      <c r="M49" s="3">
        <v>106</v>
      </c>
      <c r="N49" s="3">
        <f t="shared" si="0"/>
        <v>5.6603773584905666</v>
      </c>
      <c r="O49" s="36">
        <v>6895.0344881135716</v>
      </c>
      <c r="P49" s="8">
        <f t="shared" si="1"/>
        <v>390.28497102529656</v>
      </c>
      <c r="Q49" s="36">
        <v>6905.2203806524103</v>
      </c>
      <c r="R49" s="8">
        <f t="shared" si="2"/>
        <v>5.6520277342462188</v>
      </c>
      <c r="S49" s="3">
        <v>250</v>
      </c>
      <c r="T49" s="95">
        <f t="shared" si="14"/>
        <v>5.6603773584905662E-2</v>
      </c>
      <c r="U49" s="95">
        <f t="shared" si="5"/>
        <v>-2.871679624884012</v>
      </c>
      <c r="V49" s="95">
        <f t="shared" si="15"/>
        <v>-0.16254790329532143</v>
      </c>
      <c r="W49" s="95"/>
      <c r="X49" s="95"/>
      <c r="Y49" s="37">
        <f t="shared" si="16"/>
        <v>5.6520277342462191E-2</v>
      </c>
      <c r="Z49" s="37">
        <f t="shared" si="7"/>
        <v>-2.8731558141986882</v>
      </c>
      <c r="AA49" s="149">
        <f t="shared" si="17"/>
        <v>-0.16239156346661762</v>
      </c>
      <c r="AB49" s="37"/>
      <c r="AC49" s="98"/>
      <c r="AD49" s="98"/>
      <c r="AE49" s="98"/>
      <c r="AF49" s="3" t="s">
        <v>255</v>
      </c>
      <c r="AG49" s="3"/>
      <c r="AH49" s="36"/>
      <c r="AI49" s="3"/>
      <c r="AJ49" s="3"/>
      <c r="AK49" s="3"/>
      <c r="AL49" s="3"/>
      <c r="AM49" s="3"/>
      <c r="AN49" s="3"/>
    </row>
    <row r="50" spans="1:40" customFormat="1" ht="20.25" customHeight="1">
      <c r="A50" s="71">
        <v>41422</v>
      </c>
      <c r="B50" s="51">
        <v>4</v>
      </c>
      <c r="C50" s="51" t="s">
        <v>223</v>
      </c>
      <c r="D50" s="3" t="s">
        <v>224</v>
      </c>
      <c r="E50" s="3" t="s">
        <v>225</v>
      </c>
      <c r="F50" s="51" t="s">
        <v>226</v>
      </c>
      <c r="G50" s="51" t="s">
        <v>239</v>
      </c>
      <c r="H50" s="51" t="s">
        <v>258</v>
      </c>
      <c r="I50" s="3" t="s">
        <v>259</v>
      </c>
      <c r="J50" s="3">
        <v>3</v>
      </c>
      <c r="K50" s="3" t="s">
        <v>247</v>
      </c>
      <c r="L50" s="3" t="s">
        <v>260</v>
      </c>
      <c r="M50" s="3">
        <v>106</v>
      </c>
      <c r="N50" s="3">
        <f t="shared" si="0"/>
        <v>2.8301886792452833</v>
      </c>
      <c r="O50" s="36">
        <v>6895.0344881135716</v>
      </c>
      <c r="P50" s="8">
        <f t="shared" si="1"/>
        <v>195.14248551264828</v>
      </c>
      <c r="Q50" s="36">
        <v>6905.2203806524103</v>
      </c>
      <c r="R50" s="8">
        <f t="shared" si="2"/>
        <v>2.8260138671231094</v>
      </c>
      <c r="S50" s="3">
        <v>250</v>
      </c>
      <c r="T50" s="95">
        <f t="shared" si="14"/>
        <v>2.8301886792452831E-2</v>
      </c>
      <c r="U50" s="95">
        <f t="shared" si="5"/>
        <v>-3.5648268054439574</v>
      </c>
      <c r="V50" s="95">
        <f t="shared" si="15"/>
        <v>-0.10089132468237616</v>
      </c>
      <c r="W50" s="95"/>
      <c r="X50" s="95"/>
      <c r="Y50" s="37">
        <f t="shared" si="16"/>
        <v>2.8260138671231096E-2</v>
      </c>
      <c r="Z50" s="37">
        <f t="shared" si="7"/>
        <v>-3.5663029947586335</v>
      </c>
      <c r="AA50" s="149">
        <f t="shared" si="17"/>
        <v>-0.10078421717550573</v>
      </c>
      <c r="AB50" s="37"/>
      <c r="AC50" s="98"/>
      <c r="AD50" s="98"/>
      <c r="AE50" s="98"/>
      <c r="AF50" s="3"/>
      <c r="AG50" s="3"/>
      <c r="AH50" s="36"/>
      <c r="AI50" s="3"/>
      <c r="AJ50" s="3"/>
      <c r="AK50" s="3"/>
      <c r="AL50" s="3"/>
      <c r="AM50" s="3"/>
      <c r="AN50" s="3"/>
    </row>
    <row r="51" spans="1:40" customFormat="1" ht="20.25" customHeight="1">
      <c r="A51" s="71">
        <v>41422</v>
      </c>
      <c r="B51" s="51">
        <v>4</v>
      </c>
      <c r="C51" s="3" t="s">
        <v>223</v>
      </c>
      <c r="D51" s="3" t="s">
        <v>224</v>
      </c>
      <c r="E51" s="3" t="s">
        <v>225</v>
      </c>
      <c r="F51" s="3" t="s">
        <v>226</v>
      </c>
      <c r="G51" s="3" t="s">
        <v>261</v>
      </c>
      <c r="H51" s="3" t="s">
        <v>262</v>
      </c>
      <c r="I51" s="3" t="s">
        <v>263</v>
      </c>
      <c r="J51" s="3">
        <v>2</v>
      </c>
      <c r="K51" s="3" t="s">
        <v>247</v>
      </c>
      <c r="L51" s="3" t="s">
        <v>264</v>
      </c>
      <c r="M51" s="3">
        <v>106</v>
      </c>
      <c r="N51" s="3">
        <f t="shared" si="0"/>
        <v>1.8867924528301887</v>
      </c>
      <c r="O51" s="36">
        <v>6895.0344881135716</v>
      </c>
      <c r="P51" s="8">
        <f t="shared" si="1"/>
        <v>130.09499034176551</v>
      </c>
      <c r="Q51" s="36">
        <v>6905.2203806524103</v>
      </c>
      <c r="R51" s="8">
        <f t="shared" si="2"/>
        <v>1.8840092447487393</v>
      </c>
      <c r="S51" s="3">
        <v>250</v>
      </c>
      <c r="T51" s="95">
        <f>(J51/106)</f>
        <v>1.8867924528301886E-2</v>
      </c>
      <c r="U51" s="95">
        <f t="shared" si="5"/>
        <v>-3.970291913552122</v>
      </c>
      <c r="V51" s="95">
        <f t="shared" si="15"/>
        <v>-7.4911168180228707E-2</v>
      </c>
      <c r="W51" s="95"/>
      <c r="X51" s="95"/>
      <c r="Y51" s="37">
        <f t="shared" si="16"/>
        <v>1.8840092447487394E-2</v>
      </c>
      <c r="Z51" s="37">
        <f t="shared" si="7"/>
        <v>-3.9717681028667982</v>
      </c>
      <c r="AA51" s="149">
        <f t="shared" si="17"/>
        <v>-7.4828478237992102E-2</v>
      </c>
      <c r="AB51" s="37"/>
      <c r="AC51" s="98"/>
      <c r="AD51" s="98"/>
      <c r="AE51" s="98"/>
      <c r="AF51" s="3"/>
      <c r="AG51" s="3"/>
      <c r="AH51" s="36"/>
      <c r="AI51" s="3"/>
      <c r="AJ51" s="3"/>
      <c r="AK51" s="3"/>
      <c r="AL51" s="3"/>
      <c r="AM51" s="3"/>
      <c r="AN51" s="3"/>
    </row>
    <row r="52" spans="1:40" customFormat="1" ht="20.25" customHeight="1">
      <c r="A52" s="35">
        <v>41422</v>
      </c>
      <c r="B52" s="65">
        <v>2</v>
      </c>
      <c r="C52" s="36" t="s">
        <v>323</v>
      </c>
      <c r="D52" s="36" t="s">
        <v>324</v>
      </c>
      <c r="E52" s="36"/>
      <c r="F52" s="36" t="s">
        <v>325</v>
      </c>
      <c r="G52" s="36" t="s">
        <v>326</v>
      </c>
      <c r="H52" s="36" t="s">
        <v>327</v>
      </c>
      <c r="I52" s="36"/>
      <c r="J52" s="36">
        <v>4</v>
      </c>
      <c r="K52" s="36" t="s">
        <v>229</v>
      </c>
      <c r="L52" s="36" t="s">
        <v>327</v>
      </c>
      <c r="M52" s="36">
        <v>8</v>
      </c>
      <c r="N52" s="36">
        <f t="shared" si="0"/>
        <v>50</v>
      </c>
      <c r="O52" s="65">
        <v>0.87725390286607707</v>
      </c>
      <c r="P52" s="40">
        <f t="shared" si="1"/>
        <v>0.43862695143303854</v>
      </c>
      <c r="Q52" s="36">
        <v>1858.4673888788602</v>
      </c>
      <c r="R52" s="40">
        <f t="shared" si="2"/>
        <v>2.3601541466791342E-2</v>
      </c>
      <c r="S52" s="36">
        <v>1000</v>
      </c>
      <c r="T52" s="95">
        <f>(J52/48)</f>
        <v>8.3333333333333329E-2</v>
      </c>
      <c r="U52" s="95">
        <f t="shared" si="5"/>
        <v>-2.4849066497880004</v>
      </c>
      <c r="V52" s="95">
        <f t="shared" si="15"/>
        <v>-0.20707555414900003</v>
      </c>
      <c r="W52" s="95">
        <f>SUM(V52:V64)*(-1)</f>
        <v>2.3285926068656639</v>
      </c>
      <c r="X52" s="95">
        <f>SUM(R52:R64)</f>
        <v>100</v>
      </c>
      <c r="Y52" s="37">
        <f t="shared" ref="Y52:Y64" si="18">(R52/100)</f>
        <v>2.3601541466791341E-4</v>
      </c>
      <c r="Z52" s="37">
        <f t="shared" si="7"/>
        <v>-8.3516134386822234</v>
      </c>
      <c r="AA52" s="149">
        <f t="shared" ref="AA52:AA64" si="19">(Y52*Z52)</f>
        <v>-1.9711095088767033E-3</v>
      </c>
      <c r="AB52" s="37">
        <f>SUM(AA52:AA64)*(-1)</f>
        <v>2.118424030815965</v>
      </c>
      <c r="AC52" s="98">
        <v>12</v>
      </c>
      <c r="AD52" s="98">
        <f t="shared" si="11"/>
        <v>2.4849066497880004</v>
      </c>
      <c r="AE52" s="98">
        <f>(AB52/AD52)</f>
        <v>0.85251654463426152</v>
      </c>
      <c r="AF52" s="36"/>
      <c r="AG52" s="36"/>
      <c r="AH52" s="36"/>
      <c r="AI52" s="3"/>
      <c r="AJ52" s="3"/>
      <c r="AK52" s="3"/>
      <c r="AL52" s="3"/>
      <c r="AM52" s="3"/>
      <c r="AN52" s="3"/>
    </row>
    <row r="53" spans="1:40" customFormat="1" ht="20.25" customHeight="1">
      <c r="A53" s="35">
        <v>41422</v>
      </c>
      <c r="B53" s="65">
        <v>2</v>
      </c>
      <c r="C53" s="65" t="s">
        <v>328</v>
      </c>
      <c r="D53" s="65"/>
      <c r="E53" s="65"/>
      <c r="F53" s="65"/>
      <c r="G53" s="65"/>
      <c r="H53" s="36" t="s">
        <v>328</v>
      </c>
      <c r="I53" s="36"/>
      <c r="J53" s="36">
        <v>4</v>
      </c>
      <c r="K53" s="36" t="s">
        <v>328</v>
      </c>
      <c r="L53" s="36" t="s">
        <v>328</v>
      </c>
      <c r="M53" s="36">
        <v>8</v>
      </c>
      <c r="N53" s="36">
        <f t="shared" si="0"/>
        <v>50</v>
      </c>
      <c r="O53" s="36">
        <v>0.87725390286607707</v>
      </c>
      <c r="P53" s="40">
        <f t="shared" si="1"/>
        <v>0.43862695143303854</v>
      </c>
      <c r="Q53" s="36">
        <v>1858.4673888788602</v>
      </c>
      <c r="R53" s="40">
        <f t="shared" si="2"/>
        <v>2.3601541466791342E-2</v>
      </c>
      <c r="S53" s="36">
        <v>1000</v>
      </c>
      <c r="T53" s="95">
        <f t="shared" ref="T53:T64" si="20">(J53/48)</f>
        <v>8.3333333333333329E-2</v>
      </c>
      <c r="U53" s="95">
        <f t="shared" si="5"/>
        <v>-2.4849066497880004</v>
      </c>
      <c r="V53" s="95">
        <f t="shared" ref="V53:V64" si="21">(T53*U53)</f>
        <v>-0.20707555414900003</v>
      </c>
      <c r="W53" s="95"/>
      <c r="X53" s="95"/>
      <c r="Y53" s="37">
        <f t="shared" si="18"/>
        <v>2.3601541466791341E-4</v>
      </c>
      <c r="Z53" s="37">
        <f t="shared" si="7"/>
        <v>-8.3516134386822234</v>
      </c>
      <c r="AA53" s="149">
        <f t="shared" si="19"/>
        <v>-1.9711095088767033E-3</v>
      </c>
      <c r="AB53" s="37"/>
      <c r="AC53" s="98"/>
      <c r="AD53" s="98"/>
      <c r="AE53" s="98"/>
      <c r="AF53" s="36" t="s">
        <v>328</v>
      </c>
      <c r="AG53" s="36"/>
      <c r="AH53" s="36"/>
      <c r="AI53" s="3"/>
      <c r="AJ53" s="3"/>
      <c r="AK53" s="3"/>
      <c r="AL53" s="3"/>
      <c r="AM53" s="3"/>
      <c r="AN53" s="3"/>
    </row>
    <row r="54" spans="1:40" ht="20.25" customHeight="1">
      <c r="A54" s="71">
        <v>41422</v>
      </c>
      <c r="B54" s="3">
        <v>2</v>
      </c>
      <c r="C54" s="3" t="s">
        <v>223</v>
      </c>
      <c r="D54" s="3" t="s">
        <v>224</v>
      </c>
      <c r="E54" s="3" t="s">
        <v>225</v>
      </c>
      <c r="F54" s="3" t="s">
        <v>226</v>
      </c>
      <c r="G54" s="3" t="s">
        <v>227</v>
      </c>
      <c r="H54" s="3" t="s">
        <v>228</v>
      </c>
      <c r="I54" s="3"/>
      <c r="J54" s="3">
        <v>7</v>
      </c>
      <c r="K54" s="3" t="s">
        <v>229</v>
      </c>
      <c r="L54" s="3" t="s">
        <v>228</v>
      </c>
      <c r="M54" s="3">
        <v>40</v>
      </c>
      <c r="N54" s="3">
        <f t="shared" si="0"/>
        <v>17.5</v>
      </c>
      <c r="O54" s="36">
        <v>1857.590134975994</v>
      </c>
      <c r="P54" s="8">
        <f t="shared" si="1"/>
        <v>325.07827362079894</v>
      </c>
      <c r="Q54" s="36">
        <v>1858.46738887886</v>
      </c>
      <c r="R54" s="8">
        <f t="shared" si="2"/>
        <v>17.491739460486624</v>
      </c>
      <c r="S54" s="3">
        <v>250</v>
      </c>
      <c r="T54" s="95">
        <f t="shared" si="20"/>
        <v>0.14583333333333334</v>
      </c>
      <c r="U54" s="95">
        <f t="shared" si="5"/>
        <v>-1.9252908618525775</v>
      </c>
      <c r="V54" s="95">
        <f t="shared" si="21"/>
        <v>-0.28077158402016755</v>
      </c>
      <c r="W54" s="95"/>
      <c r="X54" s="95"/>
      <c r="Y54" s="37">
        <f t="shared" si="18"/>
        <v>0.17491739460486624</v>
      </c>
      <c r="Z54" s="37">
        <f t="shared" si="7"/>
        <v>-1.7434414473295814</v>
      </c>
      <c r="AA54" s="149">
        <f t="shared" si="19"/>
        <v>-0.30495823561302754</v>
      </c>
      <c r="AB54" s="37"/>
      <c r="AC54" s="98"/>
      <c r="AD54" s="98"/>
      <c r="AE54" s="98"/>
      <c r="AF54" s="3" t="s">
        <v>230</v>
      </c>
      <c r="AG54" s="3"/>
      <c r="AH54" s="36"/>
      <c r="AI54" s="36"/>
      <c r="AJ54" s="36"/>
      <c r="AK54" s="36"/>
      <c r="AL54" s="36"/>
      <c r="AM54" s="36"/>
      <c r="AN54" s="36"/>
    </row>
    <row r="55" spans="1:40" ht="20.25" customHeight="1">
      <c r="A55" s="35">
        <v>41422</v>
      </c>
      <c r="B55" s="36">
        <v>2</v>
      </c>
      <c r="C55" s="65" t="s">
        <v>223</v>
      </c>
      <c r="D55" s="65" t="s">
        <v>267</v>
      </c>
      <c r="E55" s="65" t="s">
        <v>268</v>
      </c>
      <c r="F55" s="65" t="s">
        <v>269</v>
      </c>
      <c r="G55" s="65"/>
      <c r="H55" s="36" t="s">
        <v>270</v>
      </c>
      <c r="I55" s="36"/>
      <c r="J55" s="36">
        <v>1</v>
      </c>
      <c r="K55" s="36" t="s">
        <v>229</v>
      </c>
      <c r="L55" s="36" t="s">
        <v>270</v>
      </c>
      <c r="M55" s="36">
        <v>40</v>
      </c>
      <c r="N55" s="57">
        <f t="shared" si="0"/>
        <v>2.5</v>
      </c>
      <c r="O55" s="57">
        <v>1857.590134975994</v>
      </c>
      <c r="P55" s="91">
        <f t="shared" si="1"/>
        <v>46.439753374399857</v>
      </c>
      <c r="Q55" s="57">
        <v>1858.46738887886</v>
      </c>
      <c r="R55" s="91">
        <f t="shared" si="2"/>
        <v>2.498819922926661</v>
      </c>
      <c r="S55" s="57">
        <v>250</v>
      </c>
      <c r="T55" s="95">
        <f t="shared" si="20"/>
        <v>2.0833333333333332E-2</v>
      </c>
      <c r="U55" s="95">
        <f t="shared" si="5"/>
        <v>-3.8712010109078911</v>
      </c>
      <c r="V55" s="95">
        <f t="shared" si="21"/>
        <v>-8.0650021060581056E-2</v>
      </c>
      <c r="W55" s="95"/>
      <c r="X55" s="95"/>
      <c r="Y55" s="37">
        <f t="shared" si="18"/>
        <v>2.4988199229266608E-2</v>
      </c>
      <c r="Z55" s="37">
        <f t="shared" si="7"/>
        <v>-3.6893515963848946</v>
      </c>
      <c r="AA55" s="149">
        <f t="shared" si="19"/>
        <v>-9.2190252717278556E-2</v>
      </c>
      <c r="AB55" s="37"/>
      <c r="AC55" s="98"/>
      <c r="AD55" s="98"/>
      <c r="AE55" s="98"/>
      <c r="AF55" s="57" t="s">
        <v>271</v>
      </c>
      <c r="AG55" s="57"/>
      <c r="AH55" s="57"/>
      <c r="AI55" s="36"/>
      <c r="AJ55" s="36"/>
      <c r="AK55" s="36"/>
      <c r="AL55" s="36"/>
      <c r="AM55" s="36"/>
      <c r="AN55" s="36"/>
    </row>
    <row r="56" spans="1:40" ht="20.25" customHeight="1">
      <c r="A56" s="35">
        <v>41422</v>
      </c>
      <c r="B56" s="36">
        <v>2</v>
      </c>
      <c r="C56" s="65" t="s">
        <v>223</v>
      </c>
      <c r="D56" s="65" t="s">
        <v>303</v>
      </c>
      <c r="E56" s="65" t="s">
        <v>304</v>
      </c>
      <c r="F56" s="65" t="s">
        <v>305</v>
      </c>
      <c r="G56" s="65" t="s">
        <v>306</v>
      </c>
      <c r="H56" s="36" t="s">
        <v>307</v>
      </c>
      <c r="I56" s="36"/>
      <c r="J56" s="36">
        <v>3</v>
      </c>
      <c r="K56" s="36" t="s">
        <v>229</v>
      </c>
      <c r="L56" s="36" t="s">
        <v>307</v>
      </c>
      <c r="M56" s="36">
        <v>40</v>
      </c>
      <c r="N56" s="3">
        <f t="shared" si="0"/>
        <v>7.5</v>
      </c>
      <c r="O56" s="36">
        <v>1857.590134975994</v>
      </c>
      <c r="P56" s="8">
        <f t="shared" si="1"/>
        <v>139.31926012319954</v>
      </c>
      <c r="Q56" s="36">
        <v>1858.46738887886</v>
      </c>
      <c r="R56" s="8">
        <f t="shared" si="2"/>
        <v>7.4964597687799808</v>
      </c>
      <c r="S56" s="3">
        <v>250</v>
      </c>
      <c r="T56" s="95">
        <f t="shared" si="20"/>
        <v>6.25E-2</v>
      </c>
      <c r="U56" s="95">
        <f t="shared" si="5"/>
        <v>-2.7725887222397811</v>
      </c>
      <c r="V56" s="95">
        <f t="shared" si="21"/>
        <v>-0.17328679513998632</v>
      </c>
      <c r="W56" s="95"/>
      <c r="X56" s="95"/>
      <c r="Y56" s="37">
        <f t="shared" si="18"/>
        <v>7.4964597687799811E-2</v>
      </c>
      <c r="Z56" s="37">
        <f t="shared" si="7"/>
        <v>-2.5907393077167851</v>
      </c>
      <c r="AA56" s="149">
        <f t="shared" si="19"/>
        <v>-0.19421372991695779</v>
      </c>
      <c r="AB56" s="37"/>
      <c r="AC56" s="98"/>
      <c r="AD56" s="98"/>
      <c r="AE56" s="98"/>
      <c r="AF56" s="36" t="s">
        <v>308</v>
      </c>
      <c r="AG56" s="3"/>
      <c r="AH56" s="36"/>
      <c r="AI56" s="36"/>
      <c r="AJ56" s="36"/>
      <c r="AK56" s="36"/>
      <c r="AL56" s="36"/>
      <c r="AM56" s="36"/>
      <c r="AN56" s="36"/>
    </row>
    <row r="57" spans="1:40" ht="20.25" customHeight="1">
      <c r="A57" s="72">
        <v>41422</v>
      </c>
      <c r="B57" s="36">
        <v>2</v>
      </c>
      <c r="C57" s="36" t="s">
        <v>300</v>
      </c>
      <c r="D57" s="36" t="s">
        <v>320</v>
      </c>
      <c r="E57" s="36"/>
      <c r="F57" s="36"/>
      <c r="G57" s="36"/>
      <c r="H57" s="36" t="s">
        <v>321</v>
      </c>
      <c r="I57" s="36"/>
      <c r="J57" s="36">
        <v>2</v>
      </c>
      <c r="K57" s="36" t="s">
        <v>221</v>
      </c>
      <c r="L57" s="36" t="s">
        <v>322</v>
      </c>
      <c r="M57" s="36">
        <v>40</v>
      </c>
      <c r="N57" s="36">
        <f t="shared" si="0"/>
        <v>5</v>
      </c>
      <c r="O57" s="36">
        <v>1857.590134975994</v>
      </c>
      <c r="P57" s="8">
        <f t="shared" si="1"/>
        <v>92.879506748799713</v>
      </c>
      <c r="Q57" s="36">
        <v>1858.46738887886</v>
      </c>
      <c r="R57" s="8">
        <f t="shared" si="2"/>
        <v>4.997639845853322</v>
      </c>
      <c r="S57" s="36">
        <v>250</v>
      </c>
      <c r="T57" s="95">
        <f t="shared" si="20"/>
        <v>4.1666666666666664E-2</v>
      </c>
      <c r="U57" s="95">
        <f t="shared" si="5"/>
        <v>-3.1780538303479458</v>
      </c>
      <c r="V57" s="95">
        <f t="shared" si="21"/>
        <v>-0.13241890959783106</v>
      </c>
      <c r="W57" s="95"/>
      <c r="X57" s="95"/>
      <c r="Y57" s="37">
        <f t="shared" si="18"/>
        <v>4.9976398458533217E-2</v>
      </c>
      <c r="Z57" s="37">
        <f t="shared" si="7"/>
        <v>-2.9962044158249492</v>
      </c>
      <c r="AA57" s="149">
        <f t="shared" si="19"/>
        <v>-0.14973950574848441</v>
      </c>
      <c r="AB57" s="37"/>
      <c r="AC57" s="98"/>
      <c r="AD57" s="98"/>
      <c r="AE57" s="98"/>
      <c r="AF57" s="36" t="s">
        <v>222</v>
      </c>
      <c r="AG57" s="36"/>
      <c r="AH57" s="36"/>
      <c r="AI57" s="36"/>
      <c r="AJ57" s="36"/>
      <c r="AK57" s="36"/>
      <c r="AL57" s="36"/>
      <c r="AM57" s="36"/>
      <c r="AN57" s="36"/>
    </row>
    <row r="58" spans="1:40" ht="20.25" customHeight="1">
      <c r="A58" s="72">
        <v>41422</v>
      </c>
      <c r="B58" s="36">
        <v>2</v>
      </c>
      <c r="C58" s="36" t="s">
        <v>223</v>
      </c>
      <c r="D58" s="36" t="s">
        <v>317</v>
      </c>
      <c r="E58" s="36"/>
      <c r="F58" s="36" t="s">
        <v>311</v>
      </c>
      <c r="G58" s="36" t="s">
        <v>318</v>
      </c>
      <c r="H58" s="36" t="s">
        <v>319</v>
      </c>
      <c r="I58" s="36"/>
      <c r="J58" s="36">
        <v>11</v>
      </c>
      <c r="K58" s="36" t="s">
        <v>229</v>
      </c>
      <c r="L58" s="36" t="s">
        <v>345</v>
      </c>
      <c r="M58" s="36">
        <v>40</v>
      </c>
      <c r="N58" s="57">
        <f t="shared" si="0"/>
        <v>27.500000000000004</v>
      </c>
      <c r="O58" s="57">
        <v>1857.590134975994</v>
      </c>
      <c r="P58" s="91">
        <f t="shared" si="1"/>
        <v>510.83728711839842</v>
      </c>
      <c r="Q58" s="57">
        <v>1858.46738887886</v>
      </c>
      <c r="R58" s="91">
        <f t="shared" si="2"/>
        <v>27.48701915219327</v>
      </c>
      <c r="S58" s="57">
        <v>250</v>
      </c>
      <c r="T58" s="95">
        <f t="shared" si="20"/>
        <v>0.22916666666666666</v>
      </c>
      <c r="U58" s="95">
        <f t="shared" si="5"/>
        <v>-1.4733057381095205</v>
      </c>
      <c r="V58" s="95">
        <f t="shared" si="21"/>
        <v>-0.33763256498343175</v>
      </c>
      <c r="W58" s="95"/>
      <c r="X58" s="95"/>
      <c r="Y58" s="37">
        <f t="shared" si="18"/>
        <v>0.27487019152193271</v>
      </c>
      <c r="Z58" s="37">
        <f t="shared" si="7"/>
        <v>-1.291456323586524</v>
      </c>
      <c r="AA58" s="149">
        <f t="shared" si="19"/>
        <v>-0.35498284700643895</v>
      </c>
      <c r="AB58" s="37"/>
      <c r="AC58" s="98"/>
      <c r="AD58" s="98"/>
      <c r="AE58" s="98"/>
      <c r="AF58" s="57" t="s">
        <v>271</v>
      </c>
      <c r="AG58" s="57"/>
      <c r="AH58" s="57"/>
      <c r="AI58" s="36"/>
      <c r="AJ58" s="36"/>
      <c r="AK58" s="36"/>
      <c r="AL58" s="36"/>
      <c r="AM58" s="36"/>
      <c r="AN58" s="36"/>
    </row>
    <row r="59" spans="1:40" ht="20.25" customHeight="1">
      <c r="A59" s="71">
        <v>41422</v>
      </c>
      <c r="B59" s="3">
        <v>2</v>
      </c>
      <c r="C59" s="3" t="s">
        <v>223</v>
      </c>
      <c r="D59" s="3" t="s">
        <v>310</v>
      </c>
      <c r="E59" s="3"/>
      <c r="F59" s="3" t="s">
        <v>311</v>
      </c>
      <c r="G59" s="3" t="s">
        <v>312</v>
      </c>
      <c r="H59" s="3" t="s">
        <v>313</v>
      </c>
      <c r="I59" s="3"/>
      <c r="J59" s="3">
        <v>2</v>
      </c>
      <c r="K59" s="3" t="s">
        <v>229</v>
      </c>
      <c r="L59" s="3" t="s">
        <v>345</v>
      </c>
      <c r="M59" s="3">
        <v>40</v>
      </c>
      <c r="N59" s="3">
        <f t="shared" si="0"/>
        <v>5</v>
      </c>
      <c r="O59" s="65">
        <v>1857.590134975994</v>
      </c>
      <c r="P59" s="8">
        <f t="shared" si="1"/>
        <v>92.879506748799713</v>
      </c>
      <c r="Q59" s="36">
        <v>1858.46738887886</v>
      </c>
      <c r="R59" s="8">
        <f t="shared" si="2"/>
        <v>4.997639845853322</v>
      </c>
      <c r="S59" s="3">
        <v>250</v>
      </c>
      <c r="T59" s="95">
        <f t="shared" si="20"/>
        <v>4.1666666666666664E-2</v>
      </c>
      <c r="U59" s="95">
        <f t="shared" si="5"/>
        <v>-3.1780538303479458</v>
      </c>
      <c r="V59" s="95">
        <f t="shared" si="21"/>
        <v>-0.13241890959783106</v>
      </c>
      <c r="W59" s="95"/>
      <c r="X59" s="95"/>
      <c r="Y59" s="37">
        <f t="shared" si="18"/>
        <v>4.9976398458533217E-2</v>
      </c>
      <c r="Z59" s="37">
        <f t="shared" si="7"/>
        <v>-2.9962044158249492</v>
      </c>
      <c r="AA59" s="149">
        <f t="shared" si="19"/>
        <v>-0.14973950574848441</v>
      </c>
      <c r="AB59" s="37"/>
      <c r="AC59" s="98"/>
      <c r="AD59" s="98"/>
      <c r="AE59" s="98"/>
      <c r="AF59" s="3"/>
      <c r="AG59" s="3"/>
      <c r="AH59" s="36"/>
      <c r="AI59" s="36"/>
      <c r="AJ59" s="36"/>
      <c r="AK59" s="36"/>
      <c r="AL59" s="36"/>
      <c r="AM59" s="36"/>
      <c r="AN59" s="36"/>
    </row>
    <row r="60" spans="1:40" ht="20.25" customHeight="1">
      <c r="A60" s="71">
        <v>41422</v>
      </c>
      <c r="B60" s="3">
        <v>2</v>
      </c>
      <c r="C60" s="3" t="s">
        <v>223</v>
      </c>
      <c r="D60" s="3" t="s">
        <v>224</v>
      </c>
      <c r="E60" s="3" t="s">
        <v>225</v>
      </c>
      <c r="F60" s="3" t="s">
        <v>226</v>
      </c>
      <c r="G60" s="3" t="s">
        <v>239</v>
      </c>
      <c r="H60" s="3" t="s">
        <v>240</v>
      </c>
      <c r="I60" s="3"/>
      <c r="J60" s="3">
        <v>3</v>
      </c>
      <c r="K60" s="3" t="s">
        <v>229</v>
      </c>
      <c r="L60" s="3" t="s">
        <v>240</v>
      </c>
      <c r="M60" s="3">
        <v>40</v>
      </c>
      <c r="N60" s="3">
        <f t="shared" si="0"/>
        <v>7.5</v>
      </c>
      <c r="O60" s="65">
        <v>1857.590134975994</v>
      </c>
      <c r="P60" s="8">
        <f t="shared" si="1"/>
        <v>139.31926012319954</v>
      </c>
      <c r="Q60" s="36">
        <v>1858.46738887886</v>
      </c>
      <c r="R60" s="8">
        <f t="shared" si="2"/>
        <v>7.4964597687799808</v>
      </c>
      <c r="S60" s="3">
        <v>250</v>
      </c>
      <c r="T60" s="95">
        <f t="shared" si="20"/>
        <v>6.25E-2</v>
      </c>
      <c r="U60" s="95">
        <f t="shared" si="5"/>
        <v>-2.7725887222397811</v>
      </c>
      <c r="V60" s="95">
        <f t="shared" si="21"/>
        <v>-0.17328679513998632</v>
      </c>
      <c r="W60" s="95"/>
      <c r="X60" s="95"/>
      <c r="Y60" s="37">
        <f t="shared" si="18"/>
        <v>7.4964597687799811E-2</v>
      </c>
      <c r="Z60" s="37">
        <f t="shared" si="7"/>
        <v>-2.5907393077167851</v>
      </c>
      <c r="AA60" s="149">
        <f t="shared" si="19"/>
        <v>-0.19421372991695779</v>
      </c>
      <c r="AB60" s="37"/>
      <c r="AC60" s="98"/>
      <c r="AD60" s="98"/>
      <c r="AE60" s="98"/>
      <c r="AF60" s="3" t="s">
        <v>241</v>
      </c>
      <c r="AG60" s="3"/>
      <c r="AH60" s="36"/>
      <c r="AI60" s="36"/>
      <c r="AJ60" s="36"/>
      <c r="AK60" s="36"/>
      <c r="AL60" s="36"/>
      <c r="AM60" s="36"/>
      <c r="AN60" s="36"/>
    </row>
    <row r="61" spans="1:40" ht="20.25" customHeight="1">
      <c r="A61" s="71">
        <v>41422</v>
      </c>
      <c r="B61" s="51">
        <v>2</v>
      </c>
      <c r="C61" s="3" t="s">
        <v>223</v>
      </c>
      <c r="D61" s="3" t="s">
        <v>224</v>
      </c>
      <c r="E61" s="3" t="s">
        <v>225</v>
      </c>
      <c r="F61" s="3" t="s">
        <v>243</v>
      </c>
      <c r="G61" s="3" t="s">
        <v>244</v>
      </c>
      <c r="H61" s="3" t="s">
        <v>245</v>
      </c>
      <c r="I61" s="3" t="s">
        <v>246</v>
      </c>
      <c r="J61" s="3">
        <v>4</v>
      </c>
      <c r="K61" s="3" t="s">
        <v>247</v>
      </c>
      <c r="L61" s="3" t="s">
        <v>357</v>
      </c>
      <c r="M61" s="3">
        <v>40</v>
      </c>
      <c r="N61" s="3">
        <f t="shared" si="0"/>
        <v>10</v>
      </c>
      <c r="O61" s="65">
        <v>1857.590134975994</v>
      </c>
      <c r="P61" s="8">
        <f t="shared" si="1"/>
        <v>185.75901349759943</v>
      </c>
      <c r="Q61" s="36">
        <v>1858.46738887886</v>
      </c>
      <c r="R61" s="8">
        <f t="shared" si="2"/>
        <v>9.995279691706644</v>
      </c>
      <c r="S61" s="3">
        <v>250</v>
      </c>
      <c r="T61" s="95">
        <f t="shared" si="20"/>
        <v>8.3333333333333329E-2</v>
      </c>
      <c r="U61" s="95">
        <f t="shared" si="5"/>
        <v>-2.4849066497880004</v>
      </c>
      <c r="V61" s="95">
        <f t="shared" si="21"/>
        <v>-0.20707555414900003</v>
      </c>
      <c r="W61" s="95"/>
      <c r="X61" s="95"/>
      <c r="Y61" s="37">
        <f t="shared" si="18"/>
        <v>9.9952796917066433E-2</v>
      </c>
      <c r="Z61" s="37">
        <f t="shared" si="7"/>
        <v>-2.3030572352650038</v>
      </c>
      <c r="AA61" s="149">
        <f t="shared" si="19"/>
        <v>-0.23019701212482341</v>
      </c>
      <c r="AB61" s="37"/>
      <c r="AC61" s="98"/>
      <c r="AD61" s="98"/>
      <c r="AE61" s="98"/>
      <c r="AF61" s="3"/>
      <c r="AG61" s="3"/>
      <c r="AH61" s="36"/>
      <c r="AI61" s="36"/>
      <c r="AJ61" s="36"/>
      <c r="AK61" s="36"/>
      <c r="AL61" s="36"/>
      <c r="AM61" s="36"/>
      <c r="AN61" s="36"/>
    </row>
    <row r="62" spans="1:40" s="90" customFormat="1" ht="20.25" customHeight="1">
      <c r="A62" s="71">
        <v>41422</v>
      </c>
      <c r="B62" s="51">
        <v>2</v>
      </c>
      <c r="C62" s="34" t="s">
        <v>223</v>
      </c>
      <c r="D62" s="34" t="s">
        <v>224</v>
      </c>
      <c r="E62" s="34" t="s">
        <v>225</v>
      </c>
      <c r="F62" s="34" t="s">
        <v>226</v>
      </c>
      <c r="G62" s="34" t="s">
        <v>253</v>
      </c>
      <c r="H62" s="3" t="s">
        <v>254</v>
      </c>
      <c r="I62" s="3"/>
      <c r="J62" s="3">
        <v>1</v>
      </c>
      <c r="K62" s="3" t="s">
        <v>229</v>
      </c>
      <c r="L62" s="3" t="s">
        <v>254</v>
      </c>
      <c r="M62" s="3">
        <v>40</v>
      </c>
      <c r="N62" s="3">
        <f t="shared" si="0"/>
        <v>2.5</v>
      </c>
      <c r="O62" s="65">
        <v>1857.590134975994</v>
      </c>
      <c r="P62" s="8">
        <f t="shared" si="1"/>
        <v>46.439753374399857</v>
      </c>
      <c r="Q62" s="36">
        <v>1858.46738887886</v>
      </c>
      <c r="R62" s="8">
        <f t="shared" si="2"/>
        <v>2.498819922926661</v>
      </c>
      <c r="S62" s="3">
        <v>250</v>
      </c>
      <c r="T62" s="95">
        <f t="shared" si="20"/>
        <v>2.0833333333333332E-2</v>
      </c>
      <c r="U62" s="95">
        <f t="shared" si="5"/>
        <v>-3.8712010109078911</v>
      </c>
      <c r="V62" s="95">
        <f t="shared" si="21"/>
        <v>-8.0650021060581056E-2</v>
      </c>
      <c r="W62" s="95"/>
      <c r="X62" s="95"/>
      <c r="Y62" s="37">
        <f t="shared" si="18"/>
        <v>2.4988199229266608E-2</v>
      </c>
      <c r="Z62" s="37">
        <f t="shared" si="7"/>
        <v>-3.6893515963848946</v>
      </c>
      <c r="AA62" s="149">
        <f t="shared" si="19"/>
        <v>-9.2190252717278556E-2</v>
      </c>
      <c r="AB62" s="37"/>
      <c r="AC62" s="98"/>
      <c r="AD62" s="98"/>
      <c r="AE62" s="98"/>
      <c r="AF62" s="3" t="s">
        <v>255</v>
      </c>
      <c r="AG62" s="3"/>
      <c r="AH62" s="36"/>
      <c r="AI62" s="59"/>
      <c r="AJ62" s="59"/>
      <c r="AK62" s="59"/>
      <c r="AL62" s="59"/>
      <c r="AM62" s="59"/>
      <c r="AN62" s="59"/>
    </row>
    <row r="63" spans="1:40" s="90" customFormat="1" ht="20.25" customHeight="1">
      <c r="A63" s="13">
        <v>41422</v>
      </c>
      <c r="B63" s="51">
        <v>2</v>
      </c>
      <c r="C63" s="3" t="s">
        <v>216</v>
      </c>
      <c r="D63" s="3" t="s">
        <v>217</v>
      </c>
      <c r="E63" s="3"/>
      <c r="F63" s="3"/>
      <c r="G63" s="3"/>
      <c r="H63" s="3" t="s">
        <v>220</v>
      </c>
      <c r="I63" s="3"/>
      <c r="J63" s="3">
        <v>5</v>
      </c>
      <c r="K63" s="36" t="s">
        <v>229</v>
      </c>
      <c r="L63" s="3" t="s">
        <v>219</v>
      </c>
      <c r="M63" s="3">
        <v>40</v>
      </c>
      <c r="N63" s="3">
        <f t="shared" si="0"/>
        <v>12.5</v>
      </c>
      <c r="O63" s="65">
        <v>1857.590134975994</v>
      </c>
      <c r="P63" s="8">
        <f t="shared" si="1"/>
        <v>232.19876687199925</v>
      </c>
      <c r="Q63" s="36">
        <v>1858.46738887886</v>
      </c>
      <c r="R63" s="8">
        <f t="shared" si="2"/>
        <v>12.494099614633303</v>
      </c>
      <c r="S63" s="3">
        <v>250</v>
      </c>
      <c r="T63" s="95">
        <f t="shared" si="20"/>
        <v>0.10416666666666667</v>
      </c>
      <c r="U63" s="95">
        <f t="shared" si="5"/>
        <v>-2.2617630984737906</v>
      </c>
      <c r="V63" s="95">
        <f t="shared" si="21"/>
        <v>-0.23560032275768653</v>
      </c>
      <c r="W63" s="95"/>
      <c r="X63" s="95"/>
      <c r="Y63" s="37">
        <f t="shared" si="18"/>
        <v>0.12494099614633303</v>
      </c>
      <c r="Z63" s="37">
        <f t="shared" si="7"/>
        <v>-2.0799136839507941</v>
      </c>
      <c r="AA63" s="149">
        <f t="shared" si="19"/>
        <v>-0.25986648757120151</v>
      </c>
      <c r="AB63" s="37"/>
      <c r="AC63" s="98"/>
      <c r="AD63" s="98"/>
      <c r="AE63" s="98"/>
      <c r="AF63" s="3" t="s">
        <v>222</v>
      </c>
      <c r="AG63" s="3"/>
      <c r="AH63" s="36"/>
      <c r="AI63" s="59"/>
      <c r="AJ63" s="59"/>
      <c r="AK63" s="59"/>
      <c r="AL63" s="59"/>
      <c r="AM63" s="59"/>
      <c r="AN63" s="59"/>
    </row>
    <row r="64" spans="1:40" s="90" customFormat="1" ht="20.25" customHeight="1">
      <c r="A64" s="71">
        <v>41422</v>
      </c>
      <c r="B64" s="51">
        <v>2</v>
      </c>
      <c r="C64" s="3" t="s">
        <v>223</v>
      </c>
      <c r="D64" s="3" t="s">
        <v>224</v>
      </c>
      <c r="E64" s="3" t="s">
        <v>225</v>
      </c>
      <c r="F64" s="3" t="s">
        <v>226</v>
      </c>
      <c r="G64" s="3" t="s">
        <v>239</v>
      </c>
      <c r="H64" s="3" t="s">
        <v>258</v>
      </c>
      <c r="I64" s="3" t="s">
        <v>259</v>
      </c>
      <c r="J64" s="3">
        <v>1</v>
      </c>
      <c r="K64" s="3" t="s">
        <v>247</v>
      </c>
      <c r="L64" s="3" t="s">
        <v>260</v>
      </c>
      <c r="M64" s="3">
        <v>40</v>
      </c>
      <c r="N64" s="3">
        <f t="shared" si="0"/>
        <v>2.5</v>
      </c>
      <c r="O64" s="65">
        <v>1857.590134975994</v>
      </c>
      <c r="P64" s="8">
        <f t="shared" si="1"/>
        <v>46.439753374399857</v>
      </c>
      <c r="Q64" s="36">
        <v>1858.46738887886</v>
      </c>
      <c r="R64" s="8">
        <f t="shared" si="2"/>
        <v>2.498819922926661</v>
      </c>
      <c r="S64" s="3">
        <v>250</v>
      </c>
      <c r="T64" s="95">
        <f t="shared" si="20"/>
        <v>2.0833333333333332E-2</v>
      </c>
      <c r="U64" s="95">
        <f t="shared" si="5"/>
        <v>-3.8712010109078911</v>
      </c>
      <c r="V64" s="95">
        <f t="shared" si="21"/>
        <v>-8.0650021060581056E-2</v>
      </c>
      <c r="W64" s="95"/>
      <c r="X64" s="95"/>
      <c r="Y64" s="37">
        <f t="shared" si="18"/>
        <v>2.4988199229266608E-2</v>
      </c>
      <c r="Z64" s="37">
        <f t="shared" si="7"/>
        <v>-3.6893515963848946</v>
      </c>
      <c r="AA64" s="149">
        <f t="shared" si="19"/>
        <v>-9.2190252717278556E-2</v>
      </c>
      <c r="AB64" s="37"/>
      <c r="AC64" s="98"/>
      <c r="AD64" s="98"/>
      <c r="AE64" s="98"/>
      <c r="AF64" s="3"/>
      <c r="AG64" s="3"/>
      <c r="AH64" s="36"/>
      <c r="AI64" s="59"/>
      <c r="AJ64" s="59"/>
      <c r="AK64" s="59"/>
      <c r="AL64" s="59"/>
      <c r="AM64" s="59"/>
      <c r="AN64" s="59"/>
    </row>
    <row r="65" spans="1:40" s="90" customFormat="1" ht="20.25" customHeight="1">
      <c r="A65" s="35">
        <v>41480</v>
      </c>
      <c r="B65" s="65">
        <v>8</v>
      </c>
      <c r="C65" s="36" t="s">
        <v>223</v>
      </c>
      <c r="D65" s="36" t="s">
        <v>267</v>
      </c>
      <c r="E65" s="36"/>
      <c r="F65" s="36" t="s">
        <v>273</v>
      </c>
      <c r="G65" s="36" t="s">
        <v>274</v>
      </c>
      <c r="H65" s="36" t="s">
        <v>275</v>
      </c>
      <c r="I65" s="36" t="s">
        <v>276</v>
      </c>
      <c r="J65" s="36">
        <v>1</v>
      </c>
      <c r="K65" s="36" t="s">
        <v>247</v>
      </c>
      <c r="L65" s="36" t="s">
        <v>275</v>
      </c>
      <c r="M65" s="36">
        <v>15</v>
      </c>
      <c r="N65" s="36">
        <f t="shared" si="0"/>
        <v>6.666666666666667</v>
      </c>
      <c r="O65" s="36">
        <v>1.5312867402479047</v>
      </c>
      <c r="P65" s="40">
        <f t="shared" si="1"/>
        <v>0.10208578268319364</v>
      </c>
      <c r="Q65" s="36">
        <v>34427.656841591226</v>
      </c>
      <c r="R65" s="40">
        <f t="shared" si="2"/>
        <v>2.9652259854021275E-4</v>
      </c>
      <c r="S65" s="36">
        <v>1000</v>
      </c>
      <c r="T65" s="95"/>
      <c r="U65" s="95"/>
      <c r="V65" s="95"/>
      <c r="W65" s="95"/>
      <c r="X65" s="95">
        <f>SUM(R65:R85)</f>
        <v>100.00000000000009</v>
      </c>
      <c r="Y65" s="37">
        <f t="shared" ref="Y65:Y128" si="22">(R65/100)</f>
        <v>2.9652259854021273E-6</v>
      </c>
      <c r="Z65" s="37">
        <f t="shared" si="7"/>
        <v>-12.728557310745437</v>
      </c>
      <c r="AA65" s="149">
        <f t="shared" ref="AA65:AA128" si="23">(Y65*Z65)</f>
        <v>-3.774304889450259E-5</v>
      </c>
      <c r="AB65" s="37">
        <f>SUM(AA65:AA85)*(-1)</f>
        <v>1.7834054770521544</v>
      </c>
      <c r="AC65" s="98">
        <v>17</v>
      </c>
      <c r="AD65" s="98">
        <f t="shared" si="11"/>
        <v>2.8332133440562162</v>
      </c>
      <c r="AE65" s="98">
        <f>(AB65/AD65)</f>
        <v>0.62946388445951362</v>
      </c>
      <c r="AF65" s="36" t="s">
        <v>222</v>
      </c>
      <c r="AG65" s="36"/>
      <c r="AH65" s="36"/>
      <c r="AI65" s="59"/>
      <c r="AJ65" s="59"/>
      <c r="AK65" s="59"/>
      <c r="AL65" s="59"/>
      <c r="AM65" s="59"/>
      <c r="AN65" s="59"/>
    </row>
    <row r="66" spans="1:40" s="90" customFormat="1" ht="20.25" customHeight="1">
      <c r="A66" s="35">
        <v>41480</v>
      </c>
      <c r="B66" s="65">
        <v>8</v>
      </c>
      <c r="C66" s="36" t="s">
        <v>351</v>
      </c>
      <c r="D66" s="36"/>
      <c r="E66" s="36"/>
      <c r="F66" s="36"/>
      <c r="G66" s="36"/>
      <c r="H66" s="36"/>
      <c r="I66" s="36"/>
      <c r="J66" s="36">
        <v>3</v>
      </c>
      <c r="K66" s="36" t="s">
        <v>474</v>
      </c>
      <c r="L66" s="36" t="s">
        <v>352</v>
      </c>
      <c r="M66" s="36">
        <v>15</v>
      </c>
      <c r="N66" s="36">
        <f t="shared" ref="N66:N129" si="24">J66/M66*100</f>
        <v>20</v>
      </c>
      <c r="O66" s="65">
        <v>1.5312867402479047</v>
      </c>
      <c r="P66" s="40">
        <f t="shared" ref="P66:P129" si="25">(N66/100)*O66</f>
        <v>0.30625734804958094</v>
      </c>
      <c r="Q66" s="36">
        <v>34427.656841591226</v>
      </c>
      <c r="R66" s="40">
        <f t="shared" ref="R66:R129" si="26">P66/Q66*100</f>
        <v>8.8956779562063824E-4</v>
      </c>
      <c r="S66" s="36">
        <v>1000</v>
      </c>
      <c r="T66" s="95"/>
      <c r="U66" s="95"/>
      <c r="V66" s="95"/>
      <c r="W66" s="95"/>
      <c r="X66" s="95"/>
      <c r="Y66" s="37">
        <f t="shared" si="22"/>
        <v>8.8956779562063824E-6</v>
      </c>
      <c r="Z66" s="37">
        <f t="shared" si="7"/>
        <v>-11.629945022077328</v>
      </c>
      <c r="AA66" s="149">
        <f t="shared" si="23"/>
        <v>-1.0345624556478543E-4</v>
      </c>
      <c r="AB66" s="37"/>
      <c r="AC66" s="98"/>
      <c r="AD66" s="98"/>
      <c r="AE66" s="98"/>
      <c r="AF66" s="36" t="s">
        <v>222</v>
      </c>
      <c r="AG66" s="36"/>
      <c r="AH66" s="36"/>
      <c r="AI66" s="59"/>
      <c r="AJ66" s="59"/>
      <c r="AK66" s="59"/>
      <c r="AL66" s="59"/>
      <c r="AM66" s="59"/>
      <c r="AN66" s="59"/>
    </row>
    <row r="67" spans="1:40" s="90" customFormat="1" ht="20.25" customHeight="1">
      <c r="A67" s="35">
        <v>41480</v>
      </c>
      <c r="B67" s="65">
        <v>8</v>
      </c>
      <c r="C67" s="36" t="s">
        <v>288</v>
      </c>
      <c r="D67" s="36" t="s">
        <v>289</v>
      </c>
      <c r="E67" s="36" t="s">
        <v>290</v>
      </c>
      <c r="F67" s="36" t="s">
        <v>339</v>
      </c>
      <c r="G67" s="36" t="s">
        <v>340</v>
      </c>
      <c r="H67" s="36" t="s">
        <v>341</v>
      </c>
      <c r="I67" s="36"/>
      <c r="J67" s="36">
        <v>7</v>
      </c>
      <c r="K67" s="36" t="s">
        <v>229</v>
      </c>
      <c r="L67" s="36" t="s">
        <v>294</v>
      </c>
      <c r="M67" s="36">
        <v>15</v>
      </c>
      <c r="N67" s="36">
        <f t="shared" si="24"/>
        <v>46.666666666666664</v>
      </c>
      <c r="O67" s="36">
        <v>1.5312867402479047</v>
      </c>
      <c r="P67" s="40">
        <f t="shared" si="25"/>
        <v>0.71460047878235544</v>
      </c>
      <c r="Q67" s="36">
        <v>34427.656841591197</v>
      </c>
      <c r="R67" s="40">
        <f t="shared" si="26"/>
        <v>2.0756581897814911E-3</v>
      </c>
      <c r="S67" s="36">
        <v>1000</v>
      </c>
      <c r="T67" s="95"/>
      <c r="U67" s="95"/>
      <c r="V67" s="95"/>
      <c r="W67" s="95"/>
      <c r="X67" s="95"/>
      <c r="Y67" s="37">
        <f t="shared" si="22"/>
        <v>2.0756581897814912E-5</v>
      </c>
      <c r="Z67" s="37">
        <f t="shared" ref="Z67:Z130" si="27">LN(Y67)</f>
        <v>-10.782647161690123</v>
      </c>
      <c r="AA67" s="149">
        <f t="shared" si="23"/>
        <v>-2.2381089888686255E-4</v>
      </c>
      <c r="AB67" s="37"/>
      <c r="AC67" s="98"/>
      <c r="AD67" s="98"/>
      <c r="AE67" s="98"/>
      <c r="AF67" s="36"/>
      <c r="AG67" s="36"/>
      <c r="AH67" s="36"/>
      <c r="AI67" s="59"/>
      <c r="AJ67" s="59"/>
      <c r="AK67" s="59"/>
      <c r="AL67" s="59"/>
      <c r="AM67" s="59"/>
      <c r="AN67" s="59"/>
    </row>
    <row r="68" spans="1:40" s="90" customFormat="1" ht="20.25" customHeight="1">
      <c r="A68" s="35">
        <v>41480</v>
      </c>
      <c r="B68" s="65">
        <v>8</v>
      </c>
      <c r="C68" s="36" t="s">
        <v>223</v>
      </c>
      <c r="D68" s="36" t="s">
        <v>267</v>
      </c>
      <c r="E68" s="36"/>
      <c r="F68" s="36" t="s">
        <v>273</v>
      </c>
      <c r="G68" s="36"/>
      <c r="H68" s="36"/>
      <c r="I68" s="36"/>
      <c r="J68" s="36">
        <v>1</v>
      </c>
      <c r="K68" s="36" t="s">
        <v>508</v>
      </c>
      <c r="L68" s="36" t="s">
        <v>335</v>
      </c>
      <c r="M68" s="36">
        <v>15</v>
      </c>
      <c r="N68" s="36">
        <f t="shared" si="24"/>
        <v>6.666666666666667</v>
      </c>
      <c r="O68" s="36">
        <v>1.5312867402479047</v>
      </c>
      <c r="P68" s="40">
        <f t="shared" si="25"/>
        <v>0.10208578268319364</v>
      </c>
      <c r="Q68" s="36">
        <v>34427.656841591197</v>
      </c>
      <c r="R68" s="40">
        <f t="shared" si="26"/>
        <v>2.9652259854021296E-4</v>
      </c>
      <c r="S68" s="36">
        <v>1000</v>
      </c>
      <c r="T68" s="95"/>
      <c r="U68" s="95"/>
      <c r="V68" s="95"/>
      <c r="W68" s="95"/>
      <c r="X68" s="95"/>
      <c r="Y68" s="37">
        <f t="shared" si="22"/>
        <v>2.9652259854021295E-6</v>
      </c>
      <c r="Z68" s="37">
        <f t="shared" si="27"/>
        <v>-12.728557310745437</v>
      </c>
      <c r="AA68" s="149">
        <f t="shared" si="23"/>
        <v>-3.7743048894502617E-5</v>
      </c>
      <c r="AB68" s="37"/>
      <c r="AC68" s="98"/>
      <c r="AD68" s="98"/>
      <c r="AE68" s="98"/>
      <c r="AF68" s="36" t="s">
        <v>336</v>
      </c>
      <c r="AG68" s="36"/>
      <c r="AH68" s="36"/>
      <c r="AI68" s="59"/>
      <c r="AJ68" s="59"/>
      <c r="AK68" s="59"/>
      <c r="AL68" s="59"/>
      <c r="AM68" s="59"/>
      <c r="AN68" s="59"/>
    </row>
    <row r="69" spans="1:40" s="90" customFormat="1" ht="20.25" customHeight="1">
      <c r="A69" s="35">
        <v>41480</v>
      </c>
      <c r="B69" s="65">
        <v>8</v>
      </c>
      <c r="C69" s="36" t="s">
        <v>223</v>
      </c>
      <c r="D69" s="36" t="s">
        <v>267</v>
      </c>
      <c r="E69" s="36"/>
      <c r="F69" s="36" t="s">
        <v>273</v>
      </c>
      <c r="G69" s="36"/>
      <c r="H69" s="36"/>
      <c r="I69" s="36"/>
      <c r="J69" s="36">
        <v>1</v>
      </c>
      <c r="K69" s="36" t="s">
        <v>508</v>
      </c>
      <c r="L69" s="36" t="s">
        <v>335</v>
      </c>
      <c r="M69" s="36">
        <v>15</v>
      </c>
      <c r="N69" s="36">
        <f t="shared" si="24"/>
        <v>6.666666666666667</v>
      </c>
      <c r="O69" s="36">
        <v>1.5312867402479047</v>
      </c>
      <c r="P69" s="40">
        <f t="shared" si="25"/>
        <v>0.10208578268319364</v>
      </c>
      <c r="Q69" s="36">
        <v>34427.656841591197</v>
      </c>
      <c r="R69" s="40">
        <f t="shared" si="26"/>
        <v>2.9652259854021296E-4</v>
      </c>
      <c r="S69" s="36">
        <v>1000</v>
      </c>
      <c r="T69" s="95"/>
      <c r="U69" s="95"/>
      <c r="V69" s="95"/>
      <c r="W69" s="95"/>
      <c r="X69" s="95"/>
      <c r="Y69" s="37">
        <f t="shared" si="22"/>
        <v>2.9652259854021295E-6</v>
      </c>
      <c r="Z69" s="37">
        <f t="shared" si="27"/>
        <v>-12.728557310745437</v>
      </c>
      <c r="AA69" s="149">
        <f t="shared" si="23"/>
        <v>-3.7743048894502617E-5</v>
      </c>
      <c r="AB69" s="37"/>
      <c r="AC69" s="98"/>
      <c r="AD69" s="98"/>
      <c r="AE69" s="98"/>
      <c r="AF69" s="36" t="s">
        <v>337</v>
      </c>
      <c r="AG69" s="36"/>
      <c r="AH69" s="36"/>
      <c r="AI69" s="59"/>
      <c r="AJ69" s="59"/>
      <c r="AK69" s="59"/>
      <c r="AL69" s="59"/>
      <c r="AM69" s="59"/>
      <c r="AN69" s="59"/>
    </row>
    <row r="70" spans="1:40" s="90" customFormat="1" ht="20.25" customHeight="1">
      <c r="A70" s="35">
        <v>41480</v>
      </c>
      <c r="B70" s="65">
        <v>8</v>
      </c>
      <c r="C70" s="36" t="s">
        <v>223</v>
      </c>
      <c r="D70" s="36" t="s">
        <v>267</v>
      </c>
      <c r="E70" s="36"/>
      <c r="F70" s="36" t="s">
        <v>273</v>
      </c>
      <c r="G70" s="36"/>
      <c r="H70" s="36"/>
      <c r="I70" s="36"/>
      <c r="J70" s="36">
        <v>1</v>
      </c>
      <c r="K70" s="36" t="s">
        <v>508</v>
      </c>
      <c r="L70" s="36" t="s">
        <v>335</v>
      </c>
      <c r="M70" s="36">
        <v>15</v>
      </c>
      <c r="N70" s="36">
        <f t="shared" si="24"/>
        <v>6.666666666666667</v>
      </c>
      <c r="O70" s="36">
        <v>1.5312867402479047</v>
      </c>
      <c r="P70" s="40">
        <f t="shared" si="25"/>
        <v>0.10208578268319364</v>
      </c>
      <c r="Q70" s="36">
        <v>34427.656841591197</v>
      </c>
      <c r="R70" s="40">
        <f t="shared" si="26"/>
        <v>2.9652259854021296E-4</v>
      </c>
      <c r="S70" s="36">
        <v>1000</v>
      </c>
      <c r="T70" s="95"/>
      <c r="U70" s="95"/>
      <c r="V70" s="95"/>
      <c r="W70" s="95"/>
      <c r="X70" s="95"/>
      <c r="Y70" s="37">
        <f t="shared" si="22"/>
        <v>2.9652259854021295E-6</v>
      </c>
      <c r="Z70" s="37">
        <f t="shared" si="27"/>
        <v>-12.728557310745437</v>
      </c>
      <c r="AA70" s="149">
        <f t="shared" si="23"/>
        <v>-3.7743048894502617E-5</v>
      </c>
      <c r="AB70" s="37"/>
      <c r="AC70" s="98"/>
      <c r="AD70" s="98"/>
      <c r="AE70" s="98"/>
      <c r="AF70" s="36" t="s">
        <v>338</v>
      </c>
      <c r="AG70" s="36"/>
      <c r="AH70" s="36"/>
      <c r="AI70" s="59"/>
      <c r="AJ70" s="59"/>
      <c r="AK70" s="59"/>
      <c r="AL70" s="59"/>
      <c r="AM70" s="59"/>
      <c r="AN70" s="59"/>
    </row>
    <row r="71" spans="1:40" s="90" customFormat="1" ht="20.25" customHeight="1">
      <c r="A71" s="35">
        <v>41480</v>
      </c>
      <c r="B71" s="65">
        <v>8</v>
      </c>
      <c r="C71" s="36" t="s">
        <v>323</v>
      </c>
      <c r="D71" s="36" t="s">
        <v>324</v>
      </c>
      <c r="E71" s="36"/>
      <c r="F71" s="36" t="s">
        <v>325</v>
      </c>
      <c r="G71" s="36" t="s">
        <v>326</v>
      </c>
      <c r="H71" s="36"/>
      <c r="I71" s="36"/>
      <c r="J71" s="36">
        <v>1</v>
      </c>
      <c r="K71" s="36" t="s">
        <v>509</v>
      </c>
      <c r="L71" s="36" t="s">
        <v>327</v>
      </c>
      <c r="M71" s="36">
        <v>15</v>
      </c>
      <c r="N71" s="36">
        <f t="shared" si="24"/>
        <v>6.666666666666667</v>
      </c>
      <c r="O71" s="36">
        <v>1.5312867402479047</v>
      </c>
      <c r="P71" s="40">
        <f t="shared" si="25"/>
        <v>0.10208578268319364</v>
      </c>
      <c r="Q71" s="36">
        <v>34427.656841591197</v>
      </c>
      <c r="R71" s="40">
        <f t="shared" si="26"/>
        <v>2.9652259854021296E-4</v>
      </c>
      <c r="S71" s="36">
        <v>1000</v>
      </c>
      <c r="T71" s="95"/>
      <c r="U71" s="95"/>
      <c r="V71" s="95"/>
      <c r="W71" s="95"/>
      <c r="X71" s="95"/>
      <c r="Y71" s="37">
        <f t="shared" si="22"/>
        <v>2.9652259854021295E-6</v>
      </c>
      <c r="Z71" s="37">
        <f t="shared" si="27"/>
        <v>-12.728557310745437</v>
      </c>
      <c r="AA71" s="149">
        <f t="shared" si="23"/>
        <v>-3.7743048894502617E-5</v>
      </c>
      <c r="AB71" s="37"/>
      <c r="AC71" s="98"/>
      <c r="AD71" s="98"/>
      <c r="AE71" s="98"/>
      <c r="AF71" s="36"/>
      <c r="AG71" s="36"/>
      <c r="AH71" s="36"/>
      <c r="AI71" s="59"/>
      <c r="AJ71" s="59"/>
      <c r="AK71" s="59"/>
      <c r="AL71" s="59"/>
      <c r="AM71" s="59"/>
      <c r="AN71" s="59"/>
    </row>
    <row r="72" spans="1:40" s="90" customFormat="1" ht="20.25" customHeight="1">
      <c r="A72" s="13">
        <v>41480</v>
      </c>
      <c r="B72" s="3">
        <v>8</v>
      </c>
      <c r="C72" s="3" t="s">
        <v>223</v>
      </c>
      <c r="D72" s="3" t="s">
        <v>224</v>
      </c>
      <c r="E72" s="3" t="s">
        <v>225</v>
      </c>
      <c r="F72" s="3" t="s">
        <v>226</v>
      </c>
      <c r="G72" s="3" t="s">
        <v>227</v>
      </c>
      <c r="H72" s="3" t="s">
        <v>228</v>
      </c>
      <c r="I72" s="3"/>
      <c r="J72" s="3">
        <v>121</v>
      </c>
      <c r="K72" s="3" t="s">
        <v>229</v>
      </c>
      <c r="L72" s="3" t="s">
        <v>228</v>
      </c>
      <c r="M72" s="3">
        <v>251</v>
      </c>
      <c r="N72" s="3">
        <f t="shared" si="24"/>
        <v>48.207171314741039</v>
      </c>
      <c r="O72" s="65">
        <v>34426.12555485098</v>
      </c>
      <c r="P72" s="8">
        <f t="shared" si="25"/>
        <v>16595.861323254856</v>
      </c>
      <c r="Q72" s="36">
        <v>34427.656841591197</v>
      </c>
      <c r="R72" s="8">
        <f t="shared" si="26"/>
        <v>48.205027137385102</v>
      </c>
      <c r="S72" s="3">
        <v>250</v>
      </c>
      <c r="T72" s="95"/>
      <c r="U72" s="95"/>
      <c r="V72" s="95"/>
      <c r="W72" s="95"/>
      <c r="X72" s="95"/>
      <c r="Y72" s="37">
        <f t="shared" si="22"/>
        <v>0.48205027137385104</v>
      </c>
      <c r="Z72" s="37">
        <f t="shared" si="27"/>
        <v>-0.72970687291401581</v>
      </c>
      <c r="AA72" s="149">
        <f t="shared" si="23"/>
        <v>-0.35175539611156553</v>
      </c>
      <c r="AB72" s="37"/>
      <c r="AC72" s="98"/>
      <c r="AD72" s="98"/>
      <c r="AE72" s="98"/>
      <c r="AF72" s="3"/>
      <c r="AG72" s="3"/>
      <c r="AH72" s="36"/>
      <c r="AI72" s="59"/>
      <c r="AJ72" s="59"/>
      <c r="AK72" s="59"/>
      <c r="AL72" s="59"/>
      <c r="AM72" s="59"/>
      <c r="AN72" s="59"/>
    </row>
    <row r="73" spans="1:40" customFormat="1" ht="20.25" customHeight="1">
      <c r="A73" s="13">
        <v>41480</v>
      </c>
      <c r="B73" s="3">
        <v>8</v>
      </c>
      <c r="C73" s="3" t="s">
        <v>223</v>
      </c>
      <c r="D73" s="3" t="s">
        <v>303</v>
      </c>
      <c r="E73" s="3" t="s">
        <v>304</v>
      </c>
      <c r="F73" s="3" t="s">
        <v>305</v>
      </c>
      <c r="G73" s="3" t="s">
        <v>306</v>
      </c>
      <c r="H73" s="3" t="s">
        <v>307</v>
      </c>
      <c r="I73" s="3"/>
      <c r="J73" s="3">
        <v>2</v>
      </c>
      <c r="K73" s="3" t="s">
        <v>229</v>
      </c>
      <c r="L73" s="3" t="s">
        <v>307</v>
      </c>
      <c r="M73" s="3">
        <v>251</v>
      </c>
      <c r="N73" s="3">
        <f t="shared" si="24"/>
        <v>0.79681274900398402</v>
      </c>
      <c r="O73" s="65">
        <v>34426.12555485098</v>
      </c>
      <c r="P73" s="8">
        <f t="shared" si="25"/>
        <v>274.31175740917115</v>
      </c>
      <c r="Q73" s="36">
        <v>34427.656841591197</v>
      </c>
      <c r="R73" s="8">
        <f t="shared" si="26"/>
        <v>0.79677730805595204</v>
      </c>
      <c r="S73" s="3">
        <v>250</v>
      </c>
      <c r="T73" s="95"/>
      <c r="U73" s="95"/>
      <c r="V73" s="95"/>
      <c r="W73" s="95"/>
      <c r="X73" s="95"/>
      <c r="Y73" s="37">
        <f t="shared" si="22"/>
        <v>7.96777308055952E-3</v>
      </c>
      <c r="Z73" s="37">
        <f t="shared" si="27"/>
        <v>-4.8323502379508119</v>
      </c>
      <c r="AA73" s="149">
        <f t="shared" si="23"/>
        <v>-3.8503070141779873E-2</v>
      </c>
      <c r="AB73" s="37"/>
      <c r="AC73" s="98"/>
      <c r="AD73" s="98"/>
      <c r="AE73" s="98"/>
      <c r="AF73" s="3" t="s">
        <v>222</v>
      </c>
      <c r="AG73" s="3"/>
      <c r="AH73" s="36"/>
      <c r="AI73" s="3"/>
      <c r="AJ73" s="3"/>
      <c r="AK73" s="3"/>
      <c r="AL73" s="3"/>
      <c r="AM73" s="3"/>
      <c r="AN73" s="3"/>
    </row>
    <row r="74" spans="1:40" customFormat="1" ht="20.25" customHeight="1">
      <c r="A74" s="13">
        <v>41480</v>
      </c>
      <c r="B74" s="3">
        <v>8</v>
      </c>
      <c r="C74" s="51" t="s">
        <v>223</v>
      </c>
      <c r="D74" s="51" t="s">
        <v>303</v>
      </c>
      <c r="E74" s="51" t="s">
        <v>304</v>
      </c>
      <c r="F74" s="51" t="s">
        <v>305</v>
      </c>
      <c r="G74" s="51" t="s">
        <v>306</v>
      </c>
      <c r="H74" s="3" t="s">
        <v>307</v>
      </c>
      <c r="I74" s="3"/>
      <c r="J74" s="3">
        <v>21</v>
      </c>
      <c r="K74" s="3" t="s">
        <v>229</v>
      </c>
      <c r="L74" s="3" t="s">
        <v>307</v>
      </c>
      <c r="M74" s="3">
        <v>251</v>
      </c>
      <c r="N74" s="3">
        <f t="shared" si="24"/>
        <v>8.3665338645418323</v>
      </c>
      <c r="O74" s="65">
        <v>34426.12555485098</v>
      </c>
      <c r="P74" s="8">
        <f t="shared" si="25"/>
        <v>2880.2734527962971</v>
      </c>
      <c r="Q74" s="36">
        <v>34427.656841591197</v>
      </c>
      <c r="R74" s="8">
        <f t="shared" si="26"/>
        <v>8.3661617345874966</v>
      </c>
      <c r="S74" s="3">
        <v>250</v>
      </c>
      <c r="T74" s="95"/>
      <c r="U74" s="95"/>
      <c r="V74" s="95"/>
      <c r="W74" s="95"/>
      <c r="X74" s="95"/>
      <c r="Y74" s="37">
        <f t="shared" si="22"/>
        <v>8.3661617345874961E-2</v>
      </c>
      <c r="Z74" s="37">
        <f t="shared" si="27"/>
        <v>-2.4809749807873338</v>
      </c>
      <c r="AA74" s="149">
        <f t="shared" si="23"/>
        <v>-0.2075623794873194</v>
      </c>
      <c r="AB74" s="37"/>
      <c r="AC74" s="98"/>
      <c r="AD74" s="98"/>
      <c r="AE74" s="98"/>
      <c r="AF74" s="36" t="s">
        <v>308</v>
      </c>
      <c r="AG74" s="3"/>
      <c r="AH74" s="36"/>
      <c r="AI74" s="3"/>
      <c r="AJ74" s="3"/>
      <c r="AK74" s="3"/>
      <c r="AL74" s="3"/>
      <c r="AM74" s="3"/>
      <c r="AN74" s="3"/>
    </row>
    <row r="75" spans="1:40" customFormat="1" ht="20.25" customHeight="1">
      <c r="A75" s="13">
        <v>41480</v>
      </c>
      <c r="B75" s="3">
        <v>8</v>
      </c>
      <c r="C75" s="51" t="s">
        <v>223</v>
      </c>
      <c r="D75" s="51" t="s">
        <v>224</v>
      </c>
      <c r="E75" s="51" t="s">
        <v>225</v>
      </c>
      <c r="F75" s="51" t="s">
        <v>226</v>
      </c>
      <c r="G75" s="51"/>
      <c r="H75" s="3"/>
      <c r="I75" s="3"/>
      <c r="J75" s="3">
        <v>4</v>
      </c>
      <c r="K75" s="3" t="s">
        <v>508</v>
      </c>
      <c r="L75" s="36" t="s">
        <v>600</v>
      </c>
      <c r="M75" s="3">
        <v>251</v>
      </c>
      <c r="N75" s="3">
        <f t="shared" si="24"/>
        <v>1.593625498007968</v>
      </c>
      <c r="O75" s="65">
        <v>34426.12555485098</v>
      </c>
      <c r="P75" s="8">
        <f t="shared" si="25"/>
        <v>548.6235148183423</v>
      </c>
      <c r="Q75" s="36">
        <v>34427.656841591197</v>
      </c>
      <c r="R75" s="8">
        <f t="shared" si="26"/>
        <v>1.5935546161119041</v>
      </c>
      <c r="S75" s="3">
        <v>250</v>
      </c>
      <c r="T75" s="95"/>
      <c r="U75" s="95"/>
      <c r="V75" s="95"/>
      <c r="W75" s="95"/>
      <c r="X75" s="95"/>
      <c r="Y75" s="37">
        <f t="shared" si="22"/>
        <v>1.593554616111904E-2</v>
      </c>
      <c r="Z75" s="37">
        <f t="shared" si="27"/>
        <v>-4.1392030573908665</v>
      </c>
      <c r="AA75" s="149">
        <f t="shared" si="23"/>
        <v>-6.5960461391297215E-2</v>
      </c>
      <c r="AB75" s="37"/>
      <c r="AC75" s="98"/>
      <c r="AD75" s="98"/>
      <c r="AE75" s="98"/>
      <c r="AF75" s="3" t="s">
        <v>332</v>
      </c>
      <c r="AG75" s="3"/>
      <c r="AH75" s="36"/>
      <c r="AI75" s="3"/>
      <c r="AJ75" s="3"/>
      <c r="AK75" s="3"/>
      <c r="AL75" s="3"/>
      <c r="AM75" s="3"/>
      <c r="AN75" s="3"/>
    </row>
    <row r="76" spans="1:40" customFormat="1" ht="20.25" customHeight="1">
      <c r="A76" s="13">
        <v>41480</v>
      </c>
      <c r="B76" s="3">
        <v>8</v>
      </c>
      <c r="C76" s="51" t="s">
        <v>223</v>
      </c>
      <c r="D76" s="51" t="s">
        <v>224</v>
      </c>
      <c r="E76" s="51" t="s">
        <v>225</v>
      </c>
      <c r="F76" s="51" t="s">
        <v>226</v>
      </c>
      <c r="G76" s="51" t="s">
        <v>235</v>
      </c>
      <c r="H76" s="3" t="s">
        <v>236</v>
      </c>
      <c r="I76" s="3" t="s">
        <v>237</v>
      </c>
      <c r="J76" s="3">
        <v>3</v>
      </c>
      <c r="K76" s="3" t="s">
        <v>247</v>
      </c>
      <c r="L76" s="3" t="s">
        <v>238</v>
      </c>
      <c r="M76" s="3">
        <v>251</v>
      </c>
      <c r="N76" s="3">
        <f t="shared" si="24"/>
        <v>1.1952191235059761</v>
      </c>
      <c r="O76" s="65">
        <v>34426.12555485098</v>
      </c>
      <c r="P76" s="8">
        <f t="shared" si="25"/>
        <v>411.46763611375673</v>
      </c>
      <c r="Q76" s="36">
        <v>34427.656841591197</v>
      </c>
      <c r="R76" s="8">
        <f t="shared" si="26"/>
        <v>1.1951659620839281</v>
      </c>
      <c r="S76" s="3">
        <v>250</v>
      </c>
      <c r="T76" s="95"/>
      <c r="U76" s="95"/>
      <c r="V76" s="95"/>
      <c r="W76" s="95"/>
      <c r="X76" s="95"/>
      <c r="Y76" s="37">
        <f t="shared" si="22"/>
        <v>1.1951659620839281E-2</v>
      </c>
      <c r="Z76" s="37">
        <f t="shared" si="27"/>
        <v>-4.4268851298426473</v>
      </c>
      <c r="AA76" s="149">
        <f t="shared" si="23"/>
        <v>-5.2908624252434228E-2</v>
      </c>
      <c r="AB76" s="37"/>
      <c r="AC76" s="98"/>
      <c r="AD76" s="98"/>
      <c r="AE76" s="98"/>
      <c r="AF76" s="3"/>
      <c r="AG76" s="3"/>
      <c r="AH76" s="36"/>
      <c r="AI76" s="3"/>
      <c r="AJ76" s="3"/>
      <c r="AK76" s="3"/>
      <c r="AL76" s="3"/>
      <c r="AM76" s="3"/>
      <c r="AN76" s="3"/>
    </row>
    <row r="77" spans="1:40" customFormat="1" ht="20.25" customHeight="1">
      <c r="A77" s="13">
        <v>41480</v>
      </c>
      <c r="B77" s="3">
        <v>8</v>
      </c>
      <c r="C77" s="3" t="s">
        <v>223</v>
      </c>
      <c r="D77" s="3" t="s">
        <v>310</v>
      </c>
      <c r="E77" s="3" t="s">
        <v>314</v>
      </c>
      <c r="F77" s="3" t="s">
        <v>311</v>
      </c>
      <c r="G77" s="3" t="s">
        <v>315</v>
      </c>
      <c r="H77" s="3" t="s">
        <v>343</v>
      </c>
      <c r="I77" s="3" t="s">
        <v>344</v>
      </c>
      <c r="J77" s="3">
        <v>3</v>
      </c>
      <c r="K77" s="3" t="s">
        <v>247</v>
      </c>
      <c r="L77" s="3" t="s">
        <v>345</v>
      </c>
      <c r="M77" s="3">
        <v>251</v>
      </c>
      <c r="N77" s="3">
        <f t="shared" si="24"/>
        <v>1.1952191235059761</v>
      </c>
      <c r="O77" s="65">
        <v>34426.12555485098</v>
      </c>
      <c r="P77" s="8">
        <f t="shared" si="25"/>
        <v>411.46763611375673</v>
      </c>
      <c r="Q77" s="36">
        <v>34427.656841591197</v>
      </c>
      <c r="R77" s="8">
        <f t="shared" si="26"/>
        <v>1.1951659620839281</v>
      </c>
      <c r="S77" s="3">
        <v>250</v>
      </c>
      <c r="T77" s="95"/>
      <c r="U77" s="95"/>
      <c r="V77" s="95"/>
      <c r="W77" s="95"/>
      <c r="X77" s="95"/>
      <c r="Y77" s="37">
        <f t="shared" si="22"/>
        <v>1.1951659620839281E-2</v>
      </c>
      <c r="Z77" s="37">
        <f t="shared" si="27"/>
        <v>-4.4268851298426473</v>
      </c>
      <c r="AA77" s="149">
        <f t="shared" si="23"/>
        <v>-5.2908624252434228E-2</v>
      </c>
      <c r="AB77" s="37"/>
      <c r="AC77" s="98"/>
      <c r="AD77" s="98"/>
      <c r="AE77" s="98"/>
      <c r="AF77" s="3"/>
      <c r="AG77" s="3"/>
      <c r="AH77" s="36"/>
      <c r="AI77" s="3"/>
      <c r="AJ77" s="3"/>
      <c r="AK77" s="3"/>
      <c r="AL77" s="3"/>
      <c r="AM77" s="3"/>
      <c r="AN77" s="3"/>
    </row>
    <row r="78" spans="1:40" customFormat="1" ht="20.25" customHeight="1">
      <c r="A78" s="13">
        <v>41480</v>
      </c>
      <c r="B78" s="3">
        <v>8</v>
      </c>
      <c r="C78" s="3" t="s">
        <v>223</v>
      </c>
      <c r="D78" s="3" t="s">
        <v>224</v>
      </c>
      <c r="E78" s="3" t="s">
        <v>225</v>
      </c>
      <c r="F78" s="3" t="s">
        <v>226</v>
      </c>
      <c r="G78" s="3" t="s">
        <v>239</v>
      </c>
      <c r="H78" s="3" t="s">
        <v>240</v>
      </c>
      <c r="I78" s="3"/>
      <c r="J78" s="3">
        <v>16</v>
      </c>
      <c r="K78" s="3" t="s">
        <v>229</v>
      </c>
      <c r="L78" s="3" t="s">
        <v>240</v>
      </c>
      <c r="M78" s="3">
        <v>251</v>
      </c>
      <c r="N78" s="3">
        <f t="shared" si="24"/>
        <v>6.3745019920318722</v>
      </c>
      <c r="O78" s="65">
        <v>34426.12555485098</v>
      </c>
      <c r="P78" s="8">
        <f t="shared" si="25"/>
        <v>2194.4940592733692</v>
      </c>
      <c r="Q78" s="36">
        <v>34427.656841591197</v>
      </c>
      <c r="R78" s="8">
        <f t="shared" si="26"/>
        <v>6.3742184644476163</v>
      </c>
      <c r="S78" s="3">
        <v>250</v>
      </c>
      <c r="T78" s="95"/>
      <c r="U78" s="95"/>
      <c r="V78" s="95"/>
      <c r="W78" s="95"/>
      <c r="X78" s="95"/>
      <c r="Y78" s="37">
        <f t="shared" si="22"/>
        <v>6.374218464447616E-2</v>
      </c>
      <c r="Z78" s="37">
        <f t="shared" si="27"/>
        <v>-2.7529086962709757</v>
      </c>
      <c r="AA78" s="149">
        <f t="shared" si="23"/>
        <v>-0.17547641442708867</v>
      </c>
      <c r="AB78" s="37"/>
      <c r="AC78" s="98"/>
      <c r="AD78" s="98"/>
      <c r="AE78" s="98"/>
      <c r="AF78" s="3"/>
      <c r="AG78" s="3"/>
      <c r="AH78" s="36"/>
      <c r="AI78" s="3"/>
      <c r="AJ78" s="3"/>
      <c r="AK78" s="3"/>
      <c r="AL78" s="3"/>
      <c r="AM78" s="3"/>
      <c r="AN78" s="3"/>
    </row>
    <row r="79" spans="1:40" customFormat="1" ht="20.25" customHeight="1">
      <c r="A79" s="13">
        <v>41480</v>
      </c>
      <c r="B79" s="3">
        <v>8</v>
      </c>
      <c r="C79" s="51" t="s">
        <v>223</v>
      </c>
      <c r="D79" s="51" t="s">
        <v>310</v>
      </c>
      <c r="E79" s="51" t="s">
        <v>314</v>
      </c>
      <c r="F79" s="51" t="s">
        <v>311</v>
      </c>
      <c r="G79" s="51" t="s">
        <v>315</v>
      </c>
      <c r="H79" s="3" t="s">
        <v>316</v>
      </c>
      <c r="I79" s="3" t="s">
        <v>342</v>
      </c>
      <c r="J79" s="3">
        <v>4</v>
      </c>
      <c r="K79" s="3" t="s">
        <v>247</v>
      </c>
      <c r="L79" s="3" t="s">
        <v>345</v>
      </c>
      <c r="M79" s="3">
        <v>251</v>
      </c>
      <c r="N79" s="3">
        <f t="shared" si="24"/>
        <v>1.593625498007968</v>
      </c>
      <c r="O79" s="36">
        <v>34426.12555485098</v>
      </c>
      <c r="P79" s="8">
        <f t="shared" si="25"/>
        <v>548.6235148183423</v>
      </c>
      <c r="Q79" s="36">
        <v>34427.656841591197</v>
      </c>
      <c r="R79" s="8">
        <f t="shared" si="26"/>
        <v>1.5935546161119041</v>
      </c>
      <c r="S79" s="3">
        <v>250</v>
      </c>
      <c r="T79" s="95"/>
      <c r="U79" s="95"/>
      <c r="V79" s="95"/>
      <c r="W79" s="95"/>
      <c r="X79" s="95"/>
      <c r="Y79" s="37">
        <f t="shared" si="22"/>
        <v>1.593554616111904E-2</v>
      </c>
      <c r="Z79" s="37">
        <f t="shared" si="27"/>
        <v>-4.1392030573908665</v>
      </c>
      <c r="AA79" s="149">
        <f t="shared" si="23"/>
        <v>-6.5960461391297215E-2</v>
      </c>
      <c r="AB79" s="37"/>
      <c r="AC79" s="98"/>
      <c r="AD79" s="98"/>
      <c r="AE79" s="98"/>
      <c r="AF79" s="3"/>
      <c r="AG79" s="3"/>
      <c r="AH79" s="36"/>
      <c r="AI79" s="3"/>
      <c r="AJ79" s="3"/>
      <c r="AK79" s="3"/>
      <c r="AL79" s="3"/>
      <c r="AM79" s="3"/>
      <c r="AN79" s="3"/>
    </row>
    <row r="80" spans="1:40" customFormat="1" ht="20.25" customHeight="1">
      <c r="A80" s="35">
        <v>41480</v>
      </c>
      <c r="B80" s="36">
        <v>8</v>
      </c>
      <c r="C80" s="36" t="s">
        <v>300</v>
      </c>
      <c r="D80" s="36" t="s">
        <v>301</v>
      </c>
      <c r="E80" s="36"/>
      <c r="F80" s="36"/>
      <c r="G80" s="36"/>
      <c r="H80" s="36"/>
      <c r="I80" s="36"/>
      <c r="J80" s="36">
        <v>2</v>
      </c>
      <c r="K80" s="36" t="s">
        <v>221</v>
      </c>
      <c r="L80" s="36" t="s">
        <v>302</v>
      </c>
      <c r="M80" s="36">
        <v>251</v>
      </c>
      <c r="N80" s="36">
        <f t="shared" si="24"/>
        <v>0.79681274900398402</v>
      </c>
      <c r="O80" s="36">
        <v>34426.12555485098</v>
      </c>
      <c r="P80" s="8">
        <f t="shared" si="25"/>
        <v>274.31175740917115</v>
      </c>
      <c r="Q80" s="36">
        <v>34427.656841591197</v>
      </c>
      <c r="R80" s="8">
        <f t="shared" si="26"/>
        <v>0.79677730805595204</v>
      </c>
      <c r="S80" s="36">
        <v>250</v>
      </c>
      <c r="T80" s="95"/>
      <c r="U80" s="95"/>
      <c r="V80" s="95"/>
      <c r="W80" s="95"/>
      <c r="X80" s="95"/>
      <c r="Y80" s="37">
        <f t="shared" si="22"/>
        <v>7.96777308055952E-3</v>
      </c>
      <c r="Z80" s="37">
        <f t="shared" si="27"/>
        <v>-4.8323502379508119</v>
      </c>
      <c r="AA80" s="149">
        <f t="shared" si="23"/>
        <v>-3.8503070141779873E-2</v>
      </c>
      <c r="AB80" s="37"/>
      <c r="AC80" s="98"/>
      <c r="AD80" s="98"/>
      <c r="AE80" s="98"/>
      <c r="AF80" s="36"/>
      <c r="AG80" s="36"/>
      <c r="AH80" s="36"/>
      <c r="AI80" s="3"/>
      <c r="AJ80" s="3"/>
      <c r="AK80" s="3"/>
      <c r="AL80" s="3"/>
      <c r="AM80" s="3"/>
      <c r="AN80" s="3"/>
    </row>
    <row r="81" spans="1:40" ht="20.25" customHeight="1">
      <c r="A81" s="13">
        <v>41480</v>
      </c>
      <c r="B81" s="3">
        <v>8</v>
      </c>
      <c r="C81" s="3" t="s">
        <v>223</v>
      </c>
      <c r="D81" s="3" t="s">
        <v>224</v>
      </c>
      <c r="E81" s="3" t="s">
        <v>225</v>
      </c>
      <c r="F81" s="3" t="s">
        <v>243</v>
      </c>
      <c r="G81" s="3" t="s">
        <v>244</v>
      </c>
      <c r="H81" s="3" t="s">
        <v>245</v>
      </c>
      <c r="I81" s="3" t="s">
        <v>246</v>
      </c>
      <c r="J81" s="3">
        <v>1</v>
      </c>
      <c r="K81" s="3" t="s">
        <v>247</v>
      </c>
      <c r="L81" s="3" t="s">
        <v>357</v>
      </c>
      <c r="M81" s="3">
        <v>251</v>
      </c>
      <c r="N81" s="3">
        <f t="shared" si="24"/>
        <v>0.39840637450199201</v>
      </c>
      <c r="O81" s="36">
        <v>34426.12555485098</v>
      </c>
      <c r="P81" s="8">
        <f t="shared" si="25"/>
        <v>137.15587870458558</v>
      </c>
      <c r="Q81" s="36">
        <v>34427.656841591197</v>
      </c>
      <c r="R81" s="8">
        <f t="shared" si="26"/>
        <v>0.39838865402797602</v>
      </c>
      <c r="S81" s="3">
        <v>250</v>
      </c>
      <c r="T81" s="95"/>
      <c r="U81" s="95"/>
      <c r="V81" s="95"/>
      <c r="W81" s="95"/>
      <c r="X81" s="95"/>
      <c r="Y81" s="37">
        <f t="shared" si="22"/>
        <v>3.98388654027976E-3</v>
      </c>
      <c r="Z81" s="37">
        <f t="shared" si="27"/>
        <v>-5.5254974185107573</v>
      </c>
      <c r="AA81" s="149">
        <f t="shared" si="23"/>
        <v>-2.2012954793955566E-2</v>
      </c>
      <c r="AB81" s="37"/>
      <c r="AC81" s="98"/>
      <c r="AD81" s="98"/>
      <c r="AE81" s="98"/>
      <c r="AF81" s="3"/>
      <c r="AG81" s="3"/>
      <c r="AH81" s="36"/>
      <c r="AI81" s="36"/>
      <c r="AJ81" s="36"/>
      <c r="AK81" s="36"/>
      <c r="AL81" s="36"/>
      <c r="AM81" s="36"/>
      <c r="AN81" s="36"/>
    </row>
    <row r="82" spans="1:40" ht="20.25" customHeight="1">
      <c r="A82" s="13">
        <v>41480</v>
      </c>
      <c r="B82" s="3">
        <v>8</v>
      </c>
      <c r="C82" s="51" t="s">
        <v>223</v>
      </c>
      <c r="D82" s="51" t="s">
        <v>224</v>
      </c>
      <c r="E82" s="51" t="s">
        <v>225</v>
      </c>
      <c r="F82" s="51" t="s">
        <v>248</v>
      </c>
      <c r="G82" s="51" t="s">
        <v>249</v>
      </c>
      <c r="H82" s="3" t="s">
        <v>250</v>
      </c>
      <c r="I82" s="3" t="s">
        <v>251</v>
      </c>
      <c r="J82" s="3">
        <v>25</v>
      </c>
      <c r="K82" s="3" t="s">
        <v>247</v>
      </c>
      <c r="L82" s="3" t="s">
        <v>250</v>
      </c>
      <c r="M82" s="3">
        <v>251</v>
      </c>
      <c r="N82" s="3">
        <f t="shared" si="24"/>
        <v>9.9601593625498008</v>
      </c>
      <c r="O82" s="36">
        <v>34426.12555485098</v>
      </c>
      <c r="P82" s="8">
        <f t="shared" si="25"/>
        <v>3428.8969676146394</v>
      </c>
      <c r="Q82" s="36">
        <v>34427.656841591197</v>
      </c>
      <c r="R82" s="8">
        <f t="shared" si="26"/>
        <v>9.9597163506994004</v>
      </c>
      <c r="S82" s="3">
        <v>250</v>
      </c>
      <c r="T82" s="95"/>
      <c r="U82" s="95"/>
      <c r="V82" s="95"/>
      <c r="W82" s="95"/>
      <c r="X82" s="95"/>
      <c r="Y82" s="37">
        <f t="shared" si="22"/>
        <v>9.9597163506994005E-2</v>
      </c>
      <c r="Z82" s="37">
        <f t="shared" si="27"/>
        <v>-2.3066215936425563</v>
      </c>
      <c r="AA82" s="149">
        <f t="shared" si="23"/>
        <v>-0.22973296801078075</v>
      </c>
      <c r="AB82" s="37"/>
      <c r="AC82" s="98"/>
      <c r="AD82" s="98"/>
      <c r="AE82" s="98"/>
      <c r="AF82" s="3"/>
      <c r="AG82" s="3"/>
      <c r="AH82" s="36"/>
      <c r="AI82" s="36"/>
      <c r="AJ82" s="36"/>
      <c r="AK82" s="36"/>
      <c r="AL82" s="36"/>
      <c r="AM82" s="36"/>
      <c r="AN82" s="36"/>
    </row>
    <row r="83" spans="1:40" ht="20.25" customHeight="1">
      <c r="A83" s="13">
        <v>41480</v>
      </c>
      <c r="B83" s="3">
        <v>8</v>
      </c>
      <c r="C83" s="3" t="s">
        <v>223</v>
      </c>
      <c r="D83" s="3" t="s">
        <v>224</v>
      </c>
      <c r="E83" s="3" t="s">
        <v>225</v>
      </c>
      <c r="F83" s="3" t="s">
        <v>226</v>
      </c>
      <c r="G83" s="3" t="s">
        <v>253</v>
      </c>
      <c r="H83" s="3" t="s">
        <v>256</v>
      </c>
      <c r="I83" s="3"/>
      <c r="J83" s="3">
        <v>25</v>
      </c>
      <c r="K83" s="3" t="s">
        <v>229</v>
      </c>
      <c r="L83" s="3" t="s">
        <v>256</v>
      </c>
      <c r="M83" s="3">
        <v>251</v>
      </c>
      <c r="N83" s="3">
        <f t="shared" si="24"/>
        <v>9.9601593625498008</v>
      </c>
      <c r="O83" s="36">
        <v>34426.12555485098</v>
      </c>
      <c r="P83" s="8">
        <f t="shared" si="25"/>
        <v>3428.8969676146394</v>
      </c>
      <c r="Q83" s="36">
        <v>34427.656841591197</v>
      </c>
      <c r="R83" s="8">
        <f t="shared" si="26"/>
        <v>9.9597163506994004</v>
      </c>
      <c r="S83" s="3">
        <v>250</v>
      </c>
      <c r="T83" s="95"/>
      <c r="U83" s="95"/>
      <c r="V83" s="95"/>
      <c r="W83" s="95"/>
      <c r="X83" s="95"/>
      <c r="Y83" s="37">
        <f t="shared" si="22"/>
        <v>9.9597163506994005E-2</v>
      </c>
      <c r="Z83" s="37">
        <f t="shared" si="27"/>
        <v>-2.3066215936425563</v>
      </c>
      <c r="AA83" s="149">
        <f t="shared" si="23"/>
        <v>-0.22973296801078075</v>
      </c>
      <c r="AB83" s="37"/>
      <c r="AC83" s="98"/>
      <c r="AD83" s="98"/>
      <c r="AE83" s="98"/>
      <c r="AF83" s="3"/>
      <c r="AG83" s="3"/>
      <c r="AH83" s="36"/>
      <c r="AI83" s="36"/>
      <c r="AJ83" s="36"/>
      <c r="AK83" s="36"/>
      <c r="AL83" s="36"/>
      <c r="AM83" s="36"/>
      <c r="AN83" s="36"/>
    </row>
    <row r="84" spans="1:40" ht="20.25" customHeight="1">
      <c r="A84" s="13">
        <v>41480</v>
      </c>
      <c r="B84" s="51">
        <v>8</v>
      </c>
      <c r="C84" s="3" t="s">
        <v>223</v>
      </c>
      <c r="D84" s="3" t="s">
        <v>224</v>
      </c>
      <c r="E84" s="3" t="s">
        <v>225</v>
      </c>
      <c r="F84" s="3" t="s">
        <v>226</v>
      </c>
      <c r="G84" s="3" t="s">
        <v>239</v>
      </c>
      <c r="H84" s="3" t="s">
        <v>258</v>
      </c>
      <c r="I84" s="3" t="s">
        <v>259</v>
      </c>
      <c r="J84" s="3">
        <v>22</v>
      </c>
      <c r="K84" s="3" t="s">
        <v>247</v>
      </c>
      <c r="L84" s="3" t="s">
        <v>260</v>
      </c>
      <c r="M84" s="3">
        <v>251</v>
      </c>
      <c r="N84" s="3">
        <f t="shared" si="24"/>
        <v>8.7649402390438258</v>
      </c>
      <c r="O84" s="36">
        <v>34426.12555485098</v>
      </c>
      <c r="P84" s="8">
        <f t="shared" si="25"/>
        <v>3017.4293315008827</v>
      </c>
      <c r="Q84" s="36">
        <v>34427.656841591197</v>
      </c>
      <c r="R84" s="8">
        <f t="shared" si="26"/>
        <v>8.7645503886154739</v>
      </c>
      <c r="S84" s="3">
        <v>250</v>
      </c>
      <c r="T84" s="95"/>
      <c r="U84" s="95"/>
      <c r="V84" s="95"/>
      <c r="W84" s="95"/>
      <c r="X84" s="95"/>
      <c r="Y84" s="37">
        <f t="shared" si="22"/>
        <v>8.7645503886154733E-2</v>
      </c>
      <c r="Z84" s="37">
        <f t="shared" si="27"/>
        <v>-2.4344549651524412</v>
      </c>
      <c r="AA84" s="149">
        <f t="shared" si="23"/>
        <v>-0.21336903210893696</v>
      </c>
      <c r="AB84" s="37"/>
      <c r="AC84" s="98"/>
      <c r="AD84" s="98"/>
      <c r="AE84" s="98"/>
      <c r="AF84" s="3"/>
      <c r="AG84" s="3"/>
      <c r="AH84" s="36"/>
      <c r="AI84" s="36"/>
      <c r="AJ84" s="36"/>
      <c r="AK84" s="36"/>
      <c r="AL84" s="36"/>
      <c r="AM84" s="36"/>
      <c r="AN84" s="36"/>
    </row>
    <row r="85" spans="1:40" ht="20.25" customHeight="1">
      <c r="A85" s="13">
        <v>41480</v>
      </c>
      <c r="B85" s="51">
        <v>8</v>
      </c>
      <c r="C85" s="3" t="s">
        <v>328</v>
      </c>
      <c r="D85" s="3"/>
      <c r="E85" s="3"/>
      <c r="F85" s="3"/>
      <c r="G85" s="3"/>
      <c r="H85" s="3"/>
      <c r="I85" s="3"/>
      <c r="J85" s="3">
        <v>2</v>
      </c>
      <c r="K85" s="3" t="s">
        <v>328</v>
      </c>
      <c r="L85" s="3" t="s">
        <v>328</v>
      </c>
      <c r="M85" s="3">
        <v>251</v>
      </c>
      <c r="N85" s="3">
        <f t="shared" si="24"/>
        <v>0.79681274900398402</v>
      </c>
      <c r="O85" s="36">
        <v>34426.12555485098</v>
      </c>
      <c r="P85" s="8">
        <f t="shared" si="25"/>
        <v>274.31175740917115</v>
      </c>
      <c r="Q85" s="36">
        <v>34427.656841591197</v>
      </c>
      <c r="R85" s="8">
        <f t="shared" si="26"/>
        <v>0.79677730805595204</v>
      </c>
      <c r="S85" s="3">
        <v>250</v>
      </c>
      <c r="T85" s="95"/>
      <c r="U85" s="95"/>
      <c r="V85" s="95"/>
      <c r="W85" s="95"/>
      <c r="X85" s="95"/>
      <c r="Y85" s="37">
        <f t="shared" si="22"/>
        <v>7.96777308055952E-3</v>
      </c>
      <c r="Z85" s="37">
        <f t="shared" si="27"/>
        <v>-4.8323502379508119</v>
      </c>
      <c r="AA85" s="149">
        <f t="shared" si="23"/>
        <v>-3.8503070141779873E-2</v>
      </c>
      <c r="AB85" s="37"/>
      <c r="AC85" s="98"/>
      <c r="AD85" s="98"/>
      <c r="AE85" s="98"/>
      <c r="AF85" s="3" t="s">
        <v>353</v>
      </c>
      <c r="AG85" s="3"/>
      <c r="AH85" s="36"/>
      <c r="AI85" s="36"/>
      <c r="AJ85" s="36"/>
      <c r="AK85" s="36"/>
      <c r="AL85" s="36"/>
      <c r="AM85" s="36"/>
      <c r="AN85" s="36"/>
    </row>
    <row r="86" spans="1:40" ht="20.25" customHeight="1">
      <c r="A86" s="35">
        <v>41480</v>
      </c>
      <c r="B86" s="65">
        <v>5</v>
      </c>
      <c r="C86" s="65" t="s">
        <v>209</v>
      </c>
      <c r="D86" s="65" t="s">
        <v>210</v>
      </c>
      <c r="E86" s="65"/>
      <c r="F86" s="65" t="s">
        <v>211</v>
      </c>
      <c r="G86" s="65" t="s">
        <v>212</v>
      </c>
      <c r="H86" s="36" t="s">
        <v>213</v>
      </c>
      <c r="I86" s="36" t="s">
        <v>214</v>
      </c>
      <c r="J86" s="36">
        <v>1</v>
      </c>
      <c r="K86" s="36" t="s">
        <v>247</v>
      </c>
      <c r="L86" s="36" t="s">
        <v>215</v>
      </c>
      <c r="M86" s="36">
        <v>45</v>
      </c>
      <c r="N86" s="36">
        <f t="shared" si="24"/>
        <v>2.2222222222222223</v>
      </c>
      <c r="O86" s="36">
        <v>2.3818051259975315</v>
      </c>
      <c r="P86" s="40">
        <f t="shared" si="25"/>
        <v>5.2929002799945148E-2</v>
      </c>
      <c r="Q86" s="36">
        <v>16891.941079298133</v>
      </c>
      <c r="R86" s="40">
        <f t="shared" si="26"/>
        <v>3.1333878416620888E-4</v>
      </c>
      <c r="S86" s="36">
        <v>1000</v>
      </c>
      <c r="T86" s="95"/>
      <c r="U86" s="95"/>
      <c r="V86" s="95"/>
      <c r="W86" s="95"/>
      <c r="X86" s="95">
        <f>SUM(R86:R104)</f>
        <v>100.0000000000002</v>
      </c>
      <c r="Y86" s="37">
        <f t="shared" si="22"/>
        <v>3.133387841662089E-6</v>
      </c>
      <c r="Z86" s="37">
        <f t="shared" si="27"/>
        <v>-12.673395761232603</v>
      </c>
      <c r="AA86" s="149">
        <f t="shared" si="23"/>
        <v>-3.9710664190818092E-5</v>
      </c>
      <c r="AB86" s="37">
        <f>SUM(AA86:AA104)*(-1)</f>
        <v>1.337593854728047</v>
      </c>
      <c r="AC86" s="98">
        <v>16</v>
      </c>
      <c r="AD86" s="98">
        <f t="shared" ref="AD86:AD123" si="28">LN(AC86)</f>
        <v>2.7725887222397811</v>
      </c>
      <c r="AE86" s="98">
        <f>(AB86/AD86)</f>
        <v>0.4824350052349265</v>
      </c>
      <c r="AF86" s="36"/>
      <c r="AG86" s="36"/>
      <c r="AH86" s="36"/>
      <c r="AI86" s="36"/>
      <c r="AJ86" s="36"/>
      <c r="AK86" s="36"/>
      <c r="AL86" s="36"/>
      <c r="AM86" s="36"/>
      <c r="AN86" s="36"/>
    </row>
    <row r="87" spans="1:40" ht="20.25" customHeight="1">
      <c r="A87" s="35">
        <v>41480</v>
      </c>
      <c r="B87" s="65">
        <v>5</v>
      </c>
      <c r="C87" s="36" t="s">
        <v>351</v>
      </c>
      <c r="D87" s="36"/>
      <c r="E87" s="36"/>
      <c r="F87" s="36"/>
      <c r="G87" s="36"/>
      <c r="H87" s="36"/>
      <c r="I87" s="36"/>
      <c r="J87" s="36">
        <v>2</v>
      </c>
      <c r="K87" s="36" t="s">
        <v>474</v>
      </c>
      <c r="L87" s="36" t="s">
        <v>352</v>
      </c>
      <c r="M87" s="36">
        <v>45</v>
      </c>
      <c r="N87" s="36">
        <f t="shared" si="24"/>
        <v>4.4444444444444446</v>
      </c>
      <c r="O87" s="65">
        <v>2.3818051259975315</v>
      </c>
      <c r="P87" s="40">
        <f t="shared" si="25"/>
        <v>0.1058580055998903</v>
      </c>
      <c r="Q87" s="36">
        <v>16891.941079298133</v>
      </c>
      <c r="R87" s="40">
        <f t="shared" si="26"/>
        <v>6.2667756833241777E-4</v>
      </c>
      <c r="S87" s="36">
        <v>1000</v>
      </c>
      <c r="T87" s="95"/>
      <c r="U87" s="95"/>
      <c r="V87" s="95"/>
      <c r="W87" s="95"/>
      <c r="X87" s="95"/>
      <c r="Y87" s="37">
        <f t="shared" si="22"/>
        <v>6.266775683324178E-6</v>
      </c>
      <c r="Z87" s="37">
        <f t="shared" si="27"/>
        <v>-11.98024858067266</v>
      </c>
      <c r="AA87" s="149">
        <f t="shared" si="23"/>
        <v>-7.5077530485538418E-5</v>
      </c>
      <c r="AB87" s="37"/>
      <c r="AC87" s="98"/>
      <c r="AD87" s="98"/>
      <c r="AE87" s="98"/>
      <c r="AF87" s="36" t="s">
        <v>222</v>
      </c>
      <c r="AG87" s="36"/>
      <c r="AH87" s="36"/>
      <c r="AI87" s="36"/>
      <c r="AJ87" s="36"/>
      <c r="AK87" s="36"/>
      <c r="AL87" s="36"/>
      <c r="AM87" s="36"/>
      <c r="AN87" s="36"/>
    </row>
    <row r="88" spans="1:40" ht="20.25" customHeight="1">
      <c r="A88" s="35">
        <v>41480</v>
      </c>
      <c r="B88" s="65">
        <v>5</v>
      </c>
      <c r="C88" s="65" t="s">
        <v>223</v>
      </c>
      <c r="D88" s="65" t="s">
        <v>267</v>
      </c>
      <c r="E88" s="65"/>
      <c r="F88" s="65" t="s">
        <v>273</v>
      </c>
      <c r="G88" s="65"/>
      <c r="H88" s="36"/>
      <c r="I88" s="36"/>
      <c r="J88" s="36">
        <v>9</v>
      </c>
      <c r="K88" s="36" t="s">
        <v>508</v>
      </c>
      <c r="L88" s="36" t="s">
        <v>335</v>
      </c>
      <c r="M88" s="36">
        <v>45</v>
      </c>
      <c r="N88" s="36">
        <f t="shared" si="24"/>
        <v>20</v>
      </c>
      <c r="O88" s="36">
        <v>2.3818051259975315</v>
      </c>
      <c r="P88" s="40">
        <f t="shared" si="25"/>
        <v>0.47636102519950629</v>
      </c>
      <c r="Q88" s="36">
        <v>16891.9410792981</v>
      </c>
      <c r="R88" s="40">
        <f t="shared" si="26"/>
        <v>2.820049057495885E-3</v>
      </c>
      <c r="S88" s="36">
        <v>1000</v>
      </c>
      <c r="T88" s="95"/>
      <c r="U88" s="95"/>
      <c r="V88" s="95"/>
      <c r="W88" s="95"/>
      <c r="X88" s="95"/>
      <c r="Y88" s="37">
        <f t="shared" si="22"/>
        <v>2.8200490574958851E-5</v>
      </c>
      <c r="Z88" s="37">
        <f t="shared" si="27"/>
        <v>-10.476171183896383</v>
      </c>
      <c r="AA88" s="149">
        <f t="shared" si="23"/>
        <v>-2.9543316673312546E-4</v>
      </c>
      <c r="AB88" s="37"/>
      <c r="AC88" s="98"/>
      <c r="AD88" s="98"/>
      <c r="AE88" s="98"/>
      <c r="AF88" s="36" t="s">
        <v>336</v>
      </c>
      <c r="AG88" s="36"/>
      <c r="AH88" s="36"/>
      <c r="AI88" s="36"/>
      <c r="AJ88" s="36"/>
      <c r="AK88" s="36"/>
      <c r="AL88" s="36"/>
      <c r="AM88" s="36"/>
      <c r="AN88" s="36"/>
    </row>
    <row r="89" spans="1:40" customFormat="1" ht="20.25" customHeight="1">
      <c r="A89" s="35">
        <v>41480</v>
      </c>
      <c r="B89" s="65">
        <v>5</v>
      </c>
      <c r="C89" s="36" t="s">
        <v>223</v>
      </c>
      <c r="D89" s="36" t="s">
        <v>267</v>
      </c>
      <c r="E89" s="36"/>
      <c r="F89" s="36" t="s">
        <v>273</v>
      </c>
      <c r="G89" s="36"/>
      <c r="H89" s="36"/>
      <c r="I89" s="36"/>
      <c r="J89" s="36">
        <v>1</v>
      </c>
      <c r="K89" s="36" t="s">
        <v>508</v>
      </c>
      <c r="L89" s="36" t="s">
        <v>335</v>
      </c>
      <c r="M89" s="36">
        <v>45</v>
      </c>
      <c r="N89" s="36">
        <f t="shared" si="24"/>
        <v>2.2222222222222223</v>
      </c>
      <c r="O89" s="36">
        <v>2.3818051259975315</v>
      </c>
      <c r="P89" s="40">
        <f t="shared" si="25"/>
        <v>5.2929002799945148E-2</v>
      </c>
      <c r="Q89" s="36">
        <v>16891.9410792981</v>
      </c>
      <c r="R89" s="40">
        <f t="shared" si="26"/>
        <v>3.1333878416620943E-4</v>
      </c>
      <c r="S89" s="36">
        <v>1000</v>
      </c>
      <c r="T89" s="95"/>
      <c r="U89" s="95"/>
      <c r="V89" s="95"/>
      <c r="W89" s="95"/>
      <c r="X89" s="95"/>
      <c r="Y89" s="37">
        <f t="shared" si="22"/>
        <v>3.1333878416620941E-6</v>
      </c>
      <c r="Z89" s="37">
        <f t="shared" si="27"/>
        <v>-12.673395761232603</v>
      </c>
      <c r="AA89" s="149">
        <f t="shared" si="23"/>
        <v>-3.971066419081816E-5</v>
      </c>
      <c r="AB89" s="37"/>
      <c r="AC89" s="98"/>
      <c r="AD89" s="98"/>
      <c r="AE89" s="98"/>
      <c r="AF89" s="36" t="s">
        <v>337</v>
      </c>
      <c r="AG89" s="36"/>
      <c r="AH89" s="36"/>
      <c r="AI89" s="3"/>
      <c r="AJ89" s="3"/>
      <c r="AK89" s="3"/>
      <c r="AL89" s="3"/>
      <c r="AM89" s="3"/>
      <c r="AN89" s="3"/>
    </row>
    <row r="90" spans="1:40" customFormat="1" ht="20.25" customHeight="1">
      <c r="A90" s="35">
        <v>41480</v>
      </c>
      <c r="B90" s="65">
        <v>5</v>
      </c>
      <c r="C90" s="36" t="s">
        <v>323</v>
      </c>
      <c r="D90" s="36" t="s">
        <v>324</v>
      </c>
      <c r="E90" s="36"/>
      <c r="F90" s="36" t="s">
        <v>325</v>
      </c>
      <c r="G90" s="36" t="s">
        <v>326</v>
      </c>
      <c r="H90" s="36"/>
      <c r="I90" s="36"/>
      <c r="J90" s="36">
        <v>4</v>
      </c>
      <c r="K90" s="36" t="s">
        <v>509</v>
      </c>
      <c r="L90" s="36" t="s">
        <v>327</v>
      </c>
      <c r="M90" s="36">
        <v>45</v>
      </c>
      <c r="N90" s="36">
        <f t="shared" si="24"/>
        <v>8.8888888888888893</v>
      </c>
      <c r="O90" s="65">
        <v>2.3818051259975315</v>
      </c>
      <c r="P90" s="40">
        <f t="shared" si="25"/>
        <v>0.21171601119978059</v>
      </c>
      <c r="Q90" s="36">
        <v>16891.9410792981</v>
      </c>
      <c r="R90" s="40">
        <f t="shared" si="26"/>
        <v>1.2533551366648377E-3</v>
      </c>
      <c r="S90" s="36">
        <v>1000</v>
      </c>
      <c r="T90" s="95"/>
      <c r="U90" s="95"/>
      <c r="V90" s="95"/>
      <c r="W90" s="95"/>
      <c r="X90" s="95"/>
      <c r="Y90" s="37">
        <f t="shared" si="22"/>
        <v>1.2533551366648376E-5</v>
      </c>
      <c r="Z90" s="37">
        <f t="shared" si="27"/>
        <v>-11.287101400112713</v>
      </c>
      <c r="AA90" s="149">
        <f t="shared" si="23"/>
        <v>-1.4146746517888149E-4</v>
      </c>
      <c r="AB90" s="37"/>
      <c r="AC90" s="98"/>
      <c r="AD90" s="98"/>
      <c r="AE90" s="98"/>
      <c r="AF90" s="36"/>
      <c r="AG90" s="36"/>
      <c r="AH90" s="36"/>
      <c r="AI90" s="3"/>
      <c r="AJ90" s="3"/>
      <c r="AK90" s="3"/>
      <c r="AL90" s="3"/>
      <c r="AM90" s="3"/>
      <c r="AN90" s="3"/>
    </row>
    <row r="91" spans="1:40" customFormat="1" ht="20.25" customHeight="1">
      <c r="A91" s="72">
        <v>41480</v>
      </c>
      <c r="B91" s="65">
        <v>5</v>
      </c>
      <c r="C91" s="36" t="s">
        <v>288</v>
      </c>
      <c r="D91" s="36" t="s">
        <v>289</v>
      </c>
      <c r="E91" s="36" t="s">
        <v>290</v>
      </c>
      <c r="F91" s="36" t="s">
        <v>291</v>
      </c>
      <c r="G91" s="36" t="s">
        <v>292</v>
      </c>
      <c r="H91" s="36" t="s">
        <v>293</v>
      </c>
      <c r="I91" s="36"/>
      <c r="J91" s="36">
        <v>1</v>
      </c>
      <c r="K91" s="36" t="s">
        <v>229</v>
      </c>
      <c r="L91" s="36" t="s">
        <v>294</v>
      </c>
      <c r="M91" s="36">
        <v>45</v>
      </c>
      <c r="N91" s="36">
        <f t="shared" si="24"/>
        <v>2.2222222222222223</v>
      </c>
      <c r="O91" s="36">
        <v>2.3818051259975315</v>
      </c>
      <c r="P91" s="40">
        <f t="shared" si="25"/>
        <v>5.2929002799945148E-2</v>
      </c>
      <c r="Q91" s="36">
        <v>16891.9410792981</v>
      </c>
      <c r="R91" s="40">
        <f t="shared" si="26"/>
        <v>3.1333878416620943E-4</v>
      </c>
      <c r="S91" s="36">
        <v>1000</v>
      </c>
      <c r="T91" s="95"/>
      <c r="U91" s="95"/>
      <c r="V91" s="95"/>
      <c r="W91" s="95"/>
      <c r="X91" s="95"/>
      <c r="Y91" s="37">
        <f t="shared" si="22"/>
        <v>3.1333878416620941E-6</v>
      </c>
      <c r="Z91" s="37">
        <f t="shared" si="27"/>
        <v>-12.673395761232603</v>
      </c>
      <c r="AA91" s="149">
        <f t="shared" si="23"/>
        <v>-3.971066419081816E-5</v>
      </c>
      <c r="AB91" s="37"/>
      <c r="AC91" s="98"/>
      <c r="AD91" s="98"/>
      <c r="AE91" s="98"/>
      <c r="AF91" s="36"/>
      <c r="AG91" s="36"/>
      <c r="AH91" s="36"/>
      <c r="AI91" s="3"/>
      <c r="AJ91" s="3"/>
      <c r="AK91" s="3"/>
      <c r="AL91" s="3"/>
      <c r="AM91" s="3"/>
      <c r="AN91" s="3"/>
    </row>
    <row r="92" spans="1:40" customFormat="1" ht="20.25" customHeight="1">
      <c r="A92" s="72">
        <v>41480</v>
      </c>
      <c r="B92" s="65">
        <v>5</v>
      </c>
      <c r="C92" s="36" t="s">
        <v>288</v>
      </c>
      <c r="D92" s="36"/>
      <c r="E92" s="36"/>
      <c r="F92" s="36"/>
      <c r="G92" s="36"/>
      <c r="H92" s="36"/>
      <c r="I92" s="36"/>
      <c r="J92" s="36">
        <v>1</v>
      </c>
      <c r="K92" s="36" t="s">
        <v>474</v>
      </c>
      <c r="L92" s="36" t="s">
        <v>294</v>
      </c>
      <c r="M92" s="36">
        <v>45</v>
      </c>
      <c r="N92" s="36">
        <f t="shared" si="24"/>
        <v>2.2222222222222223</v>
      </c>
      <c r="O92" s="36">
        <v>2.3818051259975315</v>
      </c>
      <c r="P92" s="40">
        <f t="shared" si="25"/>
        <v>5.2929002799945148E-2</v>
      </c>
      <c r="Q92" s="36">
        <v>16891.9410792981</v>
      </c>
      <c r="R92" s="40">
        <f t="shared" si="26"/>
        <v>3.1333878416620943E-4</v>
      </c>
      <c r="S92" s="36">
        <v>1000</v>
      </c>
      <c r="T92" s="95"/>
      <c r="U92" s="95"/>
      <c r="V92" s="95"/>
      <c r="W92" s="95"/>
      <c r="X92" s="95"/>
      <c r="Y92" s="37">
        <f t="shared" si="22"/>
        <v>3.1333878416620941E-6</v>
      </c>
      <c r="Z92" s="37">
        <f t="shared" si="27"/>
        <v>-12.673395761232603</v>
      </c>
      <c r="AA92" s="149">
        <f t="shared" si="23"/>
        <v>-3.971066419081816E-5</v>
      </c>
      <c r="AB92" s="37"/>
      <c r="AC92" s="98"/>
      <c r="AD92" s="98"/>
      <c r="AE92" s="98"/>
      <c r="AF92" s="36" t="s">
        <v>350</v>
      </c>
      <c r="AG92" s="36"/>
      <c r="AH92" s="36"/>
      <c r="AI92" s="3"/>
      <c r="AJ92" s="3"/>
      <c r="AK92" s="3"/>
      <c r="AL92" s="3"/>
      <c r="AM92" s="3"/>
      <c r="AN92" s="3"/>
    </row>
    <row r="93" spans="1:40" customFormat="1" ht="20.25" customHeight="1">
      <c r="A93" s="35">
        <v>41480</v>
      </c>
      <c r="B93" s="65">
        <v>5</v>
      </c>
      <c r="C93" s="36" t="s">
        <v>223</v>
      </c>
      <c r="D93" s="36" t="s">
        <v>267</v>
      </c>
      <c r="E93" s="36" t="s">
        <v>278</v>
      </c>
      <c r="F93" s="36" t="s">
        <v>279</v>
      </c>
      <c r="G93" s="36" t="s">
        <v>280</v>
      </c>
      <c r="H93" s="36" t="s">
        <v>281</v>
      </c>
      <c r="I93" s="36" t="s">
        <v>282</v>
      </c>
      <c r="J93" s="36">
        <v>3</v>
      </c>
      <c r="K93" s="36" t="s">
        <v>247</v>
      </c>
      <c r="L93" s="36" t="s">
        <v>283</v>
      </c>
      <c r="M93" s="36">
        <v>45</v>
      </c>
      <c r="N93" s="36">
        <f t="shared" si="24"/>
        <v>6.666666666666667</v>
      </c>
      <c r="O93" s="36">
        <v>2.3818051259975315</v>
      </c>
      <c r="P93" s="40">
        <f t="shared" si="25"/>
        <v>0.15878700839983542</v>
      </c>
      <c r="Q93" s="36">
        <v>16891.9410792981</v>
      </c>
      <c r="R93" s="40">
        <f t="shared" si="26"/>
        <v>9.4001635249862828E-4</v>
      </c>
      <c r="S93" s="36">
        <v>1000</v>
      </c>
      <c r="T93" s="95"/>
      <c r="U93" s="95"/>
      <c r="V93" s="95"/>
      <c r="W93" s="95"/>
      <c r="X93" s="95"/>
      <c r="Y93" s="37">
        <f t="shared" si="22"/>
        <v>9.4001635249862831E-6</v>
      </c>
      <c r="Z93" s="37">
        <f t="shared" si="27"/>
        <v>-11.574783472564492</v>
      </c>
      <c r="AA93" s="149">
        <f t="shared" si="23"/>
        <v>-1.0880485740841481E-4</v>
      </c>
      <c r="AB93" s="37"/>
      <c r="AC93" s="98"/>
      <c r="AD93" s="98"/>
      <c r="AE93" s="98"/>
      <c r="AF93" s="36"/>
      <c r="AG93" s="36"/>
      <c r="AH93" s="36"/>
      <c r="AI93" s="3"/>
      <c r="AJ93" s="3"/>
      <c r="AK93" s="3"/>
      <c r="AL93" s="3"/>
      <c r="AM93" s="3"/>
      <c r="AN93" s="3"/>
    </row>
    <row r="94" spans="1:40" customFormat="1" ht="20.25" customHeight="1">
      <c r="A94" s="35">
        <v>41480</v>
      </c>
      <c r="B94" s="65">
        <v>5</v>
      </c>
      <c r="C94" s="36" t="s">
        <v>223</v>
      </c>
      <c r="D94" s="36" t="s">
        <v>267</v>
      </c>
      <c r="E94" s="36" t="s">
        <v>278</v>
      </c>
      <c r="F94" s="36" t="s">
        <v>279</v>
      </c>
      <c r="G94" s="36" t="s">
        <v>280</v>
      </c>
      <c r="H94" s="36" t="s">
        <v>284</v>
      </c>
      <c r="I94" s="36" t="s">
        <v>285</v>
      </c>
      <c r="J94" s="36">
        <v>23</v>
      </c>
      <c r="K94" s="36" t="s">
        <v>247</v>
      </c>
      <c r="L94" s="36" t="s">
        <v>283</v>
      </c>
      <c r="M94" s="36">
        <v>45</v>
      </c>
      <c r="N94" s="36">
        <f t="shared" si="24"/>
        <v>51.111111111111107</v>
      </c>
      <c r="O94" s="36">
        <v>2.3818051259975315</v>
      </c>
      <c r="P94" s="40">
        <f t="shared" si="25"/>
        <v>1.2173670643987382</v>
      </c>
      <c r="Q94" s="65">
        <v>16891.9410792981</v>
      </c>
      <c r="R94" s="40">
        <f t="shared" si="26"/>
        <v>7.206792035822817E-3</v>
      </c>
      <c r="S94" s="36">
        <v>1000</v>
      </c>
      <c r="T94" s="95"/>
      <c r="U94" s="95"/>
      <c r="V94" s="95"/>
      <c r="W94" s="95"/>
      <c r="X94" s="95"/>
      <c r="Y94" s="37">
        <f t="shared" si="22"/>
        <v>7.2067920358228173E-5</v>
      </c>
      <c r="Z94" s="37">
        <f t="shared" si="27"/>
        <v>-9.5379015453034519</v>
      </c>
      <c r="AA94" s="149">
        <f t="shared" si="23"/>
        <v>-6.8737672895155056E-4</v>
      </c>
      <c r="AB94" s="37"/>
      <c r="AC94" s="98"/>
      <c r="AD94" s="98"/>
      <c r="AE94" s="98"/>
      <c r="AF94" s="36"/>
      <c r="AG94" s="36"/>
      <c r="AH94" s="36"/>
      <c r="AI94" s="3"/>
      <c r="AJ94" s="3"/>
      <c r="AK94" s="3"/>
      <c r="AL94" s="3"/>
      <c r="AM94" s="3"/>
      <c r="AN94" s="3"/>
    </row>
    <row r="95" spans="1:40" customFormat="1" ht="20.25" customHeight="1">
      <c r="A95" s="13">
        <v>41480</v>
      </c>
      <c r="B95" s="3">
        <v>5</v>
      </c>
      <c r="C95" s="3" t="s">
        <v>223</v>
      </c>
      <c r="D95" s="3" t="s">
        <v>224</v>
      </c>
      <c r="E95" s="3" t="s">
        <v>225</v>
      </c>
      <c r="F95" s="3" t="s">
        <v>226</v>
      </c>
      <c r="G95" s="3" t="s">
        <v>227</v>
      </c>
      <c r="H95" s="3" t="s">
        <v>228</v>
      </c>
      <c r="I95" s="3"/>
      <c r="J95" s="3">
        <v>102</v>
      </c>
      <c r="K95" s="3" t="s">
        <v>229</v>
      </c>
      <c r="L95" s="3" t="s">
        <v>228</v>
      </c>
      <c r="M95" s="3">
        <v>155</v>
      </c>
      <c r="N95" s="3">
        <f t="shared" si="24"/>
        <v>65.806451612903231</v>
      </c>
      <c r="O95" s="36">
        <v>16889.559274172134</v>
      </c>
      <c r="P95" s="8">
        <f t="shared" si="25"/>
        <v>11114.419651390695</v>
      </c>
      <c r="Q95" s="36">
        <v>16891.9410792981</v>
      </c>
      <c r="R95" s="8">
        <f t="shared" si="26"/>
        <v>65.797172741810954</v>
      </c>
      <c r="S95" s="3">
        <v>250</v>
      </c>
      <c r="T95" s="95"/>
      <c r="U95" s="95"/>
      <c r="V95" s="95"/>
      <c r="W95" s="95"/>
      <c r="X95" s="95"/>
      <c r="Y95" s="37">
        <f t="shared" si="22"/>
        <v>0.6579717274181095</v>
      </c>
      <c r="Z95" s="37">
        <f t="shared" si="27"/>
        <v>-0.41859331602962879</v>
      </c>
      <c r="AA95" s="149">
        <f t="shared" si="23"/>
        <v>-0.27542256723368946</v>
      </c>
      <c r="AB95" s="37"/>
      <c r="AC95" s="98"/>
      <c r="AD95" s="98"/>
      <c r="AE95" s="98"/>
      <c r="AF95" s="3"/>
      <c r="AG95" s="3"/>
      <c r="AH95" s="36"/>
      <c r="AI95" s="3"/>
      <c r="AJ95" s="3"/>
      <c r="AK95" s="3"/>
      <c r="AL95" s="3"/>
      <c r="AM95" s="3"/>
      <c r="AN95" s="3"/>
    </row>
    <row r="96" spans="1:40" s="70" customFormat="1" ht="20.25" customHeight="1">
      <c r="A96" s="13">
        <v>41480</v>
      </c>
      <c r="B96" s="3">
        <v>5</v>
      </c>
      <c r="C96" s="3" t="s">
        <v>223</v>
      </c>
      <c r="D96" s="3" t="s">
        <v>303</v>
      </c>
      <c r="E96" s="3" t="s">
        <v>304</v>
      </c>
      <c r="F96" s="3" t="s">
        <v>305</v>
      </c>
      <c r="G96" s="3" t="s">
        <v>306</v>
      </c>
      <c r="H96" s="3" t="s">
        <v>307</v>
      </c>
      <c r="I96" s="3"/>
      <c r="J96" s="3">
        <v>5</v>
      </c>
      <c r="K96" s="3" t="s">
        <v>229</v>
      </c>
      <c r="L96" s="3" t="s">
        <v>307</v>
      </c>
      <c r="M96" s="3">
        <v>155</v>
      </c>
      <c r="N96" s="3">
        <f t="shared" si="24"/>
        <v>3.225806451612903</v>
      </c>
      <c r="O96" s="36">
        <v>16889.559274172134</v>
      </c>
      <c r="P96" s="8">
        <f t="shared" si="25"/>
        <v>544.82449271523012</v>
      </c>
      <c r="Q96" s="36">
        <v>16891.9410792981</v>
      </c>
      <c r="R96" s="8">
        <f t="shared" si="26"/>
        <v>3.2253516049907325</v>
      </c>
      <c r="S96" s="3">
        <v>250</v>
      </c>
      <c r="T96" s="95"/>
      <c r="U96" s="95"/>
      <c r="V96" s="95"/>
      <c r="W96" s="95"/>
      <c r="X96" s="95"/>
      <c r="Y96" s="37">
        <f t="shared" si="22"/>
        <v>3.2253516049907324E-2</v>
      </c>
      <c r="Z96" s="37">
        <f t="shared" si="27"/>
        <v>-3.4341282168797997</v>
      </c>
      <c r="AA96" s="149">
        <f t="shared" si="23"/>
        <v>-0.11076270956057224</v>
      </c>
      <c r="AB96" s="37"/>
      <c r="AC96" s="98"/>
      <c r="AD96" s="98"/>
      <c r="AE96" s="98"/>
      <c r="AF96" s="36" t="s">
        <v>308</v>
      </c>
      <c r="AG96" s="3"/>
      <c r="AH96" s="36"/>
      <c r="AI96" s="67"/>
      <c r="AJ96" s="67"/>
      <c r="AK96" s="67"/>
      <c r="AL96" s="67"/>
      <c r="AM96" s="67"/>
      <c r="AN96" s="67"/>
    </row>
    <row r="97" spans="1:40" customFormat="1" ht="20.25" customHeight="1">
      <c r="A97" s="35">
        <v>41480</v>
      </c>
      <c r="B97" s="36">
        <v>5</v>
      </c>
      <c r="C97" s="36" t="s">
        <v>300</v>
      </c>
      <c r="D97" s="36" t="s">
        <v>320</v>
      </c>
      <c r="E97" s="36"/>
      <c r="F97" s="36"/>
      <c r="G97" s="36"/>
      <c r="H97" s="36"/>
      <c r="I97" s="36"/>
      <c r="J97" s="36">
        <v>8</v>
      </c>
      <c r="K97" s="36" t="s">
        <v>221</v>
      </c>
      <c r="L97" s="36" t="s">
        <v>322</v>
      </c>
      <c r="M97" s="3">
        <v>155</v>
      </c>
      <c r="N97" s="36">
        <f t="shared" si="24"/>
        <v>5.161290322580645</v>
      </c>
      <c r="O97" s="36">
        <v>16889.559274172134</v>
      </c>
      <c r="P97" s="8">
        <f t="shared" si="25"/>
        <v>871.71918834436815</v>
      </c>
      <c r="Q97" s="36">
        <v>16891.9410792981</v>
      </c>
      <c r="R97" s="8">
        <f t="shared" si="26"/>
        <v>5.1605625679851723</v>
      </c>
      <c r="S97" s="36">
        <v>250</v>
      </c>
      <c r="T97" s="95"/>
      <c r="U97" s="95"/>
      <c r="V97" s="95"/>
      <c r="W97" s="95"/>
      <c r="X97" s="95"/>
      <c r="Y97" s="37">
        <f t="shared" si="22"/>
        <v>5.1605625679851726E-2</v>
      </c>
      <c r="Z97" s="37">
        <f t="shared" si="27"/>
        <v>-2.9641245876340641</v>
      </c>
      <c r="AA97" s="149">
        <f t="shared" si="23"/>
        <v>-0.15296550393788835</v>
      </c>
      <c r="AB97" s="37"/>
      <c r="AC97" s="98"/>
      <c r="AD97" s="98"/>
      <c r="AE97" s="98"/>
      <c r="AF97" s="36" t="s">
        <v>222</v>
      </c>
      <c r="AG97" s="36"/>
      <c r="AH97" s="36"/>
      <c r="AI97" s="3"/>
      <c r="AJ97" s="3"/>
      <c r="AK97" s="3"/>
      <c r="AL97" s="3"/>
      <c r="AM97" s="3"/>
      <c r="AN97" s="3"/>
    </row>
    <row r="98" spans="1:40" customFormat="1" ht="20.25" customHeight="1">
      <c r="A98" s="13">
        <v>41480</v>
      </c>
      <c r="B98" s="3">
        <v>5</v>
      </c>
      <c r="C98" s="3" t="s">
        <v>223</v>
      </c>
      <c r="D98" s="3" t="s">
        <v>317</v>
      </c>
      <c r="E98" s="3" t="s">
        <v>314</v>
      </c>
      <c r="F98" s="3" t="s">
        <v>346</v>
      </c>
      <c r="G98" s="3" t="s">
        <v>315</v>
      </c>
      <c r="H98" s="3" t="s">
        <v>347</v>
      </c>
      <c r="I98" s="3" t="s">
        <v>348</v>
      </c>
      <c r="J98" s="3">
        <v>1</v>
      </c>
      <c r="K98" s="3" t="s">
        <v>247</v>
      </c>
      <c r="L98" s="3" t="s">
        <v>345</v>
      </c>
      <c r="M98" s="3">
        <v>155</v>
      </c>
      <c r="N98" s="3">
        <f t="shared" si="24"/>
        <v>0.64516129032258063</v>
      </c>
      <c r="O98" s="65">
        <v>16889.559274172134</v>
      </c>
      <c r="P98" s="8">
        <f t="shared" si="25"/>
        <v>108.96489854304602</v>
      </c>
      <c r="Q98" s="36">
        <v>16891.9410792981</v>
      </c>
      <c r="R98" s="8">
        <f t="shared" si="26"/>
        <v>0.64507032099814654</v>
      </c>
      <c r="S98" s="3">
        <v>250</v>
      </c>
      <c r="T98" s="95"/>
      <c r="U98" s="95"/>
      <c r="V98" s="95"/>
      <c r="W98" s="95"/>
      <c r="X98" s="95"/>
      <c r="Y98" s="37">
        <f t="shared" si="22"/>
        <v>6.4507032099814657E-3</v>
      </c>
      <c r="Z98" s="37">
        <f t="shared" si="27"/>
        <v>-5.0435661293139002</v>
      </c>
      <c r="AA98" s="149">
        <f t="shared" si="23"/>
        <v>-3.2534548220118975E-2</v>
      </c>
      <c r="AB98" s="37"/>
      <c r="AC98" s="98"/>
      <c r="AD98" s="98"/>
      <c r="AE98" s="98"/>
      <c r="AF98" s="3"/>
      <c r="AG98" s="3"/>
      <c r="AH98" s="36"/>
      <c r="AI98" s="3"/>
      <c r="AJ98" s="3"/>
      <c r="AK98" s="3"/>
      <c r="AL98" s="3"/>
      <c r="AM98" s="3"/>
      <c r="AN98" s="3"/>
    </row>
    <row r="99" spans="1:40" customFormat="1" ht="20.25" customHeight="1">
      <c r="A99" s="13">
        <v>41480</v>
      </c>
      <c r="B99" s="3">
        <v>5</v>
      </c>
      <c r="C99" s="3" t="s">
        <v>223</v>
      </c>
      <c r="D99" s="3" t="s">
        <v>224</v>
      </c>
      <c r="E99" s="3" t="s">
        <v>225</v>
      </c>
      <c r="F99" s="3" t="s">
        <v>226</v>
      </c>
      <c r="G99" s="3" t="s">
        <v>239</v>
      </c>
      <c r="H99" s="3" t="s">
        <v>240</v>
      </c>
      <c r="I99" s="3"/>
      <c r="J99" s="3">
        <v>12</v>
      </c>
      <c r="K99" s="3" t="s">
        <v>229</v>
      </c>
      <c r="L99" s="3" t="s">
        <v>240</v>
      </c>
      <c r="M99" s="3">
        <v>155</v>
      </c>
      <c r="N99" s="3">
        <f t="shared" si="24"/>
        <v>7.741935483870968</v>
      </c>
      <c r="O99" s="65">
        <v>16889.559274172134</v>
      </c>
      <c r="P99" s="8">
        <f t="shared" si="25"/>
        <v>1307.5787825165523</v>
      </c>
      <c r="Q99" s="36">
        <v>16891.9410792981</v>
      </c>
      <c r="R99" s="8">
        <f t="shared" si="26"/>
        <v>7.7408438519777576</v>
      </c>
      <c r="S99" s="3">
        <v>250</v>
      </c>
      <c r="T99" s="95"/>
      <c r="U99" s="95"/>
      <c r="V99" s="95"/>
      <c r="W99" s="95"/>
      <c r="X99" s="95"/>
      <c r="Y99" s="37">
        <f t="shared" si="22"/>
        <v>7.7408438519777578E-2</v>
      </c>
      <c r="Z99" s="37">
        <f t="shared" si="27"/>
        <v>-2.5586594795258999</v>
      </c>
      <c r="AA99" s="149">
        <f t="shared" si="23"/>
        <v>-0.19806183501392671</v>
      </c>
      <c r="AB99" s="37"/>
      <c r="AC99" s="98"/>
      <c r="AD99" s="98"/>
      <c r="AE99" s="98"/>
      <c r="AF99" s="3"/>
      <c r="AG99" s="3"/>
      <c r="AH99" s="36"/>
      <c r="AI99" s="3"/>
      <c r="AJ99" s="3"/>
      <c r="AK99" s="3"/>
      <c r="AL99" s="3"/>
      <c r="AM99" s="3"/>
      <c r="AN99" s="3"/>
    </row>
    <row r="100" spans="1:40" customFormat="1" ht="20.25" customHeight="1">
      <c r="A100" s="35">
        <v>41480</v>
      </c>
      <c r="B100" s="36">
        <v>5</v>
      </c>
      <c r="C100" s="65" t="s">
        <v>300</v>
      </c>
      <c r="D100" s="65" t="s">
        <v>301</v>
      </c>
      <c r="E100" s="65"/>
      <c r="F100" s="65"/>
      <c r="G100" s="65"/>
      <c r="H100" s="36"/>
      <c r="I100" s="36"/>
      <c r="J100" s="36">
        <v>9</v>
      </c>
      <c r="K100" s="36" t="s">
        <v>221</v>
      </c>
      <c r="L100" s="36" t="s">
        <v>302</v>
      </c>
      <c r="M100" s="3">
        <v>155</v>
      </c>
      <c r="N100" s="36">
        <f t="shared" si="24"/>
        <v>5.806451612903226</v>
      </c>
      <c r="O100" s="65">
        <v>16889.559274172134</v>
      </c>
      <c r="P100" s="8">
        <f t="shared" si="25"/>
        <v>980.68408688741431</v>
      </c>
      <c r="Q100" s="36">
        <v>16891.9410792981</v>
      </c>
      <c r="R100" s="8">
        <f t="shared" si="26"/>
        <v>5.8056328889833191</v>
      </c>
      <c r="S100" s="36">
        <v>250</v>
      </c>
      <c r="T100" s="95"/>
      <c r="U100" s="95"/>
      <c r="V100" s="95"/>
      <c r="W100" s="95"/>
      <c r="X100" s="95"/>
      <c r="Y100" s="37">
        <f t="shared" si="22"/>
        <v>5.8056328889833191E-2</v>
      </c>
      <c r="Z100" s="37">
        <f t="shared" si="27"/>
        <v>-2.8463415519776807</v>
      </c>
      <c r="AA100" s="149">
        <f t="shared" si="23"/>
        <v>-0.16524814127441445</v>
      </c>
      <c r="AB100" s="37"/>
      <c r="AC100" s="98"/>
      <c r="AD100" s="98"/>
      <c r="AE100" s="98"/>
      <c r="AF100" s="36" t="s">
        <v>222</v>
      </c>
      <c r="AG100" s="36"/>
      <c r="AH100" s="36"/>
      <c r="AI100" s="3"/>
      <c r="AJ100" s="3"/>
      <c r="AK100" s="3"/>
      <c r="AL100" s="3"/>
      <c r="AM100" s="3"/>
      <c r="AN100" s="3"/>
    </row>
    <row r="101" spans="1:40" customFormat="1" ht="20.25" customHeight="1">
      <c r="A101" s="13">
        <v>41480</v>
      </c>
      <c r="B101" s="3">
        <v>5</v>
      </c>
      <c r="C101" s="51" t="s">
        <v>223</v>
      </c>
      <c r="D101" s="51" t="s">
        <v>224</v>
      </c>
      <c r="E101" s="51" t="s">
        <v>225</v>
      </c>
      <c r="F101" s="51" t="s">
        <v>248</v>
      </c>
      <c r="G101" s="51" t="s">
        <v>249</v>
      </c>
      <c r="H101" s="3" t="s">
        <v>250</v>
      </c>
      <c r="I101" s="3" t="s">
        <v>251</v>
      </c>
      <c r="J101" s="3">
        <v>4</v>
      </c>
      <c r="K101" s="3" t="s">
        <v>247</v>
      </c>
      <c r="L101" s="3" t="s">
        <v>250</v>
      </c>
      <c r="M101" s="3">
        <v>155</v>
      </c>
      <c r="N101" s="3">
        <f t="shared" si="24"/>
        <v>2.5806451612903225</v>
      </c>
      <c r="O101" s="65">
        <v>16889.559274172134</v>
      </c>
      <c r="P101" s="8">
        <f t="shared" si="25"/>
        <v>435.85959417218407</v>
      </c>
      <c r="Q101" s="36">
        <v>16891.9410792981</v>
      </c>
      <c r="R101" s="8">
        <f t="shared" si="26"/>
        <v>2.5802812839925862</v>
      </c>
      <c r="S101" s="3">
        <v>250</v>
      </c>
      <c r="T101" s="95"/>
      <c r="U101" s="95"/>
      <c r="V101" s="95"/>
      <c r="W101" s="95"/>
      <c r="X101" s="95"/>
      <c r="Y101" s="37">
        <f t="shared" si="22"/>
        <v>2.5802812839925863E-2</v>
      </c>
      <c r="Z101" s="37">
        <f t="shared" si="27"/>
        <v>-3.657271768194009</v>
      </c>
      <c r="AA101" s="149">
        <f t="shared" si="23"/>
        <v>-9.4367898939454742E-2</v>
      </c>
      <c r="AB101" s="37"/>
      <c r="AC101" s="98"/>
      <c r="AD101" s="98"/>
      <c r="AE101" s="98"/>
      <c r="AF101" s="3"/>
      <c r="AG101" s="3"/>
      <c r="AH101" s="36"/>
      <c r="AI101" s="3"/>
      <c r="AJ101" s="3"/>
      <c r="AK101" s="3"/>
      <c r="AL101" s="3"/>
      <c r="AM101" s="3"/>
      <c r="AN101" s="3"/>
    </row>
    <row r="102" spans="1:40" customFormat="1" ht="20.25" customHeight="1">
      <c r="A102" s="13">
        <v>41480</v>
      </c>
      <c r="B102" s="3">
        <v>5</v>
      </c>
      <c r="C102" s="51" t="s">
        <v>223</v>
      </c>
      <c r="D102" s="51" t="s">
        <v>224</v>
      </c>
      <c r="E102" s="51" t="s">
        <v>225</v>
      </c>
      <c r="F102" s="51" t="s">
        <v>226</v>
      </c>
      <c r="G102" s="51" t="s">
        <v>253</v>
      </c>
      <c r="H102" s="51" t="s">
        <v>256</v>
      </c>
      <c r="I102" s="3"/>
      <c r="J102" s="3">
        <v>7</v>
      </c>
      <c r="K102" s="3" t="s">
        <v>229</v>
      </c>
      <c r="L102" s="3" t="s">
        <v>256</v>
      </c>
      <c r="M102" s="3">
        <v>155</v>
      </c>
      <c r="N102" s="3">
        <f t="shared" si="24"/>
        <v>4.5161290322580641</v>
      </c>
      <c r="O102" s="65">
        <v>16889.559274172134</v>
      </c>
      <c r="P102" s="8">
        <f t="shared" si="25"/>
        <v>762.7542898013221</v>
      </c>
      <c r="Q102" s="36">
        <v>16891.9410792981</v>
      </c>
      <c r="R102" s="8">
        <f t="shared" si="26"/>
        <v>4.5154922469870256</v>
      </c>
      <c r="S102" s="3">
        <v>250</v>
      </c>
      <c r="T102" s="95"/>
      <c r="U102" s="95"/>
      <c r="V102" s="95"/>
      <c r="W102" s="95"/>
      <c r="X102" s="95"/>
      <c r="Y102" s="37">
        <f t="shared" si="22"/>
        <v>4.5154922469870254E-2</v>
      </c>
      <c r="Z102" s="37">
        <f t="shared" si="27"/>
        <v>-3.0976559802585868</v>
      </c>
      <c r="AA102" s="149">
        <f t="shared" si="23"/>
        <v>-0.13987441562690642</v>
      </c>
      <c r="AB102" s="37"/>
      <c r="AC102" s="98"/>
      <c r="AD102" s="98"/>
      <c r="AE102" s="98"/>
      <c r="AF102" s="3"/>
      <c r="AG102" s="3"/>
      <c r="AH102" s="36"/>
      <c r="AI102" s="3"/>
      <c r="AJ102" s="3"/>
      <c r="AK102" s="3"/>
      <c r="AL102" s="3"/>
      <c r="AM102" s="3"/>
      <c r="AN102" s="3"/>
    </row>
    <row r="103" spans="1:40" customFormat="1" ht="20.25" customHeight="1">
      <c r="A103" s="13">
        <v>41480</v>
      </c>
      <c r="B103" s="51">
        <v>5</v>
      </c>
      <c r="C103" s="3" t="s">
        <v>223</v>
      </c>
      <c r="D103" s="3" t="s">
        <v>224</v>
      </c>
      <c r="E103" s="3" t="s">
        <v>225</v>
      </c>
      <c r="F103" s="3" t="s">
        <v>226</v>
      </c>
      <c r="G103" s="3" t="s">
        <v>239</v>
      </c>
      <c r="H103" s="3" t="s">
        <v>258</v>
      </c>
      <c r="I103" s="3" t="s">
        <v>259</v>
      </c>
      <c r="J103" s="3">
        <v>5</v>
      </c>
      <c r="K103" s="3" t="s">
        <v>247</v>
      </c>
      <c r="L103" s="3" t="s">
        <v>260</v>
      </c>
      <c r="M103" s="3">
        <v>155</v>
      </c>
      <c r="N103" s="3">
        <f t="shared" si="24"/>
        <v>3.225806451612903</v>
      </c>
      <c r="O103" s="65">
        <v>16889.559274172134</v>
      </c>
      <c r="P103" s="8">
        <f t="shared" si="25"/>
        <v>544.82449271523012</v>
      </c>
      <c r="Q103" s="36">
        <v>16891.9410792981</v>
      </c>
      <c r="R103" s="8">
        <f t="shared" si="26"/>
        <v>3.2253516049907325</v>
      </c>
      <c r="S103" s="3">
        <v>250</v>
      </c>
      <c r="T103" s="95"/>
      <c r="U103" s="95"/>
      <c r="V103" s="95"/>
      <c r="W103" s="95"/>
      <c r="X103" s="95"/>
      <c r="Y103" s="37">
        <f t="shared" si="22"/>
        <v>3.2253516049907324E-2</v>
      </c>
      <c r="Z103" s="37">
        <f t="shared" si="27"/>
        <v>-3.4341282168797997</v>
      </c>
      <c r="AA103" s="149">
        <f t="shared" si="23"/>
        <v>-0.11076270956057224</v>
      </c>
      <c r="AB103" s="37"/>
      <c r="AC103" s="98"/>
      <c r="AD103" s="98"/>
      <c r="AE103" s="98"/>
      <c r="AF103" s="3"/>
      <c r="AG103" s="3"/>
      <c r="AH103" s="36"/>
      <c r="AI103" s="3"/>
      <c r="AJ103" s="3"/>
      <c r="AK103" s="3"/>
      <c r="AL103" s="3"/>
      <c r="AM103" s="3"/>
      <c r="AN103" s="3"/>
    </row>
    <row r="104" spans="1:40" customFormat="1" ht="20.25" customHeight="1">
      <c r="A104" s="13">
        <v>41480</v>
      </c>
      <c r="B104" s="51">
        <v>5</v>
      </c>
      <c r="C104" s="3" t="s">
        <v>223</v>
      </c>
      <c r="D104" s="3" t="s">
        <v>224</v>
      </c>
      <c r="E104" s="3" t="s">
        <v>225</v>
      </c>
      <c r="F104" s="3" t="s">
        <v>226</v>
      </c>
      <c r="G104" s="3" t="s">
        <v>261</v>
      </c>
      <c r="H104" s="3" t="s">
        <v>262</v>
      </c>
      <c r="I104" s="3" t="s">
        <v>263</v>
      </c>
      <c r="J104" s="3">
        <v>2</v>
      </c>
      <c r="K104" s="3" t="s">
        <v>247</v>
      </c>
      <c r="L104" s="3" t="s">
        <v>264</v>
      </c>
      <c r="M104" s="3">
        <v>155</v>
      </c>
      <c r="N104" s="3">
        <f t="shared" si="24"/>
        <v>1.2903225806451613</v>
      </c>
      <c r="O104" s="65">
        <v>16889.559274172134</v>
      </c>
      <c r="P104" s="8">
        <f t="shared" si="25"/>
        <v>217.92979708609204</v>
      </c>
      <c r="Q104" s="36">
        <v>16891.9410792981</v>
      </c>
      <c r="R104" s="8">
        <f t="shared" si="26"/>
        <v>1.2901406419962931</v>
      </c>
      <c r="S104" s="3">
        <v>250</v>
      </c>
      <c r="T104" s="95"/>
      <c r="U104" s="95"/>
      <c r="V104" s="95"/>
      <c r="W104" s="95"/>
      <c r="X104" s="95"/>
      <c r="Y104" s="37">
        <f t="shared" si="22"/>
        <v>1.2901406419962931E-2</v>
      </c>
      <c r="Z104" s="37">
        <f t="shared" si="27"/>
        <v>-4.3504189487539549</v>
      </c>
      <c r="AA104" s="149">
        <f t="shared" si="23"/>
        <v>-5.6126522954982661E-2</v>
      </c>
      <c r="AB104" s="37"/>
      <c r="AC104" s="98"/>
      <c r="AD104" s="98"/>
      <c r="AE104" s="98"/>
      <c r="AF104" s="3"/>
      <c r="AG104" s="3"/>
      <c r="AH104" s="36"/>
      <c r="AI104" s="3"/>
      <c r="AJ104" s="3"/>
      <c r="AK104" s="3"/>
      <c r="AL104" s="3"/>
      <c r="AM104" s="3"/>
      <c r="AN104" s="3"/>
    </row>
    <row r="105" spans="1:40" customFormat="1" ht="20.25" customHeight="1">
      <c r="A105" s="35">
        <v>41480</v>
      </c>
      <c r="B105" s="65">
        <v>4</v>
      </c>
      <c r="C105" s="36" t="s">
        <v>323</v>
      </c>
      <c r="D105" s="36" t="s">
        <v>324</v>
      </c>
      <c r="E105" s="36"/>
      <c r="F105" s="36" t="s">
        <v>325</v>
      </c>
      <c r="G105" s="36" t="s">
        <v>326</v>
      </c>
      <c r="H105" s="36" t="s">
        <v>349</v>
      </c>
      <c r="I105" s="36"/>
      <c r="J105" s="36">
        <v>2</v>
      </c>
      <c r="K105" s="36" t="s">
        <v>229</v>
      </c>
      <c r="L105" s="36" t="s">
        <v>327</v>
      </c>
      <c r="M105" s="36">
        <v>113</v>
      </c>
      <c r="N105" s="36">
        <f t="shared" si="24"/>
        <v>1.7699115044247788</v>
      </c>
      <c r="O105" s="36">
        <v>17.557716461006592</v>
      </c>
      <c r="P105" s="40">
        <f t="shared" si="25"/>
        <v>0.31075604355763881</v>
      </c>
      <c r="Q105" s="36">
        <v>6388.5152307286044</v>
      </c>
      <c r="R105" s="40">
        <f t="shared" si="26"/>
        <v>4.8642921294592793E-3</v>
      </c>
      <c r="S105" s="36">
        <v>1000</v>
      </c>
      <c r="T105" s="95"/>
      <c r="U105" s="95"/>
      <c r="V105" s="95"/>
      <c r="W105" s="95"/>
      <c r="X105" s="95">
        <f>SUM(R105:R122)</f>
        <v>100.00000000000006</v>
      </c>
      <c r="Y105" s="37">
        <f t="shared" si="22"/>
        <v>4.8642921294592793E-5</v>
      </c>
      <c r="Z105" s="37">
        <f t="shared" si="27"/>
        <v>-9.9310042625993198</v>
      </c>
      <c r="AA105" s="149">
        <f t="shared" si="23"/>
        <v>-4.8307305872188422E-4</v>
      </c>
      <c r="AB105" s="37">
        <f>SUM(AA105:AA122)*(-1)</f>
        <v>1.8299095215303021</v>
      </c>
      <c r="AC105" s="98">
        <v>15</v>
      </c>
      <c r="AD105" s="98">
        <f t="shared" si="28"/>
        <v>2.7080502011022101</v>
      </c>
      <c r="AE105" s="98">
        <f>(AB105/AD105)</f>
        <v>0.6757295417882232</v>
      </c>
      <c r="AF105" s="36"/>
      <c r="AG105" s="36"/>
      <c r="AH105" s="36"/>
      <c r="AI105" s="3"/>
      <c r="AJ105" s="3"/>
      <c r="AK105" s="3"/>
      <c r="AL105" s="3"/>
      <c r="AM105" s="3"/>
      <c r="AN105" s="3"/>
    </row>
    <row r="106" spans="1:40" customFormat="1" ht="20.25" customHeight="1">
      <c r="A106" s="35">
        <v>41480</v>
      </c>
      <c r="B106" s="65">
        <v>4</v>
      </c>
      <c r="C106" s="36" t="s">
        <v>223</v>
      </c>
      <c r="D106" s="36" t="s">
        <v>267</v>
      </c>
      <c r="E106" s="36" t="s">
        <v>273</v>
      </c>
      <c r="F106" s="36"/>
      <c r="G106" s="36"/>
      <c r="H106" s="36"/>
      <c r="I106" s="36"/>
      <c r="J106" s="36">
        <v>2</v>
      </c>
      <c r="K106" s="36" t="s">
        <v>510</v>
      </c>
      <c r="L106" s="36" t="s">
        <v>335</v>
      </c>
      <c r="M106" s="36">
        <v>113</v>
      </c>
      <c r="N106" s="36">
        <f t="shared" si="24"/>
        <v>1.7699115044247788</v>
      </c>
      <c r="O106" s="36">
        <v>17.557716461006592</v>
      </c>
      <c r="P106" s="40">
        <f t="shared" si="25"/>
        <v>0.31075604355763881</v>
      </c>
      <c r="Q106" s="36">
        <v>6388.5152307286044</v>
      </c>
      <c r="R106" s="40">
        <f t="shared" si="26"/>
        <v>4.8642921294592793E-3</v>
      </c>
      <c r="S106" s="36">
        <v>1000</v>
      </c>
      <c r="T106" s="95"/>
      <c r="U106" s="95"/>
      <c r="V106" s="95"/>
      <c r="W106" s="95"/>
      <c r="X106" s="95"/>
      <c r="Y106" s="37">
        <f t="shared" si="22"/>
        <v>4.8642921294592793E-5</v>
      </c>
      <c r="Z106" s="37">
        <f t="shared" si="27"/>
        <v>-9.9310042625993198</v>
      </c>
      <c r="AA106" s="149">
        <f t="shared" si="23"/>
        <v>-4.8307305872188422E-4</v>
      </c>
      <c r="AB106" s="37"/>
      <c r="AC106" s="98"/>
      <c r="AD106" s="98"/>
      <c r="AE106" s="98"/>
      <c r="AF106" s="36" t="s">
        <v>336</v>
      </c>
      <c r="AG106" s="36"/>
      <c r="AH106" s="36"/>
      <c r="AI106" s="3"/>
      <c r="AJ106" s="3"/>
      <c r="AK106" s="3"/>
      <c r="AL106" s="3"/>
      <c r="AM106" s="3"/>
      <c r="AN106" s="3"/>
    </row>
    <row r="107" spans="1:40" customFormat="1" ht="20.25" customHeight="1">
      <c r="A107" s="35">
        <v>41480</v>
      </c>
      <c r="B107" s="65">
        <v>4</v>
      </c>
      <c r="C107" s="36" t="s">
        <v>223</v>
      </c>
      <c r="D107" s="36" t="s">
        <v>267</v>
      </c>
      <c r="E107" s="36" t="s">
        <v>278</v>
      </c>
      <c r="F107" s="36" t="s">
        <v>269</v>
      </c>
      <c r="G107" s="36" t="s">
        <v>333</v>
      </c>
      <c r="H107" s="36" t="s">
        <v>334</v>
      </c>
      <c r="I107" s="36"/>
      <c r="J107" s="36">
        <v>1</v>
      </c>
      <c r="K107" s="36" t="s">
        <v>229</v>
      </c>
      <c r="L107" s="36" t="s">
        <v>270</v>
      </c>
      <c r="M107" s="36">
        <v>113</v>
      </c>
      <c r="N107" s="36">
        <f t="shared" si="24"/>
        <v>0.88495575221238942</v>
      </c>
      <c r="O107" s="36">
        <v>17.557716461006592</v>
      </c>
      <c r="P107" s="40">
        <f t="shared" si="25"/>
        <v>0.1553780217788194</v>
      </c>
      <c r="Q107" s="36">
        <v>6388.5152307285998</v>
      </c>
      <c r="R107" s="40">
        <f t="shared" si="26"/>
        <v>2.4321460647296414E-3</v>
      </c>
      <c r="S107" s="36">
        <v>1000</v>
      </c>
      <c r="T107" s="95"/>
      <c r="U107" s="95"/>
      <c r="V107" s="95"/>
      <c r="W107" s="95"/>
      <c r="X107" s="95"/>
      <c r="Y107" s="37">
        <f t="shared" si="22"/>
        <v>2.4321460647296413E-5</v>
      </c>
      <c r="Z107" s="37">
        <f t="shared" si="27"/>
        <v>-10.624151443159265</v>
      </c>
      <c r="AA107" s="149">
        <f t="shared" si="23"/>
        <v>-2.5839488123571548E-4</v>
      </c>
      <c r="AB107" s="37"/>
      <c r="AC107" s="98"/>
      <c r="AD107" s="98"/>
      <c r="AE107" s="98"/>
      <c r="AF107" s="36"/>
      <c r="AG107" s="36"/>
      <c r="AH107" s="36"/>
      <c r="AI107" s="3"/>
      <c r="AJ107" s="3"/>
      <c r="AK107" s="3"/>
      <c r="AL107" s="3"/>
      <c r="AM107" s="3"/>
      <c r="AN107" s="3"/>
    </row>
    <row r="108" spans="1:40" s="50" customFormat="1" ht="20.25" customHeight="1">
      <c r="A108" s="35">
        <v>41480</v>
      </c>
      <c r="B108" s="65">
        <v>4</v>
      </c>
      <c r="C108" s="36" t="s">
        <v>223</v>
      </c>
      <c r="D108" s="36" t="s">
        <v>267</v>
      </c>
      <c r="E108" s="36" t="s">
        <v>278</v>
      </c>
      <c r="F108" s="36" t="s">
        <v>279</v>
      </c>
      <c r="G108" s="36" t="s">
        <v>280</v>
      </c>
      <c r="H108" s="36" t="s">
        <v>281</v>
      </c>
      <c r="I108" s="36" t="s">
        <v>282</v>
      </c>
      <c r="J108" s="36">
        <v>1</v>
      </c>
      <c r="K108" s="36" t="s">
        <v>247</v>
      </c>
      <c r="L108" s="36" t="s">
        <v>283</v>
      </c>
      <c r="M108" s="36">
        <v>113</v>
      </c>
      <c r="N108" s="36">
        <f t="shared" si="24"/>
        <v>0.88495575221238942</v>
      </c>
      <c r="O108" s="36">
        <v>17.557716461006592</v>
      </c>
      <c r="P108" s="40">
        <f t="shared" si="25"/>
        <v>0.1553780217788194</v>
      </c>
      <c r="Q108" s="36">
        <v>6388.5152307285998</v>
      </c>
      <c r="R108" s="40">
        <f t="shared" si="26"/>
        <v>2.4321460647296414E-3</v>
      </c>
      <c r="S108" s="36">
        <v>1000</v>
      </c>
      <c r="T108" s="95"/>
      <c r="U108" s="95"/>
      <c r="V108" s="95"/>
      <c r="W108" s="95"/>
      <c r="X108" s="95"/>
      <c r="Y108" s="37">
        <f t="shared" si="22"/>
        <v>2.4321460647296413E-5</v>
      </c>
      <c r="Z108" s="37">
        <f t="shared" si="27"/>
        <v>-10.624151443159265</v>
      </c>
      <c r="AA108" s="149">
        <f t="shared" si="23"/>
        <v>-2.5839488123571548E-4</v>
      </c>
      <c r="AB108" s="37"/>
      <c r="AC108" s="98"/>
      <c r="AD108" s="98"/>
      <c r="AE108" s="98"/>
      <c r="AF108" s="36"/>
      <c r="AG108" s="36"/>
      <c r="AH108" s="36"/>
      <c r="AI108" s="48"/>
      <c r="AJ108" s="48"/>
      <c r="AK108" s="48"/>
      <c r="AL108" s="48"/>
      <c r="AM108" s="48"/>
      <c r="AN108" s="48"/>
    </row>
    <row r="109" spans="1:40" customFormat="1" ht="20.25" customHeight="1">
      <c r="A109" s="35">
        <v>41480</v>
      </c>
      <c r="B109" s="65">
        <v>4</v>
      </c>
      <c r="C109" s="36" t="s">
        <v>223</v>
      </c>
      <c r="D109" s="36" t="s">
        <v>267</v>
      </c>
      <c r="E109" s="36" t="s">
        <v>278</v>
      </c>
      <c r="F109" s="36" t="s">
        <v>279</v>
      </c>
      <c r="G109" s="36" t="s">
        <v>280</v>
      </c>
      <c r="H109" s="36" t="s">
        <v>284</v>
      </c>
      <c r="I109" s="36" t="s">
        <v>285</v>
      </c>
      <c r="J109" s="36">
        <v>107</v>
      </c>
      <c r="K109" s="36" t="s">
        <v>247</v>
      </c>
      <c r="L109" s="36" t="s">
        <v>283</v>
      </c>
      <c r="M109" s="36">
        <v>113</v>
      </c>
      <c r="N109" s="36">
        <f t="shared" si="24"/>
        <v>94.690265486725664</v>
      </c>
      <c r="O109" s="36">
        <v>17.557716461006592</v>
      </c>
      <c r="P109" s="40">
        <f t="shared" si="25"/>
        <v>16.625448330333676</v>
      </c>
      <c r="Q109" s="36">
        <v>6388.5152307285998</v>
      </c>
      <c r="R109" s="40">
        <f t="shared" si="26"/>
        <v>0.26023962892607161</v>
      </c>
      <c r="S109" s="36">
        <v>1000</v>
      </c>
      <c r="T109" s="95"/>
      <c r="U109" s="95"/>
      <c r="V109" s="95"/>
      <c r="W109" s="95"/>
      <c r="X109" s="95"/>
      <c r="Y109" s="37">
        <f t="shared" si="22"/>
        <v>2.602396289260716E-3</v>
      </c>
      <c r="Z109" s="37">
        <f t="shared" si="27"/>
        <v>-5.9513226086973585</v>
      </c>
      <c r="AA109" s="149">
        <f t="shared" si="23"/>
        <v>-1.5487699873067409E-2</v>
      </c>
      <c r="AB109" s="37"/>
      <c r="AC109" s="98"/>
      <c r="AD109" s="98"/>
      <c r="AE109" s="98"/>
      <c r="AF109" s="36"/>
      <c r="AG109" s="36"/>
      <c r="AH109" s="36"/>
      <c r="AI109" s="3"/>
      <c r="AJ109" s="3"/>
      <c r="AK109" s="3"/>
      <c r="AL109" s="3"/>
      <c r="AM109" s="3"/>
      <c r="AN109" s="3"/>
    </row>
    <row r="110" spans="1:40" customFormat="1" ht="20.25" customHeight="1">
      <c r="A110" s="13">
        <v>41480</v>
      </c>
      <c r="B110" s="3">
        <v>4</v>
      </c>
      <c r="C110" s="3" t="s">
        <v>223</v>
      </c>
      <c r="D110" s="3" t="s">
        <v>224</v>
      </c>
      <c r="E110" s="3" t="s">
        <v>225</v>
      </c>
      <c r="F110" s="3" t="s">
        <v>226</v>
      </c>
      <c r="G110" s="3" t="s">
        <v>227</v>
      </c>
      <c r="H110" s="3" t="s">
        <v>228</v>
      </c>
      <c r="I110" s="3"/>
      <c r="J110" s="3">
        <v>52</v>
      </c>
      <c r="K110" s="3" t="s">
        <v>229</v>
      </c>
      <c r="L110" s="3" t="s">
        <v>228</v>
      </c>
      <c r="M110" s="3">
        <v>124</v>
      </c>
      <c r="N110" s="3">
        <f t="shared" si="24"/>
        <v>41.935483870967744</v>
      </c>
      <c r="O110" s="65">
        <v>6370.9575142675976</v>
      </c>
      <c r="P110" s="8">
        <f t="shared" si="25"/>
        <v>2671.6918608218957</v>
      </c>
      <c r="Q110" s="36">
        <v>6388.5152307285998</v>
      </c>
      <c r="R110" s="8">
        <f t="shared" si="26"/>
        <v>41.820231530029453</v>
      </c>
      <c r="S110" s="3">
        <v>250</v>
      </c>
      <c r="T110" s="95"/>
      <c r="U110" s="95"/>
      <c r="V110" s="95"/>
      <c r="W110" s="95"/>
      <c r="X110" s="95"/>
      <c r="Y110" s="37">
        <f t="shared" si="22"/>
        <v>0.4182023153002945</v>
      </c>
      <c r="Z110" s="37">
        <f t="shared" si="27"/>
        <v>-0.87178995565597939</v>
      </c>
      <c r="AA110" s="149">
        <f t="shared" si="23"/>
        <v>-0.36458457791087168</v>
      </c>
      <c r="AB110" s="37"/>
      <c r="AC110" s="98"/>
      <c r="AD110" s="98"/>
      <c r="AE110" s="98"/>
      <c r="AF110" s="3"/>
      <c r="AG110" s="3"/>
      <c r="AH110" s="36"/>
      <c r="AI110" s="3"/>
      <c r="AJ110" s="3"/>
      <c r="AK110" s="3"/>
      <c r="AL110" s="3"/>
      <c r="AM110" s="3"/>
      <c r="AN110" s="3"/>
    </row>
    <row r="111" spans="1:40" customFormat="1" ht="20.25" customHeight="1">
      <c r="A111" s="13">
        <v>41480</v>
      </c>
      <c r="B111" s="3">
        <v>4</v>
      </c>
      <c r="C111" s="3" t="s">
        <v>223</v>
      </c>
      <c r="D111" s="3" t="s">
        <v>224</v>
      </c>
      <c r="E111" s="3" t="s">
        <v>304</v>
      </c>
      <c r="F111" s="3" t="s">
        <v>329</v>
      </c>
      <c r="G111" s="3" t="s">
        <v>330</v>
      </c>
      <c r="H111" s="3" t="s">
        <v>307</v>
      </c>
      <c r="I111" s="3"/>
      <c r="J111" s="3">
        <v>1</v>
      </c>
      <c r="K111" s="3" t="s">
        <v>229</v>
      </c>
      <c r="L111" s="3" t="s">
        <v>307</v>
      </c>
      <c r="M111" s="3">
        <v>124</v>
      </c>
      <c r="N111" s="3">
        <f t="shared" si="24"/>
        <v>0.80645161290322576</v>
      </c>
      <c r="O111" s="65">
        <v>6370.9575142675976</v>
      </c>
      <c r="P111" s="8">
        <f t="shared" si="25"/>
        <v>51.378689631190305</v>
      </c>
      <c r="Q111" s="36">
        <v>6388.5152307285998</v>
      </c>
      <c r="R111" s="8">
        <f t="shared" si="26"/>
        <v>0.80423522173133577</v>
      </c>
      <c r="S111" s="3">
        <v>250</v>
      </c>
      <c r="T111" s="95"/>
      <c r="U111" s="95"/>
      <c r="V111" s="95"/>
      <c r="W111" s="95"/>
      <c r="X111" s="95"/>
      <c r="Y111" s="37">
        <f t="shared" si="22"/>
        <v>8.0423522173133574E-3</v>
      </c>
      <c r="Z111" s="37">
        <f t="shared" si="27"/>
        <v>-4.8230336742374069</v>
      </c>
      <c r="AA111" s="149">
        <f t="shared" si="23"/>
        <v>-3.8788535564180202E-2</v>
      </c>
      <c r="AB111" s="37"/>
      <c r="AC111" s="98"/>
      <c r="AD111" s="98"/>
      <c r="AE111" s="98"/>
      <c r="AF111" s="3"/>
      <c r="AG111" s="3"/>
      <c r="AH111" s="41"/>
      <c r="AI111" s="3"/>
      <c r="AJ111" s="3"/>
      <c r="AK111" s="3"/>
      <c r="AL111" s="3"/>
      <c r="AM111" s="3"/>
      <c r="AN111" s="3"/>
    </row>
    <row r="112" spans="1:40" customFormat="1" ht="20.25" customHeight="1">
      <c r="A112" s="13">
        <v>41480</v>
      </c>
      <c r="B112" s="3">
        <v>4</v>
      </c>
      <c r="C112" s="3" t="s">
        <v>223</v>
      </c>
      <c r="D112" s="3" t="s">
        <v>224</v>
      </c>
      <c r="E112" s="3" t="s">
        <v>304</v>
      </c>
      <c r="F112" s="3" t="s">
        <v>329</v>
      </c>
      <c r="G112" s="3" t="s">
        <v>330</v>
      </c>
      <c r="H112" s="3" t="s">
        <v>307</v>
      </c>
      <c r="I112" s="3"/>
      <c r="J112" s="3">
        <v>2</v>
      </c>
      <c r="K112" s="3" t="s">
        <v>229</v>
      </c>
      <c r="L112" s="3" t="s">
        <v>307</v>
      </c>
      <c r="M112" s="3">
        <v>124</v>
      </c>
      <c r="N112" s="3">
        <f t="shared" si="24"/>
        <v>1.6129032258064515</v>
      </c>
      <c r="O112" s="65">
        <v>6370.9575142675976</v>
      </c>
      <c r="P112" s="8">
        <f t="shared" si="25"/>
        <v>102.75737926238061</v>
      </c>
      <c r="Q112" s="36">
        <v>6388.5152307285998</v>
      </c>
      <c r="R112" s="8">
        <f t="shared" si="26"/>
        <v>1.6084704434626715</v>
      </c>
      <c r="S112" s="3">
        <v>250</v>
      </c>
      <c r="T112" s="95"/>
      <c r="U112" s="95"/>
      <c r="V112" s="95"/>
      <c r="W112" s="95"/>
      <c r="X112" s="95"/>
      <c r="Y112" s="37">
        <f t="shared" si="22"/>
        <v>1.6084704434626715E-2</v>
      </c>
      <c r="Z112" s="37">
        <f t="shared" si="27"/>
        <v>-4.1298864936774615</v>
      </c>
      <c r="AA112" s="149">
        <f t="shared" si="23"/>
        <v>-6.642800359935884E-2</v>
      </c>
      <c r="AB112" s="37"/>
      <c r="AC112" s="98"/>
      <c r="AD112" s="98"/>
      <c r="AE112" s="98"/>
      <c r="AF112" s="36" t="s">
        <v>308</v>
      </c>
      <c r="AG112" s="3"/>
      <c r="AH112" s="41"/>
      <c r="AI112" s="3"/>
      <c r="AJ112" s="3"/>
      <c r="AK112" s="3"/>
      <c r="AL112" s="3"/>
      <c r="AM112" s="3"/>
      <c r="AN112" s="3"/>
    </row>
    <row r="113" spans="1:40" customFormat="1" ht="20.25" customHeight="1">
      <c r="A113" s="72">
        <v>41480</v>
      </c>
      <c r="B113" s="36">
        <v>4</v>
      </c>
      <c r="C113" s="65" t="s">
        <v>300</v>
      </c>
      <c r="D113" s="65" t="s">
        <v>320</v>
      </c>
      <c r="E113" s="65"/>
      <c r="F113" s="65"/>
      <c r="G113" s="65"/>
      <c r="H113" s="36"/>
      <c r="I113" s="36"/>
      <c r="J113" s="36">
        <v>9</v>
      </c>
      <c r="K113" s="36" t="s">
        <v>221</v>
      </c>
      <c r="L113" s="36" t="s">
        <v>322</v>
      </c>
      <c r="M113" s="36">
        <v>124</v>
      </c>
      <c r="N113" s="36">
        <f t="shared" si="24"/>
        <v>7.2580645161290329</v>
      </c>
      <c r="O113" s="65">
        <v>6370.9575142675976</v>
      </c>
      <c r="P113" s="8">
        <f t="shared" si="25"/>
        <v>462.40820668071274</v>
      </c>
      <c r="Q113" s="36">
        <v>6388.5152307285998</v>
      </c>
      <c r="R113" s="8">
        <f t="shared" si="26"/>
        <v>7.238116995582021</v>
      </c>
      <c r="S113" s="36">
        <v>250</v>
      </c>
      <c r="T113" s="95"/>
      <c r="U113" s="95"/>
      <c r="V113" s="95"/>
      <c r="W113" s="95"/>
      <c r="X113" s="95"/>
      <c r="Y113" s="37">
        <f t="shared" si="22"/>
        <v>7.238116995582021E-2</v>
      </c>
      <c r="Z113" s="37">
        <f t="shared" si="27"/>
        <v>-2.6258090969011874</v>
      </c>
      <c r="AA113" s="149">
        <f t="shared" si="23"/>
        <v>-0.19005913451434361</v>
      </c>
      <c r="AB113" s="37"/>
      <c r="AC113" s="98"/>
      <c r="AD113" s="98"/>
      <c r="AE113" s="98"/>
      <c r="AF113" s="36" t="s">
        <v>222</v>
      </c>
      <c r="AG113" s="36"/>
      <c r="AH113" s="41"/>
      <c r="AI113" s="3"/>
      <c r="AJ113" s="3"/>
      <c r="AK113" s="3"/>
      <c r="AL113" s="3"/>
      <c r="AM113" s="3"/>
      <c r="AN113" s="3"/>
    </row>
    <row r="114" spans="1:40" customFormat="1" ht="20.25" customHeight="1">
      <c r="A114" s="13">
        <v>41480</v>
      </c>
      <c r="B114" s="3">
        <v>4</v>
      </c>
      <c r="C114" s="3" t="s">
        <v>223</v>
      </c>
      <c r="D114" s="3" t="s">
        <v>224</v>
      </c>
      <c r="E114" s="3" t="s">
        <v>225</v>
      </c>
      <c r="F114" s="3" t="s">
        <v>226</v>
      </c>
      <c r="G114" s="3"/>
      <c r="H114" s="3"/>
      <c r="I114" s="3"/>
      <c r="J114" s="3">
        <v>2</v>
      </c>
      <c r="K114" s="3" t="s">
        <v>508</v>
      </c>
      <c r="L114" s="36" t="s">
        <v>600</v>
      </c>
      <c r="M114" s="3">
        <v>124</v>
      </c>
      <c r="N114" s="3">
        <f t="shared" si="24"/>
        <v>1.6129032258064515</v>
      </c>
      <c r="O114" s="36">
        <v>6370.9575142675976</v>
      </c>
      <c r="P114" s="8">
        <f t="shared" si="25"/>
        <v>102.75737926238061</v>
      </c>
      <c r="Q114" s="36">
        <v>6388.5152307285998</v>
      </c>
      <c r="R114" s="8">
        <f t="shared" si="26"/>
        <v>1.6084704434626715</v>
      </c>
      <c r="S114" s="3">
        <v>250</v>
      </c>
      <c r="T114" s="95"/>
      <c r="U114" s="95"/>
      <c r="V114" s="95"/>
      <c r="W114" s="95"/>
      <c r="X114" s="95"/>
      <c r="Y114" s="37">
        <f t="shared" si="22"/>
        <v>1.6084704434626715E-2</v>
      </c>
      <c r="Z114" s="37">
        <f t="shared" si="27"/>
        <v>-4.1298864936774615</v>
      </c>
      <c r="AA114" s="149">
        <f t="shared" si="23"/>
        <v>-6.642800359935884E-2</v>
      </c>
      <c r="AB114" s="37"/>
      <c r="AC114" s="98"/>
      <c r="AD114" s="98"/>
      <c r="AE114" s="98"/>
      <c r="AF114" s="3" t="s">
        <v>309</v>
      </c>
      <c r="AG114" s="3"/>
      <c r="AH114" s="41"/>
      <c r="AI114" s="3"/>
      <c r="AJ114" s="3"/>
      <c r="AK114" s="3"/>
      <c r="AL114" s="3"/>
      <c r="AM114" s="3"/>
      <c r="AN114" s="3"/>
    </row>
    <row r="115" spans="1:40" customFormat="1" ht="20.25" customHeight="1">
      <c r="A115" s="13">
        <v>41480</v>
      </c>
      <c r="B115" s="3">
        <v>4</v>
      </c>
      <c r="C115" s="3" t="s">
        <v>223</v>
      </c>
      <c r="D115" s="3" t="s">
        <v>224</v>
      </c>
      <c r="E115" s="3" t="s">
        <v>225</v>
      </c>
      <c r="F115" s="3" t="s">
        <v>226</v>
      </c>
      <c r="G115" s="3"/>
      <c r="H115" s="3"/>
      <c r="I115" s="3"/>
      <c r="J115" s="3">
        <v>1</v>
      </c>
      <c r="K115" s="3" t="s">
        <v>508</v>
      </c>
      <c r="L115" s="36" t="s">
        <v>600</v>
      </c>
      <c r="M115" s="3">
        <v>124</v>
      </c>
      <c r="N115" s="3">
        <f t="shared" si="24"/>
        <v>0.80645161290322576</v>
      </c>
      <c r="O115" s="65">
        <v>6370.9575142675976</v>
      </c>
      <c r="P115" s="8">
        <f t="shared" si="25"/>
        <v>51.378689631190305</v>
      </c>
      <c r="Q115" s="36">
        <v>6388.5152307285998</v>
      </c>
      <c r="R115" s="8">
        <f t="shared" si="26"/>
        <v>0.80423522173133577</v>
      </c>
      <c r="S115" s="3">
        <v>250</v>
      </c>
      <c r="T115" s="95"/>
      <c r="U115" s="95"/>
      <c r="V115" s="95"/>
      <c r="W115" s="95"/>
      <c r="X115" s="95"/>
      <c r="Y115" s="37">
        <f t="shared" si="22"/>
        <v>8.0423522173133574E-3</v>
      </c>
      <c r="Z115" s="37">
        <f t="shared" si="27"/>
        <v>-4.8230336742374069</v>
      </c>
      <c r="AA115" s="149">
        <f t="shared" si="23"/>
        <v>-3.8788535564180202E-2</v>
      </c>
      <c r="AB115" s="37"/>
      <c r="AC115" s="98"/>
      <c r="AD115" s="98"/>
      <c r="AE115" s="98"/>
      <c r="AF115" s="3" t="s">
        <v>331</v>
      </c>
      <c r="AG115" s="3"/>
      <c r="AH115" s="41"/>
      <c r="AI115" s="3"/>
      <c r="AJ115" s="3"/>
      <c r="AK115" s="3"/>
      <c r="AL115" s="3"/>
      <c r="AM115" s="3"/>
      <c r="AN115" s="3"/>
    </row>
    <row r="116" spans="1:40" customFormat="1" ht="20.25" customHeight="1">
      <c r="A116" s="13">
        <v>41480</v>
      </c>
      <c r="B116" s="3">
        <v>4</v>
      </c>
      <c r="C116" s="3" t="s">
        <v>223</v>
      </c>
      <c r="D116" s="3" t="s">
        <v>224</v>
      </c>
      <c r="E116" s="3" t="s">
        <v>225</v>
      </c>
      <c r="F116" s="3" t="s">
        <v>226</v>
      </c>
      <c r="G116" s="3" t="s">
        <v>232</v>
      </c>
      <c r="H116" s="3" t="s">
        <v>233</v>
      </c>
      <c r="I116" s="3" t="s">
        <v>234</v>
      </c>
      <c r="J116" s="3">
        <v>4</v>
      </c>
      <c r="K116" s="3" t="s">
        <v>247</v>
      </c>
      <c r="L116" s="3" t="s">
        <v>233</v>
      </c>
      <c r="M116" s="3">
        <v>124</v>
      </c>
      <c r="N116" s="3">
        <f t="shared" si="24"/>
        <v>3.225806451612903</v>
      </c>
      <c r="O116" s="36">
        <v>6370.9575142675976</v>
      </c>
      <c r="P116" s="8">
        <f t="shared" si="25"/>
        <v>205.51475852476122</v>
      </c>
      <c r="Q116" s="36">
        <v>6388.5152307285998</v>
      </c>
      <c r="R116" s="8">
        <f t="shared" si="26"/>
        <v>3.2169408869253431</v>
      </c>
      <c r="S116" s="3">
        <v>250</v>
      </c>
      <c r="T116" s="95"/>
      <c r="U116" s="95"/>
      <c r="V116" s="95"/>
      <c r="W116" s="95"/>
      <c r="X116" s="95"/>
      <c r="Y116" s="37">
        <f t="shared" si="22"/>
        <v>3.216940886925343E-2</v>
      </c>
      <c r="Z116" s="37">
        <f t="shared" si="27"/>
        <v>-3.4367393131175157</v>
      </c>
      <c r="AA116" s="149">
        <f t="shared" si="23"/>
        <v>-0.11055787214071455</v>
      </c>
      <c r="AB116" s="37"/>
      <c r="AC116" s="98"/>
      <c r="AD116" s="98"/>
      <c r="AE116" s="98"/>
      <c r="AF116" s="3"/>
      <c r="AG116" s="3"/>
      <c r="AH116" s="41"/>
      <c r="AI116" s="3"/>
      <c r="AJ116" s="3"/>
      <c r="AK116" s="3"/>
      <c r="AL116" s="3"/>
      <c r="AM116" s="3"/>
      <c r="AN116" s="3"/>
    </row>
    <row r="117" spans="1:40" s="70" customFormat="1" ht="20.25" customHeight="1">
      <c r="A117" s="13">
        <v>41480</v>
      </c>
      <c r="B117" s="3">
        <v>4</v>
      </c>
      <c r="C117" s="51" t="s">
        <v>223</v>
      </c>
      <c r="D117" s="51" t="s">
        <v>317</v>
      </c>
      <c r="E117" s="51" t="s">
        <v>314</v>
      </c>
      <c r="F117" s="51" t="s">
        <v>346</v>
      </c>
      <c r="G117" s="51" t="s">
        <v>315</v>
      </c>
      <c r="H117" s="3" t="s">
        <v>347</v>
      </c>
      <c r="I117" s="3" t="s">
        <v>348</v>
      </c>
      <c r="J117" s="3">
        <v>1</v>
      </c>
      <c r="K117" s="3" t="s">
        <v>247</v>
      </c>
      <c r="L117" s="3" t="s">
        <v>345</v>
      </c>
      <c r="M117" s="3">
        <v>124</v>
      </c>
      <c r="N117" s="3">
        <f t="shared" si="24"/>
        <v>0.80645161290322576</v>
      </c>
      <c r="O117" s="36">
        <v>6370.9575142675976</v>
      </c>
      <c r="P117" s="8">
        <f t="shared" si="25"/>
        <v>51.378689631190305</v>
      </c>
      <c r="Q117" s="36">
        <v>6388.5152307285998</v>
      </c>
      <c r="R117" s="8">
        <f t="shared" si="26"/>
        <v>0.80423522173133577</v>
      </c>
      <c r="S117" s="3">
        <v>250</v>
      </c>
      <c r="T117" s="95"/>
      <c r="U117" s="95"/>
      <c r="V117" s="95"/>
      <c r="W117" s="95"/>
      <c r="X117" s="95"/>
      <c r="Y117" s="37">
        <f t="shared" si="22"/>
        <v>8.0423522173133574E-3</v>
      </c>
      <c r="Z117" s="37">
        <f t="shared" si="27"/>
        <v>-4.8230336742374069</v>
      </c>
      <c r="AA117" s="149">
        <f t="shared" si="23"/>
        <v>-3.8788535564180202E-2</v>
      </c>
      <c r="AB117" s="37"/>
      <c r="AC117" s="98"/>
      <c r="AD117" s="98"/>
      <c r="AE117" s="98"/>
      <c r="AF117" s="3"/>
      <c r="AG117" s="3"/>
      <c r="AH117" s="41"/>
      <c r="AI117" s="67"/>
      <c r="AJ117" s="67"/>
      <c r="AK117" s="67"/>
      <c r="AL117" s="67"/>
      <c r="AM117" s="67"/>
      <c r="AN117" s="67"/>
    </row>
    <row r="118" spans="1:40" customFormat="1" ht="20.25" customHeight="1">
      <c r="A118" s="13">
        <v>41480</v>
      </c>
      <c r="B118" s="3">
        <v>4</v>
      </c>
      <c r="C118" s="51" t="s">
        <v>223</v>
      </c>
      <c r="D118" s="51" t="s">
        <v>224</v>
      </c>
      <c r="E118" s="51" t="s">
        <v>225</v>
      </c>
      <c r="F118" s="51" t="s">
        <v>226</v>
      </c>
      <c r="G118" s="51" t="s">
        <v>239</v>
      </c>
      <c r="H118" s="3" t="s">
        <v>240</v>
      </c>
      <c r="I118" s="3"/>
      <c r="J118" s="3">
        <v>15</v>
      </c>
      <c r="K118" s="3" t="s">
        <v>229</v>
      </c>
      <c r="L118" s="3" t="s">
        <v>240</v>
      </c>
      <c r="M118" s="3">
        <v>124</v>
      </c>
      <c r="N118" s="3">
        <f t="shared" si="24"/>
        <v>12.096774193548388</v>
      </c>
      <c r="O118" s="36">
        <v>6370.9575142675976</v>
      </c>
      <c r="P118" s="8">
        <f t="shared" si="25"/>
        <v>770.68034446785452</v>
      </c>
      <c r="Q118" s="36">
        <v>6388.5152307285998</v>
      </c>
      <c r="R118" s="8">
        <f t="shared" si="26"/>
        <v>12.063528325970035</v>
      </c>
      <c r="S118" s="3">
        <v>250</v>
      </c>
      <c r="T118" s="95"/>
      <c r="U118" s="95"/>
      <c r="V118" s="95"/>
      <c r="W118" s="95"/>
      <c r="X118" s="95"/>
      <c r="Y118" s="37">
        <f t="shared" si="22"/>
        <v>0.12063528325970035</v>
      </c>
      <c r="Z118" s="37">
        <f t="shared" si="27"/>
        <v>-2.1149834731351964</v>
      </c>
      <c r="AA118" s="149">
        <f t="shared" si="23"/>
        <v>-0.25514163037124926</v>
      </c>
      <c r="AB118" s="37"/>
      <c r="AC118" s="98"/>
      <c r="AD118" s="98"/>
      <c r="AE118" s="98"/>
      <c r="AF118" s="3"/>
      <c r="AG118" s="3"/>
      <c r="AH118" s="41"/>
      <c r="AI118" s="3"/>
      <c r="AJ118" s="3"/>
      <c r="AK118" s="3"/>
      <c r="AL118" s="3"/>
      <c r="AM118" s="3"/>
      <c r="AN118" s="3"/>
    </row>
    <row r="119" spans="1:40" customFormat="1" ht="20.25" customHeight="1">
      <c r="A119" s="35">
        <v>41480</v>
      </c>
      <c r="B119" s="36">
        <v>4</v>
      </c>
      <c r="C119" s="36" t="s">
        <v>300</v>
      </c>
      <c r="D119" s="36" t="s">
        <v>301</v>
      </c>
      <c r="E119" s="36"/>
      <c r="F119" s="36"/>
      <c r="G119" s="36"/>
      <c r="H119" s="36"/>
      <c r="I119" s="36"/>
      <c r="J119" s="36">
        <v>1</v>
      </c>
      <c r="K119" s="36" t="s">
        <v>221</v>
      </c>
      <c r="L119" s="36" t="s">
        <v>302</v>
      </c>
      <c r="M119" s="36">
        <v>124</v>
      </c>
      <c r="N119" s="36">
        <f t="shared" si="24"/>
        <v>0.80645161290322576</v>
      </c>
      <c r="O119" s="65">
        <v>6370.9575142675976</v>
      </c>
      <c r="P119" s="8">
        <f t="shared" si="25"/>
        <v>51.378689631190305</v>
      </c>
      <c r="Q119" s="65">
        <v>6388.5152307285998</v>
      </c>
      <c r="R119" s="8">
        <f t="shared" si="26"/>
        <v>0.80423522173133577</v>
      </c>
      <c r="S119" s="36">
        <v>250</v>
      </c>
      <c r="T119" s="95"/>
      <c r="U119" s="95"/>
      <c r="V119" s="95"/>
      <c r="W119" s="95"/>
      <c r="X119" s="95"/>
      <c r="Y119" s="37">
        <f t="shared" si="22"/>
        <v>8.0423522173133574E-3</v>
      </c>
      <c r="Z119" s="37">
        <f t="shared" si="27"/>
        <v>-4.8230336742374069</v>
      </c>
      <c r="AA119" s="149">
        <f t="shared" si="23"/>
        <v>-3.8788535564180202E-2</v>
      </c>
      <c r="AB119" s="37"/>
      <c r="AC119" s="98"/>
      <c r="AD119" s="98"/>
      <c r="AE119" s="98"/>
      <c r="AF119" s="36" t="s">
        <v>222</v>
      </c>
      <c r="AG119" s="36"/>
      <c r="AH119" s="41"/>
      <c r="AI119" s="3"/>
      <c r="AJ119" s="3"/>
      <c r="AK119" s="3"/>
      <c r="AL119" s="3"/>
      <c r="AM119" s="3"/>
      <c r="AN119" s="3"/>
    </row>
    <row r="120" spans="1:40" customFormat="1" ht="20.25" customHeight="1">
      <c r="A120" s="13">
        <v>41480</v>
      </c>
      <c r="B120" s="3">
        <v>4</v>
      </c>
      <c r="C120" s="3" t="s">
        <v>223</v>
      </c>
      <c r="D120" s="3" t="s">
        <v>224</v>
      </c>
      <c r="E120" s="3" t="s">
        <v>225</v>
      </c>
      <c r="F120" s="3" t="s">
        <v>243</v>
      </c>
      <c r="G120" s="3" t="s">
        <v>244</v>
      </c>
      <c r="H120" s="3" t="s">
        <v>245</v>
      </c>
      <c r="I120" s="3" t="s">
        <v>246</v>
      </c>
      <c r="J120" s="3">
        <v>4</v>
      </c>
      <c r="K120" s="3" t="s">
        <v>247</v>
      </c>
      <c r="L120" s="3" t="s">
        <v>357</v>
      </c>
      <c r="M120" s="3">
        <v>124</v>
      </c>
      <c r="N120" s="3">
        <f t="shared" si="24"/>
        <v>3.225806451612903</v>
      </c>
      <c r="O120" s="65">
        <v>6370.9575142675976</v>
      </c>
      <c r="P120" s="8">
        <f t="shared" si="25"/>
        <v>205.51475852476122</v>
      </c>
      <c r="Q120" s="36">
        <v>6388.5152307285998</v>
      </c>
      <c r="R120" s="8">
        <f t="shared" si="26"/>
        <v>3.2169408869253431</v>
      </c>
      <c r="S120" s="3">
        <v>250</v>
      </c>
      <c r="T120" s="95"/>
      <c r="U120" s="95"/>
      <c r="V120" s="95"/>
      <c r="W120" s="95"/>
      <c r="X120" s="95"/>
      <c r="Y120" s="37">
        <f t="shared" si="22"/>
        <v>3.216940886925343E-2</v>
      </c>
      <c r="Z120" s="37">
        <f t="shared" si="27"/>
        <v>-3.4367393131175157</v>
      </c>
      <c r="AA120" s="149">
        <f t="shared" si="23"/>
        <v>-0.11055787214071455</v>
      </c>
      <c r="AB120" s="37"/>
      <c r="AC120" s="98"/>
      <c r="AD120" s="98"/>
      <c r="AE120" s="98"/>
      <c r="AF120" s="3"/>
      <c r="AG120" s="3"/>
      <c r="AH120" s="41"/>
      <c r="AI120" s="3"/>
      <c r="AJ120" s="3"/>
      <c r="AK120" s="3"/>
      <c r="AL120" s="3"/>
      <c r="AM120" s="3"/>
      <c r="AN120" s="3"/>
    </row>
    <row r="121" spans="1:40" customFormat="1" ht="20.25" customHeight="1">
      <c r="A121" s="13">
        <v>41480</v>
      </c>
      <c r="B121" s="3">
        <v>4</v>
      </c>
      <c r="C121" s="3" t="s">
        <v>223</v>
      </c>
      <c r="D121" s="3" t="s">
        <v>224</v>
      </c>
      <c r="E121" s="3" t="s">
        <v>225</v>
      </c>
      <c r="F121" s="3" t="s">
        <v>248</v>
      </c>
      <c r="G121" s="3" t="s">
        <v>249</v>
      </c>
      <c r="H121" s="3" t="s">
        <v>250</v>
      </c>
      <c r="I121" s="3" t="s">
        <v>251</v>
      </c>
      <c r="J121" s="3">
        <v>8</v>
      </c>
      <c r="K121" s="3" t="s">
        <v>247</v>
      </c>
      <c r="L121" s="3" t="s">
        <v>250</v>
      </c>
      <c r="M121" s="3">
        <v>124</v>
      </c>
      <c r="N121" s="3">
        <f t="shared" si="24"/>
        <v>6.4516129032258061</v>
      </c>
      <c r="O121" s="65">
        <v>6370.9575142675976</v>
      </c>
      <c r="P121" s="8">
        <f t="shared" si="25"/>
        <v>411.02951704952244</v>
      </c>
      <c r="Q121" s="36">
        <v>6388.5152307285998</v>
      </c>
      <c r="R121" s="8">
        <f t="shared" si="26"/>
        <v>6.4338817738506862</v>
      </c>
      <c r="S121" s="3">
        <v>250</v>
      </c>
      <c r="T121" s="95"/>
      <c r="U121" s="95"/>
      <c r="V121" s="95"/>
      <c r="W121" s="95"/>
      <c r="X121" s="95"/>
      <c r="Y121" s="37">
        <f t="shared" si="22"/>
        <v>6.4338817738506859E-2</v>
      </c>
      <c r="Z121" s="37">
        <f t="shared" si="27"/>
        <v>-2.7435921325575707</v>
      </c>
      <c r="AA121" s="149">
        <f t="shared" si="23"/>
        <v>-0.17651947416542291</v>
      </c>
      <c r="AB121" s="37"/>
      <c r="AC121" s="98"/>
      <c r="AD121" s="98"/>
      <c r="AE121" s="98"/>
      <c r="AF121" s="3"/>
      <c r="AG121" s="3"/>
      <c r="AH121" s="41"/>
      <c r="AI121" s="3"/>
      <c r="AJ121" s="3"/>
      <c r="AK121" s="3"/>
      <c r="AL121" s="3"/>
      <c r="AM121" s="3"/>
      <c r="AN121" s="3"/>
    </row>
    <row r="122" spans="1:40" customFormat="1" ht="20.25" customHeight="1">
      <c r="A122" s="13">
        <v>41480</v>
      </c>
      <c r="B122" s="3">
        <v>4</v>
      </c>
      <c r="C122" s="3" t="s">
        <v>223</v>
      </c>
      <c r="D122" s="3" t="s">
        <v>224</v>
      </c>
      <c r="E122" s="3" t="s">
        <v>225</v>
      </c>
      <c r="F122" s="3" t="s">
        <v>226</v>
      </c>
      <c r="G122" s="3" t="s">
        <v>253</v>
      </c>
      <c r="H122" s="3" t="s">
        <v>256</v>
      </c>
      <c r="I122" s="3"/>
      <c r="J122" s="3">
        <v>24</v>
      </c>
      <c r="K122" s="3" t="s">
        <v>229</v>
      </c>
      <c r="L122" s="3" t="s">
        <v>256</v>
      </c>
      <c r="M122" s="3">
        <v>124</v>
      </c>
      <c r="N122" s="3">
        <f t="shared" si="24"/>
        <v>19.35483870967742</v>
      </c>
      <c r="O122" s="65">
        <v>6370.9575142675976</v>
      </c>
      <c r="P122" s="8">
        <f t="shared" si="25"/>
        <v>1233.0885511485671</v>
      </c>
      <c r="Q122" s="36">
        <v>6388.5152307285998</v>
      </c>
      <c r="R122" s="8">
        <f t="shared" si="26"/>
        <v>19.301645321552051</v>
      </c>
      <c r="S122" s="3">
        <v>250</v>
      </c>
      <c r="T122" s="95"/>
      <c r="U122" s="95"/>
      <c r="V122" s="95"/>
      <c r="W122" s="95"/>
      <c r="X122" s="95"/>
      <c r="Y122" s="37">
        <f t="shared" si="22"/>
        <v>0.19301645321552052</v>
      </c>
      <c r="Z122" s="37">
        <f t="shared" si="27"/>
        <v>-1.6449798438894612</v>
      </c>
      <c r="AA122" s="149">
        <f t="shared" si="23"/>
        <v>-0.31750817507856444</v>
      </c>
      <c r="AB122" s="37"/>
      <c r="AC122" s="98"/>
      <c r="AD122" s="98"/>
      <c r="AE122" s="98"/>
      <c r="AF122" s="3"/>
      <c r="AG122" s="3"/>
      <c r="AH122" s="41"/>
      <c r="AI122" s="3"/>
      <c r="AJ122" s="3"/>
      <c r="AK122" s="3"/>
      <c r="AL122" s="3"/>
      <c r="AM122" s="3"/>
      <c r="AN122" s="3"/>
    </row>
    <row r="123" spans="1:40" ht="20.25" customHeight="1">
      <c r="A123" s="35">
        <v>41480</v>
      </c>
      <c r="B123" s="65">
        <v>2</v>
      </c>
      <c r="C123" s="36" t="s">
        <v>223</v>
      </c>
      <c r="D123" s="36" t="s">
        <v>267</v>
      </c>
      <c r="E123" s="36" t="s">
        <v>273</v>
      </c>
      <c r="F123" s="36"/>
      <c r="G123" s="36"/>
      <c r="H123" s="36"/>
      <c r="I123" s="36"/>
      <c r="J123" s="36">
        <v>19</v>
      </c>
      <c r="K123" s="36" t="s">
        <v>510</v>
      </c>
      <c r="L123" s="36" t="s">
        <v>335</v>
      </c>
      <c r="M123" s="36">
        <v>126</v>
      </c>
      <c r="N123" s="36">
        <f t="shared" si="24"/>
        <v>15.079365079365079</v>
      </c>
      <c r="O123" s="36">
        <v>13.431165277950504</v>
      </c>
      <c r="P123" s="53">
        <f t="shared" si="25"/>
        <v>2.025334446675076</v>
      </c>
      <c r="Q123" s="36">
        <v>10645.381165277951</v>
      </c>
      <c r="R123" s="53">
        <f t="shared" si="26"/>
        <v>1.9025476074836203E-2</v>
      </c>
      <c r="S123" s="36">
        <v>1000</v>
      </c>
      <c r="T123" s="62"/>
      <c r="U123" s="62"/>
      <c r="V123" s="62"/>
      <c r="W123" s="62"/>
      <c r="X123" s="62">
        <f>SUM(R123:R131)</f>
        <v>99.999999999999531</v>
      </c>
      <c r="Y123" s="62">
        <f t="shared" si="22"/>
        <v>1.9025476074836204E-4</v>
      </c>
      <c r="Z123" s="62">
        <f t="shared" si="27"/>
        <v>-8.5671465378910874</v>
      </c>
      <c r="AA123" s="150">
        <f t="shared" si="23"/>
        <v>-1.629940414862627E-3</v>
      </c>
      <c r="AB123" s="37">
        <f>SUM(AA123:AA131)*(-1)</f>
        <v>0.58159546865096012</v>
      </c>
      <c r="AC123" s="98">
        <v>9</v>
      </c>
      <c r="AD123" s="98">
        <f t="shared" si="28"/>
        <v>2.1972245773362196</v>
      </c>
      <c r="AE123" s="98">
        <f>(AB123/AD123)</f>
        <v>0.26469550479726145</v>
      </c>
      <c r="AF123" s="36" t="s">
        <v>336</v>
      </c>
      <c r="AG123" s="36"/>
      <c r="AH123" s="36"/>
      <c r="AI123" s="36"/>
      <c r="AJ123" s="36"/>
      <c r="AK123" s="36"/>
      <c r="AL123" s="36"/>
      <c r="AM123" s="36"/>
      <c r="AN123" s="36"/>
    </row>
    <row r="124" spans="1:40" ht="20.25" customHeight="1">
      <c r="A124" s="72">
        <v>41480</v>
      </c>
      <c r="B124" s="65">
        <v>2</v>
      </c>
      <c r="C124" s="36" t="s">
        <v>323</v>
      </c>
      <c r="D124" s="36" t="s">
        <v>324</v>
      </c>
      <c r="E124" s="36"/>
      <c r="F124" s="36" t="s">
        <v>325</v>
      </c>
      <c r="G124" s="36" t="s">
        <v>326</v>
      </c>
      <c r="H124" s="36"/>
      <c r="I124" s="36"/>
      <c r="J124" s="36">
        <v>5</v>
      </c>
      <c r="K124" s="36" t="s">
        <v>509</v>
      </c>
      <c r="L124" s="36" t="s">
        <v>327</v>
      </c>
      <c r="M124" s="36">
        <v>126</v>
      </c>
      <c r="N124" s="36">
        <f t="shared" si="24"/>
        <v>3.9682539682539679</v>
      </c>
      <c r="O124" s="36">
        <v>13.431165277950504</v>
      </c>
      <c r="P124" s="53">
        <f t="shared" si="25"/>
        <v>0.53298274912501997</v>
      </c>
      <c r="Q124" s="36">
        <v>10645.381165277951</v>
      </c>
      <c r="R124" s="53">
        <f t="shared" si="26"/>
        <v>5.0067042302200538E-3</v>
      </c>
      <c r="S124" s="36">
        <v>1000</v>
      </c>
      <c r="T124" s="62"/>
      <c r="U124" s="62"/>
      <c r="V124" s="62"/>
      <c r="W124" s="62"/>
      <c r="X124" s="62"/>
      <c r="Y124" s="62">
        <f t="shared" si="22"/>
        <v>5.0067042302200541E-5</v>
      </c>
      <c r="Z124" s="62">
        <f t="shared" si="27"/>
        <v>-9.9021476046234262</v>
      </c>
      <c r="AA124" s="150">
        <f t="shared" si="23"/>
        <v>-4.9577124300331484E-4</v>
      </c>
      <c r="AB124" s="37"/>
      <c r="AC124" s="98"/>
      <c r="AD124" s="98"/>
      <c r="AE124" s="98"/>
      <c r="AF124" s="36"/>
      <c r="AG124" s="36"/>
      <c r="AH124" s="36"/>
      <c r="AI124" s="36"/>
      <c r="AJ124" s="36"/>
      <c r="AK124" s="36"/>
      <c r="AL124" s="36"/>
      <c r="AM124" s="36"/>
      <c r="AN124" s="36"/>
    </row>
    <row r="125" spans="1:40" ht="20.25" customHeight="1">
      <c r="A125" s="35">
        <v>41480</v>
      </c>
      <c r="B125" s="65">
        <v>2</v>
      </c>
      <c r="C125" s="36" t="s">
        <v>223</v>
      </c>
      <c r="D125" s="36" t="s">
        <v>267</v>
      </c>
      <c r="E125" s="36" t="s">
        <v>278</v>
      </c>
      <c r="F125" s="36" t="s">
        <v>269</v>
      </c>
      <c r="G125" s="36" t="s">
        <v>333</v>
      </c>
      <c r="H125" s="36" t="s">
        <v>334</v>
      </c>
      <c r="I125" s="36"/>
      <c r="J125" s="36">
        <v>1</v>
      </c>
      <c r="K125" s="36" t="s">
        <v>229</v>
      </c>
      <c r="L125" s="36" t="s">
        <v>270</v>
      </c>
      <c r="M125" s="36">
        <v>126</v>
      </c>
      <c r="N125" s="36">
        <f t="shared" si="24"/>
        <v>0.79365079365079361</v>
      </c>
      <c r="O125" s="36">
        <v>13.431165277950504</v>
      </c>
      <c r="P125" s="53">
        <f t="shared" si="25"/>
        <v>0.10659654982500399</v>
      </c>
      <c r="Q125" s="36">
        <v>10645.381165278</v>
      </c>
      <c r="R125" s="53">
        <f t="shared" si="26"/>
        <v>1.001340846044006E-3</v>
      </c>
      <c r="S125" s="36">
        <v>1000</v>
      </c>
      <c r="T125" s="62"/>
      <c r="U125" s="62"/>
      <c r="V125" s="62"/>
      <c r="W125" s="62"/>
      <c r="X125" s="62"/>
      <c r="Y125" s="62">
        <f t="shared" si="22"/>
        <v>1.0013408460440059E-5</v>
      </c>
      <c r="Z125" s="62">
        <f t="shared" si="27"/>
        <v>-11.511585517057531</v>
      </c>
      <c r="AA125" s="150">
        <f t="shared" si="23"/>
        <v>-1.1527020780958314E-4</v>
      </c>
      <c r="AB125" s="37"/>
      <c r="AC125" s="98"/>
      <c r="AD125" s="98"/>
      <c r="AE125" s="98"/>
      <c r="AF125" s="36"/>
      <c r="AG125" s="36"/>
      <c r="AH125" s="36"/>
      <c r="AI125" s="36"/>
      <c r="AJ125" s="36"/>
      <c r="AK125" s="36"/>
      <c r="AL125" s="36"/>
      <c r="AM125" s="36"/>
      <c r="AN125" s="36"/>
    </row>
    <row r="126" spans="1:40" ht="20.25" customHeight="1">
      <c r="A126" s="35">
        <v>41480</v>
      </c>
      <c r="B126" s="65">
        <v>2</v>
      </c>
      <c r="C126" s="36" t="s">
        <v>223</v>
      </c>
      <c r="D126" s="36" t="s">
        <v>267</v>
      </c>
      <c r="E126" s="36" t="s">
        <v>278</v>
      </c>
      <c r="F126" s="36" t="s">
        <v>279</v>
      </c>
      <c r="G126" s="36" t="s">
        <v>280</v>
      </c>
      <c r="H126" s="36" t="s">
        <v>284</v>
      </c>
      <c r="I126" s="36" t="s">
        <v>285</v>
      </c>
      <c r="J126" s="36">
        <v>101</v>
      </c>
      <c r="K126" s="36" t="s">
        <v>247</v>
      </c>
      <c r="L126" s="36" t="s">
        <v>283</v>
      </c>
      <c r="M126" s="36">
        <v>126</v>
      </c>
      <c r="N126" s="36">
        <f t="shared" si="24"/>
        <v>80.158730158730165</v>
      </c>
      <c r="O126" s="36">
        <v>13.431165277950504</v>
      </c>
      <c r="P126" s="53">
        <f t="shared" si="25"/>
        <v>10.766251532325404</v>
      </c>
      <c r="Q126" s="36">
        <v>10645.381165278</v>
      </c>
      <c r="R126" s="53">
        <f t="shared" si="26"/>
        <v>0.1011354254504446</v>
      </c>
      <c r="S126" s="36">
        <v>1000</v>
      </c>
      <c r="T126" s="62"/>
      <c r="U126" s="62"/>
      <c r="V126" s="62"/>
      <c r="W126" s="62"/>
      <c r="X126" s="62"/>
      <c r="Y126" s="62">
        <f t="shared" si="22"/>
        <v>1.0113542545044461E-3</v>
      </c>
      <c r="Z126" s="62">
        <f t="shared" si="27"/>
        <v>-6.8964650002162724</v>
      </c>
      <c r="AA126" s="150">
        <f t="shared" si="23"/>
        <v>-6.9747692190097327E-3</v>
      </c>
      <c r="AB126" s="37"/>
      <c r="AC126" s="98"/>
      <c r="AD126" s="98"/>
      <c r="AE126" s="98"/>
      <c r="AF126" s="36"/>
      <c r="AG126" s="36"/>
      <c r="AH126" s="36"/>
      <c r="AI126" s="36"/>
      <c r="AJ126" s="36"/>
      <c r="AK126" s="36"/>
      <c r="AL126" s="36"/>
      <c r="AM126" s="36"/>
      <c r="AN126" s="36"/>
    </row>
    <row r="127" spans="1:40" ht="20.25" customHeight="1">
      <c r="A127" s="72">
        <v>41480</v>
      </c>
      <c r="B127" s="36">
        <v>2</v>
      </c>
      <c r="C127" s="65" t="s">
        <v>223</v>
      </c>
      <c r="D127" s="65" t="s">
        <v>224</v>
      </c>
      <c r="E127" s="65" t="s">
        <v>225</v>
      </c>
      <c r="F127" s="65" t="s">
        <v>226</v>
      </c>
      <c r="G127" s="65" t="s">
        <v>227</v>
      </c>
      <c r="H127" s="36" t="s">
        <v>228</v>
      </c>
      <c r="I127" s="36"/>
      <c r="J127" s="36">
        <v>105</v>
      </c>
      <c r="K127" s="36" t="s">
        <v>229</v>
      </c>
      <c r="L127" s="36" t="s">
        <v>228</v>
      </c>
      <c r="M127" s="36">
        <v>125</v>
      </c>
      <c r="N127" s="36">
        <f t="shared" si="24"/>
        <v>84</v>
      </c>
      <c r="O127" s="36">
        <v>10631.95</v>
      </c>
      <c r="P127" s="53">
        <f t="shared" si="25"/>
        <v>8930.8379999999997</v>
      </c>
      <c r="Q127" s="36">
        <v>10645.381165278</v>
      </c>
      <c r="R127" s="53">
        <f t="shared" si="26"/>
        <v>83.894018084854309</v>
      </c>
      <c r="S127" s="36">
        <v>250</v>
      </c>
      <c r="T127" s="62"/>
      <c r="U127" s="62"/>
      <c r="V127" s="62"/>
      <c r="W127" s="62"/>
      <c r="X127" s="62"/>
      <c r="Y127" s="62">
        <f t="shared" si="22"/>
        <v>0.83894018084854305</v>
      </c>
      <c r="Z127" s="62">
        <f t="shared" si="27"/>
        <v>-0.1756158732110642</v>
      </c>
      <c r="AA127" s="150">
        <f t="shared" si="23"/>
        <v>-0.147331212431565</v>
      </c>
      <c r="AB127" s="37"/>
      <c r="AC127" s="98"/>
      <c r="AD127" s="98"/>
      <c r="AE127" s="98"/>
      <c r="AF127" s="36"/>
      <c r="AG127" s="36"/>
      <c r="AH127" s="36"/>
      <c r="AI127" s="36"/>
      <c r="AJ127" s="36"/>
      <c r="AK127" s="36"/>
      <c r="AL127" s="36"/>
      <c r="AM127" s="36"/>
      <c r="AN127" s="36"/>
    </row>
    <row r="128" spans="1:40" ht="20.25" customHeight="1">
      <c r="A128" s="72">
        <v>41480</v>
      </c>
      <c r="B128" s="36">
        <v>2</v>
      </c>
      <c r="C128" s="65" t="s">
        <v>223</v>
      </c>
      <c r="D128" s="65" t="s">
        <v>224</v>
      </c>
      <c r="E128" s="65" t="s">
        <v>304</v>
      </c>
      <c r="F128" s="65" t="s">
        <v>329</v>
      </c>
      <c r="G128" s="65" t="s">
        <v>330</v>
      </c>
      <c r="H128" s="36" t="s">
        <v>307</v>
      </c>
      <c r="I128" s="36"/>
      <c r="J128" s="36">
        <v>2</v>
      </c>
      <c r="K128" s="36" t="s">
        <v>229</v>
      </c>
      <c r="L128" s="36" t="s">
        <v>307</v>
      </c>
      <c r="M128" s="36">
        <v>125</v>
      </c>
      <c r="N128" s="36">
        <f t="shared" si="24"/>
        <v>1.6</v>
      </c>
      <c r="O128" s="36">
        <v>10631.95</v>
      </c>
      <c r="P128" s="53">
        <f t="shared" si="25"/>
        <v>170.11120000000003</v>
      </c>
      <c r="Q128" s="36">
        <v>10645.381165278</v>
      </c>
      <c r="R128" s="53">
        <f t="shared" si="26"/>
        <v>1.5979812968543678</v>
      </c>
      <c r="S128" s="36">
        <v>250</v>
      </c>
      <c r="T128" s="62"/>
      <c r="U128" s="62"/>
      <c r="V128" s="62"/>
      <c r="W128" s="62"/>
      <c r="X128" s="62"/>
      <c r="Y128" s="62">
        <f t="shared" si="22"/>
        <v>1.5979812968543679E-2</v>
      </c>
      <c r="Z128" s="62">
        <f t="shared" si="27"/>
        <v>-4.1364290428086425</v>
      </c>
      <c r="AA128" s="150">
        <f t="shared" si="23"/>
        <v>-6.6099362461734257E-2</v>
      </c>
      <c r="AB128" s="37"/>
      <c r="AC128" s="98"/>
      <c r="AD128" s="98"/>
      <c r="AE128" s="98"/>
      <c r="AF128" s="36" t="s">
        <v>308</v>
      </c>
      <c r="AG128" s="36"/>
      <c r="AH128" s="36"/>
      <c r="AI128" s="36"/>
      <c r="AJ128" s="36"/>
      <c r="AK128" s="36"/>
      <c r="AL128" s="36"/>
      <c r="AM128" s="36"/>
      <c r="AN128" s="36"/>
    </row>
    <row r="129" spans="1:40" ht="20.25" customHeight="1">
      <c r="A129" s="72">
        <v>41480</v>
      </c>
      <c r="B129" s="36">
        <v>2</v>
      </c>
      <c r="C129" s="36" t="s">
        <v>223</v>
      </c>
      <c r="D129" s="36" t="s">
        <v>224</v>
      </c>
      <c r="E129" s="36" t="s">
        <v>225</v>
      </c>
      <c r="F129" s="36" t="s">
        <v>226</v>
      </c>
      <c r="G129" s="36" t="s">
        <v>239</v>
      </c>
      <c r="H129" s="36" t="s">
        <v>240</v>
      </c>
      <c r="I129" s="36"/>
      <c r="J129" s="36">
        <v>15</v>
      </c>
      <c r="K129" s="36" t="s">
        <v>229</v>
      </c>
      <c r="L129" s="36" t="s">
        <v>240</v>
      </c>
      <c r="M129" s="36">
        <v>125</v>
      </c>
      <c r="N129" s="36">
        <f t="shared" si="24"/>
        <v>12</v>
      </c>
      <c r="O129" s="36">
        <v>10631.95</v>
      </c>
      <c r="P129" s="53">
        <f t="shared" si="25"/>
        <v>1275.8340000000001</v>
      </c>
      <c r="Q129" s="36">
        <v>10645.381165278</v>
      </c>
      <c r="R129" s="53">
        <f t="shared" si="26"/>
        <v>11.984859726407759</v>
      </c>
      <c r="S129" s="36">
        <v>250</v>
      </c>
      <c r="T129" s="62"/>
      <c r="U129" s="62"/>
      <c r="V129" s="62"/>
      <c r="W129" s="62"/>
      <c r="X129" s="62"/>
      <c r="Y129" s="62">
        <f t="shared" ref="Y129:Y192" si="29">(R129/100)</f>
        <v>0.11984859726407759</v>
      </c>
      <c r="Z129" s="62">
        <f t="shared" si="27"/>
        <v>-2.1215260222663774</v>
      </c>
      <c r="AA129" s="150">
        <f t="shared" ref="AA129:AA192" si="30">(Y129*Z129)</f>
        <v>-0.25426191782786356</v>
      </c>
      <c r="AB129" s="37"/>
      <c r="AC129" s="98"/>
      <c r="AD129" s="98"/>
      <c r="AE129" s="98"/>
      <c r="AF129" s="36"/>
      <c r="AG129" s="36"/>
      <c r="AH129" s="36"/>
      <c r="AI129" s="36"/>
      <c r="AJ129" s="36"/>
      <c r="AK129" s="36"/>
      <c r="AL129" s="36"/>
      <c r="AM129" s="36"/>
      <c r="AN129" s="36"/>
    </row>
    <row r="130" spans="1:40" ht="20.25" customHeight="1">
      <c r="A130" s="72">
        <v>41480</v>
      </c>
      <c r="B130" s="65">
        <v>2</v>
      </c>
      <c r="C130" s="36" t="s">
        <v>223</v>
      </c>
      <c r="D130" s="36" t="s">
        <v>224</v>
      </c>
      <c r="E130" s="36" t="s">
        <v>225</v>
      </c>
      <c r="F130" s="36" t="s">
        <v>248</v>
      </c>
      <c r="G130" s="36" t="s">
        <v>249</v>
      </c>
      <c r="H130" s="36" t="s">
        <v>250</v>
      </c>
      <c r="I130" s="36" t="s">
        <v>251</v>
      </c>
      <c r="J130" s="36">
        <v>1</v>
      </c>
      <c r="K130" s="36" t="s">
        <v>247</v>
      </c>
      <c r="L130" s="36" t="s">
        <v>250</v>
      </c>
      <c r="M130" s="36">
        <v>125</v>
      </c>
      <c r="N130" s="36">
        <f t="shared" ref="N130:N184" si="31">J130/M130*100</f>
        <v>0.8</v>
      </c>
      <c r="O130" s="36">
        <v>10631.95</v>
      </c>
      <c r="P130" s="53">
        <f t="shared" ref="P130:P184" si="32">(N130/100)*O130</f>
        <v>85.055600000000013</v>
      </c>
      <c r="Q130" s="36">
        <v>10645.381165278</v>
      </c>
      <c r="R130" s="53">
        <f t="shared" ref="R130:R184" si="33">P130/Q130*100</f>
        <v>0.79899064842718392</v>
      </c>
      <c r="S130" s="36">
        <v>250</v>
      </c>
      <c r="T130" s="62"/>
      <c r="U130" s="62"/>
      <c r="V130" s="62"/>
      <c r="W130" s="62"/>
      <c r="X130" s="62"/>
      <c r="Y130" s="62">
        <f t="shared" si="29"/>
        <v>7.9899064842718394E-3</v>
      </c>
      <c r="Z130" s="62">
        <f t="shared" si="27"/>
        <v>-4.8295762233685871</v>
      </c>
      <c r="AA130" s="150">
        <f t="shared" si="30"/>
        <v>-3.8587862383377775E-2</v>
      </c>
      <c r="AB130" s="37"/>
      <c r="AC130" s="98"/>
      <c r="AD130" s="98"/>
      <c r="AE130" s="98"/>
      <c r="AF130" s="36"/>
      <c r="AG130" s="36"/>
      <c r="AH130" s="36"/>
      <c r="AI130" s="36"/>
      <c r="AJ130" s="36"/>
      <c r="AK130" s="36"/>
      <c r="AL130" s="36"/>
      <c r="AM130" s="36"/>
      <c r="AN130" s="36"/>
    </row>
    <row r="131" spans="1:40" ht="20.25" customHeight="1">
      <c r="A131" s="72">
        <v>41480</v>
      </c>
      <c r="B131" s="65">
        <v>2</v>
      </c>
      <c r="C131" s="36" t="s">
        <v>223</v>
      </c>
      <c r="D131" s="36" t="s">
        <v>224</v>
      </c>
      <c r="E131" s="36" t="s">
        <v>225</v>
      </c>
      <c r="F131" s="36" t="s">
        <v>226</v>
      </c>
      <c r="G131" s="36" t="s">
        <v>253</v>
      </c>
      <c r="H131" s="36" t="s">
        <v>256</v>
      </c>
      <c r="I131" s="36"/>
      <c r="J131" s="36">
        <v>2</v>
      </c>
      <c r="K131" s="36" t="s">
        <v>229</v>
      </c>
      <c r="L131" s="36" t="s">
        <v>256</v>
      </c>
      <c r="M131" s="36">
        <v>125</v>
      </c>
      <c r="N131" s="36">
        <f t="shared" si="31"/>
        <v>1.6</v>
      </c>
      <c r="O131" s="36">
        <v>10631.95</v>
      </c>
      <c r="P131" s="53">
        <f t="shared" si="32"/>
        <v>170.11120000000003</v>
      </c>
      <c r="Q131" s="36">
        <v>10645.381165278</v>
      </c>
      <c r="R131" s="53">
        <f t="shared" si="33"/>
        <v>1.5979812968543678</v>
      </c>
      <c r="S131" s="36">
        <v>250</v>
      </c>
      <c r="T131" s="62"/>
      <c r="U131" s="62"/>
      <c r="V131" s="62"/>
      <c r="W131" s="62"/>
      <c r="X131" s="62"/>
      <c r="Y131" s="62">
        <f t="shared" si="29"/>
        <v>1.5979812968543679E-2</v>
      </c>
      <c r="Z131" s="62">
        <f t="shared" ref="Z131:Z194" si="34">LN(Y131)</f>
        <v>-4.1364290428086425</v>
      </c>
      <c r="AA131" s="150">
        <f t="shared" si="30"/>
        <v>-6.6099362461734257E-2</v>
      </c>
      <c r="AB131" s="37"/>
      <c r="AC131" s="98"/>
      <c r="AD131" s="98"/>
      <c r="AE131" s="98"/>
      <c r="AF131" s="36"/>
      <c r="AG131" s="36"/>
      <c r="AH131" s="36"/>
      <c r="AI131" s="36"/>
      <c r="AJ131" s="36"/>
      <c r="AK131" s="36"/>
      <c r="AL131" s="36"/>
      <c r="AM131" s="36"/>
      <c r="AN131" s="36"/>
    </row>
    <row r="132" spans="1:40" s="42" customFormat="1" ht="20.25" customHeight="1">
      <c r="A132" s="35">
        <v>41542</v>
      </c>
      <c r="B132" s="65">
        <v>8</v>
      </c>
      <c r="C132" s="65" t="s">
        <v>288</v>
      </c>
      <c r="D132" s="65" t="s">
        <v>289</v>
      </c>
      <c r="E132" s="65" t="s">
        <v>290</v>
      </c>
      <c r="F132" s="65" t="s">
        <v>339</v>
      </c>
      <c r="G132" s="65" t="s">
        <v>340</v>
      </c>
      <c r="H132" s="65" t="s">
        <v>341</v>
      </c>
      <c r="I132" s="36"/>
      <c r="J132" s="36">
        <v>1</v>
      </c>
      <c r="K132" s="36" t="s">
        <v>229</v>
      </c>
      <c r="L132" s="36" t="s">
        <v>294</v>
      </c>
      <c r="M132" s="36">
        <v>1</v>
      </c>
      <c r="N132" s="36">
        <f t="shared" si="31"/>
        <v>100</v>
      </c>
      <c r="O132" s="65">
        <v>9.529421294127105E-2</v>
      </c>
      <c r="P132" s="40">
        <f t="shared" si="32"/>
        <v>9.529421294127105E-2</v>
      </c>
      <c r="Q132" s="36">
        <v>3138.9665687849133</v>
      </c>
      <c r="R132" s="40">
        <f t="shared" si="33"/>
        <v>3.0358466983660556E-3</v>
      </c>
      <c r="S132" s="36">
        <v>1000</v>
      </c>
      <c r="T132" s="95"/>
      <c r="U132" s="95"/>
      <c r="V132" s="95"/>
      <c r="W132" s="95"/>
      <c r="X132" s="95">
        <f>SUM(R132:R140)</f>
        <v>100.00000000000009</v>
      </c>
      <c r="Y132" s="37">
        <f t="shared" si="29"/>
        <v>3.0358466983660555E-5</v>
      </c>
      <c r="Z132" s="37">
        <f t="shared" si="34"/>
        <v>-10.402435101321077</v>
      </c>
      <c r="AA132" s="149">
        <f t="shared" si="30"/>
        <v>-3.1580198257312756E-4</v>
      </c>
      <c r="AB132" s="37">
        <f>SUM(AA132:AA140)*(-1)</f>
        <v>1.7843367964865728</v>
      </c>
      <c r="AC132" s="98">
        <v>9</v>
      </c>
      <c r="AD132" s="98">
        <f t="shared" ref="AD132:AD174" si="35">LN(AC132)</f>
        <v>2.1972245773362196</v>
      </c>
      <c r="AE132" s="98">
        <f>(AB132/AD132)</f>
        <v>0.81208667283787328</v>
      </c>
      <c r="AF132" s="36"/>
      <c r="AG132" s="36"/>
      <c r="AH132" s="36"/>
      <c r="AI132" s="41"/>
      <c r="AJ132" s="41"/>
      <c r="AK132" s="41"/>
      <c r="AL132" s="41"/>
      <c r="AM132" s="41"/>
      <c r="AN132" s="41"/>
    </row>
    <row r="133" spans="1:40" s="42" customFormat="1" ht="20.25" customHeight="1">
      <c r="A133" s="13">
        <v>41542</v>
      </c>
      <c r="B133" s="3">
        <v>8</v>
      </c>
      <c r="C133" s="3" t="s">
        <v>223</v>
      </c>
      <c r="D133" s="3" t="s">
        <v>224</v>
      </c>
      <c r="E133" s="3" t="s">
        <v>225</v>
      </c>
      <c r="F133" s="3" t="s">
        <v>226</v>
      </c>
      <c r="G133" s="3" t="s">
        <v>227</v>
      </c>
      <c r="H133" s="3" t="s">
        <v>228</v>
      </c>
      <c r="I133" s="3"/>
      <c r="J133" s="3">
        <v>64</v>
      </c>
      <c r="K133" s="3" t="s">
        <v>229</v>
      </c>
      <c r="L133" s="3" t="s">
        <v>228</v>
      </c>
      <c r="M133" s="3">
        <v>183</v>
      </c>
      <c r="N133" s="3">
        <f t="shared" si="31"/>
        <v>34.972677595628419</v>
      </c>
      <c r="O133" s="36">
        <v>3138.8712745719722</v>
      </c>
      <c r="P133" s="8">
        <f t="shared" si="32"/>
        <v>1097.7473309978484</v>
      </c>
      <c r="Q133" s="36">
        <v>3138.9665687849133</v>
      </c>
      <c r="R133" s="8">
        <f t="shared" si="33"/>
        <v>34.971615878750306</v>
      </c>
      <c r="S133" s="3">
        <v>250</v>
      </c>
      <c r="T133" s="95"/>
      <c r="U133" s="95"/>
      <c r="V133" s="95"/>
      <c r="W133" s="95"/>
      <c r="X133" s="95"/>
      <c r="Y133" s="37">
        <f t="shared" si="29"/>
        <v>0.34971615878750306</v>
      </c>
      <c r="Z133" s="37">
        <f t="shared" si="34"/>
        <v>-1.0506334284095602</v>
      </c>
      <c r="AA133" s="149">
        <f t="shared" si="30"/>
        <v>-0.3674234868771365</v>
      </c>
      <c r="AB133" s="37"/>
      <c r="AC133" s="98"/>
      <c r="AD133" s="98"/>
      <c r="AE133" s="98"/>
      <c r="AF133" s="3"/>
      <c r="AG133" s="3"/>
      <c r="AH133" s="36"/>
      <c r="AI133" s="41"/>
      <c r="AJ133" s="41"/>
      <c r="AK133" s="41"/>
      <c r="AL133" s="41"/>
      <c r="AM133" s="41"/>
      <c r="AN133" s="41"/>
    </row>
    <row r="134" spans="1:40" customFormat="1" ht="20.25" customHeight="1">
      <c r="A134" s="13">
        <v>41542</v>
      </c>
      <c r="B134" s="3">
        <v>8</v>
      </c>
      <c r="C134" s="34" t="s">
        <v>223</v>
      </c>
      <c r="D134" s="34" t="s">
        <v>224</v>
      </c>
      <c r="E134" s="34" t="s">
        <v>304</v>
      </c>
      <c r="F134" s="34" t="s">
        <v>329</v>
      </c>
      <c r="G134" s="34" t="s">
        <v>330</v>
      </c>
      <c r="H134" s="51" t="s">
        <v>307</v>
      </c>
      <c r="I134" s="3"/>
      <c r="J134" s="3">
        <v>13</v>
      </c>
      <c r="K134" s="3" t="s">
        <v>229</v>
      </c>
      <c r="L134" s="3" t="s">
        <v>307</v>
      </c>
      <c r="M134" s="3">
        <v>183</v>
      </c>
      <c r="N134" s="3">
        <f t="shared" si="31"/>
        <v>7.1038251366120218</v>
      </c>
      <c r="O134" s="36">
        <v>3138.8712745719722</v>
      </c>
      <c r="P134" s="8">
        <f t="shared" si="32"/>
        <v>222.97992660893792</v>
      </c>
      <c r="Q134" s="36">
        <v>3138.9665687849101</v>
      </c>
      <c r="R134" s="8">
        <f t="shared" si="33"/>
        <v>7.1036094753711616</v>
      </c>
      <c r="S134" s="3">
        <v>250</v>
      </c>
      <c r="T134" s="95"/>
      <c r="U134" s="95"/>
      <c r="V134" s="95"/>
      <c r="W134" s="95"/>
      <c r="X134" s="95"/>
      <c r="Y134" s="37">
        <f t="shared" si="29"/>
        <v>7.1036094753711615E-2</v>
      </c>
      <c r="Z134" s="37">
        <f t="shared" si="34"/>
        <v>-2.6445671543076945</v>
      </c>
      <c r="AA134" s="149">
        <f t="shared" si="30"/>
        <v>-0.18785972295595488</v>
      </c>
      <c r="AB134" s="37"/>
      <c r="AC134" s="98"/>
      <c r="AD134" s="98"/>
      <c r="AE134" s="98"/>
      <c r="AF134" s="36" t="s">
        <v>308</v>
      </c>
      <c r="AG134" s="3"/>
      <c r="AH134" s="36"/>
      <c r="AI134" s="3"/>
      <c r="AJ134" s="3"/>
      <c r="AK134" s="3"/>
      <c r="AL134" s="3"/>
      <c r="AM134" s="3"/>
      <c r="AN134" s="3"/>
    </row>
    <row r="135" spans="1:40" customFormat="1" ht="20.25" customHeight="1">
      <c r="A135" s="13">
        <v>41542</v>
      </c>
      <c r="B135" s="3">
        <v>8</v>
      </c>
      <c r="C135" s="3" t="s">
        <v>295</v>
      </c>
      <c r="D135" s="3" t="s">
        <v>296</v>
      </c>
      <c r="E135" s="3"/>
      <c r="F135" s="3" t="s">
        <v>297</v>
      </c>
      <c r="G135" s="3" t="s">
        <v>298</v>
      </c>
      <c r="H135" s="3" t="s">
        <v>299</v>
      </c>
      <c r="I135" s="3"/>
      <c r="J135" s="3">
        <v>7</v>
      </c>
      <c r="K135" s="3" t="s">
        <v>229</v>
      </c>
      <c r="L135" s="3" t="s">
        <v>479</v>
      </c>
      <c r="M135" s="3">
        <v>183</v>
      </c>
      <c r="N135" s="3">
        <f t="shared" si="31"/>
        <v>3.8251366120218582</v>
      </c>
      <c r="O135" s="36">
        <v>3138.8712745719722</v>
      </c>
      <c r="P135" s="8">
        <f t="shared" si="32"/>
        <v>120.06611432788965</v>
      </c>
      <c r="Q135" s="36">
        <v>3138.9665687849101</v>
      </c>
      <c r="R135" s="8">
        <f t="shared" si="33"/>
        <v>3.8250204867383184</v>
      </c>
      <c r="S135" s="3">
        <v>250</v>
      </c>
      <c r="T135" s="95"/>
      <c r="U135" s="95"/>
      <c r="V135" s="95"/>
      <c r="W135" s="95"/>
      <c r="X135" s="95"/>
      <c r="Y135" s="37">
        <f t="shared" si="29"/>
        <v>3.8250204867383182E-2</v>
      </c>
      <c r="Z135" s="37">
        <f t="shared" si="34"/>
        <v>-3.2636063627139178</v>
      </c>
      <c r="AA135" s="149">
        <f t="shared" si="30"/>
        <v>-0.12483361198030263</v>
      </c>
      <c r="AB135" s="37"/>
      <c r="AC135" s="98"/>
      <c r="AD135" s="98"/>
      <c r="AE135" s="98"/>
      <c r="AF135" s="3" t="s">
        <v>222</v>
      </c>
      <c r="AG135" s="3"/>
      <c r="AH135" s="36"/>
      <c r="AI135" s="3"/>
      <c r="AJ135" s="3"/>
      <c r="AK135" s="3"/>
      <c r="AL135" s="3"/>
      <c r="AM135" s="3"/>
      <c r="AN135" s="3"/>
    </row>
    <row r="136" spans="1:40" customFormat="1" ht="20.25" customHeight="1">
      <c r="A136" s="71">
        <v>41542</v>
      </c>
      <c r="B136" s="3">
        <v>8</v>
      </c>
      <c r="C136" s="3" t="s">
        <v>223</v>
      </c>
      <c r="D136" s="3" t="s">
        <v>224</v>
      </c>
      <c r="E136" s="3" t="s">
        <v>225</v>
      </c>
      <c r="F136" s="3" t="s">
        <v>226</v>
      </c>
      <c r="G136" s="3" t="s">
        <v>235</v>
      </c>
      <c r="H136" s="3" t="s">
        <v>236</v>
      </c>
      <c r="I136" s="3" t="s">
        <v>237</v>
      </c>
      <c r="J136" s="3">
        <v>15</v>
      </c>
      <c r="K136" s="3" t="s">
        <v>247</v>
      </c>
      <c r="L136" s="3" t="s">
        <v>238</v>
      </c>
      <c r="M136" s="3">
        <v>183</v>
      </c>
      <c r="N136" s="3">
        <f t="shared" si="31"/>
        <v>8.1967213114754092</v>
      </c>
      <c r="O136" s="36">
        <v>3138.8712745719722</v>
      </c>
      <c r="P136" s="8">
        <f t="shared" si="32"/>
        <v>257.28453070262066</v>
      </c>
      <c r="Q136" s="36">
        <v>3138.9665687849101</v>
      </c>
      <c r="R136" s="8">
        <f t="shared" si="33"/>
        <v>8.1964724715821102</v>
      </c>
      <c r="S136" s="3">
        <v>250</v>
      </c>
      <c r="T136" s="95"/>
      <c r="U136" s="95"/>
      <c r="V136" s="95"/>
      <c r="W136" s="95"/>
      <c r="X136" s="95"/>
      <c r="Y136" s="37">
        <f t="shared" si="29"/>
        <v>8.19647247158211E-2</v>
      </c>
      <c r="Z136" s="37">
        <f t="shared" si="34"/>
        <v>-2.5014663106670212</v>
      </c>
      <c r="AA136" s="149">
        <f t="shared" si="30"/>
        <v>-0.20503199753972301</v>
      </c>
      <c r="AB136" s="37"/>
      <c r="AC136" s="98"/>
      <c r="AD136" s="98"/>
      <c r="AE136" s="98"/>
      <c r="AF136" s="3"/>
      <c r="AG136" s="3"/>
      <c r="AH136" s="36"/>
      <c r="AI136" s="3"/>
      <c r="AJ136" s="3"/>
      <c r="AK136" s="3"/>
      <c r="AL136" s="3"/>
      <c r="AM136" s="3"/>
      <c r="AN136" s="3"/>
    </row>
    <row r="137" spans="1:40" customFormat="1" ht="20.25" customHeight="1">
      <c r="A137" s="71">
        <v>41542</v>
      </c>
      <c r="B137" s="3">
        <v>8</v>
      </c>
      <c r="C137" s="51" t="s">
        <v>223</v>
      </c>
      <c r="D137" s="51" t="s">
        <v>224</v>
      </c>
      <c r="E137" s="51" t="s">
        <v>225</v>
      </c>
      <c r="F137" s="51" t="s">
        <v>226</v>
      </c>
      <c r="G137" s="51" t="s">
        <v>239</v>
      </c>
      <c r="H137" s="3" t="s">
        <v>240</v>
      </c>
      <c r="I137" s="3"/>
      <c r="J137" s="3">
        <v>27</v>
      </c>
      <c r="K137" s="3" t="s">
        <v>229</v>
      </c>
      <c r="L137" s="3" t="s">
        <v>240</v>
      </c>
      <c r="M137" s="3">
        <v>183</v>
      </c>
      <c r="N137" s="3">
        <f t="shared" si="31"/>
        <v>14.754098360655737</v>
      </c>
      <c r="O137" s="36">
        <v>3138.8712745719722</v>
      </c>
      <c r="P137" s="8">
        <f t="shared" si="32"/>
        <v>463.11215526471722</v>
      </c>
      <c r="Q137" s="36">
        <v>3138.9665687849101</v>
      </c>
      <c r="R137" s="8">
        <f t="shared" si="33"/>
        <v>14.7536504488478</v>
      </c>
      <c r="S137" s="3">
        <v>250</v>
      </c>
      <c r="T137" s="95"/>
      <c r="U137" s="95"/>
      <c r="V137" s="95"/>
      <c r="W137" s="95"/>
      <c r="X137" s="95"/>
      <c r="Y137" s="37">
        <f t="shared" si="29"/>
        <v>0.14753650448847799</v>
      </c>
      <c r="Z137" s="37">
        <f t="shared" si="34"/>
        <v>-1.9136796457649019</v>
      </c>
      <c r="AA137" s="149">
        <f t="shared" si="30"/>
        <v>-0.28233760564690241</v>
      </c>
      <c r="AB137" s="37"/>
      <c r="AC137" s="98"/>
      <c r="AD137" s="98"/>
      <c r="AE137" s="98"/>
      <c r="AF137" s="3"/>
      <c r="AG137" s="3"/>
      <c r="AH137" s="36"/>
      <c r="AI137" s="3"/>
      <c r="AJ137" s="3"/>
      <c r="AK137" s="3"/>
      <c r="AL137" s="3"/>
      <c r="AM137" s="3"/>
      <c r="AN137" s="3"/>
    </row>
    <row r="138" spans="1:40" customFormat="1" ht="20.25" customHeight="1">
      <c r="A138" s="13">
        <v>41542</v>
      </c>
      <c r="B138" s="3">
        <v>8</v>
      </c>
      <c r="C138" s="3" t="s">
        <v>223</v>
      </c>
      <c r="D138" s="3" t="s">
        <v>224</v>
      </c>
      <c r="E138" s="3" t="s">
        <v>225</v>
      </c>
      <c r="F138" s="3" t="s">
        <v>248</v>
      </c>
      <c r="G138" s="3" t="s">
        <v>249</v>
      </c>
      <c r="H138" s="3" t="s">
        <v>250</v>
      </c>
      <c r="I138" s="3" t="s">
        <v>251</v>
      </c>
      <c r="J138" s="3">
        <v>24</v>
      </c>
      <c r="K138" s="3" t="s">
        <v>247</v>
      </c>
      <c r="L138" s="3" t="s">
        <v>250</v>
      </c>
      <c r="M138" s="3">
        <v>183</v>
      </c>
      <c r="N138" s="3">
        <f t="shared" si="31"/>
        <v>13.114754098360656</v>
      </c>
      <c r="O138" s="36">
        <v>3138.8712745719722</v>
      </c>
      <c r="P138" s="8">
        <f t="shared" si="32"/>
        <v>411.65524912419312</v>
      </c>
      <c r="Q138" s="36">
        <v>3138.9665687849101</v>
      </c>
      <c r="R138" s="8">
        <f t="shared" si="33"/>
        <v>13.114355954531376</v>
      </c>
      <c r="S138" s="3">
        <v>250</v>
      </c>
      <c r="T138" s="95"/>
      <c r="U138" s="95"/>
      <c r="V138" s="95"/>
      <c r="W138" s="95"/>
      <c r="X138" s="95"/>
      <c r="Y138" s="37">
        <f t="shared" si="29"/>
        <v>0.13114355954531376</v>
      </c>
      <c r="Z138" s="37">
        <f t="shared" si="34"/>
        <v>-2.0314626814212855</v>
      </c>
      <c r="AA138" s="149">
        <f t="shared" si="30"/>
        <v>-0.2664132471250551</v>
      </c>
      <c r="AB138" s="37"/>
      <c r="AC138" s="98"/>
      <c r="AD138" s="98"/>
      <c r="AE138" s="98"/>
      <c r="AF138" s="3"/>
      <c r="AG138" s="3"/>
      <c r="AH138" s="36"/>
      <c r="AI138" s="3"/>
      <c r="AJ138" s="3"/>
      <c r="AK138" s="3"/>
      <c r="AL138" s="3"/>
      <c r="AM138" s="3"/>
      <c r="AN138" s="3"/>
    </row>
    <row r="139" spans="1:40" customFormat="1" ht="20.25" customHeight="1">
      <c r="A139" s="13">
        <v>41542</v>
      </c>
      <c r="B139" s="3">
        <v>8</v>
      </c>
      <c r="C139" s="3" t="s">
        <v>223</v>
      </c>
      <c r="D139" s="3" t="s">
        <v>224</v>
      </c>
      <c r="E139" s="3" t="s">
        <v>225</v>
      </c>
      <c r="F139" s="3" t="s">
        <v>226</v>
      </c>
      <c r="G139" s="3" t="s">
        <v>253</v>
      </c>
      <c r="H139" s="3" t="s">
        <v>256</v>
      </c>
      <c r="I139" s="3"/>
      <c r="J139" s="3">
        <v>31</v>
      </c>
      <c r="K139" s="3" t="s">
        <v>229</v>
      </c>
      <c r="L139" s="3" t="s">
        <v>256</v>
      </c>
      <c r="M139" s="3">
        <v>183</v>
      </c>
      <c r="N139" s="3">
        <f t="shared" si="31"/>
        <v>16.939890710382514</v>
      </c>
      <c r="O139" s="36">
        <v>3138.8712745719722</v>
      </c>
      <c r="P139" s="8">
        <f t="shared" si="32"/>
        <v>531.72136345208276</v>
      </c>
      <c r="Q139" s="36">
        <v>3138.9665687849101</v>
      </c>
      <c r="R139" s="8">
        <f t="shared" si="33"/>
        <v>16.939376441269694</v>
      </c>
      <c r="S139" s="3">
        <v>250</v>
      </c>
      <c r="T139" s="95"/>
      <c r="U139" s="95"/>
      <c r="V139" s="95"/>
      <c r="W139" s="95"/>
      <c r="X139" s="95"/>
      <c r="Y139" s="37">
        <f t="shared" si="29"/>
        <v>0.16939376441269693</v>
      </c>
      <c r="Z139" s="37">
        <f t="shared" si="34"/>
        <v>-1.775529307284085</v>
      </c>
      <c r="AA139" s="149">
        <f t="shared" si="30"/>
        <v>-0.30076359318591928</v>
      </c>
      <c r="AB139" s="37"/>
      <c r="AC139" s="98"/>
      <c r="AD139" s="98"/>
      <c r="AE139" s="98"/>
      <c r="AF139" s="3"/>
      <c r="AG139" s="3"/>
      <c r="AH139" s="36"/>
      <c r="AI139" s="3"/>
      <c r="AJ139" s="3"/>
      <c r="AK139" s="3"/>
      <c r="AL139" s="3"/>
      <c r="AM139" s="3"/>
      <c r="AN139" s="3"/>
    </row>
    <row r="140" spans="1:40" customFormat="1" ht="20.25" customHeight="1">
      <c r="A140" s="71">
        <v>41542</v>
      </c>
      <c r="B140" s="51">
        <v>8</v>
      </c>
      <c r="C140" s="3" t="s">
        <v>223</v>
      </c>
      <c r="D140" s="3" t="s">
        <v>224</v>
      </c>
      <c r="E140" s="3" t="s">
        <v>225</v>
      </c>
      <c r="F140" s="3" t="s">
        <v>226</v>
      </c>
      <c r="G140" s="3" t="s">
        <v>239</v>
      </c>
      <c r="H140" s="3" t="s">
        <v>258</v>
      </c>
      <c r="I140" s="3" t="s">
        <v>259</v>
      </c>
      <c r="J140" s="3">
        <v>2</v>
      </c>
      <c r="K140" s="3" t="s">
        <v>247</v>
      </c>
      <c r="L140" s="3" t="s">
        <v>260</v>
      </c>
      <c r="M140" s="3">
        <v>183</v>
      </c>
      <c r="N140" s="3">
        <f t="shared" si="31"/>
        <v>1.0928961748633881</v>
      </c>
      <c r="O140" s="36">
        <v>3138.8712745719722</v>
      </c>
      <c r="P140" s="8">
        <f t="shared" si="32"/>
        <v>34.304604093682762</v>
      </c>
      <c r="Q140" s="36">
        <v>3138.9665687849101</v>
      </c>
      <c r="R140" s="8">
        <f t="shared" si="33"/>
        <v>1.0928629962109482</v>
      </c>
      <c r="S140" s="3">
        <v>250</v>
      </c>
      <c r="T140" s="95"/>
      <c r="U140" s="95"/>
      <c r="V140" s="95"/>
      <c r="W140" s="95"/>
      <c r="X140" s="95"/>
      <c r="Y140" s="37">
        <f t="shared" si="29"/>
        <v>1.0928629962109481E-2</v>
      </c>
      <c r="Z140" s="37">
        <f t="shared" si="34"/>
        <v>-4.5163693312092859</v>
      </c>
      <c r="AA140" s="149">
        <f t="shared" si="30"/>
        <v>-4.9357729193006163E-2</v>
      </c>
      <c r="AB140" s="37"/>
      <c r="AC140" s="98"/>
      <c r="AD140" s="98"/>
      <c r="AE140" s="98"/>
      <c r="AF140" s="3"/>
      <c r="AG140" s="3"/>
      <c r="AH140" s="36"/>
      <c r="AI140" s="3"/>
      <c r="AJ140" s="3"/>
      <c r="AK140" s="3"/>
      <c r="AL140" s="3"/>
      <c r="AM140" s="3"/>
      <c r="AN140" s="3"/>
    </row>
    <row r="141" spans="1:40" customFormat="1" ht="20.25" customHeight="1">
      <c r="A141" s="35">
        <v>41542</v>
      </c>
      <c r="B141" s="65">
        <v>5</v>
      </c>
      <c r="C141" s="36" t="s">
        <v>209</v>
      </c>
      <c r="D141" s="36" t="s">
        <v>210</v>
      </c>
      <c r="E141" s="36"/>
      <c r="F141" s="36" t="s">
        <v>211</v>
      </c>
      <c r="G141" s="36" t="s">
        <v>212</v>
      </c>
      <c r="H141" s="36" t="s">
        <v>213</v>
      </c>
      <c r="I141" s="36" t="s">
        <v>214</v>
      </c>
      <c r="J141" s="36">
        <v>3</v>
      </c>
      <c r="K141" s="36" t="s">
        <v>247</v>
      </c>
      <c r="L141" s="36" t="s">
        <v>215</v>
      </c>
      <c r="M141" s="36">
        <v>41</v>
      </c>
      <c r="N141" s="36">
        <f t="shared" si="31"/>
        <v>7.3170731707317067</v>
      </c>
      <c r="O141" s="36">
        <v>2.334530650204746</v>
      </c>
      <c r="P141" s="40">
        <f t="shared" si="32"/>
        <v>0.17081931586863994</v>
      </c>
      <c r="Q141" s="36">
        <v>7247.1936664414907</v>
      </c>
      <c r="R141" s="40">
        <f t="shared" si="33"/>
        <v>2.3570408592725718E-3</v>
      </c>
      <c r="S141" s="36">
        <v>1000</v>
      </c>
      <c r="T141" s="95"/>
      <c r="U141" s="95"/>
      <c r="V141" s="95"/>
      <c r="W141" s="95"/>
      <c r="X141" s="95">
        <f>SUM(R141:R156)</f>
        <v>100.00000000000001</v>
      </c>
      <c r="Y141" s="37">
        <f t="shared" si="29"/>
        <v>2.3570408592725717E-5</v>
      </c>
      <c r="Z141" s="37">
        <f t="shared" si="34"/>
        <v>-10.655518505879016</v>
      </c>
      <c r="AA141" s="149">
        <f t="shared" si="30"/>
        <v>-2.5115492495091866E-4</v>
      </c>
      <c r="AB141" s="37">
        <f>SUM(AA141:AA156)*(-1)</f>
        <v>1.6128918088440627</v>
      </c>
      <c r="AC141" s="98">
        <v>15</v>
      </c>
      <c r="AD141" s="98">
        <f t="shared" si="35"/>
        <v>2.7080502011022101</v>
      </c>
      <c r="AE141" s="98">
        <f>(AB141/AD141)</f>
        <v>0.59559154707973871</v>
      </c>
      <c r="AF141" s="36"/>
      <c r="AG141" s="36"/>
      <c r="AH141" s="36"/>
      <c r="AI141" s="3"/>
      <c r="AJ141" s="3"/>
      <c r="AK141" s="3"/>
      <c r="AL141" s="3"/>
      <c r="AM141" s="3"/>
      <c r="AN141" s="3"/>
    </row>
    <row r="142" spans="1:40" customFormat="1" ht="20.25" customHeight="1">
      <c r="A142" s="35">
        <v>41542</v>
      </c>
      <c r="B142" s="65">
        <v>5</v>
      </c>
      <c r="C142" s="36" t="s">
        <v>223</v>
      </c>
      <c r="D142" s="36" t="s">
        <v>267</v>
      </c>
      <c r="E142" s="36"/>
      <c r="F142" s="36" t="s">
        <v>273</v>
      </c>
      <c r="G142" s="36" t="s">
        <v>274</v>
      </c>
      <c r="H142" s="36" t="s">
        <v>275</v>
      </c>
      <c r="I142" s="36" t="s">
        <v>276</v>
      </c>
      <c r="J142" s="36">
        <v>3</v>
      </c>
      <c r="K142" s="36" t="s">
        <v>247</v>
      </c>
      <c r="L142" s="36" t="s">
        <v>275</v>
      </c>
      <c r="M142" s="36">
        <v>41</v>
      </c>
      <c r="N142" s="36">
        <f t="shared" si="31"/>
        <v>7.3170731707317067</v>
      </c>
      <c r="O142" s="36">
        <v>2.334530650204746</v>
      </c>
      <c r="P142" s="40">
        <f t="shared" si="32"/>
        <v>0.17081931586863994</v>
      </c>
      <c r="Q142" s="36">
        <v>7247.1936664414907</v>
      </c>
      <c r="R142" s="40">
        <f t="shared" si="33"/>
        <v>2.3570408592725718E-3</v>
      </c>
      <c r="S142" s="36">
        <v>1000</v>
      </c>
      <c r="T142" s="95"/>
      <c r="U142" s="95"/>
      <c r="V142" s="95"/>
      <c r="W142" s="95"/>
      <c r="X142" s="95"/>
      <c r="Y142" s="37">
        <f t="shared" si="29"/>
        <v>2.3570408592725717E-5</v>
      </c>
      <c r="Z142" s="37">
        <f t="shared" si="34"/>
        <v>-10.655518505879016</v>
      </c>
      <c r="AA142" s="149">
        <f t="shared" si="30"/>
        <v>-2.5115492495091866E-4</v>
      </c>
      <c r="AB142" s="37"/>
      <c r="AC142" s="98" t="s">
        <v>328</v>
      </c>
      <c r="AD142" s="98"/>
      <c r="AE142" s="98"/>
      <c r="AF142" s="36"/>
      <c r="AG142" s="36"/>
      <c r="AH142" s="36"/>
      <c r="AI142" s="3"/>
      <c r="AJ142" s="3"/>
      <c r="AK142" s="3"/>
      <c r="AL142" s="3"/>
      <c r="AM142" s="3"/>
      <c r="AN142" s="3"/>
    </row>
    <row r="143" spans="1:40" customFormat="1" ht="20.25" customHeight="1">
      <c r="A143" s="35">
        <v>41542</v>
      </c>
      <c r="B143" s="65">
        <v>5</v>
      </c>
      <c r="C143" s="36" t="s">
        <v>351</v>
      </c>
      <c r="D143" s="36"/>
      <c r="E143" s="36"/>
      <c r="F143" s="36"/>
      <c r="G143" s="36"/>
      <c r="H143" s="36"/>
      <c r="I143" s="36"/>
      <c r="J143" s="36">
        <v>17</v>
      </c>
      <c r="K143" s="36" t="s">
        <v>474</v>
      </c>
      <c r="L143" s="36" t="s">
        <v>352</v>
      </c>
      <c r="M143" s="36">
        <v>41</v>
      </c>
      <c r="N143" s="36">
        <f t="shared" si="31"/>
        <v>41.463414634146339</v>
      </c>
      <c r="O143" s="65">
        <v>2.334530650204746</v>
      </c>
      <c r="P143" s="40">
        <f t="shared" si="32"/>
        <v>0.96797612325562632</v>
      </c>
      <c r="Q143" s="36">
        <v>7247.1936664414898</v>
      </c>
      <c r="R143" s="40">
        <f t="shared" si="33"/>
        <v>1.3356564869211244E-2</v>
      </c>
      <c r="S143" s="36">
        <v>1000</v>
      </c>
      <c r="T143" s="95"/>
      <c r="U143" s="95"/>
      <c r="V143" s="95"/>
      <c r="W143" s="95"/>
      <c r="X143" s="95"/>
      <c r="Y143" s="37">
        <f t="shared" si="29"/>
        <v>1.3356564869211244E-4</v>
      </c>
      <c r="Z143" s="37">
        <f t="shared" si="34"/>
        <v>-8.9209174504909097</v>
      </c>
      <c r="AA143" s="149">
        <f t="shared" si="30"/>
        <v>-1.1915281262036043E-3</v>
      </c>
      <c r="AB143" s="37"/>
      <c r="AC143" s="98"/>
      <c r="AD143" s="98"/>
      <c r="AE143" s="98"/>
      <c r="AF143" s="36" t="s">
        <v>222</v>
      </c>
      <c r="AG143" s="36"/>
      <c r="AH143" s="36"/>
      <c r="AI143" s="3"/>
      <c r="AJ143" s="3"/>
      <c r="AK143" s="3"/>
      <c r="AL143" s="3"/>
      <c r="AM143" s="3"/>
      <c r="AN143" s="3"/>
    </row>
    <row r="144" spans="1:40" customFormat="1" ht="20.25" customHeight="1">
      <c r="A144" s="35">
        <v>41542</v>
      </c>
      <c r="B144" s="65">
        <v>5</v>
      </c>
      <c r="C144" s="36" t="s">
        <v>288</v>
      </c>
      <c r="D144" s="36" t="s">
        <v>289</v>
      </c>
      <c r="E144" s="36" t="s">
        <v>290</v>
      </c>
      <c r="F144" s="36" t="s">
        <v>339</v>
      </c>
      <c r="G144" s="36" t="s">
        <v>340</v>
      </c>
      <c r="H144" s="36" t="s">
        <v>341</v>
      </c>
      <c r="I144" s="36"/>
      <c r="J144" s="36">
        <v>2</v>
      </c>
      <c r="K144" s="36" t="s">
        <v>229</v>
      </c>
      <c r="L144" s="36" t="s">
        <v>294</v>
      </c>
      <c r="M144" s="36">
        <v>41</v>
      </c>
      <c r="N144" s="36">
        <f t="shared" si="31"/>
        <v>4.8780487804878048</v>
      </c>
      <c r="O144" s="65">
        <v>2.334530650204746</v>
      </c>
      <c r="P144" s="40">
        <f t="shared" si="32"/>
        <v>0.11387954391242663</v>
      </c>
      <c r="Q144" s="36">
        <v>7247.1936664414898</v>
      </c>
      <c r="R144" s="40">
        <f t="shared" si="33"/>
        <v>1.5713605728483817E-3</v>
      </c>
      <c r="S144" s="36">
        <v>1000</v>
      </c>
      <c r="T144" s="95"/>
      <c r="U144" s="95"/>
      <c r="V144" s="95"/>
      <c r="W144" s="95"/>
      <c r="X144" s="95"/>
      <c r="Y144" s="37">
        <f t="shared" si="29"/>
        <v>1.5713605728483817E-5</v>
      </c>
      <c r="Z144" s="37">
        <f t="shared" si="34"/>
        <v>-11.060983613987181</v>
      </c>
      <c r="AA144" s="149">
        <f t="shared" si="30"/>
        <v>-1.7380793547941461E-4</v>
      </c>
      <c r="AB144" s="37"/>
      <c r="AC144" s="98"/>
      <c r="AD144" s="98"/>
      <c r="AE144" s="98"/>
      <c r="AF144" s="36"/>
      <c r="AG144" s="36"/>
      <c r="AH144" s="36"/>
      <c r="AI144" s="3"/>
      <c r="AJ144" s="3"/>
      <c r="AK144" s="3"/>
      <c r="AL144" s="3"/>
      <c r="AM144" s="3"/>
      <c r="AN144" s="3"/>
    </row>
    <row r="145" spans="1:40" customFormat="1" ht="20.25" customHeight="1">
      <c r="A145" s="35">
        <v>41542</v>
      </c>
      <c r="B145" s="65">
        <v>5</v>
      </c>
      <c r="C145" s="36" t="s">
        <v>223</v>
      </c>
      <c r="D145" s="36" t="s">
        <v>267</v>
      </c>
      <c r="E145" s="36" t="s">
        <v>278</v>
      </c>
      <c r="F145" s="36" t="s">
        <v>279</v>
      </c>
      <c r="G145" s="36" t="s">
        <v>280</v>
      </c>
      <c r="H145" s="36" t="s">
        <v>284</v>
      </c>
      <c r="I145" s="36" t="s">
        <v>285</v>
      </c>
      <c r="J145" s="36">
        <v>16</v>
      </c>
      <c r="K145" s="36" t="s">
        <v>247</v>
      </c>
      <c r="L145" s="36" t="s">
        <v>283</v>
      </c>
      <c r="M145" s="36">
        <v>41</v>
      </c>
      <c r="N145" s="36">
        <f t="shared" si="31"/>
        <v>39.024390243902438</v>
      </c>
      <c r="O145" s="36">
        <v>2.334530650204746</v>
      </c>
      <c r="P145" s="40">
        <f t="shared" si="32"/>
        <v>0.91103635129941307</v>
      </c>
      <c r="Q145" s="36">
        <v>7247.1936664414898</v>
      </c>
      <c r="R145" s="40">
        <f t="shared" si="33"/>
        <v>1.2570884582787054E-2</v>
      </c>
      <c r="S145" s="36">
        <v>1000</v>
      </c>
      <c r="T145" s="95"/>
      <c r="U145" s="95"/>
      <c r="V145" s="95"/>
      <c r="W145" s="95"/>
      <c r="X145" s="95"/>
      <c r="Y145" s="37">
        <f t="shared" si="29"/>
        <v>1.2570884582787054E-4</v>
      </c>
      <c r="Z145" s="37">
        <f t="shared" si="34"/>
        <v>-8.9815420723073451</v>
      </c>
      <c r="AA145" s="149">
        <f t="shared" si="30"/>
        <v>-1.1290592876642168E-3</v>
      </c>
      <c r="AB145" s="37"/>
      <c r="AC145" s="98"/>
      <c r="AD145" s="98"/>
      <c r="AE145" s="98"/>
      <c r="AF145" s="36"/>
      <c r="AG145" s="36"/>
      <c r="AH145" s="36"/>
      <c r="AI145" s="3"/>
      <c r="AJ145" s="3"/>
      <c r="AK145" s="3"/>
      <c r="AL145" s="3"/>
      <c r="AM145" s="3"/>
      <c r="AN145" s="3"/>
    </row>
    <row r="146" spans="1:40" customFormat="1" ht="20.25" customHeight="1">
      <c r="A146" s="13">
        <v>41542</v>
      </c>
      <c r="B146" s="3">
        <v>5</v>
      </c>
      <c r="C146" s="3" t="s">
        <v>223</v>
      </c>
      <c r="D146" s="3" t="s">
        <v>224</v>
      </c>
      <c r="E146" s="3" t="s">
        <v>225</v>
      </c>
      <c r="F146" s="3" t="s">
        <v>226</v>
      </c>
      <c r="G146" s="3" t="s">
        <v>227</v>
      </c>
      <c r="H146" s="3" t="s">
        <v>228</v>
      </c>
      <c r="I146" s="3"/>
      <c r="J146" s="3">
        <v>94</v>
      </c>
      <c r="K146" s="3" t="s">
        <v>229</v>
      </c>
      <c r="L146" s="3" t="s">
        <v>228</v>
      </c>
      <c r="M146" s="3">
        <v>206</v>
      </c>
      <c r="N146" s="3">
        <f t="shared" si="31"/>
        <v>45.631067961165051</v>
      </c>
      <c r="O146" s="36">
        <v>7244.8591357912856</v>
      </c>
      <c r="P146" s="8">
        <f t="shared" si="32"/>
        <v>3305.9065959435966</v>
      </c>
      <c r="Q146" s="36">
        <v>7247.1936664414898</v>
      </c>
      <c r="R146" s="8">
        <f t="shared" si="33"/>
        <v>45.616368874641374</v>
      </c>
      <c r="S146" s="3">
        <v>250</v>
      </c>
      <c r="T146" s="95"/>
      <c r="U146" s="95"/>
      <c r="V146" s="95"/>
      <c r="W146" s="95"/>
      <c r="X146" s="95"/>
      <c r="Y146" s="37">
        <f t="shared" si="29"/>
        <v>0.45616368874641372</v>
      </c>
      <c r="Z146" s="37">
        <f t="shared" si="34"/>
        <v>-0.78490356733167543</v>
      </c>
      <c r="AA146" s="149">
        <f t="shared" si="30"/>
        <v>-0.3580445065842362</v>
      </c>
      <c r="AB146" s="37"/>
      <c r="AC146" s="98"/>
      <c r="AD146" s="98"/>
      <c r="AE146" s="98"/>
      <c r="AF146" s="3"/>
      <c r="AG146" s="3"/>
      <c r="AH146" s="36"/>
      <c r="AI146" s="3"/>
      <c r="AJ146" s="3"/>
      <c r="AK146" s="3"/>
      <c r="AL146" s="3"/>
      <c r="AM146" s="3"/>
      <c r="AN146" s="3"/>
    </row>
    <row r="147" spans="1:40" customFormat="1" ht="20.25" customHeight="1">
      <c r="A147" s="71">
        <v>41542</v>
      </c>
      <c r="B147" s="3">
        <v>5</v>
      </c>
      <c r="C147" s="3" t="s">
        <v>223</v>
      </c>
      <c r="D147" s="3" t="s">
        <v>224</v>
      </c>
      <c r="E147" s="3" t="s">
        <v>304</v>
      </c>
      <c r="F147" s="3" t="s">
        <v>329</v>
      </c>
      <c r="G147" s="3" t="s">
        <v>330</v>
      </c>
      <c r="H147" s="3" t="s">
        <v>307</v>
      </c>
      <c r="I147" s="3"/>
      <c r="J147" s="3">
        <v>3</v>
      </c>
      <c r="K147" s="3" t="s">
        <v>229</v>
      </c>
      <c r="L147" s="3" t="s">
        <v>307</v>
      </c>
      <c r="M147" s="3">
        <v>206</v>
      </c>
      <c r="N147" s="3">
        <f t="shared" si="31"/>
        <v>1.4563106796116505</v>
      </c>
      <c r="O147" s="36">
        <v>7244.8591357912856</v>
      </c>
      <c r="P147" s="8">
        <f t="shared" si="32"/>
        <v>105.50765731734882</v>
      </c>
      <c r="Q147" s="36">
        <v>7247.1936664414898</v>
      </c>
      <c r="R147" s="8">
        <f t="shared" si="33"/>
        <v>1.4558415598289798</v>
      </c>
      <c r="S147" s="3">
        <v>250</v>
      </c>
      <c r="T147" s="95"/>
      <c r="U147" s="95"/>
      <c r="V147" s="95"/>
      <c r="W147" s="95"/>
      <c r="X147" s="95"/>
      <c r="Y147" s="37">
        <f t="shared" si="29"/>
        <v>1.4558415598289798E-2</v>
      </c>
      <c r="Z147" s="37">
        <f t="shared" si="34"/>
        <v>-4.2295860609335696</v>
      </c>
      <c r="AA147" s="149">
        <f t="shared" si="30"/>
        <v>-6.1576071683804384E-2</v>
      </c>
      <c r="AB147" s="37"/>
      <c r="AC147" s="98"/>
      <c r="AD147" s="98"/>
      <c r="AE147" s="98"/>
      <c r="AF147" s="3" t="s">
        <v>354</v>
      </c>
      <c r="AG147" s="3"/>
      <c r="AH147" s="36"/>
      <c r="AI147" s="3"/>
      <c r="AJ147" s="3"/>
      <c r="AK147" s="3"/>
      <c r="AL147" s="3"/>
      <c r="AM147" s="3"/>
      <c r="AN147" s="3"/>
    </row>
    <row r="148" spans="1:40" customFormat="1" ht="20.25" customHeight="1">
      <c r="A148" s="71">
        <v>41542</v>
      </c>
      <c r="B148" s="3">
        <v>5</v>
      </c>
      <c r="C148" s="3" t="s">
        <v>223</v>
      </c>
      <c r="D148" s="3" t="s">
        <v>224</v>
      </c>
      <c r="E148" s="3" t="s">
        <v>304</v>
      </c>
      <c r="F148" s="3" t="s">
        <v>329</v>
      </c>
      <c r="G148" s="3" t="s">
        <v>330</v>
      </c>
      <c r="H148" s="3" t="s">
        <v>307</v>
      </c>
      <c r="I148" s="3"/>
      <c r="J148" s="3">
        <v>5</v>
      </c>
      <c r="K148" s="3" t="s">
        <v>229</v>
      </c>
      <c r="L148" s="3" t="s">
        <v>307</v>
      </c>
      <c r="M148" s="3">
        <v>206</v>
      </c>
      <c r="N148" s="3">
        <f t="shared" si="31"/>
        <v>2.4271844660194173</v>
      </c>
      <c r="O148" s="36">
        <v>7244.8591357912856</v>
      </c>
      <c r="P148" s="8">
        <f t="shared" si="32"/>
        <v>175.8460955289147</v>
      </c>
      <c r="Q148" s="36">
        <v>7247.1936664414898</v>
      </c>
      <c r="R148" s="8">
        <f t="shared" si="33"/>
        <v>2.4264025997149661</v>
      </c>
      <c r="S148" s="3">
        <v>250</v>
      </c>
      <c r="T148" s="95"/>
      <c r="U148" s="95"/>
      <c r="V148" s="95"/>
      <c r="W148" s="95"/>
      <c r="X148" s="95"/>
      <c r="Y148" s="37">
        <f t="shared" si="29"/>
        <v>2.426402599714966E-2</v>
      </c>
      <c r="Z148" s="37">
        <f t="shared" si="34"/>
        <v>-3.7187604371675791</v>
      </c>
      <c r="AA148" s="149">
        <f t="shared" si="30"/>
        <v>-9.0232099924605777E-2</v>
      </c>
      <c r="AB148" s="37"/>
      <c r="AC148" s="98"/>
      <c r="AD148" s="98"/>
      <c r="AE148" s="98"/>
      <c r="AF148" s="36" t="s">
        <v>308</v>
      </c>
      <c r="AG148" s="3"/>
      <c r="AH148" s="36"/>
      <c r="AI148" s="3"/>
      <c r="AJ148" s="3"/>
      <c r="AK148" s="3"/>
      <c r="AL148" s="3"/>
      <c r="AM148" s="3"/>
      <c r="AN148" s="3"/>
    </row>
    <row r="149" spans="1:40" customFormat="1" ht="20.25" customHeight="1">
      <c r="A149" s="71">
        <v>41542</v>
      </c>
      <c r="B149" s="3">
        <v>5</v>
      </c>
      <c r="C149" s="51" t="s">
        <v>295</v>
      </c>
      <c r="D149" s="3" t="s">
        <v>296</v>
      </c>
      <c r="E149" s="3"/>
      <c r="F149" s="51" t="s">
        <v>297</v>
      </c>
      <c r="G149" s="51" t="s">
        <v>298</v>
      </c>
      <c r="H149" s="51" t="s">
        <v>299</v>
      </c>
      <c r="I149" s="3"/>
      <c r="J149" s="3">
        <v>6</v>
      </c>
      <c r="K149" s="3" t="s">
        <v>229</v>
      </c>
      <c r="L149" s="3" t="s">
        <v>479</v>
      </c>
      <c r="M149" s="3">
        <v>206</v>
      </c>
      <c r="N149" s="3">
        <f t="shared" si="31"/>
        <v>2.912621359223301</v>
      </c>
      <c r="O149" s="36">
        <v>7244.8591357912856</v>
      </c>
      <c r="P149" s="8">
        <f t="shared" si="32"/>
        <v>211.01531463469763</v>
      </c>
      <c r="Q149" s="36">
        <v>7247.1936664414898</v>
      </c>
      <c r="R149" s="8">
        <f t="shared" si="33"/>
        <v>2.9116831196579596</v>
      </c>
      <c r="S149" s="3">
        <v>250</v>
      </c>
      <c r="T149" s="95"/>
      <c r="U149" s="95"/>
      <c r="V149" s="95"/>
      <c r="W149" s="95"/>
      <c r="X149" s="95"/>
      <c r="Y149" s="37">
        <f t="shared" si="29"/>
        <v>2.9116831196579596E-2</v>
      </c>
      <c r="Z149" s="37">
        <f t="shared" si="34"/>
        <v>-3.5364388803736246</v>
      </c>
      <c r="AA149" s="149">
        <f t="shared" si="30"/>
        <v>-0.10296989391685978</v>
      </c>
      <c r="AB149" s="37"/>
      <c r="AC149" s="98"/>
      <c r="AD149" s="98"/>
      <c r="AE149" s="98"/>
      <c r="AF149" s="3"/>
      <c r="AG149" s="3"/>
      <c r="AH149" s="36"/>
      <c r="AI149" s="3"/>
      <c r="AJ149" s="3"/>
      <c r="AK149" s="3"/>
      <c r="AL149" s="3"/>
      <c r="AM149" s="3"/>
      <c r="AN149" s="3"/>
    </row>
    <row r="150" spans="1:40" customFormat="1" ht="20.25" customHeight="1">
      <c r="A150" s="71">
        <v>41542</v>
      </c>
      <c r="B150" s="3">
        <v>5</v>
      </c>
      <c r="C150" s="51" t="s">
        <v>223</v>
      </c>
      <c r="D150" s="51" t="s">
        <v>224</v>
      </c>
      <c r="E150" s="51" t="s">
        <v>225</v>
      </c>
      <c r="F150" s="51" t="s">
        <v>226</v>
      </c>
      <c r="G150" s="51" t="s">
        <v>235</v>
      </c>
      <c r="H150" s="51" t="s">
        <v>236</v>
      </c>
      <c r="I150" s="3" t="s">
        <v>237</v>
      </c>
      <c r="J150" s="3">
        <v>8</v>
      </c>
      <c r="K150" s="3" t="s">
        <v>247</v>
      </c>
      <c r="L150" s="3" t="s">
        <v>238</v>
      </c>
      <c r="M150" s="3">
        <v>206</v>
      </c>
      <c r="N150" s="3">
        <f t="shared" si="31"/>
        <v>3.8834951456310676</v>
      </c>
      <c r="O150" s="36">
        <v>7244.8591357912856</v>
      </c>
      <c r="P150" s="8">
        <f t="shared" si="32"/>
        <v>281.35375284626349</v>
      </c>
      <c r="Q150" s="36">
        <v>7247.1936664414898</v>
      </c>
      <c r="R150" s="8">
        <f t="shared" si="33"/>
        <v>3.8822441595439461</v>
      </c>
      <c r="S150" s="3">
        <v>250</v>
      </c>
      <c r="T150" s="95"/>
      <c r="U150" s="95"/>
      <c r="V150" s="95"/>
      <c r="W150" s="95"/>
      <c r="X150" s="95"/>
      <c r="Y150" s="37">
        <f t="shared" si="29"/>
        <v>3.8822441595439461E-2</v>
      </c>
      <c r="Z150" s="37">
        <f t="shared" si="34"/>
        <v>-3.2487568079218434</v>
      </c>
      <c r="AA150" s="149">
        <f t="shared" si="30"/>
        <v>-0.12612467143333211</v>
      </c>
      <c r="AB150" s="37"/>
      <c r="AC150" s="98"/>
      <c r="AD150" s="98"/>
      <c r="AE150" s="98"/>
      <c r="AF150" s="3"/>
      <c r="AG150" s="3"/>
      <c r="AH150" s="36"/>
      <c r="AI150" s="3"/>
      <c r="AJ150" s="3"/>
      <c r="AK150" s="3"/>
      <c r="AL150" s="3"/>
      <c r="AM150" s="3"/>
      <c r="AN150" s="3"/>
    </row>
    <row r="151" spans="1:40" customFormat="1" ht="20.25" customHeight="1">
      <c r="A151" s="71">
        <v>41542</v>
      </c>
      <c r="B151" s="3">
        <v>5</v>
      </c>
      <c r="C151" s="3" t="s">
        <v>223</v>
      </c>
      <c r="D151" s="3" t="s">
        <v>310</v>
      </c>
      <c r="E151" s="3" t="s">
        <v>314</v>
      </c>
      <c r="F151" s="3" t="s">
        <v>311</v>
      </c>
      <c r="G151" s="3" t="s">
        <v>315</v>
      </c>
      <c r="H151" s="3" t="s">
        <v>347</v>
      </c>
      <c r="I151" s="3" t="s">
        <v>348</v>
      </c>
      <c r="J151" s="3">
        <v>1</v>
      </c>
      <c r="K151" s="3" t="s">
        <v>247</v>
      </c>
      <c r="L151" s="3" t="s">
        <v>345</v>
      </c>
      <c r="M151" s="3">
        <v>206</v>
      </c>
      <c r="N151" s="3">
        <f t="shared" si="31"/>
        <v>0.48543689320388345</v>
      </c>
      <c r="O151" s="36">
        <v>7244.8591357912856</v>
      </c>
      <c r="P151" s="8">
        <f t="shared" si="32"/>
        <v>35.169219105782936</v>
      </c>
      <c r="Q151" s="36">
        <v>7247.1936664414898</v>
      </c>
      <c r="R151" s="8">
        <f t="shared" si="33"/>
        <v>0.48528051994299326</v>
      </c>
      <c r="S151" s="3">
        <v>250</v>
      </c>
      <c r="T151" s="95"/>
      <c r="U151" s="95"/>
      <c r="V151" s="95"/>
      <c r="W151" s="95"/>
      <c r="X151" s="95"/>
      <c r="Y151" s="37">
        <f t="shared" si="29"/>
        <v>4.8528051994299326E-3</v>
      </c>
      <c r="Z151" s="37">
        <f t="shared" si="34"/>
        <v>-5.3281983496016796</v>
      </c>
      <c r="AA151" s="149">
        <f t="shared" si="30"/>
        <v>-2.5856708654541018E-2</v>
      </c>
      <c r="AB151" s="37"/>
      <c r="AC151" s="98"/>
      <c r="AD151" s="98"/>
      <c r="AE151" s="98"/>
      <c r="AF151" s="3"/>
      <c r="AG151" s="3"/>
      <c r="AH151" s="36"/>
      <c r="AI151" s="3"/>
      <c r="AJ151" s="3"/>
      <c r="AK151" s="3"/>
      <c r="AL151" s="3"/>
      <c r="AM151" s="3"/>
      <c r="AN151" s="3"/>
    </row>
    <row r="152" spans="1:40" customFormat="1" ht="20.25" customHeight="1">
      <c r="A152" s="71">
        <v>41542</v>
      </c>
      <c r="B152" s="3">
        <v>5</v>
      </c>
      <c r="C152" s="51" t="s">
        <v>223</v>
      </c>
      <c r="D152" s="3" t="s">
        <v>224</v>
      </c>
      <c r="E152" s="3" t="s">
        <v>225</v>
      </c>
      <c r="F152" s="51" t="s">
        <v>226</v>
      </c>
      <c r="G152" s="51" t="s">
        <v>239</v>
      </c>
      <c r="H152" s="51" t="s">
        <v>240</v>
      </c>
      <c r="I152" s="3"/>
      <c r="J152" s="3">
        <v>46</v>
      </c>
      <c r="K152" s="3" t="s">
        <v>229</v>
      </c>
      <c r="L152" s="3" t="s">
        <v>240</v>
      </c>
      <c r="M152" s="3">
        <v>206</v>
      </c>
      <c r="N152" s="3">
        <f t="shared" si="31"/>
        <v>22.330097087378643</v>
      </c>
      <c r="O152" s="36">
        <v>7244.8591357912856</v>
      </c>
      <c r="P152" s="8">
        <f t="shared" si="32"/>
        <v>1617.7840788660153</v>
      </c>
      <c r="Q152" s="36">
        <v>7247.1936664414898</v>
      </c>
      <c r="R152" s="8">
        <f t="shared" si="33"/>
        <v>22.322903917377694</v>
      </c>
      <c r="S152" s="3">
        <v>250</v>
      </c>
      <c r="T152" s="95"/>
      <c r="U152" s="95"/>
      <c r="V152" s="95"/>
      <c r="W152" s="95"/>
      <c r="X152" s="95"/>
      <c r="Y152" s="37">
        <f t="shared" si="29"/>
        <v>0.22322903917377693</v>
      </c>
      <c r="Z152" s="37">
        <f t="shared" si="34"/>
        <v>-1.4995569531125843</v>
      </c>
      <c r="AA152" s="149">
        <f t="shared" si="30"/>
        <v>-0.33474465782967866</v>
      </c>
      <c r="AB152" s="37"/>
      <c r="AC152" s="98"/>
      <c r="AD152" s="98"/>
      <c r="AE152" s="98"/>
      <c r="AF152" s="3"/>
      <c r="AG152" s="3"/>
      <c r="AH152" s="36"/>
      <c r="AI152" s="3"/>
      <c r="AJ152" s="3"/>
      <c r="AK152" s="3"/>
      <c r="AL152" s="3"/>
      <c r="AM152" s="3"/>
      <c r="AN152" s="3"/>
    </row>
    <row r="153" spans="1:40" customFormat="1" ht="20.25" customHeight="1">
      <c r="A153" s="71">
        <v>41542</v>
      </c>
      <c r="B153" s="3">
        <v>5</v>
      </c>
      <c r="C153" s="3" t="s">
        <v>223</v>
      </c>
      <c r="D153" s="3" t="s">
        <v>224</v>
      </c>
      <c r="E153" s="3" t="s">
        <v>225</v>
      </c>
      <c r="F153" s="3" t="s">
        <v>248</v>
      </c>
      <c r="G153" s="3" t="s">
        <v>249</v>
      </c>
      <c r="H153" s="3" t="s">
        <v>250</v>
      </c>
      <c r="I153" s="3" t="s">
        <v>251</v>
      </c>
      <c r="J153" s="3">
        <v>22</v>
      </c>
      <c r="K153" s="3" t="s">
        <v>247</v>
      </c>
      <c r="L153" s="3" t="s">
        <v>250</v>
      </c>
      <c r="M153" s="3">
        <v>206</v>
      </c>
      <c r="N153" s="3">
        <f t="shared" si="31"/>
        <v>10.679611650485436</v>
      </c>
      <c r="O153" s="36">
        <v>7244.8591357912856</v>
      </c>
      <c r="P153" s="8">
        <f t="shared" si="32"/>
        <v>773.72282032722467</v>
      </c>
      <c r="Q153" s="36">
        <v>7247.1936664414898</v>
      </c>
      <c r="R153" s="8">
        <f t="shared" si="33"/>
        <v>10.676171438745852</v>
      </c>
      <c r="S153" s="3">
        <v>250</v>
      </c>
      <c r="T153" s="95"/>
      <c r="U153" s="95"/>
      <c r="V153" s="95"/>
      <c r="W153" s="95"/>
      <c r="X153" s="95"/>
      <c r="Y153" s="37">
        <f t="shared" si="29"/>
        <v>0.10676171438745852</v>
      </c>
      <c r="Z153" s="37">
        <f t="shared" si="34"/>
        <v>-2.2371558962433635</v>
      </c>
      <c r="AA153" s="149">
        <f t="shared" si="30"/>
        <v>-0.23884259883495276</v>
      </c>
      <c r="AB153" s="37"/>
      <c r="AC153" s="98"/>
      <c r="AD153" s="98"/>
      <c r="AE153" s="98"/>
      <c r="AF153" s="3"/>
      <c r="AG153" s="3"/>
      <c r="AH153" s="36"/>
      <c r="AI153" s="3"/>
      <c r="AJ153" s="3"/>
      <c r="AK153" s="3"/>
      <c r="AL153" s="3"/>
      <c r="AM153" s="3"/>
      <c r="AN153" s="3"/>
    </row>
    <row r="154" spans="1:40" customFormat="1" ht="20.25" customHeight="1">
      <c r="A154" s="71">
        <v>41542</v>
      </c>
      <c r="B154" s="3">
        <v>5</v>
      </c>
      <c r="C154" s="51" t="s">
        <v>223</v>
      </c>
      <c r="D154" s="51" t="s">
        <v>224</v>
      </c>
      <c r="E154" s="51" t="s">
        <v>225</v>
      </c>
      <c r="F154" s="51" t="s">
        <v>226</v>
      </c>
      <c r="G154" s="51" t="s">
        <v>253</v>
      </c>
      <c r="H154" s="51" t="s">
        <v>256</v>
      </c>
      <c r="I154" s="3"/>
      <c r="J154" s="3">
        <v>19</v>
      </c>
      <c r="K154" s="3" t="s">
        <v>229</v>
      </c>
      <c r="L154" s="3" t="s">
        <v>256</v>
      </c>
      <c r="M154" s="3">
        <v>206</v>
      </c>
      <c r="N154" s="3">
        <f t="shared" si="31"/>
        <v>9.2233009708737868</v>
      </c>
      <c r="O154" s="36">
        <v>7244.8591357912856</v>
      </c>
      <c r="P154" s="8">
        <f t="shared" si="32"/>
        <v>668.21516300987582</v>
      </c>
      <c r="Q154" s="36">
        <v>7247.1936664414898</v>
      </c>
      <c r="R154" s="8">
        <f t="shared" si="33"/>
        <v>9.2203298789168713</v>
      </c>
      <c r="S154" s="3">
        <v>250</v>
      </c>
      <c r="T154" s="95"/>
      <c r="U154" s="95"/>
      <c r="V154" s="95"/>
      <c r="W154" s="95"/>
      <c r="X154" s="95"/>
      <c r="Y154" s="37">
        <f t="shared" si="29"/>
        <v>9.2203298789168719E-2</v>
      </c>
      <c r="Z154" s="37">
        <f t="shared" si="34"/>
        <v>-2.3837593704352389</v>
      </c>
      <c r="AA154" s="149">
        <f t="shared" si="30"/>
        <v>-0.21979047747372105</v>
      </c>
      <c r="AB154" s="37"/>
      <c r="AC154" s="98"/>
      <c r="AD154" s="98"/>
      <c r="AE154" s="98"/>
      <c r="AF154" s="3"/>
      <c r="AG154" s="3"/>
      <c r="AH154" s="36"/>
      <c r="AI154" s="3"/>
      <c r="AJ154" s="3"/>
      <c r="AK154" s="3"/>
      <c r="AL154" s="3"/>
      <c r="AM154" s="3"/>
      <c r="AN154" s="3"/>
    </row>
    <row r="155" spans="1:40" customFormat="1" ht="20.25" customHeight="1">
      <c r="A155" s="71">
        <v>41542</v>
      </c>
      <c r="B155" s="51">
        <v>5</v>
      </c>
      <c r="C155" s="3" t="s">
        <v>223</v>
      </c>
      <c r="D155" s="3" t="s">
        <v>224</v>
      </c>
      <c r="E155" s="3" t="s">
        <v>225</v>
      </c>
      <c r="F155" s="3" t="s">
        <v>226</v>
      </c>
      <c r="G155" s="3" t="s">
        <v>239</v>
      </c>
      <c r="H155" s="3" t="s">
        <v>258</v>
      </c>
      <c r="I155" s="3" t="s">
        <v>259</v>
      </c>
      <c r="J155" s="3">
        <v>1</v>
      </c>
      <c r="K155" s="3" t="s">
        <v>247</v>
      </c>
      <c r="L155" s="3" t="s">
        <v>260</v>
      </c>
      <c r="M155" s="3">
        <v>206</v>
      </c>
      <c r="N155" s="3">
        <f t="shared" si="31"/>
        <v>0.48543689320388345</v>
      </c>
      <c r="O155" s="36">
        <v>7244.8591357912856</v>
      </c>
      <c r="P155" s="8">
        <f t="shared" si="32"/>
        <v>35.169219105782936</v>
      </c>
      <c r="Q155" s="36">
        <v>7247.1936664414898</v>
      </c>
      <c r="R155" s="8">
        <f t="shared" si="33"/>
        <v>0.48528051994299326</v>
      </c>
      <c r="S155" s="3">
        <v>250</v>
      </c>
      <c r="T155" s="95"/>
      <c r="U155" s="95"/>
      <c r="V155" s="95"/>
      <c r="W155" s="95"/>
      <c r="X155" s="95"/>
      <c r="Y155" s="37">
        <f t="shared" si="29"/>
        <v>4.8528051994299326E-3</v>
      </c>
      <c r="Z155" s="37">
        <f t="shared" si="34"/>
        <v>-5.3281983496016796</v>
      </c>
      <c r="AA155" s="149">
        <f t="shared" si="30"/>
        <v>-2.5856708654541018E-2</v>
      </c>
      <c r="AB155" s="37"/>
      <c r="AC155" s="98"/>
      <c r="AD155" s="98"/>
      <c r="AE155" s="98"/>
      <c r="AF155" s="3"/>
      <c r="AG155" s="3"/>
      <c r="AH155" s="36"/>
      <c r="AI155" s="3"/>
      <c r="AJ155" s="3"/>
      <c r="AK155" s="3"/>
      <c r="AL155" s="3"/>
      <c r="AM155" s="3"/>
      <c r="AN155" s="3"/>
    </row>
    <row r="156" spans="1:40" customFormat="1" ht="20.25" customHeight="1">
      <c r="A156" s="13">
        <v>41542</v>
      </c>
      <c r="B156" s="51">
        <v>5</v>
      </c>
      <c r="C156" s="51" t="s">
        <v>328</v>
      </c>
      <c r="D156" s="3"/>
      <c r="E156" s="3"/>
      <c r="F156" s="51"/>
      <c r="G156" s="51"/>
      <c r="H156" s="51"/>
      <c r="I156" s="3"/>
      <c r="J156" s="3">
        <v>1</v>
      </c>
      <c r="K156" s="3" t="s">
        <v>328</v>
      </c>
      <c r="L156" s="3" t="s">
        <v>328</v>
      </c>
      <c r="M156" s="3">
        <v>206</v>
      </c>
      <c r="N156" s="3">
        <f t="shared" si="31"/>
        <v>0.48543689320388345</v>
      </c>
      <c r="O156" s="36">
        <v>7244.8591357912856</v>
      </c>
      <c r="P156" s="8">
        <f t="shared" si="32"/>
        <v>35.169219105782936</v>
      </c>
      <c r="Q156" s="36">
        <v>7247.1936664414898</v>
      </c>
      <c r="R156" s="8">
        <f t="shared" si="33"/>
        <v>0.48528051994299326</v>
      </c>
      <c r="S156" s="3">
        <v>250</v>
      </c>
      <c r="T156" s="95"/>
      <c r="U156" s="95"/>
      <c r="V156" s="95"/>
      <c r="W156" s="95"/>
      <c r="X156" s="95"/>
      <c r="Y156" s="37">
        <f t="shared" si="29"/>
        <v>4.8528051994299326E-3</v>
      </c>
      <c r="Z156" s="37">
        <f t="shared" si="34"/>
        <v>-5.3281983496016796</v>
      </c>
      <c r="AA156" s="149">
        <f t="shared" si="30"/>
        <v>-2.5856708654541018E-2</v>
      </c>
      <c r="AB156" s="37"/>
      <c r="AC156" s="98"/>
      <c r="AD156" s="98"/>
      <c r="AE156" s="98"/>
      <c r="AF156" s="3"/>
      <c r="AG156" s="3"/>
      <c r="AH156" s="36"/>
      <c r="AI156" s="3"/>
      <c r="AJ156" s="3"/>
      <c r="AK156" s="3"/>
      <c r="AL156" s="3"/>
      <c r="AM156" s="3"/>
      <c r="AN156" s="3"/>
    </row>
    <row r="157" spans="1:40" customFormat="1" ht="20.25" customHeight="1">
      <c r="A157" s="35">
        <v>41542</v>
      </c>
      <c r="B157" s="65">
        <v>4</v>
      </c>
      <c r="C157" s="36" t="s">
        <v>209</v>
      </c>
      <c r="D157" s="36" t="s">
        <v>210</v>
      </c>
      <c r="E157" s="36"/>
      <c r="F157" s="36" t="s">
        <v>211</v>
      </c>
      <c r="G157" s="36" t="s">
        <v>212</v>
      </c>
      <c r="H157" s="36" t="s">
        <v>213</v>
      </c>
      <c r="I157" s="36" t="s">
        <v>214</v>
      </c>
      <c r="J157" s="36">
        <v>1</v>
      </c>
      <c r="K157" s="36" t="s">
        <v>247</v>
      </c>
      <c r="L157" s="36" t="s">
        <v>215</v>
      </c>
      <c r="M157" s="36">
        <v>522</v>
      </c>
      <c r="N157" s="36">
        <f t="shared" si="31"/>
        <v>0.19157088122605362</v>
      </c>
      <c r="O157" s="36">
        <v>70.166162972786339</v>
      </c>
      <c r="P157" s="40">
        <f t="shared" si="32"/>
        <v>0.13441793672947572</v>
      </c>
      <c r="Q157" s="36">
        <v>6424.9537343107695</v>
      </c>
      <c r="R157" s="40">
        <f t="shared" si="33"/>
        <v>2.0921230297994554E-3</v>
      </c>
      <c r="S157" s="36">
        <v>1000</v>
      </c>
      <c r="T157" s="95"/>
      <c r="U157" s="95"/>
      <c r="V157" s="95"/>
      <c r="W157" s="95"/>
      <c r="X157" s="95">
        <f>SUM(R157:R173)</f>
        <v>99.999999999999986</v>
      </c>
      <c r="Y157" s="37">
        <f t="shared" si="29"/>
        <v>2.0921230297994554E-5</v>
      </c>
      <c r="Z157" s="37">
        <f t="shared" si="34"/>
        <v>-10.7747461108412</v>
      </c>
      <c r="AA157" s="149">
        <f t="shared" si="30"/>
        <v>-2.2542094478732988E-4</v>
      </c>
      <c r="AB157" s="37">
        <f>SUM(AA157:AA173)*(-1)</f>
        <v>1.6695232158010889</v>
      </c>
      <c r="AC157" s="98">
        <v>16</v>
      </c>
      <c r="AD157" s="98">
        <f t="shared" si="35"/>
        <v>2.7725887222397811</v>
      </c>
      <c r="AE157" s="98">
        <f>(AB157/AD157)</f>
        <v>0.60215321602130645</v>
      </c>
      <c r="AF157" s="36"/>
      <c r="AG157" s="36"/>
      <c r="AH157" s="36"/>
      <c r="AI157" s="3"/>
      <c r="AJ157" s="3"/>
      <c r="AK157" s="3"/>
      <c r="AL157" s="3"/>
      <c r="AM157" s="3"/>
      <c r="AN157" s="3"/>
    </row>
    <row r="158" spans="1:40" customFormat="1" ht="20.25" customHeight="1">
      <c r="A158" s="35">
        <v>41542</v>
      </c>
      <c r="B158" s="65">
        <v>4</v>
      </c>
      <c r="C158" s="36" t="s">
        <v>223</v>
      </c>
      <c r="D158" s="36" t="s">
        <v>267</v>
      </c>
      <c r="E158" s="36"/>
      <c r="F158" s="36" t="s">
        <v>273</v>
      </c>
      <c r="G158" s="36" t="s">
        <v>274</v>
      </c>
      <c r="H158" s="36" t="s">
        <v>275</v>
      </c>
      <c r="I158" s="36" t="s">
        <v>276</v>
      </c>
      <c r="J158" s="36">
        <v>6</v>
      </c>
      <c r="K158" s="36" t="s">
        <v>247</v>
      </c>
      <c r="L158" s="36" t="s">
        <v>275</v>
      </c>
      <c r="M158" s="36">
        <v>522</v>
      </c>
      <c r="N158" s="36">
        <f t="shared" si="31"/>
        <v>1.1494252873563218</v>
      </c>
      <c r="O158" s="36">
        <v>70.166162972786339</v>
      </c>
      <c r="P158" s="40">
        <f t="shared" si="32"/>
        <v>0.80650762037685442</v>
      </c>
      <c r="Q158" s="36">
        <v>6424.9537343107695</v>
      </c>
      <c r="R158" s="40">
        <f t="shared" si="33"/>
        <v>1.2552738178796735E-2</v>
      </c>
      <c r="S158" s="36">
        <v>1000</v>
      </c>
      <c r="T158" s="95"/>
      <c r="U158" s="95"/>
      <c r="V158" s="95"/>
      <c r="W158" s="95"/>
      <c r="X158" s="95"/>
      <c r="Y158" s="37">
        <f t="shared" si="29"/>
        <v>1.2552738178796735E-4</v>
      </c>
      <c r="Z158" s="37">
        <f t="shared" si="34"/>
        <v>-8.9829866416131452</v>
      </c>
      <c r="AA158" s="149">
        <f t="shared" si="30"/>
        <v>-1.1276107937579838E-3</v>
      </c>
      <c r="AB158" s="37"/>
      <c r="AC158" s="98"/>
      <c r="AD158" s="98"/>
      <c r="AE158" s="98"/>
      <c r="AF158" s="36"/>
      <c r="AG158" s="36"/>
      <c r="AH158" s="36"/>
      <c r="AI158" s="3"/>
      <c r="AJ158" s="3"/>
      <c r="AK158" s="3"/>
      <c r="AL158" s="3"/>
      <c r="AM158" s="3"/>
      <c r="AN158" s="3"/>
    </row>
    <row r="159" spans="1:40" customFormat="1" ht="20.25" customHeight="1">
      <c r="A159" s="35">
        <v>41542</v>
      </c>
      <c r="B159" s="65">
        <v>4</v>
      </c>
      <c r="C159" s="65" t="s">
        <v>288</v>
      </c>
      <c r="D159" s="65" t="s">
        <v>289</v>
      </c>
      <c r="E159" s="65" t="s">
        <v>290</v>
      </c>
      <c r="F159" s="65" t="s">
        <v>339</v>
      </c>
      <c r="G159" s="65" t="s">
        <v>340</v>
      </c>
      <c r="H159" s="36" t="s">
        <v>341</v>
      </c>
      <c r="I159" s="36"/>
      <c r="J159" s="36">
        <v>2</v>
      </c>
      <c r="K159" s="36" t="s">
        <v>229</v>
      </c>
      <c r="L159" s="36" t="s">
        <v>294</v>
      </c>
      <c r="M159" s="36">
        <v>522</v>
      </c>
      <c r="N159" s="36">
        <f t="shared" si="31"/>
        <v>0.38314176245210724</v>
      </c>
      <c r="O159" s="65">
        <v>70.166162972786339</v>
      </c>
      <c r="P159" s="40">
        <f t="shared" si="32"/>
        <v>0.26883587345895144</v>
      </c>
      <c r="Q159" s="36">
        <v>6424.9537343107704</v>
      </c>
      <c r="R159" s="40">
        <f t="shared" si="33"/>
        <v>4.18424605959891E-3</v>
      </c>
      <c r="S159" s="36">
        <v>1000</v>
      </c>
      <c r="T159" s="95"/>
      <c r="U159" s="95"/>
      <c r="V159" s="95"/>
      <c r="W159" s="95"/>
      <c r="X159" s="95"/>
      <c r="Y159" s="37">
        <f t="shared" si="29"/>
        <v>4.1842460595989101E-5</v>
      </c>
      <c r="Z159" s="37">
        <f t="shared" si="34"/>
        <v>-10.081598930281256</v>
      </c>
      <c r="AA159" s="149">
        <f t="shared" si="30"/>
        <v>-4.218389059848593E-4</v>
      </c>
      <c r="AB159" s="37"/>
      <c r="AC159" s="98"/>
      <c r="AD159" s="98"/>
      <c r="AE159" s="98"/>
      <c r="AF159" s="36"/>
      <c r="AG159" s="36"/>
      <c r="AH159" s="36"/>
      <c r="AI159" s="3"/>
      <c r="AJ159" s="3"/>
      <c r="AK159" s="3"/>
      <c r="AL159" s="3"/>
      <c r="AM159" s="3"/>
      <c r="AN159" s="3"/>
    </row>
    <row r="160" spans="1:40" customFormat="1" ht="20.25" customHeight="1">
      <c r="A160" s="35">
        <v>41542</v>
      </c>
      <c r="B160" s="65">
        <v>4</v>
      </c>
      <c r="C160" s="36" t="s">
        <v>223</v>
      </c>
      <c r="D160" s="36" t="s">
        <v>267</v>
      </c>
      <c r="E160" s="36"/>
      <c r="F160" s="36" t="s">
        <v>273</v>
      </c>
      <c r="G160" s="36"/>
      <c r="H160" s="36"/>
      <c r="I160" s="36"/>
      <c r="J160" s="36">
        <v>1</v>
      </c>
      <c r="K160" s="36" t="s">
        <v>508</v>
      </c>
      <c r="L160" s="36" t="s">
        <v>335</v>
      </c>
      <c r="M160" s="36">
        <v>522</v>
      </c>
      <c r="N160" s="36">
        <f t="shared" si="31"/>
        <v>0.19157088122605362</v>
      </c>
      <c r="O160" s="36">
        <v>70.166162972786339</v>
      </c>
      <c r="P160" s="40">
        <f t="shared" si="32"/>
        <v>0.13441793672947572</v>
      </c>
      <c r="Q160" s="36">
        <v>6424.9537343107704</v>
      </c>
      <c r="R160" s="40">
        <f t="shared" si="33"/>
        <v>2.092123029799455E-3</v>
      </c>
      <c r="S160" s="36">
        <v>1000</v>
      </c>
      <c r="T160" s="95"/>
      <c r="U160" s="95"/>
      <c r="V160" s="95"/>
      <c r="W160" s="95"/>
      <c r="X160" s="95"/>
      <c r="Y160" s="37">
        <f t="shared" si="29"/>
        <v>2.092123029799455E-5</v>
      </c>
      <c r="Z160" s="37">
        <f t="shared" si="34"/>
        <v>-10.774746110841201</v>
      </c>
      <c r="AA160" s="149">
        <f t="shared" si="30"/>
        <v>-2.2542094478732988E-4</v>
      </c>
      <c r="AB160" s="37"/>
      <c r="AC160" s="98"/>
      <c r="AD160" s="98"/>
      <c r="AE160" s="98"/>
      <c r="AF160" s="36"/>
      <c r="AG160" s="36"/>
      <c r="AH160" s="36"/>
      <c r="AI160" s="3"/>
      <c r="AJ160" s="3"/>
      <c r="AK160" s="3"/>
      <c r="AL160" s="3"/>
      <c r="AM160" s="3"/>
      <c r="AN160" s="3"/>
    </row>
    <row r="161" spans="1:40" s="42" customFormat="1" ht="20.25" customHeight="1">
      <c r="A161" s="72">
        <v>41542</v>
      </c>
      <c r="B161" s="65">
        <v>4</v>
      </c>
      <c r="C161" s="65" t="s">
        <v>223</v>
      </c>
      <c r="D161" s="65" t="s">
        <v>267</v>
      </c>
      <c r="E161" s="65" t="s">
        <v>278</v>
      </c>
      <c r="F161" s="65" t="s">
        <v>279</v>
      </c>
      <c r="G161" s="65" t="s">
        <v>280</v>
      </c>
      <c r="H161" s="36" t="s">
        <v>281</v>
      </c>
      <c r="I161" s="36" t="s">
        <v>282</v>
      </c>
      <c r="J161" s="36">
        <v>1</v>
      </c>
      <c r="K161" s="36" t="s">
        <v>247</v>
      </c>
      <c r="L161" s="36" t="s">
        <v>283</v>
      </c>
      <c r="M161" s="36">
        <v>522</v>
      </c>
      <c r="N161" s="36">
        <f t="shared" si="31"/>
        <v>0.19157088122605362</v>
      </c>
      <c r="O161" s="36">
        <v>70.166162972786339</v>
      </c>
      <c r="P161" s="40">
        <f t="shared" si="32"/>
        <v>0.13441793672947572</v>
      </c>
      <c r="Q161" s="36">
        <v>6424.9537343107704</v>
      </c>
      <c r="R161" s="40">
        <f t="shared" si="33"/>
        <v>2.092123029799455E-3</v>
      </c>
      <c r="S161" s="36">
        <v>1000</v>
      </c>
      <c r="T161" s="95"/>
      <c r="U161" s="95"/>
      <c r="V161" s="95"/>
      <c r="W161" s="95"/>
      <c r="X161" s="95"/>
      <c r="Y161" s="37">
        <f t="shared" si="29"/>
        <v>2.092123029799455E-5</v>
      </c>
      <c r="Z161" s="37">
        <f t="shared" si="34"/>
        <v>-10.774746110841201</v>
      </c>
      <c r="AA161" s="149">
        <f t="shared" si="30"/>
        <v>-2.2542094478732988E-4</v>
      </c>
      <c r="AB161" s="37"/>
      <c r="AC161" s="98"/>
      <c r="AD161" s="98"/>
      <c r="AE161" s="98"/>
      <c r="AF161" s="36"/>
      <c r="AG161" s="36"/>
      <c r="AH161" s="36"/>
      <c r="AI161" s="41"/>
      <c r="AJ161" s="41"/>
      <c r="AK161" s="41"/>
      <c r="AL161" s="41"/>
      <c r="AM161" s="41"/>
      <c r="AN161" s="41"/>
    </row>
    <row r="162" spans="1:40" s="42" customFormat="1" ht="20.25" customHeight="1">
      <c r="A162" s="35">
        <v>41542</v>
      </c>
      <c r="B162" s="65">
        <v>4</v>
      </c>
      <c r="C162" s="36" t="s">
        <v>223</v>
      </c>
      <c r="D162" s="36" t="s">
        <v>267</v>
      </c>
      <c r="E162" s="36" t="s">
        <v>278</v>
      </c>
      <c r="F162" s="36" t="s">
        <v>279</v>
      </c>
      <c r="G162" s="36" t="s">
        <v>280</v>
      </c>
      <c r="H162" s="36" t="s">
        <v>284</v>
      </c>
      <c r="I162" s="36" t="s">
        <v>285</v>
      </c>
      <c r="J162" s="36">
        <v>511</v>
      </c>
      <c r="K162" s="36" t="s">
        <v>247</v>
      </c>
      <c r="L162" s="36" t="s">
        <v>283</v>
      </c>
      <c r="M162" s="36">
        <v>522</v>
      </c>
      <c r="N162" s="36">
        <f t="shared" si="31"/>
        <v>97.892720306513411</v>
      </c>
      <c r="O162" s="36">
        <v>70.166162972786339</v>
      </c>
      <c r="P162" s="40">
        <f t="shared" si="32"/>
        <v>68.687565668762105</v>
      </c>
      <c r="Q162" s="36">
        <v>6424.9537343107704</v>
      </c>
      <c r="R162" s="40">
        <f t="shared" si="33"/>
        <v>1.0690748682275217</v>
      </c>
      <c r="S162" s="36">
        <v>1000</v>
      </c>
      <c r="T162" s="95"/>
      <c r="U162" s="95"/>
      <c r="V162" s="95"/>
      <c r="W162" s="95"/>
      <c r="X162" s="95"/>
      <c r="Y162" s="37">
        <f t="shared" si="29"/>
        <v>1.0690748682275217E-2</v>
      </c>
      <c r="Z162" s="37">
        <f t="shared" si="34"/>
        <v>-4.5383765206374962</v>
      </c>
      <c r="AA162" s="149">
        <f t="shared" si="30"/>
        <v>-4.8518642807674095E-2</v>
      </c>
      <c r="AB162" s="37"/>
      <c r="AC162" s="98"/>
      <c r="AD162" s="98"/>
      <c r="AE162" s="98"/>
      <c r="AF162" s="36" t="s">
        <v>605</v>
      </c>
      <c r="AG162" s="36"/>
      <c r="AH162" s="36"/>
      <c r="AI162" s="41"/>
      <c r="AJ162" s="41"/>
      <c r="AK162" s="41"/>
      <c r="AL162" s="41"/>
      <c r="AM162" s="41"/>
      <c r="AN162" s="41"/>
    </row>
    <row r="163" spans="1:40" customFormat="1" ht="20.25" customHeight="1">
      <c r="A163" s="13">
        <v>41542</v>
      </c>
      <c r="B163" s="3">
        <v>4</v>
      </c>
      <c r="C163" s="51" t="s">
        <v>223</v>
      </c>
      <c r="D163" s="3" t="s">
        <v>224</v>
      </c>
      <c r="E163" s="3" t="s">
        <v>225</v>
      </c>
      <c r="F163" s="51" t="s">
        <v>226</v>
      </c>
      <c r="G163" s="51" t="s">
        <v>227</v>
      </c>
      <c r="H163" s="51" t="s">
        <v>228</v>
      </c>
      <c r="I163" s="3"/>
      <c r="J163" s="3">
        <v>73</v>
      </c>
      <c r="K163" s="3" t="s">
        <v>229</v>
      </c>
      <c r="L163" s="3" t="s">
        <v>228</v>
      </c>
      <c r="M163" s="3">
        <v>159</v>
      </c>
      <c r="N163" s="3">
        <f t="shared" si="31"/>
        <v>45.911949685534594</v>
      </c>
      <c r="O163" s="36">
        <v>6354.7875713379835</v>
      </c>
      <c r="P163" s="8">
        <f t="shared" si="32"/>
        <v>2917.6068723753006</v>
      </c>
      <c r="Q163" s="36">
        <v>6424.9537343107704</v>
      </c>
      <c r="R163" s="8">
        <f t="shared" si="33"/>
        <v>45.410550690732457</v>
      </c>
      <c r="S163" s="3">
        <v>250</v>
      </c>
      <c r="T163" s="95"/>
      <c r="U163" s="95"/>
      <c r="V163" s="95"/>
      <c r="W163" s="95"/>
      <c r="X163" s="95"/>
      <c r="Y163" s="37">
        <f t="shared" si="29"/>
        <v>0.45410550690732454</v>
      </c>
      <c r="Z163" s="37">
        <f t="shared" si="34"/>
        <v>-0.78942571387111105</v>
      </c>
      <c r="AA163" s="149">
        <f t="shared" si="30"/>
        <v>-0.35848256396311745</v>
      </c>
      <c r="AB163" s="37"/>
      <c r="AC163" s="98"/>
      <c r="AD163" s="98"/>
      <c r="AE163" s="98"/>
      <c r="AF163" s="3"/>
      <c r="AG163" s="3"/>
      <c r="AH163" s="36"/>
      <c r="AI163" s="3"/>
      <c r="AJ163" s="3"/>
      <c r="AK163" s="3"/>
      <c r="AL163" s="3"/>
      <c r="AM163" s="3"/>
      <c r="AN163" s="3"/>
    </row>
    <row r="164" spans="1:40" customFormat="1" ht="20.25" customHeight="1">
      <c r="A164" s="13">
        <v>41542</v>
      </c>
      <c r="B164" s="3">
        <v>4</v>
      </c>
      <c r="C164" s="3" t="s">
        <v>223</v>
      </c>
      <c r="D164" s="3" t="s">
        <v>224</v>
      </c>
      <c r="E164" s="3" t="s">
        <v>304</v>
      </c>
      <c r="F164" s="3" t="s">
        <v>329</v>
      </c>
      <c r="G164" s="3" t="s">
        <v>330</v>
      </c>
      <c r="H164" s="3" t="s">
        <v>307</v>
      </c>
      <c r="I164" s="3"/>
      <c r="J164" s="3">
        <v>10</v>
      </c>
      <c r="K164" s="3" t="s">
        <v>229</v>
      </c>
      <c r="L164" s="3" t="s">
        <v>307</v>
      </c>
      <c r="M164" s="3">
        <v>159</v>
      </c>
      <c r="N164" s="3">
        <f t="shared" si="31"/>
        <v>6.2893081761006293</v>
      </c>
      <c r="O164" s="36">
        <v>6354.7875713379835</v>
      </c>
      <c r="P164" s="8">
        <f t="shared" si="32"/>
        <v>399.67217429798637</v>
      </c>
      <c r="Q164" s="36">
        <v>6424.9537343107704</v>
      </c>
      <c r="R164" s="8">
        <f t="shared" si="33"/>
        <v>6.2206233822921178</v>
      </c>
      <c r="S164" s="3">
        <v>250</v>
      </c>
      <c r="T164" s="95"/>
      <c r="U164" s="95"/>
      <c r="V164" s="95"/>
      <c r="W164" s="95"/>
      <c r="X164" s="95"/>
      <c r="Y164" s="37">
        <f t="shared" si="29"/>
        <v>6.2206233822921175E-2</v>
      </c>
      <c r="Z164" s="37">
        <f t="shared" si="34"/>
        <v>-2.7773000620254562</v>
      </c>
      <c r="AA164" s="149">
        <f t="shared" si="30"/>
        <v>-0.17276537705476902</v>
      </c>
      <c r="AB164" s="37"/>
      <c r="AC164" s="98"/>
      <c r="AD164" s="98"/>
      <c r="AE164" s="98"/>
      <c r="AF164" s="36" t="s">
        <v>308</v>
      </c>
      <c r="AG164" s="3"/>
      <c r="AH164" s="36"/>
      <c r="AI164" s="3"/>
      <c r="AJ164" s="3"/>
      <c r="AK164" s="3"/>
      <c r="AL164" s="3"/>
      <c r="AM164" s="3"/>
      <c r="AN164" s="3"/>
    </row>
    <row r="165" spans="1:40" customFormat="1" ht="20.25" customHeight="1">
      <c r="A165" s="71">
        <v>41542</v>
      </c>
      <c r="B165" s="3">
        <v>4</v>
      </c>
      <c r="C165" s="3" t="s">
        <v>295</v>
      </c>
      <c r="D165" s="3" t="s">
        <v>296</v>
      </c>
      <c r="E165" s="3"/>
      <c r="F165" s="3" t="s">
        <v>297</v>
      </c>
      <c r="G165" s="3" t="s">
        <v>298</v>
      </c>
      <c r="H165" s="3" t="s">
        <v>299</v>
      </c>
      <c r="I165" s="3"/>
      <c r="J165" s="3">
        <v>3</v>
      </c>
      <c r="K165" s="3" t="s">
        <v>229</v>
      </c>
      <c r="L165" s="3" t="s">
        <v>479</v>
      </c>
      <c r="M165" s="3">
        <v>159</v>
      </c>
      <c r="N165" s="3">
        <f t="shared" si="31"/>
        <v>1.8867924528301887</v>
      </c>
      <c r="O165" s="36">
        <v>6354.7875713379835</v>
      </c>
      <c r="P165" s="8">
        <f t="shared" si="32"/>
        <v>119.90165228939591</v>
      </c>
      <c r="Q165" s="36">
        <v>6424.9537343107704</v>
      </c>
      <c r="R165" s="8">
        <f t="shared" si="33"/>
        <v>1.8661870146876351</v>
      </c>
      <c r="S165" s="3">
        <v>250</v>
      </c>
      <c r="T165" s="95"/>
      <c r="U165" s="95"/>
      <c r="V165" s="95"/>
      <c r="W165" s="95"/>
      <c r="X165" s="95"/>
      <c r="Y165" s="37">
        <f t="shared" si="29"/>
        <v>1.8661870146876352E-2</v>
      </c>
      <c r="Z165" s="37">
        <f t="shared" si="34"/>
        <v>-3.9812728663513925</v>
      </c>
      <c r="AA165" s="149">
        <f t="shared" si="30"/>
        <v>-7.4297997251131898E-2</v>
      </c>
      <c r="AB165" s="37"/>
      <c r="AC165" s="98"/>
      <c r="AD165" s="98"/>
      <c r="AE165" s="98"/>
      <c r="AF165" s="3" t="s">
        <v>222</v>
      </c>
      <c r="AG165" s="3"/>
      <c r="AH165" s="36"/>
      <c r="AI165" s="3"/>
      <c r="AJ165" s="3"/>
      <c r="AK165" s="3"/>
      <c r="AL165" s="3"/>
      <c r="AM165" s="3"/>
      <c r="AN165" s="3"/>
    </row>
    <row r="166" spans="1:40" customFormat="1" ht="20.25" customHeight="1">
      <c r="A166" s="13">
        <v>41542</v>
      </c>
      <c r="B166" s="3">
        <v>4</v>
      </c>
      <c r="C166" s="3" t="s">
        <v>223</v>
      </c>
      <c r="D166" s="3" t="s">
        <v>224</v>
      </c>
      <c r="E166" s="3" t="s">
        <v>225</v>
      </c>
      <c r="F166" s="3" t="s">
        <v>226</v>
      </c>
      <c r="G166" s="3" t="s">
        <v>235</v>
      </c>
      <c r="H166" s="3" t="s">
        <v>236</v>
      </c>
      <c r="I166" s="3" t="s">
        <v>237</v>
      </c>
      <c r="J166" s="3">
        <v>7</v>
      </c>
      <c r="K166" s="3" t="s">
        <v>247</v>
      </c>
      <c r="L166" s="3" t="s">
        <v>238</v>
      </c>
      <c r="M166" s="3">
        <v>159</v>
      </c>
      <c r="N166" s="3">
        <f t="shared" si="31"/>
        <v>4.4025157232704402</v>
      </c>
      <c r="O166" s="36">
        <v>6354.7875713379835</v>
      </c>
      <c r="P166" s="8">
        <f t="shared" si="32"/>
        <v>279.77052200859043</v>
      </c>
      <c r="Q166" s="65">
        <v>6424.9537343107704</v>
      </c>
      <c r="R166" s="8">
        <f t="shared" si="33"/>
        <v>4.3544363676044817</v>
      </c>
      <c r="S166" s="3">
        <v>250</v>
      </c>
      <c r="T166" s="95"/>
      <c r="U166" s="95"/>
      <c r="V166" s="95"/>
      <c r="W166" s="95"/>
      <c r="X166" s="95"/>
      <c r="Y166" s="37">
        <f t="shared" si="29"/>
        <v>4.354436367604482E-2</v>
      </c>
      <c r="Z166" s="37">
        <f t="shared" si="34"/>
        <v>-3.1339750059641887</v>
      </c>
      <c r="AA166" s="149">
        <f t="shared" si="30"/>
        <v>-0.13646694741133936</v>
      </c>
      <c r="AB166" s="37"/>
      <c r="AC166" s="98"/>
      <c r="AD166" s="98"/>
      <c r="AE166" s="98"/>
      <c r="AF166" s="3"/>
      <c r="AG166" s="3"/>
      <c r="AH166" s="36"/>
      <c r="AI166" s="3"/>
      <c r="AJ166" s="3"/>
      <c r="AK166" s="3"/>
      <c r="AL166" s="3"/>
      <c r="AM166" s="3"/>
      <c r="AN166" s="3"/>
    </row>
    <row r="167" spans="1:40" customFormat="1" ht="20.25" customHeight="1">
      <c r="A167" s="71">
        <v>41542</v>
      </c>
      <c r="B167" s="3">
        <v>4</v>
      </c>
      <c r="C167" s="51" t="s">
        <v>223</v>
      </c>
      <c r="D167" s="51" t="s">
        <v>224</v>
      </c>
      <c r="E167" s="51" t="s">
        <v>225</v>
      </c>
      <c r="F167" s="51" t="s">
        <v>226</v>
      </c>
      <c r="G167" s="51" t="s">
        <v>239</v>
      </c>
      <c r="H167" s="3" t="s">
        <v>240</v>
      </c>
      <c r="I167" s="3"/>
      <c r="J167" s="3">
        <v>33</v>
      </c>
      <c r="K167" s="3" t="s">
        <v>229</v>
      </c>
      <c r="L167" s="3" t="s">
        <v>240</v>
      </c>
      <c r="M167" s="3">
        <v>159</v>
      </c>
      <c r="N167" s="3">
        <f t="shared" si="31"/>
        <v>20.754716981132077</v>
      </c>
      <c r="O167" s="36">
        <v>6354.7875713379835</v>
      </c>
      <c r="P167" s="8">
        <f t="shared" si="32"/>
        <v>1318.9181751833551</v>
      </c>
      <c r="Q167" s="65">
        <v>6424.9537343107704</v>
      </c>
      <c r="R167" s="8">
        <f t="shared" si="33"/>
        <v>20.528057161563989</v>
      </c>
      <c r="S167" s="3">
        <v>250</v>
      </c>
      <c r="T167" s="95"/>
      <c r="U167" s="95"/>
      <c r="V167" s="95"/>
      <c r="W167" s="95"/>
      <c r="X167" s="95"/>
      <c r="Y167" s="37">
        <f t="shared" si="29"/>
        <v>0.2052805716156399</v>
      </c>
      <c r="Z167" s="37">
        <f t="shared" si="34"/>
        <v>-1.5833775935530217</v>
      </c>
      <c r="AA167" s="149">
        <f t="shared" si="30"/>
        <v>-0.32503665748796062</v>
      </c>
      <c r="AB167" s="37"/>
      <c r="AC167" s="98"/>
      <c r="AD167" s="98"/>
      <c r="AE167" s="98"/>
      <c r="AF167" s="3"/>
      <c r="AG167" s="3"/>
      <c r="AH167" s="36"/>
      <c r="AI167" s="3"/>
      <c r="AJ167" s="3"/>
      <c r="AK167" s="3"/>
      <c r="AL167" s="3"/>
      <c r="AM167" s="3"/>
      <c r="AN167" s="3"/>
    </row>
    <row r="168" spans="1:40" customFormat="1" ht="20.25" customHeight="1">
      <c r="A168" s="71">
        <v>41542</v>
      </c>
      <c r="B168" s="3">
        <v>4</v>
      </c>
      <c r="C168" s="51" t="s">
        <v>223</v>
      </c>
      <c r="D168" s="51" t="s">
        <v>310</v>
      </c>
      <c r="E168" s="51" t="s">
        <v>314</v>
      </c>
      <c r="F168" s="51" t="s">
        <v>311</v>
      </c>
      <c r="G168" s="51" t="s">
        <v>315</v>
      </c>
      <c r="H168" s="3" t="s">
        <v>316</v>
      </c>
      <c r="I168" s="3"/>
      <c r="J168" s="3">
        <v>1</v>
      </c>
      <c r="K168" s="3" t="s">
        <v>229</v>
      </c>
      <c r="L168" s="3" t="s">
        <v>345</v>
      </c>
      <c r="M168" s="3">
        <v>159</v>
      </c>
      <c r="N168" s="3">
        <f t="shared" si="31"/>
        <v>0.62893081761006298</v>
      </c>
      <c r="O168" s="36">
        <v>6354.7875713379835</v>
      </c>
      <c r="P168" s="8">
        <f t="shared" si="32"/>
        <v>39.967217429798644</v>
      </c>
      <c r="Q168" s="65">
        <v>6424.9537343107704</v>
      </c>
      <c r="R168" s="8">
        <f t="shared" si="33"/>
        <v>0.62206233822921186</v>
      </c>
      <c r="S168" s="3">
        <v>250</v>
      </c>
      <c r="T168" s="95"/>
      <c r="U168" s="95"/>
      <c r="V168" s="95"/>
      <c r="W168" s="95"/>
      <c r="X168" s="95"/>
      <c r="Y168" s="37">
        <f t="shared" si="29"/>
        <v>6.2206233822921187E-3</v>
      </c>
      <c r="Z168" s="37">
        <f t="shared" si="34"/>
        <v>-5.0798851550195021</v>
      </c>
      <c r="AA168" s="149">
        <f t="shared" si="30"/>
        <v>-3.1600052374672942E-2</v>
      </c>
      <c r="AB168" s="37"/>
      <c r="AC168" s="98"/>
      <c r="AD168" s="98"/>
      <c r="AE168" s="98"/>
      <c r="AF168" s="3"/>
      <c r="AG168" s="3"/>
      <c r="AH168" s="36"/>
      <c r="AI168" s="3"/>
      <c r="AJ168" s="3"/>
      <c r="AK168" s="3"/>
      <c r="AL168" s="3"/>
      <c r="AM168" s="3"/>
      <c r="AN168" s="3"/>
    </row>
    <row r="169" spans="1:40" customFormat="1" ht="20.25" customHeight="1">
      <c r="A169" s="13">
        <v>41542</v>
      </c>
      <c r="B169" s="3">
        <v>4</v>
      </c>
      <c r="C169" s="3" t="s">
        <v>223</v>
      </c>
      <c r="D169" s="3" t="s">
        <v>224</v>
      </c>
      <c r="E169" s="3" t="s">
        <v>225</v>
      </c>
      <c r="F169" s="3" t="s">
        <v>243</v>
      </c>
      <c r="G169" s="3"/>
      <c r="H169" s="3"/>
      <c r="I169" s="3"/>
      <c r="J169" s="3">
        <v>1</v>
      </c>
      <c r="K169" s="3" t="s">
        <v>508</v>
      </c>
      <c r="L169" s="3" t="s">
        <v>357</v>
      </c>
      <c r="M169" s="3">
        <v>159</v>
      </c>
      <c r="N169" s="3">
        <f t="shared" si="31"/>
        <v>0.62893081761006298</v>
      </c>
      <c r="O169" s="36">
        <v>6354.7875713379835</v>
      </c>
      <c r="P169" s="8">
        <f t="shared" si="32"/>
        <v>39.967217429798644</v>
      </c>
      <c r="Q169" s="65">
        <v>6424.9537343107704</v>
      </c>
      <c r="R169" s="8">
        <f t="shared" si="33"/>
        <v>0.62206233822921186</v>
      </c>
      <c r="S169" s="3">
        <v>250</v>
      </c>
      <c r="T169" s="95"/>
      <c r="U169" s="95"/>
      <c r="V169" s="95"/>
      <c r="W169" s="95"/>
      <c r="X169" s="95"/>
      <c r="Y169" s="37">
        <f t="shared" si="29"/>
        <v>6.2206233822921187E-3</v>
      </c>
      <c r="Z169" s="37">
        <f t="shared" si="34"/>
        <v>-5.0798851550195021</v>
      </c>
      <c r="AA169" s="149">
        <f t="shared" si="30"/>
        <v>-3.1600052374672942E-2</v>
      </c>
      <c r="AB169" s="37"/>
      <c r="AC169" s="98"/>
      <c r="AD169" s="98"/>
      <c r="AE169" s="98"/>
      <c r="AF169" s="3"/>
      <c r="AG169" s="3"/>
      <c r="AH169" s="36"/>
      <c r="AI169" s="3"/>
      <c r="AJ169" s="3"/>
      <c r="AK169" s="3"/>
      <c r="AL169" s="3"/>
      <c r="AM169" s="3"/>
      <c r="AN169" s="3"/>
    </row>
    <row r="170" spans="1:40" customFormat="1" ht="20.25" customHeight="1">
      <c r="A170" s="13">
        <v>41542</v>
      </c>
      <c r="B170" s="3">
        <v>4</v>
      </c>
      <c r="C170" s="3" t="s">
        <v>223</v>
      </c>
      <c r="D170" s="3" t="s">
        <v>224</v>
      </c>
      <c r="E170" s="3" t="s">
        <v>225</v>
      </c>
      <c r="F170" s="3" t="s">
        <v>248</v>
      </c>
      <c r="G170" s="3" t="s">
        <v>249</v>
      </c>
      <c r="H170" s="3" t="s">
        <v>250</v>
      </c>
      <c r="I170" s="3" t="s">
        <v>251</v>
      </c>
      <c r="J170" s="3">
        <v>7</v>
      </c>
      <c r="K170" s="3" t="s">
        <v>247</v>
      </c>
      <c r="L170" s="3" t="s">
        <v>250</v>
      </c>
      <c r="M170" s="3">
        <v>159</v>
      </c>
      <c r="N170" s="3">
        <f t="shared" si="31"/>
        <v>4.4025157232704402</v>
      </c>
      <c r="O170" s="36">
        <v>6354.7875713379835</v>
      </c>
      <c r="P170" s="8">
        <f t="shared" si="32"/>
        <v>279.77052200859043</v>
      </c>
      <c r="Q170" s="65">
        <v>6424.9537343107704</v>
      </c>
      <c r="R170" s="8">
        <f t="shared" si="33"/>
        <v>4.3544363676044817</v>
      </c>
      <c r="S170" s="3">
        <v>250</v>
      </c>
      <c r="T170" s="95"/>
      <c r="U170" s="95"/>
      <c r="V170" s="95"/>
      <c r="W170" s="95"/>
      <c r="X170" s="95"/>
      <c r="Y170" s="37">
        <f t="shared" si="29"/>
        <v>4.354436367604482E-2</v>
      </c>
      <c r="Z170" s="37">
        <f t="shared" si="34"/>
        <v>-3.1339750059641887</v>
      </c>
      <c r="AA170" s="149">
        <f t="shared" si="30"/>
        <v>-0.13646694741133936</v>
      </c>
      <c r="AB170" s="37"/>
      <c r="AC170" s="98"/>
      <c r="AD170" s="98"/>
      <c r="AE170" s="98"/>
      <c r="AF170" s="3"/>
      <c r="AG170" s="3"/>
      <c r="AH170" s="36"/>
      <c r="AI170" s="3"/>
      <c r="AJ170" s="3"/>
      <c r="AK170" s="3"/>
      <c r="AL170" s="3"/>
      <c r="AM170" s="3"/>
      <c r="AN170" s="3"/>
    </row>
    <row r="171" spans="1:40" customFormat="1" ht="20.25" customHeight="1">
      <c r="A171" s="13">
        <v>41542</v>
      </c>
      <c r="B171" s="3">
        <v>4</v>
      </c>
      <c r="C171" s="51" t="s">
        <v>223</v>
      </c>
      <c r="D171" s="51" t="s">
        <v>224</v>
      </c>
      <c r="E171" s="51" t="s">
        <v>225</v>
      </c>
      <c r="F171" s="51" t="s">
        <v>226</v>
      </c>
      <c r="G171" s="51" t="s">
        <v>253</v>
      </c>
      <c r="H171" s="3" t="s">
        <v>254</v>
      </c>
      <c r="I171" s="3"/>
      <c r="J171" s="3">
        <v>2</v>
      </c>
      <c r="K171" s="3"/>
      <c r="L171" s="3" t="s">
        <v>254</v>
      </c>
      <c r="M171" s="3">
        <v>159</v>
      </c>
      <c r="N171" s="3">
        <f t="shared" si="31"/>
        <v>1.257861635220126</v>
      </c>
      <c r="O171" s="36">
        <v>6354.7875713379835</v>
      </c>
      <c r="P171" s="8">
        <f t="shared" si="32"/>
        <v>79.934434859597289</v>
      </c>
      <c r="Q171" s="65">
        <v>6424.9537343107704</v>
      </c>
      <c r="R171" s="8">
        <f t="shared" si="33"/>
        <v>1.2441246764584237</v>
      </c>
      <c r="S171" s="3">
        <v>250</v>
      </c>
      <c r="T171" s="95"/>
      <c r="U171" s="95"/>
      <c r="V171" s="95"/>
      <c r="W171" s="95"/>
      <c r="X171" s="95"/>
      <c r="Y171" s="37">
        <f t="shared" si="29"/>
        <v>1.2441246764584237E-2</v>
      </c>
      <c r="Z171" s="37">
        <f t="shared" si="34"/>
        <v>-4.3867379744595567</v>
      </c>
      <c r="AA171" s="149">
        <f t="shared" si="30"/>
        <v>-5.4576489631823773E-2</v>
      </c>
      <c r="AB171" s="37"/>
      <c r="AC171" s="98"/>
      <c r="AD171" s="98"/>
      <c r="AE171" s="98"/>
      <c r="AF171" s="3"/>
      <c r="AG171" s="3"/>
      <c r="AH171" s="36"/>
      <c r="AI171" s="3"/>
      <c r="AJ171" s="3"/>
      <c r="AK171" s="3"/>
      <c r="AL171" s="3"/>
      <c r="AM171" s="3"/>
      <c r="AN171" s="3"/>
    </row>
    <row r="172" spans="1:40" customFormat="1" ht="20.25" customHeight="1">
      <c r="A172" s="13">
        <v>41542</v>
      </c>
      <c r="B172" s="3">
        <v>4</v>
      </c>
      <c r="C172" s="3" t="s">
        <v>223</v>
      </c>
      <c r="D172" s="3" t="s">
        <v>224</v>
      </c>
      <c r="E172" s="3" t="s">
        <v>225</v>
      </c>
      <c r="F172" s="3" t="s">
        <v>226</v>
      </c>
      <c r="G172" s="3" t="s">
        <v>253</v>
      </c>
      <c r="H172" s="3" t="s">
        <v>256</v>
      </c>
      <c r="I172" s="3"/>
      <c r="J172" s="3">
        <v>21</v>
      </c>
      <c r="K172" s="3" t="s">
        <v>229</v>
      </c>
      <c r="L172" s="3" t="s">
        <v>256</v>
      </c>
      <c r="M172" s="3">
        <v>159</v>
      </c>
      <c r="N172" s="3">
        <f t="shared" si="31"/>
        <v>13.20754716981132</v>
      </c>
      <c r="O172" s="36">
        <v>6354.7875713379835</v>
      </c>
      <c r="P172" s="8">
        <f t="shared" si="32"/>
        <v>839.31156602577141</v>
      </c>
      <c r="Q172" s="65">
        <v>6424.9537343107704</v>
      </c>
      <c r="R172" s="8">
        <f t="shared" si="33"/>
        <v>13.063309102813447</v>
      </c>
      <c r="S172" s="3">
        <v>250</v>
      </c>
      <c r="T172" s="95"/>
      <c r="U172" s="95"/>
      <c r="V172" s="95"/>
      <c r="W172" s="95"/>
      <c r="X172" s="95"/>
      <c r="Y172" s="37">
        <f t="shared" si="29"/>
        <v>0.13063309102813447</v>
      </c>
      <c r="Z172" s="37">
        <f t="shared" si="34"/>
        <v>-2.0353627172960791</v>
      </c>
      <c r="AA172" s="149">
        <f t="shared" si="30"/>
        <v>-0.26588572312380981</v>
      </c>
      <c r="AB172" s="37"/>
      <c r="AC172" s="98"/>
      <c r="AD172" s="98"/>
      <c r="AE172" s="98"/>
      <c r="AF172" s="3"/>
      <c r="AG172" s="3"/>
      <c r="AH172" s="36"/>
      <c r="AI172" s="3"/>
      <c r="AJ172" s="3"/>
      <c r="AK172" s="3"/>
      <c r="AL172" s="3"/>
      <c r="AM172" s="3"/>
      <c r="AN172" s="3"/>
    </row>
    <row r="173" spans="1:40" customFormat="1" ht="20.25" customHeight="1">
      <c r="A173" s="13">
        <v>41542</v>
      </c>
      <c r="B173" s="51">
        <v>4</v>
      </c>
      <c r="C173" s="3" t="s">
        <v>223</v>
      </c>
      <c r="D173" s="3" t="s">
        <v>224</v>
      </c>
      <c r="E173" s="3" t="s">
        <v>225</v>
      </c>
      <c r="F173" s="3" t="s">
        <v>226</v>
      </c>
      <c r="G173" s="3" t="s">
        <v>261</v>
      </c>
      <c r="H173" s="3" t="s">
        <v>262</v>
      </c>
      <c r="I173" s="3" t="s">
        <v>263</v>
      </c>
      <c r="J173" s="3">
        <v>1</v>
      </c>
      <c r="K173" s="3" t="s">
        <v>247</v>
      </c>
      <c r="L173" s="3" t="s">
        <v>264</v>
      </c>
      <c r="M173" s="3">
        <v>159</v>
      </c>
      <c r="N173" s="3">
        <f t="shared" si="31"/>
        <v>0.62893081761006298</v>
      </c>
      <c r="O173" s="36">
        <v>6354.7875713379835</v>
      </c>
      <c r="P173" s="8">
        <f t="shared" si="32"/>
        <v>39.967217429798644</v>
      </c>
      <c r="Q173" s="65">
        <v>6424.9537343107704</v>
      </c>
      <c r="R173" s="8">
        <f t="shared" si="33"/>
        <v>0.62206233822921186</v>
      </c>
      <c r="S173" s="3">
        <v>250</v>
      </c>
      <c r="T173" s="95"/>
      <c r="U173" s="95"/>
      <c r="V173" s="95"/>
      <c r="W173" s="95"/>
      <c r="X173" s="95"/>
      <c r="Y173" s="37">
        <f t="shared" si="29"/>
        <v>6.2206233822921187E-3</v>
      </c>
      <c r="Z173" s="37">
        <f t="shared" si="34"/>
        <v>-5.0798851550195021</v>
      </c>
      <c r="AA173" s="149">
        <f t="shared" si="30"/>
        <v>-3.1600052374672942E-2</v>
      </c>
      <c r="AB173" s="37"/>
      <c r="AC173" s="98"/>
      <c r="AD173" s="98"/>
      <c r="AE173" s="98"/>
      <c r="AF173" s="3"/>
      <c r="AG173" s="3"/>
      <c r="AH173" s="36"/>
      <c r="AI173" s="3"/>
      <c r="AJ173" s="3"/>
      <c r="AK173" s="3"/>
      <c r="AL173" s="3"/>
      <c r="AM173" s="3"/>
      <c r="AN173" s="3"/>
    </row>
    <row r="174" spans="1:40" customFormat="1" ht="20.25" customHeight="1">
      <c r="A174" s="72">
        <v>41542</v>
      </c>
      <c r="B174" s="65">
        <v>2</v>
      </c>
      <c r="C174" s="36" t="s">
        <v>209</v>
      </c>
      <c r="D174" s="36" t="s">
        <v>210</v>
      </c>
      <c r="E174" s="36"/>
      <c r="F174" s="36" t="s">
        <v>211</v>
      </c>
      <c r="G174" s="36" t="s">
        <v>212</v>
      </c>
      <c r="H174" s="36" t="s">
        <v>213</v>
      </c>
      <c r="I174" s="36" t="s">
        <v>214</v>
      </c>
      <c r="J174" s="36">
        <v>1</v>
      </c>
      <c r="K174" s="36" t="s">
        <v>247</v>
      </c>
      <c r="L174" s="36" t="s">
        <v>215</v>
      </c>
      <c r="M174" s="36">
        <v>244</v>
      </c>
      <c r="N174" s="36">
        <f t="shared" si="31"/>
        <v>0.4098360655737705</v>
      </c>
      <c r="O174" s="36">
        <v>23.397719681254372</v>
      </c>
      <c r="P174" s="40">
        <f t="shared" si="32"/>
        <v>9.5892293775632673E-2</v>
      </c>
      <c r="Q174" s="36">
        <v>2597.5342227288907</v>
      </c>
      <c r="R174" s="40">
        <f t="shared" si="33"/>
        <v>3.6916662324044816E-3</v>
      </c>
      <c r="S174" s="36">
        <v>1000</v>
      </c>
      <c r="T174" s="95"/>
      <c r="U174" s="95"/>
      <c r="V174" s="95"/>
      <c r="W174" s="95"/>
      <c r="X174" s="95">
        <f>SUM(R174:R184)</f>
        <v>100.00000000000003</v>
      </c>
      <c r="Y174" s="37">
        <f t="shared" si="29"/>
        <v>3.6916662324044815E-5</v>
      </c>
      <c r="Z174" s="37">
        <f t="shared" si="34"/>
        <v>-10.206847555340243</v>
      </c>
      <c r="AA174" s="149">
        <f t="shared" si="30"/>
        <v>-3.7680274459349805E-4</v>
      </c>
      <c r="AB174" s="37">
        <f>SUM(AA174:AA184)*(-1)</f>
        <v>1.22205085694544</v>
      </c>
      <c r="AC174" s="98">
        <v>11</v>
      </c>
      <c r="AD174" s="98">
        <f t="shared" si="35"/>
        <v>2.3978952727983707</v>
      </c>
      <c r="AE174" s="98">
        <f>(AB174/AD174)</f>
        <v>0.50963479131400635</v>
      </c>
      <c r="AF174" s="36"/>
      <c r="AG174" s="36"/>
      <c r="AH174" s="36"/>
      <c r="AI174" s="3"/>
      <c r="AJ174" s="3"/>
      <c r="AK174" s="3"/>
      <c r="AL174" s="3"/>
      <c r="AM174" s="3"/>
      <c r="AN174" s="3"/>
    </row>
    <row r="175" spans="1:40" customFormat="1" ht="20.25" customHeight="1">
      <c r="A175" s="35">
        <v>41542</v>
      </c>
      <c r="B175" s="65">
        <v>2</v>
      </c>
      <c r="C175" s="36" t="s">
        <v>223</v>
      </c>
      <c r="D175" s="36" t="s">
        <v>267</v>
      </c>
      <c r="E175" s="36" t="s">
        <v>278</v>
      </c>
      <c r="F175" s="36" t="s">
        <v>279</v>
      </c>
      <c r="G175" s="36" t="s">
        <v>280</v>
      </c>
      <c r="H175" s="36" t="s">
        <v>284</v>
      </c>
      <c r="I175" s="36" t="s">
        <v>285</v>
      </c>
      <c r="J175" s="36">
        <v>243</v>
      </c>
      <c r="K175" s="36" t="s">
        <v>247</v>
      </c>
      <c r="L175" s="36" t="s">
        <v>283</v>
      </c>
      <c r="M175" s="36">
        <v>244</v>
      </c>
      <c r="N175" s="36">
        <f t="shared" si="31"/>
        <v>99.590163934426229</v>
      </c>
      <c r="O175" s="36">
        <v>23.397719681254372</v>
      </c>
      <c r="P175" s="40">
        <f t="shared" si="32"/>
        <v>23.301827387478742</v>
      </c>
      <c r="Q175" s="36">
        <v>2597.5342227288907</v>
      </c>
      <c r="R175" s="40">
        <f t="shared" si="33"/>
        <v>0.89707489447428901</v>
      </c>
      <c r="S175" s="36">
        <v>1000</v>
      </c>
      <c r="T175" s="95"/>
      <c r="U175" s="95"/>
      <c r="V175" s="95"/>
      <c r="W175" s="95"/>
      <c r="X175" s="95"/>
      <c r="Y175" s="37">
        <f t="shared" si="29"/>
        <v>8.9707489447428904E-3</v>
      </c>
      <c r="Z175" s="37">
        <f t="shared" si="34"/>
        <v>-4.7137861119996947</v>
      </c>
      <c r="AA175" s="149">
        <f t="shared" si="30"/>
        <v>-4.2286191789964955E-2</v>
      </c>
      <c r="AB175" s="37"/>
      <c r="AC175" s="98"/>
      <c r="AD175" s="98"/>
      <c r="AE175" s="98"/>
      <c r="AF175" s="36"/>
      <c r="AG175" s="36"/>
      <c r="AH175" s="36"/>
      <c r="AI175" s="3"/>
      <c r="AJ175" s="3"/>
      <c r="AK175" s="3"/>
      <c r="AL175" s="3"/>
      <c r="AM175" s="3"/>
      <c r="AN175" s="3"/>
    </row>
    <row r="176" spans="1:40" customFormat="1" ht="20.25" customHeight="1">
      <c r="A176" s="71">
        <v>41542</v>
      </c>
      <c r="B176" s="51">
        <v>2</v>
      </c>
      <c r="C176" s="51" t="s">
        <v>223</v>
      </c>
      <c r="D176" s="51" t="s">
        <v>224</v>
      </c>
      <c r="E176" s="51" t="s">
        <v>225</v>
      </c>
      <c r="F176" s="51" t="s">
        <v>226</v>
      </c>
      <c r="G176" s="51" t="s">
        <v>227</v>
      </c>
      <c r="H176" s="3" t="s">
        <v>228</v>
      </c>
      <c r="I176" s="3"/>
      <c r="J176" s="3">
        <v>71</v>
      </c>
      <c r="K176" s="3" t="s">
        <v>229</v>
      </c>
      <c r="L176" s="3" t="s">
        <v>228</v>
      </c>
      <c r="M176" s="3">
        <v>110</v>
      </c>
      <c r="N176" s="3">
        <f t="shared" si="31"/>
        <v>64.545454545454547</v>
      </c>
      <c r="O176" s="36">
        <v>2574.1365030476363</v>
      </c>
      <c r="P176" s="8">
        <f t="shared" si="32"/>
        <v>1661.4881065125653</v>
      </c>
      <c r="Q176" s="36">
        <v>2597.5342227288902</v>
      </c>
      <c r="R176" s="8">
        <f t="shared" si="33"/>
        <v>63.964050674452963</v>
      </c>
      <c r="S176" s="3">
        <v>250</v>
      </c>
      <c r="T176" s="95"/>
      <c r="U176" s="95"/>
      <c r="V176" s="95"/>
      <c r="W176" s="95"/>
      <c r="X176" s="95"/>
      <c r="Y176" s="37">
        <f t="shared" si="29"/>
        <v>0.63964050674452966</v>
      </c>
      <c r="Z176" s="37">
        <f t="shared" si="34"/>
        <v>-0.44684896865725032</v>
      </c>
      <c r="AA176" s="149">
        <f t="shared" si="30"/>
        <v>-0.28582270075019406</v>
      </c>
      <c r="AB176" s="37"/>
      <c r="AC176" s="98"/>
      <c r="AD176" s="98"/>
      <c r="AE176" s="98"/>
      <c r="AF176" s="3"/>
      <c r="AG176" s="3"/>
      <c r="AH176" s="36"/>
      <c r="AI176" s="3"/>
      <c r="AJ176" s="3"/>
      <c r="AK176" s="3"/>
      <c r="AL176" s="3"/>
      <c r="AM176" s="3"/>
      <c r="AN176" s="3"/>
    </row>
    <row r="177" spans="1:40" customFormat="1" ht="20.25" customHeight="1">
      <c r="A177" s="71">
        <v>41542</v>
      </c>
      <c r="B177" s="51">
        <v>2</v>
      </c>
      <c r="C177" s="3" t="s">
        <v>223</v>
      </c>
      <c r="D177" s="3" t="s">
        <v>303</v>
      </c>
      <c r="E177" s="3" t="s">
        <v>304</v>
      </c>
      <c r="F177" s="3" t="s">
        <v>305</v>
      </c>
      <c r="G177" s="3" t="s">
        <v>306</v>
      </c>
      <c r="H177" s="3" t="s">
        <v>307</v>
      </c>
      <c r="I177" s="3"/>
      <c r="J177" s="3">
        <v>1</v>
      </c>
      <c r="K177" s="3" t="s">
        <v>229</v>
      </c>
      <c r="L177" s="3" t="s">
        <v>307</v>
      </c>
      <c r="M177" s="3">
        <v>110</v>
      </c>
      <c r="N177" s="3">
        <f t="shared" si="31"/>
        <v>0.90909090909090906</v>
      </c>
      <c r="O177" s="36">
        <v>2574.1365030476363</v>
      </c>
      <c r="P177" s="8">
        <f t="shared" si="32"/>
        <v>23.401240936796693</v>
      </c>
      <c r="Q177" s="36">
        <v>2597.5342227288902</v>
      </c>
      <c r="R177" s="8">
        <f t="shared" si="33"/>
        <v>0.90090212217539389</v>
      </c>
      <c r="S177" s="3">
        <v>250</v>
      </c>
      <c r="T177" s="95"/>
      <c r="U177" s="95"/>
      <c r="V177" s="95"/>
      <c r="W177" s="95"/>
      <c r="X177" s="95"/>
      <c r="Y177" s="37">
        <f t="shared" si="29"/>
        <v>9.0090212217539389E-3</v>
      </c>
      <c r="Z177" s="37">
        <f t="shared" si="34"/>
        <v>-4.709528845698566</v>
      </c>
      <c r="AA177" s="149">
        <f t="shared" si="30"/>
        <v>-4.2428245315360713E-2</v>
      </c>
      <c r="AB177" s="37"/>
      <c r="AC177" s="98"/>
      <c r="AD177" s="98"/>
      <c r="AE177" s="98"/>
      <c r="AF177" s="3"/>
      <c r="AG177" s="3"/>
      <c r="AH177" s="36"/>
      <c r="AI177" s="3"/>
      <c r="AJ177" s="3"/>
      <c r="AK177" s="3"/>
      <c r="AL177" s="3"/>
      <c r="AM177" s="3"/>
      <c r="AN177" s="3"/>
    </row>
    <row r="178" spans="1:40" customFormat="1" ht="20.25" customHeight="1">
      <c r="A178" s="13">
        <v>41542</v>
      </c>
      <c r="B178" s="51">
        <v>2</v>
      </c>
      <c r="C178" s="3" t="s">
        <v>295</v>
      </c>
      <c r="D178" s="3" t="s">
        <v>296</v>
      </c>
      <c r="E178" s="3"/>
      <c r="F178" s="3" t="s">
        <v>297</v>
      </c>
      <c r="G178" s="3" t="s">
        <v>298</v>
      </c>
      <c r="H178" s="3" t="s">
        <v>299</v>
      </c>
      <c r="I178" s="3"/>
      <c r="J178" s="3">
        <v>1</v>
      </c>
      <c r="K178" s="3" t="s">
        <v>229</v>
      </c>
      <c r="L178" s="3" t="s">
        <v>479</v>
      </c>
      <c r="M178" s="3">
        <v>110</v>
      </c>
      <c r="N178" s="3">
        <f t="shared" si="31"/>
        <v>0.90909090909090906</v>
      </c>
      <c r="O178" s="36">
        <v>2574.1365030476363</v>
      </c>
      <c r="P178" s="8">
        <f t="shared" si="32"/>
        <v>23.401240936796693</v>
      </c>
      <c r="Q178" s="36">
        <v>2597.5342227288902</v>
      </c>
      <c r="R178" s="8">
        <f t="shared" si="33"/>
        <v>0.90090212217539389</v>
      </c>
      <c r="S178" s="3">
        <v>250</v>
      </c>
      <c r="T178" s="95"/>
      <c r="U178" s="95"/>
      <c r="V178" s="95"/>
      <c r="W178" s="95"/>
      <c r="X178" s="95"/>
      <c r="Y178" s="37">
        <f t="shared" si="29"/>
        <v>9.0090212217539389E-3</v>
      </c>
      <c r="Z178" s="37">
        <f t="shared" si="34"/>
        <v>-4.709528845698566</v>
      </c>
      <c r="AA178" s="149">
        <f t="shared" si="30"/>
        <v>-4.2428245315360713E-2</v>
      </c>
      <c r="AB178" s="37"/>
      <c r="AC178" s="98"/>
      <c r="AD178" s="98"/>
      <c r="AE178" s="98"/>
      <c r="AF178" s="3" t="s">
        <v>222</v>
      </c>
      <c r="AG178" s="3"/>
      <c r="AH178" s="36"/>
      <c r="AI178" s="3"/>
      <c r="AJ178" s="3"/>
      <c r="AK178" s="3"/>
      <c r="AL178" s="3"/>
      <c r="AM178" s="3"/>
      <c r="AN178" s="3"/>
    </row>
    <row r="179" spans="1:40" customFormat="1" ht="20.25" customHeight="1">
      <c r="A179" s="71">
        <v>41542</v>
      </c>
      <c r="B179" s="51">
        <v>2</v>
      </c>
      <c r="C179" s="3" t="s">
        <v>223</v>
      </c>
      <c r="D179" s="3" t="s">
        <v>310</v>
      </c>
      <c r="E179" s="3" t="s">
        <v>314</v>
      </c>
      <c r="F179" s="3" t="s">
        <v>311</v>
      </c>
      <c r="G179" s="3" t="s">
        <v>315</v>
      </c>
      <c r="H179" s="3" t="s">
        <v>347</v>
      </c>
      <c r="I179" s="3" t="s">
        <v>348</v>
      </c>
      <c r="J179" s="3">
        <v>1</v>
      </c>
      <c r="K179" s="3" t="s">
        <v>247</v>
      </c>
      <c r="L179" s="3" t="s">
        <v>345</v>
      </c>
      <c r="M179" s="3">
        <v>110</v>
      </c>
      <c r="N179" s="3">
        <f t="shared" si="31"/>
        <v>0.90909090909090906</v>
      </c>
      <c r="O179" s="36">
        <v>2574.1365030476363</v>
      </c>
      <c r="P179" s="8">
        <f t="shared" si="32"/>
        <v>23.401240936796693</v>
      </c>
      <c r="Q179" s="36">
        <v>2597.5342227288902</v>
      </c>
      <c r="R179" s="8">
        <f t="shared" si="33"/>
        <v>0.90090212217539389</v>
      </c>
      <c r="S179" s="3">
        <v>250</v>
      </c>
      <c r="T179" s="95"/>
      <c r="U179" s="95"/>
      <c r="V179" s="95"/>
      <c r="W179" s="95"/>
      <c r="X179" s="95"/>
      <c r="Y179" s="37">
        <f t="shared" si="29"/>
        <v>9.0090212217539389E-3</v>
      </c>
      <c r="Z179" s="37">
        <f t="shared" si="34"/>
        <v>-4.709528845698566</v>
      </c>
      <c r="AA179" s="149">
        <f t="shared" si="30"/>
        <v>-4.2428245315360713E-2</v>
      </c>
      <c r="AB179" s="37"/>
      <c r="AC179" s="98"/>
      <c r="AD179" s="98"/>
      <c r="AE179" s="98"/>
      <c r="AF179" s="3"/>
      <c r="AG179" s="3"/>
      <c r="AH179" s="36"/>
      <c r="AI179" s="3"/>
      <c r="AJ179" s="3"/>
      <c r="AK179" s="3"/>
      <c r="AL179" s="3"/>
      <c r="AM179" s="3"/>
      <c r="AN179" s="3"/>
    </row>
    <row r="180" spans="1:40" customFormat="1" ht="20.25" customHeight="1">
      <c r="A180" s="71">
        <v>41542</v>
      </c>
      <c r="B180" s="51">
        <v>2</v>
      </c>
      <c r="C180" s="3" t="s">
        <v>223</v>
      </c>
      <c r="D180" s="3" t="s">
        <v>224</v>
      </c>
      <c r="E180" s="3" t="s">
        <v>225</v>
      </c>
      <c r="F180" s="3" t="s">
        <v>226</v>
      </c>
      <c r="G180" s="3" t="s">
        <v>239</v>
      </c>
      <c r="H180" s="3" t="s">
        <v>240</v>
      </c>
      <c r="I180" s="3"/>
      <c r="J180" s="3">
        <v>18</v>
      </c>
      <c r="K180" s="3" t="s">
        <v>229</v>
      </c>
      <c r="L180" s="3" t="s">
        <v>240</v>
      </c>
      <c r="M180" s="3">
        <v>110</v>
      </c>
      <c r="N180" s="3">
        <f t="shared" si="31"/>
        <v>16.363636363636363</v>
      </c>
      <c r="O180" s="36">
        <v>2574.1365030476363</v>
      </c>
      <c r="P180" s="8">
        <f t="shared" si="32"/>
        <v>421.22233686234051</v>
      </c>
      <c r="Q180" s="36">
        <v>2597.5342227288902</v>
      </c>
      <c r="R180" s="8">
        <f t="shared" si="33"/>
        <v>16.21623819915709</v>
      </c>
      <c r="S180" s="3">
        <v>250</v>
      </c>
      <c r="T180" s="95"/>
      <c r="U180" s="95"/>
      <c r="V180" s="95"/>
      <c r="W180" s="95"/>
      <c r="X180" s="95"/>
      <c r="Y180" s="37">
        <f t="shared" si="29"/>
        <v>0.1621623819915709</v>
      </c>
      <c r="Z180" s="37">
        <f t="shared" si="34"/>
        <v>-1.819157087802401</v>
      </c>
      <c r="AA180" s="149">
        <f t="shared" si="30"/>
        <v>-0.29499884657488662</v>
      </c>
      <c r="AB180" s="37"/>
      <c r="AC180" s="98"/>
      <c r="AD180" s="98"/>
      <c r="AE180" s="98"/>
      <c r="AF180" s="3"/>
      <c r="AG180" s="3"/>
      <c r="AH180" s="36"/>
      <c r="AI180" s="3"/>
      <c r="AJ180" s="3"/>
      <c r="AK180" s="3"/>
      <c r="AL180" s="3"/>
      <c r="AM180" s="3"/>
      <c r="AN180" s="3"/>
    </row>
    <row r="181" spans="1:40" customFormat="1" ht="20.25" customHeight="1">
      <c r="A181" s="13">
        <v>41542</v>
      </c>
      <c r="B181" s="51">
        <v>2</v>
      </c>
      <c r="C181" s="3" t="s">
        <v>223</v>
      </c>
      <c r="D181" s="3" t="s">
        <v>224</v>
      </c>
      <c r="E181" s="3" t="s">
        <v>225</v>
      </c>
      <c r="F181" s="3" t="s">
        <v>243</v>
      </c>
      <c r="G181" s="3" t="s">
        <v>244</v>
      </c>
      <c r="H181" s="3" t="s">
        <v>245</v>
      </c>
      <c r="I181" s="3" t="s">
        <v>246</v>
      </c>
      <c r="J181" s="3">
        <v>2</v>
      </c>
      <c r="K181" s="3" t="s">
        <v>247</v>
      </c>
      <c r="L181" s="3" t="s">
        <v>357</v>
      </c>
      <c r="M181" s="3">
        <v>110</v>
      </c>
      <c r="N181" s="3">
        <f t="shared" si="31"/>
        <v>1.8181818181818181</v>
      </c>
      <c r="O181" s="36">
        <v>2574.1365030476363</v>
      </c>
      <c r="P181" s="8">
        <f t="shared" si="32"/>
        <v>46.802481873593386</v>
      </c>
      <c r="Q181" s="36">
        <v>2597.5342227288902</v>
      </c>
      <c r="R181" s="8">
        <f t="shared" si="33"/>
        <v>1.8018042443507878</v>
      </c>
      <c r="S181" s="3">
        <v>250</v>
      </c>
      <c r="T181" s="95"/>
      <c r="U181" s="95"/>
      <c r="V181" s="95"/>
      <c r="W181" s="95"/>
      <c r="X181" s="95"/>
      <c r="Y181" s="37">
        <f t="shared" si="29"/>
        <v>1.8018042443507878E-2</v>
      </c>
      <c r="Z181" s="37">
        <f t="shared" si="34"/>
        <v>-4.0163816651386206</v>
      </c>
      <c r="AA181" s="149">
        <f t="shared" si="30"/>
        <v>-7.2367335311794512E-2</v>
      </c>
      <c r="AB181" s="37"/>
      <c r="AC181" s="98"/>
      <c r="AD181" s="98"/>
      <c r="AE181" s="98"/>
      <c r="AF181" s="3"/>
      <c r="AG181" s="3"/>
      <c r="AH181" s="36"/>
      <c r="AI181" s="3"/>
      <c r="AJ181" s="3"/>
      <c r="AK181" s="3"/>
      <c r="AL181" s="3"/>
      <c r="AM181" s="3"/>
      <c r="AN181" s="3"/>
    </row>
    <row r="182" spans="1:40" ht="20.25" customHeight="1">
      <c r="A182" s="13">
        <v>41542</v>
      </c>
      <c r="B182" s="51">
        <v>2</v>
      </c>
      <c r="C182" s="3" t="s">
        <v>223</v>
      </c>
      <c r="D182" s="3" t="s">
        <v>224</v>
      </c>
      <c r="E182" s="3" t="s">
        <v>225</v>
      </c>
      <c r="F182" s="3" t="s">
        <v>248</v>
      </c>
      <c r="G182" s="3" t="s">
        <v>249</v>
      </c>
      <c r="H182" s="3" t="s">
        <v>250</v>
      </c>
      <c r="I182" s="3" t="s">
        <v>251</v>
      </c>
      <c r="J182" s="3">
        <v>5</v>
      </c>
      <c r="K182" s="3" t="s">
        <v>247</v>
      </c>
      <c r="L182" s="3" t="s">
        <v>250</v>
      </c>
      <c r="M182" s="3">
        <v>110</v>
      </c>
      <c r="N182" s="3">
        <f t="shared" si="31"/>
        <v>4.5454545454545459</v>
      </c>
      <c r="O182" s="36">
        <v>2574.1365030476363</v>
      </c>
      <c r="P182" s="8">
        <f t="shared" si="32"/>
        <v>117.00620468398347</v>
      </c>
      <c r="Q182" s="36">
        <v>2597.5342227288902</v>
      </c>
      <c r="R182" s="8">
        <f t="shared" si="33"/>
        <v>4.5045106108769692</v>
      </c>
      <c r="S182" s="3">
        <v>250</v>
      </c>
      <c r="T182" s="95"/>
      <c r="U182" s="95"/>
      <c r="V182" s="95"/>
      <c r="W182" s="95"/>
      <c r="X182" s="95"/>
      <c r="Y182" s="37">
        <f t="shared" si="29"/>
        <v>4.5045106108769689E-2</v>
      </c>
      <c r="Z182" s="37">
        <f t="shared" si="34"/>
        <v>-3.1000909332644655</v>
      </c>
      <c r="AA182" s="149">
        <f t="shared" si="30"/>
        <v>-0.1396439250357327</v>
      </c>
      <c r="AB182" s="37"/>
      <c r="AC182" s="98"/>
      <c r="AD182" s="98"/>
      <c r="AE182" s="98"/>
      <c r="AF182" s="3"/>
      <c r="AG182" s="3"/>
      <c r="AH182" s="36"/>
      <c r="AI182" s="36"/>
      <c r="AJ182" s="36"/>
      <c r="AK182" s="36"/>
      <c r="AL182" s="36"/>
      <c r="AM182" s="36"/>
      <c r="AN182" s="36"/>
    </row>
    <row r="183" spans="1:40" customFormat="1" ht="20.25" customHeight="1">
      <c r="A183" s="13">
        <v>41542</v>
      </c>
      <c r="B183" s="51">
        <v>2</v>
      </c>
      <c r="C183" s="51" t="s">
        <v>223</v>
      </c>
      <c r="D183" s="51" t="s">
        <v>224</v>
      </c>
      <c r="E183" s="51" t="s">
        <v>225</v>
      </c>
      <c r="F183" s="51" t="s">
        <v>226</v>
      </c>
      <c r="G183" s="51" t="s">
        <v>355</v>
      </c>
      <c r="H183" s="3" t="s">
        <v>356</v>
      </c>
      <c r="I183" s="3"/>
      <c r="J183" s="3">
        <v>1</v>
      </c>
      <c r="K183" s="3"/>
      <c r="L183" s="3" t="s">
        <v>356</v>
      </c>
      <c r="M183" s="3">
        <v>110</v>
      </c>
      <c r="N183" s="3">
        <f t="shared" si="31"/>
        <v>0.90909090909090906</v>
      </c>
      <c r="O183" s="36">
        <v>2574.1365030476363</v>
      </c>
      <c r="P183" s="8">
        <f t="shared" si="32"/>
        <v>23.401240936796693</v>
      </c>
      <c r="Q183" s="36">
        <v>2597.5342227288902</v>
      </c>
      <c r="R183" s="8">
        <f t="shared" si="33"/>
        <v>0.90090212217539389</v>
      </c>
      <c r="S183" s="3">
        <v>250</v>
      </c>
      <c r="T183" s="95"/>
      <c r="U183" s="95"/>
      <c r="V183" s="95"/>
      <c r="W183" s="95"/>
      <c r="X183" s="95"/>
      <c r="Y183" s="37">
        <f t="shared" si="29"/>
        <v>9.0090212217539389E-3</v>
      </c>
      <c r="Z183" s="37">
        <f t="shared" si="34"/>
        <v>-4.709528845698566</v>
      </c>
      <c r="AA183" s="149">
        <f t="shared" si="30"/>
        <v>-4.2428245315360713E-2</v>
      </c>
      <c r="AB183" s="37"/>
      <c r="AC183" s="98"/>
      <c r="AD183" s="98"/>
      <c r="AE183" s="98"/>
      <c r="AF183" s="3"/>
      <c r="AG183" s="3"/>
      <c r="AH183" s="36"/>
      <c r="AI183" s="3"/>
      <c r="AJ183" s="3"/>
      <c r="AK183" s="3"/>
      <c r="AL183" s="3"/>
      <c r="AM183" s="3"/>
      <c r="AN183" s="3"/>
    </row>
    <row r="184" spans="1:40" s="42" customFormat="1" ht="20.25" customHeight="1">
      <c r="A184" s="71">
        <v>41542</v>
      </c>
      <c r="B184" s="51">
        <v>2</v>
      </c>
      <c r="C184" s="51" t="s">
        <v>223</v>
      </c>
      <c r="D184" s="51" t="s">
        <v>224</v>
      </c>
      <c r="E184" s="51" t="s">
        <v>225</v>
      </c>
      <c r="F184" s="51" t="s">
        <v>226</v>
      </c>
      <c r="G184" s="51" t="s">
        <v>239</v>
      </c>
      <c r="H184" s="3" t="s">
        <v>258</v>
      </c>
      <c r="I184" s="3" t="s">
        <v>259</v>
      </c>
      <c r="J184" s="3">
        <v>10</v>
      </c>
      <c r="K184" s="3" t="s">
        <v>247</v>
      </c>
      <c r="L184" s="3" t="s">
        <v>260</v>
      </c>
      <c r="M184" s="3">
        <v>110</v>
      </c>
      <c r="N184" s="3">
        <f t="shared" si="31"/>
        <v>9.0909090909090917</v>
      </c>
      <c r="O184" s="36">
        <v>2574.1365030476363</v>
      </c>
      <c r="P184" s="8">
        <f t="shared" si="32"/>
        <v>234.01240936796694</v>
      </c>
      <c r="Q184" s="36">
        <v>2597.5342227288902</v>
      </c>
      <c r="R184" s="8">
        <f t="shared" si="33"/>
        <v>9.0090212217539385</v>
      </c>
      <c r="S184" s="3">
        <v>250</v>
      </c>
      <c r="T184" s="95"/>
      <c r="U184" s="95"/>
      <c r="V184" s="95"/>
      <c r="W184" s="95"/>
      <c r="X184" s="95"/>
      <c r="Y184" s="37">
        <f t="shared" si="29"/>
        <v>9.0090212217539378E-2</v>
      </c>
      <c r="Z184" s="37">
        <f t="shared" si="34"/>
        <v>-2.4069437527045201</v>
      </c>
      <c r="AA184" s="149">
        <f t="shared" si="30"/>
        <v>-0.21684207347683085</v>
      </c>
      <c r="AB184" s="37"/>
      <c r="AC184" s="98"/>
      <c r="AD184" s="98"/>
      <c r="AE184" s="98"/>
      <c r="AF184" s="3"/>
      <c r="AG184" s="3"/>
      <c r="AH184" s="36"/>
      <c r="AI184" s="41"/>
      <c r="AJ184" s="41"/>
      <c r="AK184" s="41"/>
      <c r="AL184" s="41"/>
      <c r="AM184" s="41"/>
      <c r="AN184" s="41"/>
    </row>
    <row r="185" spans="1:40" ht="20.25" customHeight="1">
      <c r="A185" s="35">
        <v>41761</v>
      </c>
      <c r="B185" s="65">
        <v>8</v>
      </c>
      <c r="C185" s="36" t="s">
        <v>209</v>
      </c>
      <c r="D185" s="36" t="s">
        <v>210</v>
      </c>
      <c r="E185" s="36"/>
      <c r="F185" s="36" t="s">
        <v>211</v>
      </c>
      <c r="G185" s="36" t="s">
        <v>212</v>
      </c>
      <c r="H185" s="36" t="s">
        <v>213</v>
      </c>
      <c r="I185" s="36" t="s">
        <v>214</v>
      </c>
      <c r="J185" s="36">
        <v>11</v>
      </c>
      <c r="K185" s="36" t="s">
        <v>247</v>
      </c>
      <c r="L185" s="36" t="s">
        <v>215</v>
      </c>
      <c r="M185" s="36">
        <v>91</v>
      </c>
      <c r="N185" s="36">
        <f t="shared" ref="N185:N248" si="36">J185/M185*100</f>
        <v>12.087912087912088</v>
      </c>
      <c r="O185" s="36">
        <v>6.9518716577540109</v>
      </c>
      <c r="P185" s="40">
        <f t="shared" ref="P185:P248" si="37">(N185/100)*O185</f>
        <v>0.84033613445378152</v>
      </c>
      <c r="Q185" s="65">
        <v>2660.4473123872376</v>
      </c>
      <c r="R185" s="40">
        <f t="shared" ref="R185:R248" si="38">P185/Q185*100</f>
        <v>3.158627237386416E-2</v>
      </c>
      <c r="S185" s="36">
        <v>1000</v>
      </c>
      <c r="T185" s="36">
        <v>1000</v>
      </c>
      <c r="U185" s="36" t="s">
        <v>547</v>
      </c>
      <c r="V185" s="36"/>
      <c r="W185" s="36"/>
      <c r="X185" s="32"/>
      <c r="Y185" s="37">
        <f t="shared" si="29"/>
        <v>3.1586272373864159E-4</v>
      </c>
      <c r="Z185" s="37">
        <f t="shared" si="34"/>
        <v>-8.0602028573130386</v>
      </c>
      <c r="AA185" s="149">
        <f t="shared" si="30"/>
        <v>-2.5459176283968779E-3</v>
      </c>
      <c r="AB185" s="37">
        <f>SUM(AA185:AA195)*-1</f>
        <v>1.4180853813006624</v>
      </c>
      <c r="AC185" s="98">
        <v>10</v>
      </c>
      <c r="AD185" s="98">
        <f t="shared" ref="AD185" si="39">LN(AC185)</f>
        <v>2.3025850929940459</v>
      </c>
      <c r="AE185" s="98">
        <f>(AB185/AD185)</f>
        <v>0.61586665596654644</v>
      </c>
    </row>
    <row r="186" spans="1:40" ht="20.25" customHeight="1">
      <c r="A186" s="35">
        <v>41761</v>
      </c>
      <c r="B186" s="65">
        <v>8</v>
      </c>
      <c r="C186" s="36" t="s">
        <v>223</v>
      </c>
      <c r="D186" s="36" t="s">
        <v>267</v>
      </c>
      <c r="E186" s="36"/>
      <c r="F186" s="36" t="s">
        <v>273</v>
      </c>
      <c r="G186" s="36" t="s">
        <v>274</v>
      </c>
      <c r="H186" s="36" t="s">
        <v>275</v>
      </c>
      <c r="I186" s="36" t="s">
        <v>276</v>
      </c>
      <c r="J186" s="36">
        <v>2</v>
      </c>
      <c r="K186" s="36" t="s">
        <v>247</v>
      </c>
      <c r="L186" s="36" t="s">
        <v>275</v>
      </c>
      <c r="M186" s="36">
        <v>91</v>
      </c>
      <c r="N186" s="36">
        <f t="shared" si="36"/>
        <v>2.197802197802198</v>
      </c>
      <c r="O186" s="65">
        <v>6.9518716577540109</v>
      </c>
      <c r="P186" s="40">
        <f t="shared" si="37"/>
        <v>0.15278838808250575</v>
      </c>
      <c r="Q186" s="65">
        <v>2660.4473123872376</v>
      </c>
      <c r="R186" s="40">
        <f t="shared" si="38"/>
        <v>5.7429586134298471E-3</v>
      </c>
      <c r="S186" s="36">
        <v>1000</v>
      </c>
      <c r="T186" s="36">
        <v>1000</v>
      </c>
      <c r="U186" s="36" t="s">
        <v>549</v>
      </c>
      <c r="V186" s="36"/>
      <c r="W186" s="36"/>
      <c r="X186" s="3"/>
      <c r="Y186" s="37">
        <f t="shared" si="29"/>
        <v>5.7429586134298468E-5</v>
      </c>
      <c r="Z186" s="37">
        <f t="shared" si="34"/>
        <v>-9.7649509495514639</v>
      </c>
      <c r="AA186" s="149">
        <f t="shared" si="30"/>
        <v>-5.6079709165446541E-4</v>
      </c>
      <c r="AB186" s="37"/>
      <c r="AC186" s="98"/>
    </row>
    <row r="187" spans="1:40" ht="20.25" customHeight="1">
      <c r="A187" s="35">
        <v>41761</v>
      </c>
      <c r="B187" s="65">
        <v>8</v>
      </c>
      <c r="C187" s="36" t="s">
        <v>323</v>
      </c>
      <c r="D187" s="36" t="s">
        <v>324</v>
      </c>
      <c r="E187" s="36"/>
      <c r="F187" s="36" t="s">
        <v>325</v>
      </c>
      <c r="G187" s="36" t="s">
        <v>326</v>
      </c>
      <c r="H187" s="36" t="s">
        <v>327</v>
      </c>
      <c r="I187" s="36"/>
      <c r="J187" s="36">
        <v>9</v>
      </c>
      <c r="K187" s="36" t="s">
        <v>229</v>
      </c>
      <c r="L187" s="36" t="s">
        <v>327</v>
      </c>
      <c r="M187" s="36">
        <v>91</v>
      </c>
      <c r="N187" s="36">
        <f t="shared" si="36"/>
        <v>9.8901098901098905</v>
      </c>
      <c r="O187" s="36">
        <v>6.9518716577540109</v>
      </c>
      <c r="P187" s="40">
        <f t="shared" si="37"/>
        <v>0.68754774637127591</v>
      </c>
      <c r="Q187" s="65">
        <v>2660.4473123872399</v>
      </c>
      <c r="R187" s="40">
        <f t="shared" si="38"/>
        <v>2.5843313760434292E-2</v>
      </c>
      <c r="S187" s="36">
        <v>1000</v>
      </c>
      <c r="T187" s="36">
        <v>1000</v>
      </c>
      <c r="U187" s="36" t="s">
        <v>548</v>
      </c>
      <c r="V187" s="36"/>
      <c r="W187" s="36"/>
      <c r="X187" s="67"/>
      <c r="Y187" s="37">
        <f t="shared" si="29"/>
        <v>2.5843313760434293E-4</v>
      </c>
      <c r="Z187" s="37">
        <f t="shared" si="34"/>
        <v>-8.2608735527751911</v>
      </c>
      <c r="AA187" s="149">
        <f t="shared" si="30"/>
        <v>-2.1348834715964283E-3</v>
      </c>
      <c r="AB187" s="37"/>
      <c r="AC187" s="98"/>
    </row>
    <row r="188" spans="1:40" customFormat="1" ht="20.25" customHeight="1">
      <c r="A188" s="35">
        <v>41761</v>
      </c>
      <c r="B188" s="65">
        <v>8</v>
      </c>
      <c r="C188" s="36" t="s">
        <v>223</v>
      </c>
      <c r="D188" s="36" t="s">
        <v>267</v>
      </c>
      <c r="E188" s="36" t="s">
        <v>278</v>
      </c>
      <c r="F188" s="36" t="s">
        <v>279</v>
      </c>
      <c r="G188" s="36" t="s">
        <v>280</v>
      </c>
      <c r="H188" s="36" t="s">
        <v>284</v>
      </c>
      <c r="I188" s="36" t="s">
        <v>285</v>
      </c>
      <c r="J188" s="36">
        <v>69</v>
      </c>
      <c r="K188" s="36" t="s">
        <v>247</v>
      </c>
      <c r="L188" s="36" t="s">
        <v>283</v>
      </c>
      <c r="M188" s="36">
        <v>91</v>
      </c>
      <c r="N188" s="36">
        <f t="shared" si="36"/>
        <v>75.824175824175825</v>
      </c>
      <c r="O188" s="36">
        <v>6.9518716577540109</v>
      </c>
      <c r="P188" s="40">
        <f t="shared" si="37"/>
        <v>5.2711993888464477</v>
      </c>
      <c r="Q188" s="65">
        <v>2660.4473123872399</v>
      </c>
      <c r="R188" s="40">
        <f t="shared" si="38"/>
        <v>0.19813207216332956</v>
      </c>
      <c r="S188" s="36">
        <v>1000</v>
      </c>
      <c r="T188" s="36">
        <v>1000</v>
      </c>
      <c r="U188" s="36"/>
      <c r="V188" s="36"/>
      <c r="W188" s="36"/>
      <c r="X188" s="3"/>
      <c r="Y188" s="37">
        <f t="shared" si="29"/>
        <v>1.9813207216332956E-3</v>
      </c>
      <c r="Z188" s="37">
        <f t="shared" si="34"/>
        <v>-6.2239916255141505</v>
      </c>
      <c r="AA188" s="149">
        <f t="shared" si="30"/>
        <v>-1.2331723578903286E-2</v>
      </c>
      <c r="AB188" s="37"/>
      <c r="AC188" s="98"/>
      <c r="AD188" s="99"/>
      <c r="AE188" s="99"/>
    </row>
    <row r="189" spans="1:40" customFormat="1" ht="20.25" customHeight="1">
      <c r="A189" s="13">
        <v>41761</v>
      </c>
      <c r="B189" s="65">
        <v>8</v>
      </c>
      <c r="C189" s="3" t="s">
        <v>223</v>
      </c>
      <c r="D189" s="3" t="s">
        <v>224</v>
      </c>
      <c r="E189" s="3" t="s">
        <v>225</v>
      </c>
      <c r="F189" s="3" t="s">
        <v>226</v>
      </c>
      <c r="G189" s="3" t="s">
        <v>227</v>
      </c>
      <c r="H189" s="3" t="s">
        <v>228</v>
      </c>
      <c r="I189" s="3"/>
      <c r="J189" s="3">
        <v>8</v>
      </c>
      <c r="K189" s="3" t="s">
        <v>229</v>
      </c>
      <c r="L189" s="3" t="s">
        <v>228</v>
      </c>
      <c r="M189" s="3">
        <v>129</v>
      </c>
      <c r="N189" s="3">
        <f t="shared" si="36"/>
        <v>6.2015503875968996</v>
      </c>
      <c r="O189" s="36">
        <v>2653.4954407294836</v>
      </c>
      <c r="P189" s="8">
        <f t="shared" si="37"/>
        <v>164.55785678942536</v>
      </c>
      <c r="Q189" s="65">
        <v>2660.4473123872399</v>
      </c>
      <c r="R189" s="60">
        <f t="shared" si="38"/>
        <v>6.1853454501140384</v>
      </c>
      <c r="S189" s="3">
        <v>250</v>
      </c>
      <c r="T189" s="3">
        <v>250</v>
      </c>
      <c r="U189" s="3"/>
      <c r="V189" s="3"/>
      <c r="W189" s="36"/>
      <c r="X189" s="3"/>
      <c r="Y189" s="37">
        <f t="shared" si="29"/>
        <v>6.1853454501140381E-2</v>
      </c>
      <c r="Z189" s="37">
        <f t="shared" si="34"/>
        <v>-2.7829873288150702</v>
      </c>
      <c r="AA189" s="149">
        <f t="shared" si="30"/>
        <v>-0.17213738012011315</v>
      </c>
      <c r="AB189" s="37"/>
      <c r="AC189" s="98"/>
      <c r="AD189" s="99"/>
      <c r="AE189" s="99"/>
    </row>
    <row r="190" spans="1:40" customFormat="1" ht="20.25" customHeight="1">
      <c r="A190" s="13">
        <v>41761</v>
      </c>
      <c r="B190" s="65">
        <v>8</v>
      </c>
      <c r="C190" s="51" t="s">
        <v>223</v>
      </c>
      <c r="D190" s="51" t="s">
        <v>303</v>
      </c>
      <c r="E190" s="51" t="s">
        <v>304</v>
      </c>
      <c r="F190" s="51" t="s">
        <v>305</v>
      </c>
      <c r="G190" s="51" t="s">
        <v>306</v>
      </c>
      <c r="H190" s="3" t="s">
        <v>307</v>
      </c>
      <c r="I190" s="3"/>
      <c r="J190" s="3">
        <v>11</v>
      </c>
      <c r="K190" s="3" t="s">
        <v>229</v>
      </c>
      <c r="L190" s="3" t="s">
        <v>307</v>
      </c>
      <c r="M190" s="3">
        <v>129</v>
      </c>
      <c r="N190" s="3">
        <f t="shared" si="36"/>
        <v>8.5271317829457356</v>
      </c>
      <c r="O190" s="36">
        <v>2653.4954407294836</v>
      </c>
      <c r="P190" s="8">
        <f t="shared" si="37"/>
        <v>226.26705308545979</v>
      </c>
      <c r="Q190" s="65">
        <v>2660.4473123872399</v>
      </c>
      <c r="R190" s="60">
        <f t="shared" si="38"/>
        <v>8.5048499939068005</v>
      </c>
      <c r="S190" s="3">
        <v>250</v>
      </c>
      <c r="T190" s="3">
        <v>250</v>
      </c>
      <c r="U190" s="36" t="s">
        <v>308</v>
      </c>
      <c r="V190" s="3"/>
      <c r="W190" s="36"/>
      <c r="X190" s="3"/>
      <c r="Y190" s="37">
        <f t="shared" si="29"/>
        <v>8.5048499939068004E-2</v>
      </c>
      <c r="Z190" s="37">
        <f t="shared" si="34"/>
        <v>-2.4645335976965361</v>
      </c>
      <c r="AA190" s="149">
        <f t="shared" si="30"/>
        <v>-0.20960488553352491</v>
      </c>
      <c r="AB190" s="37"/>
      <c r="AC190" s="98"/>
      <c r="AD190" s="99"/>
      <c r="AE190" s="99"/>
    </row>
    <row r="191" spans="1:40" customFormat="1" ht="20.25" customHeight="1">
      <c r="A191" s="13">
        <v>41761</v>
      </c>
      <c r="B191" s="65">
        <v>8</v>
      </c>
      <c r="C191" s="3" t="s">
        <v>223</v>
      </c>
      <c r="D191" s="3" t="s">
        <v>303</v>
      </c>
      <c r="E191" s="3" t="s">
        <v>304</v>
      </c>
      <c r="F191" s="3" t="s">
        <v>305</v>
      </c>
      <c r="G191" s="3" t="s">
        <v>306</v>
      </c>
      <c r="H191" s="3" t="s">
        <v>307</v>
      </c>
      <c r="I191" s="3"/>
      <c r="J191" s="3">
        <v>6</v>
      </c>
      <c r="K191" s="3" t="s">
        <v>229</v>
      </c>
      <c r="L191" s="3" t="s">
        <v>307</v>
      </c>
      <c r="M191" s="3">
        <v>129</v>
      </c>
      <c r="N191" s="3">
        <f t="shared" si="36"/>
        <v>4.6511627906976747</v>
      </c>
      <c r="O191" s="36">
        <v>2653.4954407294836</v>
      </c>
      <c r="P191" s="8">
        <f t="shared" si="37"/>
        <v>123.418392592069</v>
      </c>
      <c r="Q191" s="65">
        <v>2660.4473123872399</v>
      </c>
      <c r="R191" s="60">
        <f t="shared" si="38"/>
        <v>4.6390090875855279</v>
      </c>
      <c r="S191" s="36">
        <v>250</v>
      </c>
      <c r="T191" s="36">
        <v>250</v>
      </c>
      <c r="U191" s="36" t="s">
        <v>620</v>
      </c>
      <c r="V191" s="3"/>
      <c r="W191" s="36"/>
      <c r="X191" s="3"/>
      <c r="Y191" s="37">
        <f t="shared" si="29"/>
        <v>4.6390090875855279E-2</v>
      </c>
      <c r="Z191" s="37">
        <f t="shared" si="34"/>
        <v>-3.0706694012668514</v>
      </c>
      <c r="AA191" s="149">
        <f t="shared" si="30"/>
        <v>-0.14244863257447735</v>
      </c>
      <c r="AB191" s="37"/>
      <c r="AC191" s="98"/>
      <c r="AD191" s="99"/>
      <c r="AE191" s="99"/>
    </row>
    <row r="192" spans="1:40" customFormat="1" ht="20.25" customHeight="1">
      <c r="A192" s="13">
        <v>41761</v>
      </c>
      <c r="B192" s="65">
        <v>8</v>
      </c>
      <c r="C192" s="65" t="s">
        <v>223</v>
      </c>
      <c r="D192" s="36" t="s">
        <v>224</v>
      </c>
      <c r="E192" s="36" t="s">
        <v>225</v>
      </c>
      <c r="F192" s="65" t="s">
        <v>226</v>
      </c>
      <c r="G192" s="65" t="s">
        <v>239</v>
      </c>
      <c r="H192" s="65" t="s">
        <v>240</v>
      </c>
      <c r="I192" s="51"/>
      <c r="J192" s="51">
        <v>12</v>
      </c>
      <c r="K192" s="51" t="s">
        <v>229</v>
      </c>
      <c r="L192" s="51" t="s">
        <v>240</v>
      </c>
      <c r="M192" s="3">
        <v>129</v>
      </c>
      <c r="N192" s="3">
        <f t="shared" si="36"/>
        <v>9.3023255813953494</v>
      </c>
      <c r="O192" s="36">
        <v>2653.4954407294836</v>
      </c>
      <c r="P192" s="8">
        <f t="shared" si="37"/>
        <v>246.83678518413799</v>
      </c>
      <c r="Q192" s="65">
        <v>2660.4473123872399</v>
      </c>
      <c r="R192" s="60">
        <f t="shared" si="38"/>
        <v>9.2780181751710558</v>
      </c>
      <c r="S192" s="36">
        <v>250</v>
      </c>
      <c r="T192" s="36">
        <v>250</v>
      </c>
      <c r="U192" s="3"/>
      <c r="V192" s="3"/>
      <c r="W192" s="36"/>
      <c r="X192" s="3"/>
      <c r="Y192" s="37">
        <f t="shared" si="29"/>
        <v>9.2780181751710558E-2</v>
      </c>
      <c r="Z192" s="37">
        <f t="shared" si="34"/>
        <v>-2.377522220706906</v>
      </c>
      <c r="AA192" s="149">
        <f t="shared" si="30"/>
        <v>-0.22058694375591725</v>
      </c>
      <c r="AB192" s="37"/>
      <c r="AC192" s="98"/>
      <c r="AD192" s="99"/>
      <c r="AE192" s="99"/>
    </row>
    <row r="193" spans="1:31" customFormat="1" ht="20.25" customHeight="1">
      <c r="A193" s="13">
        <v>41761</v>
      </c>
      <c r="B193" s="65">
        <v>8</v>
      </c>
      <c r="C193" s="51" t="s">
        <v>223</v>
      </c>
      <c r="D193" s="51" t="s">
        <v>224</v>
      </c>
      <c r="E193" s="51" t="s">
        <v>225</v>
      </c>
      <c r="F193" s="51" t="s">
        <v>248</v>
      </c>
      <c r="G193" s="51" t="s">
        <v>249</v>
      </c>
      <c r="H193" s="3" t="s">
        <v>250</v>
      </c>
      <c r="I193" s="3"/>
      <c r="J193" s="3">
        <v>7</v>
      </c>
      <c r="K193" s="3" t="s">
        <v>229</v>
      </c>
      <c r="L193" s="3" t="s">
        <v>250</v>
      </c>
      <c r="M193" s="3">
        <v>129</v>
      </c>
      <c r="N193" s="3">
        <f t="shared" si="36"/>
        <v>5.4263565891472867</v>
      </c>
      <c r="O193" s="36">
        <v>2653.4954407294836</v>
      </c>
      <c r="P193" s="8">
        <f t="shared" si="37"/>
        <v>143.98812469074716</v>
      </c>
      <c r="Q193" s="65">
        <v>2660.4473123872399</v>
      </c>
      <c r="R193" s="60">
        <f t="shared" si="38"/>
        <v>5.4121772688497822</v>
      </c>
      <c r="S193" s="3">
        <v>250</v>
      </c>
      <c r="T193" s="3">
        <v>250</v>
      </c>
      <c r="U193" s="3"/>
      <c r="V193" s="3"/>
      <c r="W193" s="36"/>
      <c r="X193" s="3"/>
      <c r="Y193" s="37">
        <f t="shared" ref="Y193:Y256" si="40">(R193/100)</f>
        <v>5.412177268849782E-2</v>
      </c>
      <c r="Z193" s="37">
        <f t="shared" si="34"/>
        <v>-2.9165187214395933</v>
      </c>
      <c r="AA193" s="149">
        <f t="shared" ref="AA193:AA256" si="41">(Y193*Z193)</f>
        <v>-0.15784716328350196</v>
      </c>
      <c r="AB193" s="37"/>
      <c r="AC193" s="98"/>
      <c r="AD193" s="99"/>
      <c r="AE193" s="99"/>
    </row>
    <row r="194" spans="1:31" customFormat="1" ht="20.25" customHeight="1">
      <c r="A194" s="13">
        <v>41761</v>
      </c>
      <c r="B194" s="65">
        <v>8</v>
      </c>
      <c r="C194" s="51" t="s">
        <v>216</v>
      </c>
      <c r="D194" s="51" t="s">
        <v>217</v>
      </c>
      <c r="E194" s="51"/>
      <c r="F194" s="51"/>
      <c r="G194" s="51"/>
      <c r="H194" s="3" t="s">
        <v>647</v>
      </c>
      <c r="I194" s="3"/>
      <c r="J194" s="3">
        <v>76</v>
      </c>
      <c r="K194" s="36" t="s">
        <v>229</v>
      </c>
      <c r="L194" s="3" t="s">
        <v>219</v>
      </c>
      <c r="M194" s="3">
        <v>129</v>
      </c>
      <c r="N194" s="3">
        <f t="shared" si="36"/>
        <v>58.914728682170548</v>
      </c>
      <c r="O194" s="36">
        <v>2653.4954407294836</v>
      </c>
      <c r="P194" s="8">
        <f t="shared" si="37"/>
        <v>1563.2996394995407</v>
      </c>
      <c r="Q194" s="65">
        <v>2660.4473123872399</v>
      </c>
      <c r="R194" s="60">
        <f t="shared" si="38"/>
        <v>58.760781776083363</v>
      </c>
      <c r="S194" s="36">
        <v>250</v>
      </c>
      <c r="T194" s="36">
        <v>250</v>
      </c>
      <c r="U194" s="3"/>
      <c r="V194" s="3"/>
      <c r="W194" s="36"/>
      <c r="X194" s="3"/>
      <c r="Y194" s="37">
        <f t="shared" si="40"/>
        <v>0.5876078177608336</v>
      </c>
      <c r="Z194" s="37">
        <f t="shared" si="34"/>
        <v>-0.5316955302085753</v>
      </c>
      <c r="AA194" s="149">
        <f t="shared" si="41"/>
        <v>-0.3124284502190503</v>
      </c>
      <c r="AB194" s="37"/>
      <c r="AC194" s="98"/>
      <c r="AD194" s="99"/>
      <c r="AE194" s="99"/>
    </row>
    <row r="195" spans="1:31" customFormat="1" ht="20.25" customHeight="1">
      <c r="A195" s="13">
        <v>41761</v>
      </c>
      <c r="B195" s="65">
        <v>8</v>
      </c>
      <c r="C195" s="65" t="s">
        <v>223</v>
      </c>
      <c r="D195" s="65" t="s">
        <v>224</v>
      </c>
      <c r="E195" s="65" t="s">
        <v>225</v>
      </c>
      <c r="F195" s="65" t="s">
        <v>226</v>
      </c>
      <c r="G195" s="65" t="s">
        <v>261</v>
      </c>
      <c r="H195" s="36" t="s">
        <v>262</v>
      </c>
      <c r="I195" s="3"/>
      <c r="J195" s="3">
        <v>9</v>
      </c>
      <c r="K195" s="3" t="s">
        <v>229</v>
      </c>
      <c r="L195" s="3" t="s">
        <v>264</v>
      </c>
      <c r="M195" s="3">
        <v>129</v>
      </c>
      <c r="N195" s="3">
        <f t="shared" si="36"/>
        <v>6.9767441860465116</v>
      </c>
      <c r="O195" s="36">
        <v>2653.4954407294836</v>
      </c>
      <c r="P195" s="8">
        <f t="shared" si="37"/>
        <v>185.1275888881035</v>
      </c>
      <c r="Q195" s="65">
        <v>2660.4473123872399</v>
      </c>
      <c r="R195" s="60">
        <f t="shared" si="38"/>
        <v>6.9585136313782918</v>
      </c>
      <c r="S195" s="3">
        <v>250</v>
      </c>
      <c r="T195" s="3">
        <v>250</v>
      </c>
      <c r="U195" s="3"/>
      <c r="V195" s="3"/>
      <c r="W195" s="36"/>
      <c r="X195" s="3"/>
      <c r="Y195" s="37">
        <f t="shared" si="40"/>
        <v>6.9585136313782922E-2</v>
      </c>
      <c r="Z195" s="37">
        <f t="shared" ref="Z195:Z258" si="42">LN(Y195)</f>
        <v>-2.6652042931586872</v>
      </c>
      <c r="AA195" s="149">
        <f t="shared" si="41"/>
        <v>-0.18545860404352671</v>
      </c>
      <c r="AB195" s="37"/>
      <c r="AC195" s="98"/>
      <c r="AD195" s="99"/>
      <c r="AE195" s="99"/>
    </row>
    <row r="196" spans="1:31" customFormat="1" ht="20.25" customHeight="1">
      <c r="A196" s="35">
        <v>41761</v>
      </c>
      <c r="B196" s="36">
        <v>5</v>
      </c>
      <c r="C196" s="36" t="s">
        <v>209</v>
      </c>
      <c r="D196" s="36" t="s">
        <v>210</v>
      </c>
      <c r="E196" s="36"/>
      <c r="F196" s="36" t="s">
        <v>211</v>
      </c>
      <c r="G196" s="36" t="s">
        <v>212</v>
      </c>
      <c r="H196" s="36" t="s">
        <v>213</v>
      </c>
      <c r="I196" s="36" t="s">
        <v>214</v>
      </c>
      <c r="J196" s="36">
        <v>9</v>
      </c>
      <c r="K196" s="36" t="s">
        <v>247</v>
      </c>
      <c r="L196" s="36" t="s">
        <v>215</v>
      </c>
      <c r="M196" s="36">
        <v>87</v>
      </c>
      <c r="N196" s="36">
        <f t="shared" si="36"/>
        <v>10.344827586206897</v>
      </c>
      <c r="O196" s="36">
        <v>6.6462948815889993</v>
      </c>
      <c r="P196" s="40">
        <f t="shared" si="37"/>
        <v>0.6875477463712758</v>
      </c>
      <c r="Q196" s="36">
        <v>3191.9800894163513</v>
      </c>
      <c r="R196" s="40">
        <f t="shared" si="38"/>
        <v>2.1539850723097487E-2</v>
      </c>
      <c r="S196" s="36">
        <v>1000</v>
      </c>
      <c r="T196" s="36">
        <v>1000</v>
      </c>
      <c r="U196" s="36" t="s">
        <v>546</v>
      </c>
      <c r="V196" s="36"/>
      <c r="W196" s="36"/>
      <c r="X196" s="3"/>
      <c r="Y196" s="37">
        <f t="shared" si="40"/>
        <v>2.1539850723097489E-4</v>
      </c>
      <c r="Z196" s="37">
        <f t="shared" si="42"/>
        <v>-8.4430207234843149</v>
      </c>
      <c r="AA196" s="149">
        <f t="shared" si="41"/>
        <v>-1.818614060358707E-3</v>
      </c>
      <c r="AB196" s="37">
        <f>SUM(AA196:AA210)*-1</f>
        <v>1.1948728201780789</v>
      </c>
      <c r="AC196" s="98">
        <v>14</v>
      </c>
      <c r="AD196" s="98">
        <f t="shared" ref="AD196" si="43">LN(AC196)</f>
        <v>2.6390573296152584</v>
      </c>
      <c r="AE196" s="98">
        <f>(AB196/AD196)</f>
        <v>0.4527650107367226</v>
      </c>
    </row>
    <row r="197" spans="1:31" customFormat="1" ht="20.25" customHeight="1">
      <c r="A197" s="35">
        <v>41761</v>
      </c>
      <c r="B197" s="36">
        <v>5</v>
      </c>
      <c r="C197" s="65" t="s">
        <v>323</v>
      </c>
      <c r="D197" s="65" t="s">
        <v>324</v>
      </c>
      <c r="E197" s="65"/>
      <c r="F197" s="65" t="s">
        <v>325</v>
      </c>
      <c r="G197" s="65" t="s">
        <v>326</v>
      </c>
      <c r="H197" s="36" t="s">
        <v>327</v>
      </c>
      <c r="I197" s="36"/>
      <c r="J197" s="36">
        <v>2</v>
      </c>
      <c r="K197" s="36" t="s">
        <v>229</v>
      </c>
      <c r="L197" s="36" t="s">
        <v>327</v>
      </c>
      <c r="M197" s="36">
        <v>87</v>
      </c>
      <c r="N197" s="36">
        <f t="shared" si="36"/>
        <v>2.2988505747126435</v>
      </c>
      <c r="O197" s="36">
        <v>6.6462948815889993</v>
      </c>
      <c r="P197" s="40">
        <f t="shared" si="37"/>
        <v>0.15278838808250572</v>
      </c>
      <c r="Q197" s="36">
        <v>3191.9800894163513</v>
      </c>
      <c r="R197" s="40">
        <f t="shared" si="38"/>
        <v>4.7866334940216632E-3</v>
      </c>
      <c r="S197" s="36">
        <v>1000</v>
      </c>
      <c r="T197" s="36">
        <v>1000</v>
      </c>
      <c r="U197" s="36"/>
      <c r="V197" s="36"/>
      <c r="W197" s="36"/>
      <c r="X197" s="3"/>
      <c r="Y197" s="37">
        <f t="shared" si="40"/>
        <v>4.7866334940216633E-5</v>
      </c>
      <c r="Z197" s="37">
        <f t="shared" si="42"/>
        <v>-9.9470981202605895</v>
      </c>
      <c r="AA197" s="149">
        <f t="shared" si="41"/>
        <v>-4.7613113030759265E-4</v>
      </c>
      <c r="AB197" s="37"/>
      <c r="AC197" s="98"/>
      <c r="AD197" s="99"/>
      <c r="AE197" s="99"/>
    </row>
    <row r="198" spans="1:31" ht="20.25" customHeight="1">
      <c r="A198" s="35">
        <v>41761</v>
      </c>
      <c r="B198" s="65">
        <v>5</v>
      </c>
      <c r="C198" s="36" t="s">
        <v>223</v>
      </c>
      <c r="D198" s="36" t="s">
        <v>267</v>
      </c>
      <c r="E198" s="36" t="s">
        <v>278</v>
      </c>
      <c r="F198" s="36" t="s">
        <v>279</v>
      </c>
      <c r="G198" s="36" t="s">
        <v>280</v>
      </c>
      <c r="H198" s="36" t="s">
        <v>284</v>
      </c>
      <c r="I198" s="36" t="s">
        <v>285</v>
      </c>
      <c r="J198" s="36">
        <v>76</v>
      </c>
      <c r="K198" s="36" t="s">
        <v>247</v>
      </c>
      <c r="L198" s="36" t="s">
        <v>283</v>
      </c>
      <c r="M198" s="36">
        <v>87</v>
      </c>
      <c r="N198" s="36">
        <f t="shared" si="36"/>
        <v>87.356321839080465</v>
      </c>
      <c r="O198" s="36">
        <v>6.6462948815889993</v>
      </c>
      <c r="P198" s="40">
        <f t="shared" si="37"/>
        <v>5.8059587471352181</v>
      </c>
      <c r="Q198" s="36">
        <v>3191.98008941635</v>
      </c>
      <c r="R198" s="40">
        <f t="shared" si="38"/>
        <v>0.18189207277282332</v>
      </c>
      <c r="S198" s="36">
        <v>1000</v>
      </c>
      <c r="T198" s="36">
        <v>1000</v>
      </c>
      <c r="U198" s="36"/>
      <c r="V198" s="36"/>
      <c r="W198" s="36"/>
      <c r="X198" s="36"/>
      <c r="Y198" s="37">
        <f t="shared" si="40"/>
        <v>1.8189207277282333E-3</v>
      </c>
      <c r="Z198" s="37">
        <f t="shared" si="42"/>
        <v>-6.3095119605342029</v>
      </c>
      <c r="AA198" s="149">
        <f t="shared" si="41"/>
        <v>-1.1476502086864864E-2</v>
      </c>
      <c r="AB198" s="37"/>
      <c r="AC198" s="98"/>
    </row>
    <row r="199" spans="1:31" customFormat="1" ht="20.25" customHeight="1">
      <c r="A199" s="13">
        <v>41761</v>
      </c>
      <c r="B199" s="36">
        <v>5</v>
      </c>
      <c r="C199" s="3" t="s">
        <v>223</v>
      </c>
      <c r="D199" s="3" t="s">
        <v>224</v>
      </c>
      <c r="E199" s="3" t="s">
        <v>225</v>
      </c>
      <c r="F199" s="3" t="s">
        <v>226</v>
      </c>
      <c r="G199" s="3" t="s">
        <v>227</v>
      </c>
      <c r="H199" s="3" t="s">
        <v>228</v>
      </c>
      <c r="I199" s="3"/>
      <c r="J199" s="3">
        <v>10</v>
      </c>
      <c r="K199" s="3" t="s">
        <v>229</v>
      </c>
      <c r="L199" s="3" t="s">
        <v>228</v>
      </c>
      <c r="M199" s="3">
        <v>300</v>
      </c>
      <c r="N199" s="3">
        <f t="shared" si="36"/>
        <v>3.3333333333333335</v>
      </c>
      <c r="O199" s="65">
        <v>3185.3337945347625</v>
      </c>
      <c r="P199" s="8">
        <f t="shared" si="37"/>
        <v>106.17779315115875</v>
      </c>
      <c r="Q199" s="36">
        <v>3191.98008941635</v>
      </c>
      <c r="R199" s="60">
        <f t="shared" si="38"/>
        <v>3.3263927147670036</v>
      </c>
      <c r="S199" s="36">
        <v>250</v>
      </c>
      <c r="T199" s="36">
        <v>250</v>
      </c>
      <c r="U199" s="3"/>
      <c r="V199" s="3"/>
      <c r="W199" s="36"/>
      <c r="X199" s="3"/>
      <c r="Y199" s="37">
        <f t="shared" si="40"/>
        <v>3.3263927147670035E-2</v>
      </c>
      <c r="Z199" s="37">
        <f t="shared" si="42"/>
        <v>-3.4032817379942379</v>
      </c>
      <c r="AA199" s="149">
        <f t="shared" si="41"/>
        <v>-0.11320651579563619</v>
      </c>
      <c r="AB199" s="37"/>
      <c r="AC199" s="98"/>
      <c r="AD199" s="99"/>
      <c r="AE199" s="99"/>
    </row>
    <row r="200" spans="1:31" customFormat="1" ht="20.25" customHeight="1">
      <c r="A200" s="13">
        <v>41761</v>
      </c>
      <c r="B200" s="36">
        <v>5</v>
      </c>
      <c r="C200" s="3" t="s">
        <v>223</v>
      </c>
      <c r="D200" s="3" t="s">
        <v>303</v>
      </c>
      <c r="E200" s="3" t="s">
        <v>304</v>
      </c>
      <c r="F200" s="3" t="s">
        <v>305</v>
      </c>
      <c r="G200" s="3" t="s">
        <v>306</v>
      </c>
      <c r="H200" s="3" t="s">
        <v>307</v>
      </c>
      <c r="I200" s="3"/>
      <c r="J200" s="3">
        <v>15</v>
      </c>
      <c r="K200" s="3" t="s">
        <v>229</v>
      </c>
      <c r="L200" s="3" t="s">
        <v>307</v>
      </c>
      <c r="M200" s="3">
        <v>300</v>
      </c>
      <c r="N200" s="3">
        <f t="shared" si="36"/>
        <v>5</v>
      </c>
      <c r="O200" s="65">
        <v>3185.3337945347625</v>
      </c>
      <c r="P200" s="8">
        <f t="shared" si="37"/>
        <v>159.26668972673815</v>
      </c>
      <c r="Q200" s="36">
        <v>3191.98008941635</v>
      </c>
      <c r="R200" s="60">
        <f t="shared" si="38"/>
        <v>4.9895890721505065</v>
      </c>
      <c r="S200" s="36">
        <v>250</v>
      </c>
      <c r="T200" s="36">
        <v>250</v>
      </c>
      <c r="U200" s="36" t="s">
        <v>308</v>
      </c>
      <c r="V200" s="3"/>
      <c r="W200" s="36"/>
      <c r="X200" s="3"/>
      <c r="Y200" s="37">
        <f t="shared" si="40"/>
        <v>4.9895890721505062E-2</v>
      </c>
      <c r="Z200" s="37">
        <f t="shared" si="42"/>
        <v>-2.9978166298860733</v>
      </c>
      <c r="AA200" s="149">
        <f t="shared" si="41"/>
        <v>-0.14957873096790611</v>
      </c>
      <c r="AB200" s="37"/>
      <c r="AC200" s="98"/>
      <c r="AD200" s="99"/>
      <c r="AE200" s="99"/>
    </row>
    <row r="201" spans="1:31" customFormat="1" ht="20.25" customHeight="1">
      <c r="A201" s="13">
        <v>41761</v>
      </c>
      <c r="B201" s="36">
        <v>5</v>
      </c>
      <c r="C201" s="3" t="s">
        <v>223</v>
      </c>
      <c r="D201" s="3" t="s">
        <v>303</v>
      </c>
      <c r="E201" s="3" t="s">
        <v>304</v>
      </c>
      <c r="F201" s="3" t="s">
        <v>305</v>
      </c>
      <c r="G201" s="3" t="s">
        <v>306</v>
      </c>
      <c r="H201" s="3" t="s">
        <v>307</v>
      </c>
      <c r="I201" s="3"/>
      <c r="J201" s="3">
        <v>2</v>
      </c>
      <c r="K201" s="3" t="s">
        <v>229</v>
      </c>
      <c r="L201" s="3" t="s">
        <v>307</v>
      </c>
      <c r="M201" s="3">
        <v>300</v>
      </c>
      <c r="N201" s="3">
        <f t="shared" si="36"/>
        <v>0.66666666666666674</v>
      </c>
      <c r="O201" s="65">
        <v>3185.3337945347625</v>
      </c>
      <c r="P201" s="8">
        <f t="shared" si="37"/>
        <v>21.23555863023175</v>
      </c>
      <c r="Q201" s="36">
        <v>3191.98008941635</v>
      </c>
      <c r="R201" s="60">
        <f t="shared" si="38"/>
        <v>0.66527854295340072</v>
      </c>
      <c r="S201" s="3">
        <v>250</v>
      </c>
      <c r="T201" s="3">
        <v>250</v>
      </c>
      <c r="U201" s="36" t="s">
        <v>620</v>
      </c>
      <c r="V201" s="3"/>
      <c r="W201" s="36"/>
      <c r="X201" s="3"/>
      <c r="Y201" s="37">
        <f t="shared" si="40"/>
        <v>6.6527854295340069E-3</v>
      </c>
      <c r="Z201" s="37">
        <f t="shared" si="42"/>
        <v>-5.0127196504283384</v>
      </c>
      <c r="AA201" s="149">
        <f t="shared" si="41"/>
        <v>-3.334854825270845E-2</v>
      </c>
      <c r="AB201" s="37"/>
      <c r="AC201" s="98"/>
      <c r="AD201" s="99"/>
      <c r="AE201" s="99"/>
    </row>
    <row r="202" spans="1:31" customFormat="1" ht="20.25" customHeight="1">
      <c r="A202" s="13">
        <v>41761</v>
      </c>
      <c r="B202" s="36">
        <v>5</v>
      </c>
      <c r="C202" s="51" t="s">
        <v>223</v>
      </c>
      <c r="D202" s="51" t="s">
        <v>224</v>
      </c>
      <c r="E202" s="51" t="s">
        <v>225</v>
      </c>
      <c r="F202" s="51" t="s">
        <v>226</v>
      </c>
      <c r="G202" s="51" t="s">
        <v>232</v>
      </c>
      <c r="H202" s="3" t="s">
        <v>233</v>
      </c>
      <c r="I202" s="3"/>
      <c r="J202" s="3">
        <v>1</v>
      </c>
      <c r="K202" s="3" t="s">
        <v>229</v>
      </c>
      <c r="L202" s="3" t="s">
        <v>506</v>
      </c>
      <c r="M202" s="3">
        <v>300</v>
      </c>
      <c r="N202" s="3">
        <f t="shared" si="36"/>
        <v>0.33333333333333337</v>
      </c>
      <c r="O202" s="65">
        <v>3185.3337945347625</v>
      </c>
      <c r="P202" s="8">
        <f t="shared" si="37"/>
        <v>10.617779315115875</v>
      </c>
      <c r="Q202" s="36">
        <v>3191.98008941635</v>
      </c>
      <c r="R202" s="60">
        <f t="shared" si="38"/>
        <v>0.33263927147670036</v>
      </c>
      <c r="S202" s="36">
        <v>250</v>
      </c>
      <c r="T202" s="36">
        <v>250</v>
      </c>
      <c r="U202" s="3"/>
      <c r="V202" s="3"/>
      <c r="W202" s="36"/>
      <c r="X202" s="3"/>
      <c r="Y202" s="37">
        <f t="shared" si="40"/>
        <v>3.3263927147670035E-3</v>
      </c>
      <c r="Z202" s="37">
        <f t="shared" si="42"/>
        <v>-5.7058668309882838</v>
      </c>
      <c r="AA202" s="149">
        <f t="shared" si="41"/>
        <v>-1.8979953858030117E-2</v>
      </c>
      <c r="AB202" s="37"/>
      <c r="AC202" s="98"/>
      <c r="AD202" s="99"/>
      <c r="AE202" s="99"/>
    </row>
    <row r="203" spans="1:31" customFormat="1" ht="20.25" customHeight="1">
      <c r="A203" s="13">
        <v>41761</v>
      </c>
      <c r="B203" s="36">
        <v>5</v>
      </c>
      <c r="C203" s="3" t="s">
        <v>223</v>
      </c>
      <c r="D203" s="3" t="s">
        <v>224</v>
      </c>
      <c r="E203" s="3" t="s">
        <v>225</v>
      </c>
      <c r="F203" s="3" t="s">
        <v>226</v>
      </c>
      <c r="G203" s="3" t="s">
        <v>235</v>
      </c>
      <c r="H203" s="3" t="s">
        <v>236</v>
      </c>
      <c r="I203" s="3"/>
      <c r="J203" s="3">
        <v>1</v>
      </c>
      <c r="K203" s="3" t="s">
        <v>229</v>
      </c>
      <c r="L203" s="3" t="s">
        <v>236</v>
      </c>
      <c r="M203" s="3">
        <v>300</v>
      </c>
      <c r="N203" s="3">
        <f t="shared" si="36"/>
        <v>0.33333333333333337</v>
      </c>
      <c r="O203" s="65">
        <v>3185.3337945347625</v>
      </c>
      <c r="P203" s="8">
        <f t="shared" si="37"/>
        <v>10.617779315115875</v>
      </c>
      <c r="Q203" s="36">
        <v>3191.98008941635</v>
      </c>
      <c r="R203" s="60">
        <f t="shared" si="38"/>
        <v>0.33263927147670036</v>
      </c>
      <c r="S203" s="3">
        <v>250</v>
      </c>
      <c r="T203" s="3">
        <v>250</v>
      </c>
      <c r="U203" s="3"/>
      <c r="V203" s="3"/>
      <c r="W203" s="36"/>
      <c r="X203" s="3"/>
      <c r="Y203" s="37">
        <f t="shared" si="40"/>
        <v>3.3263927147670035E-3</v>
      </c>
      <c r="Z203" s="37">
        <f t="shared" si="42"/>
        <v>-5.7058668309882838</v>
      </c>
      <c r="AA203" s="149">
        <f t="shared" si="41"/>
        <v>-1.8979953858030117E-2</v>
      </c>
      <c r="AB203" s="37"/>
      <c r="AC203" s="98"/>
      <c r="AD203" s="99"/>
      <c r="AE203" s="99"/>
    </row>
    <row r="204" spans="1:31" customFormat="1" ht="20.25" customHeight="1">
      <c r="A204" s="13">
        <v>41761</v>
      </c>
      <c r="B204" s="36">
        <v>5</v>
      </c>
      <c r="C204" s="65" t="s">
        <v>223</v>
      </c>
      <c r="D204" s="65" t="s">
        <v>224</v>
      </c>
      <c r="E204" s="65" t="s">
        <v>225</v>
      </c>
      <c r="F204" s="65" t="s">
        <v>226</v>
      </c>
      <c r="G204" s="65" t="s">
        <v>239</v>
      </c>
      <c r="H204" s="36" t="s">
        <v>240</v>
      </c>
      <c r="I204" s="3"/>
      <c r="J204" s="3">
        <v>57</v>
      </c>
      <c r="K204" s="3" t="s">
        <v>229</v>
      </c>
      <c r="L204" s="3" t="s">
        <v>240</v>
      </c>
      <c r="M204" s="3">
        <v>300</v>
      </c>
      <c r="N204" s="3">
        <f t="shared" si="36"/>
        <v>19</v>
      </c>
      <c r="O204" s="65">
        <v>3185.3337945347625</v>
      </c>
      <c r="P204" s="8">
        <f t="shared" si="37"/>
        <v>605.21342096160492</v>
      </c>
      <c r="Q204" s="36">
        <v>3191.98008941635</v>
      </c>
      <c r="R204" s="60">
        <f t="shared" si="38"/>
        <v>18.960438474171923</v>
      </c>
      <c r="S204" s="3">
        <v>250</v>
      </c>
      <c r="T204" s="3">
        <v>250</v>
      </c>
      <c r="U204" s="3"/>
      <c r="V204" s="3"/>
      <c r="W204" s="36"/>
      <c r="X204" s="3"/>
      <c r="Y204" s="37">
        <f t="shared" si="40"/>
        <v>0.18960438474171923</v>
      </c>
      <c r="Z204" s="37">
        <f t="shared" si="42"/>
        <v>-1.6628155631537334</v>
      </c>
      <c r="AA204" s="149">
        <f t="shared" si="41"/>
        <v>-0.31527712179071898</v>
      </c>
      <c r="AB204" s="37"/>
      <c r="AC204" s="98"/>
      <c r="AD204" s="99"/>
      <c r="AE204" s="99"/>
    </row>
    <row r="205" spans="1:31" ht="20.25" customHeight="1">
      <c r="A205" s="35">
        <v>41761</v>
      </c>
      <c r="B205" s="36">
        <v>5</v>
      </c>
      <c r="C205" s="36" t="s">
        <v>677</v>
      </c>
      <c r="D205" s="36"/>
      <c r="E205" s="36"/>
      <c r="F205" s="36"/>
      <c r="G205" s="36"/>
      <c r="H205" s="36"/>
      <c r="I205" s="36"/>
      <c r="J205" s="36">
        <v>1</v>
      </c>
      <c r="K205" s="36"/>
      <c r="L205" s="36" t="s">
        <v>505</v>
      </c>
      <c r="M205" s="36">
        <v>300</v>
      </c>
      <c r="N205" s="36">
        <f t="shared" si="36"/>
        <v>0.33333333333333337</v>
      </c>
      <c r="O205" s="65">
        <v>3185.3337945347625</v>
      </c>
      <c r="P205" s="53">
        <f t="shared" si="37"/>
        <v>10.617779315115875</v>
      </c>
      <c r="Q205" s="65">
        <v>3191.98008941635</v>
      </c>
      <c r="R205" s="108">
        <f t="shared" si="38"/>
        <v>0.33263927147670036</v>
      </c>
      <c r="S205" s="36">
        <v>250</v>
      </c>
      <c r="T205" s="36">
        <v>250</v>
      </c>
      <c r="U205" s="36"/>
      <c r="V205" s="36"/>
      <c r="W205" s="36"/>
      <c r="X205" s="36"/>
      <c r="Y205" s="37">
        <f t="shared" si="40"/>
        <v>3.3263927147670035E-3</v>
      </c>
      <c r="Z205" s="37">
        <f t="shared" si="42"/>
        <v>-5.7058668309882838</v>
      </c>
      <c r="AA205" s="149">
        <f t="shared" si="41"/>
        <v>-1.8979953858030117E-2</v>
      </c>
      <c r="AB205" s="37"/>
      <c r="AC205" s="98"/>
    </row>
    <row r="206" spans="1:31" customFormat="1" ht="20.25" customHeight="1">
      <c r="A206" s="13">
        <v>41761</v>
      </c>
      <c r="B206" s="36">
        <v>5</v>
      </c>
      <c r="C206" s="51" t="s">
        <v>223</v>
      </c>
      <c r="D206" s="51" t="s">
        <v>224</v>
      </c>
      <c r="E206" s="51" t="s">
        <v>225</v>
      </c>
      <c r="F206" s="51" t="s">
        <v>248</v>
      </c>
      <c r="G206" s="51" t="s">
        <v>249</v>
      </c>
      <c r="H206" s="3" t="s">
        <v>250</v>
      </c>
      <c r="I206" s="3"/>
      <c r="J206" s="3">
        <v>11</v>
      </c>
      <c r="K206" s="3" t="s">
        <v>229</v>
      </c>
      <c r="L206" s="3" t="s">
        <v>250</v>
      </c>
      <c r="M206" s="3">
        <v>300</v>
      </c>
      <c r="N206" s="3">
        <f t="shared" si="36"/>
        <v>3.6666666666666665</v>
      </c>
      <c r="O206" s="65">
        <v>3185.3337945347625</v>
      </c>
      <c r="P206" s="8">
        <f t="shared" si="37"/>
        <v>116.79557246627462</v>
      </c>
      <c r="Q206" s="36">
        <v>3191.98008941635</v>
      </c>
      <c r="R206" s="60">
        <f t="shared" si="38"/>
        <v>3.6590319862437033</v>
      </c>
      <c r="S206" s="36">
        <v>250</v>
      </c>
      <c r="T206" s="36">
        <v>250</v>
      </c>
      <c r="U206" s="3"/>
      <c r="V206" s="3"/>
      <c r="W206" s="36"/>
      <c r="X206" s="3"/>
      <c r="Y206" s="37">
        <f t="shared" si="40"/>
        <v>3.6590319862437035E-2</v>
      </c>
      <c r="Z206" s="37">
        <f t="shared" si="42"/>
        <v>-3.3079715581899132</v>
      </c>
      <c r="AA206" s="149">
        <f t="shared" si="41"/>
        <v>-0.12103973741001317</v>
      </c>
      <c r="AB206" s="37"/>
      <c r="AC206" s="98"/>
      <c r="AD206" s="99"/>
      <c r="AE206" s="99"/>
    </row>
    <row r="207" spans="1:31" ht="20.25" customHeight="1">
      <c r="A207" s="13">
        <v>41761</v>
      </c>
      <c r="B207" s="36">
        <v>5</v>
      </c>
      <c r="C207" s="3" t="s">
        <v>216</v>
      </c>
      <c r="D207" s="3" t="s">
        <v>217</v>
      </c>
      <c r="E207" s="3"/>
      <c r="F207" s="3"/>
      <c r="G207" s="3"/>
      <c r="H207" s="3" t="s">
        <v>647</v>
      </c>
      <c r="I207" s="3"/>
      <c r="J207" s="3">
        <v>195</v>
      </c>
      <c r="K207" s="36" t="s">
        <v>229</v>
      </c>
      <c r="L207" s="3" t="s">
        <v>219</v>
      </c>
      <c r="M207" s="3">
        <v>300</v>
      </c>
      <c r="N207" s="3">
        <f t="shared" si="36"/>
        <v>65</v>
      </c>
      <c r="O207" s="65">
        <v>3185.3337945347625</v>
      </c>
      <c r="P207" s="8">
        <f t="shared" si="37"/>
        <v>2070.466966447596</v>
      </c>
      <c r="Q207" s="36">
        <v>3191.98008941635</v>
      </c>
      <c r="R207" s="60">
        <f t="shared" si="38"/>
        <v>64.864657937956579</v>
      </c>
      <c r="S207" s="36">
        <v>250</v>
      </c>
      <c r="T207" s="36">
        <v>250</v>
      </c>
      <c r="U207" s="3"/>
      <c r="V207" s="3"/>
      <c r="W207" s="36"/>
      <c r="X207" s="36"/>
      <c r="Y207" s="37">
        <f t="shared" si="40"/>
        <v>0.64864657937956582</v>
      </c>
      <c r="Z207" s="37">
        <f t="shared" si="42"/>
        <v>-0.43286727242453665</v>
      </c>
      <c r="AA207" s="149">
        <f t="shared" si="41"/>
        <v>-0.28077787558353834</v>
      </c>
      <c r="AB207" s="37"/>
      <c r="AC207" s="98"/>
    </row>
    <row r="208" spans="1:31" customFormat="1" ht="20.25" customHeight="1">
      <c r="A208" s="13">
        <v>41761</v>
      </c>
      <c r="B208" s="36">
        <v>5</v>
      </c>
      <c r="C208" s="36" t="s">
        <v>223</v>
      </c>
      <c r="D208" s="36" t="s">
        <v>224</v>
      </c>
      <c r="E208" s="36" t="s">
        <v>225</v>
      </c>
      <c r="F208" s="36" t="s">
        <v>226</v>
      </c>
      <c r="G208" s="36" t="s">
        <v>253</v>
      </c>
      <c r="H208" s="36" t="s">
        <v>256</v>
      </c>
      <c r="I208" s="3"/>
      <c r="J208" s="3">
        <v>3</v>
      </c>
      <c r="K208" s="3" t="s">
        <v>229</v>
      </c>
      <c r="L208" s="3" t="s">
        <v>256</v>
      </c>
      <c r="M208" s="3">
        <v>300</v>
      </c>
      <c r="N208" s="3">
        <f t="shared" si="36"/>
        <v>1</v>
      </c>
      <c r="O208" s="65">
        <v>3185.3337945347625</v>
      </c>
      <c r="P208" s="8">
        <f t="shared" si="37"/>
        <v>31.853337945347626</v>
      </c>
      <c r="Q208" s="36">
        <v>3191.98008941635</v>
      </c>
      <c r="R208" s="60">
        <f t="shared" si="38"/>
        <v>0.99791781443010108</v>
      </c>
      <c r="S208" s="3">
        <v>250</v>
      </c>
      <c r="T208" s="3">
        <v>250</v>
      </c>
      <c r="U208" s="3"/>
      <c r="V208" s="3"/>
      <c r="W208" s="36"/>
      <c r="X208" s="3"/>
      <c r="Y208" s="37">
        <f t="shared" si="40"/>
        <v>9.9791781443010104E-3</v>
      </c>
      <c r="Z208" s="37">
        <f t="shared" si="42"/>
        <v>-4.6072545423201738</v>
      </c>
      <c r="AA208" s="149">
        <f t="shared" si="41"/>
        <v>-4.5976613833953031E-2</v>
      </c>
      <c r="AB208" s="37"/>
      <c r="AC208" s="98"/>
      <c r="AD208" s="99"/>
      <c r="AE208" s="99"/>
    </row>
    <row r="209" spans="1:31" customFormat="1" ht="20.25" customHeight="1">
      <c r="A209" s="13">
        <v>41761</v>
      </c>
      <c r="B209" s="36">
        <v>5</v>
      </c>
      <c r="C209" s="51" t="s">
        <v>223</v>
      </c>
      <c r="D209" s="51" t="s">
        <v>224</v>
      </c>
      <c r="E209" s="51" t="s">
        <v>225</v>
      </c>
      <c r="F209" s="51" t="s">
        <v>226</v>
      </c>
      <c r="G209" s="51" t="s">
        <v>239</v>
      </c>
      <c r="H209" s="3" t="s">
        <v>258</v>
      </c>
      <c r="I209" s="3" t="s">
        <v>259</v>
      </c>
      <c r="J209" s="3">
        <v>3</v>
      </c>
      <c r="K209" s="3" t="s">
        <v>247</v>
      </c>
      <c r="L209" s="3" t="s">
        <v>258</v>
      </c>
      <c r="M209" s="3">
        <v>300</v>
      </c>
      <c r="N209" s="3">
        <f t="shared" si="36"/>
        <v>1</v>
      </c>
      <c r="O209" s="65">
        <v>3185.3337945347625</v>
      </c>
      <c r="P209" s="8">
        <f t="shared" si="37"/>
        <v>31.853337945347626</v>
      </c>
      <c r="Q209" s="36">
        <v>3191.98008941635</v>
      </c>
      <c r="R209" s="60">
        <f t="shared" si="38"/>
        <v>0.99791781443010108</v>
      </c>
      <c r="S209" s="3">
        <v>250</v>
      </c>
      <c r="T209" s="3">
        <v>250</v>
      </c>
      <c r="U209" s="3"/>
      <c r="V209" s="3"/>
      <c r="W209" s="36"/>
      <c r="X209" s="3"/>
      <c r="Y209" s="37">
        <f t="shared" si="40"/>
        <v>9.9791781443010104E-3</v>
      </c>
      <c r="Z209" s="37">
        <f t="shared" si="42"/>
        <v>-4.6072545423201738</v>
      </c>
      <c r="AA209" s="149">
        <f t="shared" si="41"/>
        <v>-4.5976613833953031E-2</v>
      </c>
      <c r="AB209" s="37"/>
      <c r="AC209" s="98"/>
      <c r="AD209" s="99"/>
      <c r="AE209" s="99"/>
    </row>
    <row r="210" spans="1:31" customFormat="1" ht="20.25" customHeight="1">
      <c r="A210" s="13">
        <v>41761</v>
      </c>
      <c r="B210" s="65">
        <v>5</v>
      </c>
      <c r="C210" s="36" t="s">
        <v>223</v>
      </c>
      <c r="D210" s="36" t="s">
        <v>224</v>
      </c>
      <c r="E210" s="36" t="s">
        <v>225</v>
      </c>
      <c r="F210" s="36" t="s">
        <v>226</v>
      </c>
      <c r="G210" s="36" t="s">
        <v>261</v>
      </c>
      <c r="H210" s="36" t="s">
        <v>262</v>
      </c>
      <c r="I210" s="3"/>
      <c r="J210" s="3">
        <v>1</v>
      </c>
      <c r="K210" s="3" t="s">
        <v>229</v>
      </c>
      <c r="L210" s="3" t="s">
        <v>264</v>
      </c>
      <c r="M210" s="3">
        <v>300</v>
      </c>
      <c r="N210" s="3">
        <f t="shared" si="36"/>
        <v>0.33333333333333337</v>
      </c>
      <c r="O210" s="36">
        <v>3185.3337945347625</v>
      </c>
      <c r="P210" s="8">
        <f t="shared" si="37"/>
        <v>10.617779315115875</v>
      </c>
      <c r="Q210" s="36">
        <v>3191.98008941635</v>
      </c>
      <c r="R210" s="60">
        <f t="shared" si="38"/>
        <v>0.33263927147670036</v>
      </c>
      <c r="S210" s="36">
        <v>250</v>
      </c>
      <c r="T210" s="36">
        <v>250</v>
      </c>
      <c r="U210" s="3"/>
      <c r="V210" s="3"/>
      <c r="W210" s="36"/>
      <c r="X210" s="3"/>
      <c r="Y210" s="37">
        <f t="shared" si="40"/>
        <v>3.3263927147670035E-3</v>
      </c>
      <c r="Z210" s="37">
        <f t="shared" si="42"/>
        <v>-5.7058668309882838</v>
      </c>
      <c r="AA210" s="149">
        <f t="shared" si="41"/>
        <v>-1.8979953858030117E-2</v>
      </c>
      <c r="AB210" s="37"/>
      <c r="AC210" s="98"/>
      <c r="AD210" s="99"/>
      <c r="AE210" s="99"/>
    </row>
    <row r="211" spans="1:31" customFormat="1" ht="20.25" customHeight="1">
      <c r="A211" s="35">
        <v>41761</v>
      </c>
      <c r="B211" s="36">
        <v>4</v>
      </c>
      <c r="C211" s="36" t="s">
        <v>223</v>
      </c>
      <c r="D211" s="36" t="s">
        <v>267</v>
      </c>
      <c r="E211" s="36" t="s">
        <v>278</v>
      </c>
      <c r="F211" s="36" t="s">
        <v>269</v>
      </c>
      <c r="G211" s="36" t="s">
        <v>333</v>
      </c>
      <c r="H211" s="36" t="s">
        <v>334</v>
      </c>
      <c r="I211" s="36"/>
      <c r="J211" s="36">
        <v>26</v>
      </c>
      <c r="K211" s="36" t="s">
        <v>229</v>
      </c>
      <c r="L211" s="36" t="s">
        <v>270</v>
      </c>
      <c r="M211" s="36">
        <v>864</v>
      </c>
      <c r="N211" s="36">
        <f t="shared" si="36"/>
        <v>3.0092592592592591</v>
      </c>
      <c r="O211" s="65">
        <v>82.505729564553093</v>
      </c>
      <c r="P211" s="40">
        <f t="shared" si="37"/>
        <v>2.482811306340718</v>
      </c>
      <c r="Q211" s="36">
        <v>3453.1621002209235</v>
      </c>
      <c r="R211" s="40">
        <f t="shared" si="38"/>
        <v>7.1899645434596732E-2</v>
      </c>
      <c r="S211" s="36">
        <v>1000</v>
      </c>
      <c r="T211" s="36">
        <v>1000</v>
      </c>
      <c r="U211" s="36"/>
      <c r="V211" s="36"/>
      <c r="W211" s="3"/>
      <c r="X211" s="3"/>
      <c r="Y211" s="37">
        <f t="shared" si="40"/>
        <v>7.1899645434596727E-4</v>
      </c>
      <c r="Z211" s="37">
        <f t="shared" si="42"/>
        <v>-7.2376541316239997</v>
      </c>
      <c r="AA211" s="149">
        <f t="shared" si="41"/>
        <v>-5.2038476584200964E-3</v>
      </c>
      <c r="AB211" s="37">
        <f>SUM(AA211:AA227)*-1</f>
        <v>1.4289209596540986</v>
      </c>
      <c r="AC211" s="98">
        <v>14</v>
      </c>
      <c r="AD211" s="98">
        <f t="shared" ref="AD211" si="44">LN(AC211)</f>
        <v>2.6390573296152584</v>
      </c>
      <c r="AE211" s="98">
        <f>(AB211/AD211)</f>
        <v>0.54145127641558943</v>
      </c>
    </row>
    <row r="212" spans="1:31" ht="20.25" customHeight="1">
      <c r="A212" s="35">
        <v>41761</v>
      </c>
      <c r="B212" s="36">
        <v>4</v>
      </c>
      <c r="C212" s="53" t="s">
        <v>209</v>
      </c>
      <c r="D212" s="53" t="s">
        <v>210</v>
      </c>
      <c r="E212" s="53"/>
      <c r="F212" s="53" t="s">
        <v>211</v>
      </c>
      <c r="G212" s="53" t="s">
        <v>212</v>
      </c>
      <c r="H212" s="36" t="s">
        <v>213</v>
      </c>
      <c r="I212" s="36" t="s">
        <v>214</v>
      </c>
      <c r="J212" s="36">
        <v>5</v>
      </c>
      <c r="K212" s="36" t="s">
        <v>247</v>
      </c>
      <c r="L212" s="36" t="s">
        <v>215</v>
      </c>
      <c r="M212" s="36">
        <v>864</v>
      </c>
      <c r="N212" s="36">
        <f t="shared" si="36"/>
        <v>0.57870370370370372</v>
      </c>
      <c r="O212" s="65">
        <v>82.505729564553093</v>
      </c>
      <c r="P212" s="40">
        <f t="shared" si="37"/>
        <v>0.47746371275783045</v>
      </c>
      <c r="Q212" s="36">
        <v>3453.1621002209235</v>
      </c>
      <c r="R212" s="40">
        <f t="shared" si="38"/>
        <v>1.3826854891268604E-2</v>
      </c>
      <c r="S212" s="36">
        <v>1000</v>
      </c>
      <c r="T212" s="36">
        <v>1000</v>
      </c>
      <c r="U212" s="36"/>
      <c r="V212" s="36"/>
      <c r="W212" s="3"/>
      <c r="X212" s="36"/>
      <c r="Y212" s="37">
        <f t="shared" si="40"/>
        <v>1.3826854891268604E-4</v>
      </c>
      <c r="Z212" s="37">
        <f t="shared" si="42"/>
        <v>-8.8863127572113818</v>
      </c>
      <c r="AA212" s="149">
        <f t="shared" si="41"/>
        <v>-1.2286975701239079E-3</v>
      </c>
      <c r="AB212" s="37"/>
      <c r="AC212" s="98"/>
    </row>
    <row r="213" spans="1:31" customFormat="1" ht="20.25" customHeight="1">
      <c r="A213" s="35">
        <v>41761</v>
      </c>
      <c r="B213" s="36">
        <v>4</v>
      </c>
      <c r="C213" s="36" t="s">
        <v>223</v>
      </c>
      <c r="D213" s="36" t="s">
        <v>267</v>
      </c>
      <c r="E213" s="36"/>
      <c r="F213" s="36" t="s">
        <v>273</v>
      </c>
      <c r="G213" s="36" t="s">
        <v>274</v>
      </c>
      <c r="H213" s="36" t="s">
        <v>275</v>
      </c>
      <c r="I213" s="36" t="s">
        <v>276</v>
      </c>
      <c r="J213" s="36">
        <v>3</v>
      </c>
      <c r="K213" s="36" t="s">
        <v>247</v>
      </c>
      <c r="L213" s="36" t="s">
        <v>275</v>
      </c>
      <c r="M213" s="36">
        <v>864</v>
      </c>
      <c r="N213" s="36">
        <f t="shared" si="36"/>
        <v>0.34722222222222221</v>
      </c>
      <c r="O213" s="65">
        <v>82.505729564553093</v>
      </c>
      <c r="P213" s="40">
        <f t="shared" si="37"/>
        <v>0.28647822765469821</v>
      </c>
      <c r="Q213" s="36">
        <v>3453.1621002209199</v>
      </c>
      <c r="R213" s="40">
        <f t="shared" si="38"/>
        <v>8.2961129347611708E-3</v>
      </c>
      <c r="S213" s="36">
        <v>1000</v>
      </c>
      <c r="T213" s="36">
        <v>1000</v>
      </c>
      <c r="U213" s="36" t="s">
        <v>545</v>
      </c>
      <c r="V213" s="36"/>
      <c r="W213" s="3"/>
      <c r="X213" s="3"/>
      <c r="Y213" s="37">
        <f t="shared" si="40"/>
        <v>8.2961129347611703E-5</v>
      </c>
      <c r="Z213" s="37">
        <f t="shared" si="42"/>
        <v>-9.3971383809773705</v>
      </c>
      <c r="AA213" s="149">
        <f t="shared" si="41"/>
        <v>-7.7959721272167007E-4</v>
      </c>
      <c r="AB213" s="37"/>
      <c r="AC213" s="98"/>
      <c r="AD213" s="99"/>
      <c r="AE213" s="99"/>
    </row>
    <row r="214" spans="1:31" customFormat="1" ht="20.25" customHeight="1">
      <c r="A214" s="35">
        <v>41761</v>
      </c>
      <c r="B214" s="36">
        <v>4</v>
      </c>
      <c r="C214" s="36" t="s">
        <v>323</v>
      </c>
      <c r="D214" s="36" t="s">
        <v>324</v>
      </c>
      <c r="E214" s="36"/>
      <c r="F214" s="36" t="s">
        <v>325</v>
      </c>
      <c r="G214" s="36" t="s">
        <v>326</v>
      </c>
      <c r="H214" s="36" t="s">
        <v>327</v>
      </c>
      <c r="I214" s="36"/>
      <c r="J214" s="36">
        <v>20</v>
      </c>
      <c r="K214" s="36" t="s">
        <v>229</v>
      </c>
      <c r="L214" s="36" t="s">
        <v>327</v>
      </c>
      <c r="M214" s="36">
        <v>864</v>
      </c>
      <c r="N214" s="36">
        <f t="shared" si="36"/>
        <v>2.3148148148148149</v>
      </c>
      <c r="O214" s="65">
        <v>82.505729564553093</v>
      </c>
      <c r="P214" s="40">
        <f t="shared" si="37"/>
        <v>1.9098548510313218</v>
      </c>
      <c r="Q214" s="36">
        <v>3453.1621002209199</v>
      </c>
      <c r="R214" s="40">
        <f t="shared" si="38"/>
        <v>5.5307419565074484E-2</v>
      </c>
      <c r="S214" s="36">
        <v>1000</v>
      </c>
      <c r="T214" s="36">
        <v>1000</v>
      </c>
      <c r="U214" s="36"/>
      <c r="V214" s="36"/>
      <c r="W214" s="3"/>
      <c r="X214" s="3"/>
      <c r="Y214" s="37">
        <f t="shared" si="40"/>
        <v>5.5307419565074482E-4</v>
      </c>
      <c r="Z214" s="37">
        <f t="shared" si="42"/>
        <v>-7.5000183960914892</v>
      </c>
      <c r="AA214" s="149">
        <f t="shared" si="41"/>
        <v>-4.14806664178409E-3</v>
      </c>
      <c r="AB214" s="37"/>
      <c r="AC214" s="98"/>
      <c r="AD214" s="99"/>
      <c r="AE214" s="99"/>
    </row>
    <row r="215" spans="1:31" customFormat="1" ht="20.25" customHeight="1">
      <c r="A215" s="72">
        <v>41761</v>
      </c>
      <c r="B215" s="36">
        <v>4</v>
      </c>
      <c r="C215" s="36" t="s">
        <v>288</v>
      </c>
      <c r="D215" s="36" t="s">
        <v>289</v>
      </c>
      <c r="E215" s="36"/>
      <c r="F215" s="36"/>
      <c r="G215" s="36"/>
      <c r="H215" s="36"/>
      <c r="I215" s="36"/>
      <c r="J215" s="36">
        <v>5</v>
      </c>
      <c r="K215" s="36" t="s">
        <v>221</v>
      </c>
      <c r="L215" s="36" t="s">
        <v>499</v>
      </c>
      <c r="M215" s="36">
        <v>864</v>
      </c>
      <c r="N215" s="36">
        <f t="shared" si="36"/>
        <v>0.57870370370370372</v>
      </c>
      <c r="O215" s="65">
        <v>82.505729564553093</v>
      </c>
      <c r="P215" s="40">
        <f t="shared" si="37"/>
        <v>0.47746371275783045</v>
      </c>
      <c r="Q215" s="65">
        <v>3453.1621002209199</v>
      </c>
      <c r="R215" s="40">
        <f t="shared" si="38"/>
        <v>1.3826854891268621E-2</v>
      </c>
      <c r="S215" s="36">
        <v>1000</v>
      </c>
      <c r="T215" s="36">
        <v>1000</v>
      </c>
      <c r="U215" s="36"/>
      <c r="V215" s="36"/>
      <c r="W215" s="3"/>
      <c r="X215" s="3"/>
      <c r="Y215" s="37">
        <f t="shared" si="40"/>
        <v>1.382685489126862E-4</v>
      </c>
      <c r="Z215" s="37">
        <f t="shared" si="42"/>
        <v>-8.88631275721138</v>
      </c>
      <c r="AA215" s="149">
        <f t="shared" si="41"/>
        <v>-1.2286975701239092E-3</v>
      </c>
      <c r="AB215" s="37"/>
      <c r="AC215" s="98"/>
      <c r="AD215" s="99"/>
      <c r="AE215" s="99"/>
    </row>
    <row r="216" spans="1:31" customFormat="1" ht="20.25" customHeight="1">
      <c r="A216" s="35">
        <v>41761</v>
      </c>
      <c r="B216" s="36">
        <v>4</v>
      </c>
      <c r="C216" s="65" t="s">
        <v>223</v>
      </c>
      <c r="D216" s="65" t="s">
        <v>267</v>
      </c>
      <c r="E216" s="65" t="s">
        <v>278</v>
      </c>
      <c r="F216" s="65" t="s">
        <v>279</v>
      </c>
      <c r="G216" s="65" t="s">
        <v>280</v>
      </c>
      <c r="H216" s="36"/>
      <c r="I216" s="36"/>
      <c r="J216" s="36">
        <v>13</v>
      </c>
      <c r="K216" s="36" t="s">
        <v>509</v>
      </c>
      <c r="L216" s="36" t="s">
        <v>283</v>
      </c>
      <c r="M216" s="36">
        <v>864</v>
      </c>
      <c r="N216" s="36">
        <f t="shared" si="36"/>
        <v>1.5046296296296295</v>
      </c>
      <c r="O216" s="65">
        <v>82.505729564553093</v>
      </c>
      <c r="P216" s="40">
        <f t="shared" si="37"/>
        <v>1.241405653170359</v>
      </c>
      <c r="Q216" s="36">
        <v>3453.1621002209199</v>
      </c>
      <c r="R216" s="40">
        <f t="shared" si="38"/>
        <v>3.5949822717298408E-2</v>
      </c>
      <c r="S216" s="36">
        <v>1000</v>
      </c>
      <c r="T216" s="36">
        <v>1000</v>
      </c>
      <c r="U216" s="36"/>
      <c r="V216" s="36"/>
      <c r="W216" s="3"/>
      <c r="X216" s="3"/>
      <c r="Y216" s="37">
        <f t="shared" si="40"/>
        <v>3.5949822717298407E-4</v>
      </c>
      <c r="Z216" s="37">
        <f t="shared" si="42"/>
        <v>-7.9308013121839434</v>
      </c>
      <c r="AA216" s="149">
        <f t="shared" si="41"/>
        <v>-2.8511090117913033E-3</v>
      </c>
      <c r="AB216" s="37"/>
      <c r="AC216" s="98"/>
      <c r="AD216" s="99"/>
      <c r="AE216" s="99"/>
    </row>
    <row r="217" spans="1:31" customFormat="1" ht="20.25" customHeight="1">
      <c r="A217" s="35">
        <v>41761</v>
      </c>
      <c r="B217" s="65">
        <v>4</v>
      </c>
      <c r="C217" s="36" t="s">
        <v>223</v>
      </c>
      <c r="D217" s="36" t="s">
        <v>267</v>
      </c>
      <c r="E217" s="36" t="s">
        <v>278</v>
      </c>
      <c r="F217" s="36" t="s">
        <v>279</v>
      </c>
      <c r="G217" s="36" t="s">
        <v>280</v>
      </c>
      <c r="H217" s="36" t="s">
        <v>284</v>
      </c>
      <c r="I217" s="36" t="s">
        <v>285</v>
      </c>
      <c r="J217" s="36">
        <v>792</v>
      </c>
      <c r="K217" s="36" t="s">
        <v>247</v>
      </c>
      <c r="L217" s="36" t="s">
        <v>283</v>
      </c>
      <c r="M217" s="36">
        <v>864</v>
      </c>
      <c r="N217" s="36">
        <f t="shared" si="36"/>
        <v>91.666666666666657</v>
      </c>
      <c r="O217" s="65">
        <v>82.505729564553093</v>
      </c>
      <c r="P217" s="40">
        <f t="shared" si="37"/>
        <v>75.630252100840323</v>
      </c>
      <c r="Q217" s="36">
        <v>3453.1621002209199</v>
      </c>
      <c r="R217" s="40">
        <f t="shared" si="38"/>
        <v>2.1901738147769487</v>
      </c>
      <c r="S217" s="36">
        <v>1000</v>
      </c>
      <c r="T217" s="36">
        <v>1000</v>
      </c>
      <c r="U217" s="36"/>
      <c r="V217" s="36"/>
      <c r="W217" s="3"/>
      <c r="X217" s="3"/>
      <c r="Y217" s="37">
        <f t="shared" si="40"/>
        <v>2.1901738147769488E-2</v>
      </c>
      <c r="Z217" s="37">
        <f t="shared" si="42"/>
        <v>-3.8211892778310546</v>
      </c>
      <c r="AA217" s="149">
        <f t="shared" si="41"/>
        <v>-8.3690686976120143E-2</v>
      </c>
      <c r="AB217" s="37"/>
      <c r="AC217" s="98"/>
      <c r="AD217" s="99"/>
      <c r="AE217" s="99"/>
    </row>
    <row r="218" spans="1:31" ht="20.25" customHeight="1">
      <c r="A218" s="13">
        <v>41761</v>
      </c>
      <c r="B218" s="36">
        <v>4</v>
      </c>
      <c r="C218" s="51" t="s">
        <v>223</v>
      </c>
      <c r="D218" s="51" t="s">
        <v>224</v>
      </c>
      <c r="E218" s="51" t="s">
        <v>225</v>
      </c>
      <c r="F218" s="51" t="s">
        <v>226</v>
      </c>
      <c r="G218" s="51" t="s">
        <v>227</v>
      </c>
      <c r="H218" s="3" t="s">
        <v>228</v>
      </c>
      <c r="I218" s="3"/>
      <c r="J218" s="3">
        <v>1</v>
      </c>
      <c r="K218" s="3" t="s">
        <v>229</v>
      </c>
      <c r="L218" s="3" t="s">
        <v>228</v>
      </c>
      <c r="M218" s="3">
        <v>256</v>
      </c>
      <c r="N218" s="3">
        <f t="shared" si="36"/>
        <v>0.390625</v>
      </c>
      <c r="O218" s="36">
        <v>3370.6563706563707</v>
      </c>
      <c r="P218" s="8">
        <f t="shared" si="37"/>
        <v>13.166626447876448</v>
      </c>
      <c r="Q218" s="65">
        <v>3453.1621002209199</v>
      </c>
      <c r="R218" s="60">
        <f t="shared" si="38"/>
        <v>0.38129187294839412</v>
      </c>
      <c r="S218" s="3">
        <v>250</v>
      </c>
      <c r="T218" s="3">
        <v>250</v>
      </c>
      <c r="U218" s="3"/>
      <c r="V218" s="3"/>
      <c r="W218" s="3"/>
      <c r="X218" s="36"/>
      <c r="Y218" s="37">
        <f t="shared" si="40"/>
        <v>3.8129187294839413E-3</v>
      </c>
      <c r="Z218" s="37">
        <f t="shared" si="42"/>
        <v>-5.5693603123952427</v>
      </c>
      <c r="AA218" s="149">
        <f t="shared" si="41"/>
        <v>-2.1235518246376355E-2</v>
      </c>
      <c r="AB218" s="37"/>
      <c r="AC218" s="98"/>
    </row>
    <row r="219" spans="1:31" customFormat="1" ht="20.25" customHeight="1">
      <c r="A219" s="13">
        <v>41761</v>
      </c>
      <c r="B219" s="36">
        <v>4</v>
      </c>
      <c r="C219" s="3" t="s">
        <v>223</v>
      </c>
      <c r="D219" s="3" t="s">
        <v>303</v>
      </c>
      <c r="E219" s="3" t="s">
        <v>304</v>
      </c>
      <c r="F219" s="3" t="s">
        <v>305</v>
      </c>
      <c r="G219" s="3" t="s">
        <v>306</v>
      </c>
      <c r="H219" s="3" t="s">
        <v>307</v>
      </c>
      <c r="I219" s="3"/>
      <c r="J219" s="3">
        <v>14</v>
      </c>
      <c r="K219" s="3" t="s">
        <v>229</v>
      </c>
      <c r="L219" s="3" t="s">
        <v>307</v>
      </c>
      <c r="M219" s="3">
        <v>256</v>
      </c>
      <c r="N219" s="3">
        <f t="shared" si="36"/>
        <v>5.46875</v>
      </c>
      <c r="O219" s="36">
        <v>3370.6563706563707</v>
      </c>
      <c r="P219" s="8">
        <f t="shared" si="37"/>
        <v>184.33277027027026</v>
      </c>
      <c r="Q219" s="65">
        <v>3453.1621002209199</v>
      </c>
      <c r="R219" s="60">
        <f t="shared" si="38"/>
        <v>5.3380862212775178</v>
      </c>
      <c r="S219" s="3">
        <v>250</v>
      </c>
      <c r="T219" s="3">
        <v>250</v>
      </c>
      <c r="U219" s="36" t="s">
        <v>308</v>
      </c>
      <c r="V219" s="3"/>
      <c r="W219" s="3"/>
      <c r="X219" s="3"/>
      <c r="Y219" s="37">
        <f t="shared" si="40"/>
        <v>5.3380862212775181E-2</v>
      </c>
      <c r="Z219" s="37">
        <f t="shared" si="42"/>
        <v>-2.9303029827799838</v>
      </c>
      <c r="AA219" s="149">
        <f t="shared" si="41"/>
        <v>-0.15642209976546242</v>
      </c>
      <c r="AB219" s="37"/>
      <c r="AC219" s="98"/>
      <c r="AD219" s="99"/>
      <c r="AE219" s="99"/>
    </row>
    <row r="220" spans="1:31" customFormat="1" ht="20.25" customHeight="1">
      <c r="A220" s="71">
        <v>41761</v>
      </c>
      <c r="B220" s="36">
        <v>4</v>
      </c>
      <c r="C220" s="65" t="s">
        <v>223</v>
      </c>
      <c r="D220" s="65" t="s">
        <v>303</v>
      </c>
      <c r="E220" s="65" t="s">
        <v>304</v>
      </c>
      <c r="F220" s="65" t="s">
        <v>305</v>
      </c>
      <c r="G220" s="65" t="s">
        <v>306</v>
      </c>
      <c r="H220" s="36" t="s">
        <v>307</v>
      </c>
      <c r="I220" s="36"/>
      <c r="J220" s="36">
        <v>2</v>
      </c>
      <c r="K220" s="3" t="s">
        <v>229</v>
      </c>
      <c r="L220" s="3" t="s">
        <v>307</v>
      </c>
      <c r="M220" s="3">
        <v>256</v>
      </c>
      <c r="N220" s="3">
        <f t="shared" si="36"/>
        <v>0.78125</v>
      </c>
      <c r="O220" s="36">
        <v>3370.6563706563707</v>
      </c>
      <c r="P220" s="8">
        <f t="shared" si="37"/>
        <v>26.333252895752896</v>
      </c>
      <c r="Q220" s="36">
        <v>3453.1621002209199</v>
      </c>
      <c r="R220" s="60">
        <f t="shared" si="38"/>
        <v>0.76258374589678823</v>
      </c>
      <c r="S220" s="36">
        <v>250</v>
      </c>
      <c r="T220" s="36">
        <v>250</v>
      </c>
      <c r="U220" s="36" t="s">
        <v>620</v>
      </c>
      <c r="V220" s="3"/>
      <c r="W220" s="3"/>
      <c r="X220" s="3"/>
      <c r="Y220" s="37">
        <f t="shared" si="40"/>
        <v>7.6258374589678827E-3</v>
      </c>
      <c r="Z220" s="37">
        <f t="shared" si="42"/>
        <v>-4.8762131318352973</v>
      </c>
      <c r="AA220" s="149">
        <f t="shared" si="41"/>
        <v>-3.7185208758660701E-2</v>
      </c>
      <c r="AB220" s="37"/>
      <c r="AC220" s="98"/>
      <c r="AD220" s="99"/>
      <c r="AE220" s="99"/>
    </row>
    <row r="221" spans="1:31" ht="20.25" customHeight="1">
      <c r="A221" s="13">
        <v>41761</v>
      </c>
      <c r="B221" s="36">
        <v>4</v>
      </c>
      <c r="C221" s="65" t="s">
        <v>223</v>
      </c>
      <c r="D221" s="65" t="s">
        <v>224</v>
      </c>
      <c r="E221" s="65" t="s">
        <v>225</v>
      </c>
      <c r="F221" s="65" t="s">
        <v>226</v>
      </c>
      <c r="G221" s="65" t="s">
        <v>235</v>
      </c>
      <c r="H221" s="36" t="s">
        <v>236</v>
      </c>
      <c r="I221" s="36"/>
      <c r="J221" s="36">
        <v>1</v>
      </c>
      <c r="K221" s="3" t="s">
        <v>229</v>
      </c>
      <c r="L221" s="3" t="s">
        <v>236</v>
      </c>
      <c r="M221" s="3">
        <v>256</v>
      </c>
      <c r="N221" s="3">
        <f t="shared" si="36"/>
        <v>0.390625</v>
      </c>
      <c r="O221" s="36">
        <v>3370.6563706563707</v>
      </c>
      <c r="P221" s="8">
        <f t="shared" si="37"/>
        <v>13.166626447876448</v>
      </c>
      <c r="Q221" s="36">
        <v>3453.1621002209199</v>
      </c>
      <c r="R221" s="60">
        <f t="shared" si="38"/>
        <v>0.38129187294839412</v>
      </c>
      <c r="S221" s="3">
        <v>250</v>
      </c>
      <c r="T221" s="3">
        <v>250</v>
      </c>
      <c r="U221" s="3"/>
      <c r="V221" s="3"/>
      <c r="W221" s="3"/>
      <c r="X221" s="36"/>
      <c r="Y221" s="37">
        <f t="shared" si="40"/>
        <v>3.8129187294839413E-3</v>
      </c>
      <c r="Z221" s="37">
        <f t="shared" si="42"/>
        <v>-5.5693603123952427</v>
      </c>
      <c r="AA221" s="149">
        <f t="shared" si="41"/>
        <v>-2.1235518246376355E-2</v>
      </c>
      <c r="AB221" s="37"/>
      <c r="AC221" s="98"/>
    </row>
    <row r="222" spans="1:31" customFormat="1" ht="20.25" customHeight="1">
      <c r="A222" s="13">
        <v>41761</v>
      </c>
      <c r="B222" s="36">
        <v>4</v>
      </c>
      <c r="C222" s="36" t="s">
        <v>223</v>
      </c>
      <c r="D222" s="36" t="s">
        <v>224</v>
      </c>
      <c r="E222" s="36" t="s">
        <v>225</v>
      </c>
      <c r="F222" s="36" t="s">
        <v>243</v>
      </c>
      <c r="G222" s="36"/>
      <c r="H222" s="36" t="s">
        <v>507</v>
      </c>
      <c r="I222" s="36"/>
      <c r="J222" s="36">
        <v>5</v>
      </c>
      <c r="K222" s="3" t="s">
        <v>229</v>
      </c>
      <c r="L222" s="3" t="s">
        <v>673</v>
      </c>
      <c r="M222" s="3">
        <v>256</v>
      </c>
      <c r="N222" s="3">
        <f t="shared" si="36"/>
        <v>1.953125</v>
      </c>
      <c r="O222" s="36">
        <v>3370.6563706563707</v>
      </c>
      <c r="P222" s="8">
        <f t="shared" si="37"/>
        <v>65.833132239382238</v>
      </c>
      <c r="Q222" s="36">
        <v>3453.1621002209199</v>
      </c>
      <c r="R222" s="60">
        <f t="shared" si="38"/>
        <v>1.9064593647419705</v>
      </c>
      <c r="S222" s="3">
        <v>250</v>
      </c>
      <c r="T222" s="3">
        <v>250</v>
      </c>
      <c r="U222" s="3"/>
      <c r="V222" s="3"/>
      <c r="W222" s="3"/>
      <c r="X222" s="3"/>
      <c r="Y222" s="37">
        <f t="shared" si="40"/>
        <v>1.9064593647419706E-2</v>
      </c>
      <c r="Z222" s="37">
        <f t="shared" si="42"/>
        <v>-3.9599223999611421</v>
      </c>
      <c r="AA222" s="149">
        <f t="shared" si="41"/>
        <v>-7.5494311430574182E-2</v>
      </c>
      <c r="AB222" s="37"/>
      <c r="AC222" s="98"/>
      <c r="AD222" s="99"/>
      <c r="AE222" s="99"/>
    </row>
    <row r="223" spans="1:31" customFormat="1" ht="20.25" customHeight="1">
      <c r="A223" s="13">
        <v>41761</v>
      </c>
      <c r="B223" s="36">
        <v>4</v>
      </c>
      <c r="C223" s="65" t="s">
        <v>223</v>
      </c>
      <c r="D223" s="65" t="s">
        <v>224</v>
      </c>
      <c r="E223" s="65" t="s">
        <v>225</v>
      </c>
      <c r="F223" s="65" t="s">
        <v>226</v>
      </c>
      <c r="G223" s="65" t="s">
        <v>239</v>
      </c>
      <c r="H223" s="36" t="s">
        <v>240</v>
      </c>
      <c r="I223" s="36"/>
      <c r="J223" s="36">
        <v>103</v>
      </c>
      <c r="K223" s="3" t="s">
        <v>229</v>
      </c>
      <c r="L223" s="3" t="s">
        <v>240</v>
      </c>
      <c r="M223" s="3">
        <v>256</v>
      </c>
      <c r="N223" s="3">
        <f t="shared" si="36"/>
        <v>40.234375</v>
      </c>
      <c r="O223" s="36">
        <v>3370.6563706563707</v>
      </c>
      <c r="P223" s="8">
        <f t="shared" si="37"/>
        <v>1356.162524131274</v>
      </c>
      <c r="Q223" s="36">
        <v>3453.1621002209199</v>
      </c>
      <c r="R223" s="60">
        <f t="shared" si="38"/>
        <v>39.273062913684591</v>
      </c>
      <c r="S223" s="36">
        <v>250</v>
      </c>
      <c r="T223" s="36">
        <v>250</v>
      </c>
      <c r="U223" s="3"/>
      <c r="V223" s="3"/>
      <c r="W223" s="3"/>
      <c r="X223" s="3"/>
      <c r="Y223" s="37">
        <f t="shared" si="40"/>
        <v>0.39273062913684592</v>
      </c>
      <c r="Z223" s="37">
        <f t="shared" si="42"/>
        <v>-0.9346313241656069</v>
      </c>
      <c r="AA223" s="149">
        <f t="shared" si="41"/>
        <v>-0.36705834795056219</v>
      </c>
      <c r="AB223" s="37"/>
      <c r="AC223" s="98"/>
      <c r="AD223" s="99"/>
      <c r="AE223" s="99"/>
    </row>
    <row r="224" spans="1:31" customFormat="1" ht="20.25" customHeight="1">
      <c r="A224" s="13">
        <v>41761</v>
      </c>
      <c r="B224" s="36">
        <v>4</v>
      </c>
      <c r="C224" s="3" t="s">
        <v>223</v>
      </c>
      <c r="D224" s="3" t="s">
        <v>224</v>
      </c>
      <c r="E224" s="3" t="s">
        <v>225</v>
      </c>
      <c r="F224" s="3" t="s">
        <v>243</v>
      </c>
      <c r="G224" s="3" t="s">
        <v>244</v>
      </c>
      <c r="H224" s="3" t="s">
        <v>245</v>
      </c>
      <c r="I224" s="3" t="s">
        <v>246</v>
      </c>
      <c r="J224" s="3">
        <v>1</v>
      </c>
      <c r="K224" s="3" t="s">
        <v>247</v>
      </c>
      <c r="L224" s="3" t="s">
        <v>673</v>
      </c>
      <c r="M224" s="3">
        <v>256</v>
      </c>
      <c r="N224" s="3">
        <f t="shared" si="36"/>
        <v>0.390625</v>
      </c>
      <c r="O224" s="36">
        <v>3370.6563706563707</v>
      </c>
      <c r="P224" s="8">
        <f t="shared" si="37"/>
        <v>13.166626447876448</v>
      </c>
      <c r="Q224" s="36">
        <v>3453.1621002209199</v>
      </c>
      <c r="R224" s="60">
        <f t="shared" si="38"/>
        <v>0.38129187294839412</v>
      </c>
      <c r="S224" s="36">
        <v>250</v>
      </c>
      <c r="T224" s="36">
        <v>250</v>
      </c>
      <c r="U224" s="3"/>
      <c r="V224" s="3"/>
      <c r="W224" s="3"/>
      <c r="X224" s="3"/>
      <c r="Y224" s="37">
        <f t="shared" si="40"/>
        <v>3.8129187294839413E-3</v>
      </c>
      <c r="Z224" s="37">
        <f t="shared" si="42"/>
        <v>-5.5693603123952427</v>
      </c>
      <c r="AA224" s="149">
        <f t="shared" si="41"/>
        <v>-2.1235518246376355E-2</v>
      </c>
      <c r="AB224" s="37"/>
      <c r="AC224" s="98"/>
      <c r="AD224" s="99"/>
      <c r="AE224" s="99"/>
    </row>
    <row r="225" spans="1:40" ht="20.25" customHeight="1">
      <c r="A225" s="13">
        <v>41761</v>
      </c>
      <c r="B225" s="36">
        <v>4</v>
      </c>
      <c r="C225" s="3" t="s">
        <v>223</v>
      </c>
      <c r="D225" s="3" t="s">
        <v>224</v>
      </c>
      <c r="E225" s="3" t="s">
        <v>225</v>
      </c>
      <c r="F225" s="3" t="s">
        <v>248</v>
      </c>
      <c r="G225" s="3" t="s">
        <v>249</v>
      </c>
      <c r="H225" s="3" t="s">
        <v>250</v>
      </c>
      <c r="I225" s="3"/>
      <c r="J225" s="3">
        <v>17</v>
      </c>
      <c r="K225" s="3" t="s">
        <v>229</v>
      </c>
      <c r="L225" s="3" t="s">
        <v>250</v>
      </c>
      <c r="M225" s="3">
        <v>256</v>
      </c>
      <c r="N225" s="3">
        <f t="shared" si="36"/>
        <v>6.640625</v>
      </c>
      <c r="O225" s="36">
        <v>3370.6563706563707</v>
      </c>
      <c r="P225" s="8">
        <f t="shared" si="37"/>
        <v>223.8326496138996</v>
      </c>
      <c r="Q225" s="36">
        <v>3453.1621002209199</v>
      </c>
      <c r="R225" s="60">
        <f t="shared" si="38"/>
        <v>6.4819618401226995</v>
      </c>
      <c r="S225" s="36">
        <v>250</v>
      </c>
      <c r="T225" s="36">
        <v>250</v>
      </c>
      <c r="U225" s="3"/>
      <c r="V225" s="3"/>
      <c r="W225" s="3"/>
      <c r="X225" s="36"/>
      <c r="Y225" s="37">
        <f t="shared" si="40"/>
        <v>6.4819618401226992E-2</v>
      </c>
      <c r="Z225" s="37">
        <f t="shared" si="42"/>
        <v>-2.7361469683390265</v>
      </c>
      <c r="AA225" s="149">
        <f t="shared" si="41"/>
        <v>-0.17735600237740981</v>
      </c>
      <c r="AB225" s="37"/>
      <c r="AC225" s="98"/>
    </row>
    <row r="226" spans="1:40" customFormat="1" ht="20.25" customHeight="1">
      <c r="A226" s="13">
        <v>41761</v>
      </c>
      <c r="B226" s="36">
        <v>4</v>
      </c>
      <c r="C226" s="3" t="s">
        <v>216</v>
      </c>
      <c r="D226" s="3" t="s">
        <v>217</v>
      </c>
      <c r="E226" s="3"/>
      <c r="F226" s="3"/>
      <c r="G226" s="3"/>
      <c r="H226" s="3" t="s">
        <v>647</v>
      </c>
      <c r="I226" s="3"/>
      <c r="J226" s="3">
        <v>106</v>
      </c>
      <c r="K226" s="36" t="s">
        <v>229</v>
      </c>
      <c r="L226" s="3" t="s">
        <v>219</v>
      </c>
      <c r="M226" s="3">
        <v>256</v>
      </c>
      <c r="N226" s="3">
        <f t="shared" si="36"/>
        <v>41.40625</v>
      </c>
      <c r="O226" s="36">
        <v>3370.6563706563707</v>
      </c>
      <c r="P226" s="8">
        <f t="shared" si="37"/>
        <v>1395.6624034749034</v>
      </c>
      <c r="Q226" s="36">
        <v>3453.1621002209199</v>
      </c>
      <c r="R226" s="60">
        <f t="shared" si="38"/>
        <v>40.41693853252977</v>
      </c>
      <c r="S226" s="36">
        <v>250</v>
      </c>
      <c r="T226" s="36">
        <v>250</v>
      </c>
      <c r="U226" s="3"/>
      <c r="V226" s="3"/>
      <c r="W226" s="3"/>
      <c r="X226" s="3"/>
      <c r="Y226" s="37">
        <f t="shared" si="40"/>
        <v>0.40416938532529767</v>
      </c>
      <c r="Z226" s="37">
        <f t="shared" si="42"/>
        <v>-0.90592121828317573</v>
      </c>
      <c r="AA226" s="149">
        <f t="shared" si="41"/>
        <v>-0.36614562194665595</v>
      </c>
      <c r="AB226" s="37"/>
      <c r="AC226" s="98"/>
      <c r="AD226" s="99"/>
      <c r="AE226" s="99"/>
    </row>
    <row r="227" spans="1:40" s="61" customFormat="1" ht="20.25" customHeight="1">
      <c r="A227" s="13">
        <v>41761</v>
      </c>
      <c r="B227" s="65">
        <v>4</v>
      </c>
      <c r="C227" s="65" t="s">
        <v>223</v>
      </c>
      <c r="D227" s="65" t="s">
        <v>224</v>
      </c>
      <c r="E227" s="65" t="s">
        <v>225</v>
      </c>
      <c r="F227" s="65" t="s">
        <v>226</v>
      </c>
      <c r="G227" s="65" t="s">
        <v>261</v>
      </c>
      <c r="H227" s="36" t="s">
        <v>262</v>
      </c>
      <c r="I227" s="3"/>
      <c r="J227" s="3">
        <v>6</v>
      </c>
      <c r="K227" s="3" t="s">
        <v>229</v>
      </c>
      <c r="L227" s="3" t="s">
        <v>264</v>
      </c>
      <c r="M227" s="3">
        <v>256</v>
      </c>
      <c r="N227" s="3">
        <f t="shared" si="36"/>
        <v>2.34375</v>
      </c>
      <c r="O227" s="36">
        <v>3370.6563706563707</v>
      </c>
      <c r="P227" s="8">
        <f t="shared" si="37"/>
        <v>78.999758687258691</v>
      </c>
      <c r="Q227" s="36">
        <v>3453.1621002209199</v>
      </c>
      <c r="R227" s="60">
        <f t="shared" si="38"/>
        <v>2.2877512376903648</v>
      </c>
      <c r="S227" s="3">
        <v>250</v>
      </c>
      <c r="T227" s="3">
        <v>250</v>
      </c>
      <c r="U227" s="3"/>
      <c r="V227" s="3"/>
      <c r="W227" s="36"/>
      <c r="X227" s="57"/>
      <c r="Y227" s="37">
        <f t="shared" si="40"/>
        <v>2.287751237690365E-2</v>
      </c>
      <c r="Z227" s="37">
        <f t="shared" si="42"/>
        <v>-3.7776008431671877</v>
      </c>
      <c r="AA227" s="149">
        <f t="shared" si="41"/>
        <v>-8.6422110044559006E-2</v>
      </c>
      <c r="AB227" s="37"/>
      <c r="AC227" s="98"/>
      <c r="AD227" s="99"/>
      <c r="AE227" s="99"/>
    </row>
    <row r="228" spans="1:40" ht="20.25" customHeight="1">
      <c r="A228" s="35">
        <v>41761</v>
      </c>
      <c r="B228" s="65">
        <v>2</v>
      </c>
      <c r="C228" s="65" t="s">
        <v>223</v>
      </c>
      <c r="D228" s="65" t="s">
        <v>267</v>
      </c>
      <c r="E228" s="65" t="s">
        <v>278</v>
      </c>
      <c r="F228" s="65" t="s">
        <v>279</v>
      </c>
      <c r="G228" s="65" t="s">
        <v>280</v>
      </c>
      <c r="H228" s="36" t="s">
        <v>284</v>
      </c>
      <c r="I228" s="36" t="s">
        <v>285</v>
      </c>
      <c r="J228" s="36">
        <v>1</v>
      </c>
      <c r="K228" s="36" t="s">
        <v>247</v>
      </c>
      <c r="L228" s="36" t="s">
        <v>283</v>
      </c>
      <c r="M228" s="36">
        <v>1</v>
      </c>
      <c r="N228" s="36">
        <f t="shared" si="36"/>
        <v>100</v>
      </c>
      <c r="O228" s="36">
        <v>0.12732365673542145</v>
      </c>
      <c r="P228" s="53">
        <f t="shared" si="37"/>
        <v>0.12732365673542145</v>
      </c>
      <c r="Q228" s="36">
        <v>20.260761647316265</v>
      </c>
      <c r="R228" s="108">
        <f t="shared" si="38"/>
        <v>0.6284248289959361</v>
      </c>
      <c r="S228" s="36">
        <v>1000</v>
      </c>
      <c r="T228" s="36">
        <v>1000</v>
      </c>
      <c r="U228" s="36"/>
      <c r="V228" s="36"/>
      <c r="W228" s="36"/>
      <c r="X228" s="36"/>
      <c r="Y228" s="37">
        <f t="shared" si="40"/>
        <v>6.2842482899593613E-3</v>
      </c>
      <c r="Z228" s="37">
        <f t="shared" si="42"/>
        <v>-5.0697090479181162</v>
      </c>
      <c r="AA228" s="149">
        <f t="shared" si="41"/>
        <v>-3.1859310414970921E-2</v>
      </c>
      <c r="AB228" s="37">
        <f>SUM(AA228:AA241)*-1</f>
        <v>2.4458452932518657</v>
      </c>
      <c r="AC228" s="98">
        <v>13</v>
      </c>
      <c r="AD228" s="98">
        <f t="shared" ref="AD228" si="45">LN(AC228)</f>
        <v>2.5649493574615367</v>
      </c>
      <c r="AE228" s="98">
        <f>(AB228/AD228)</f>
        <v>0.95356475017208719</v>
      </c>
    </row>
    <row r="229" spans="1:40" ht="20.25" customHeight="1">
      <c r="A229" s="35">
        <v>41761</v>
      </c>
      <c r="B229" s="65">
        <v>2</v>
      </c>
      <c r="C229" s="36" t="s">
        <v>223</v>
      </c>
      <c r="D229" s="36" t="s">
        <v>224</v>
      </c>
      <c r="E229" s="36" t="s">
        <v>225</v>
      </c>
      <c r="F229" s="36" t="s">
        <v>226</v>
      </c>
      <c r="G229" s="36" t="s">
        <v>227</v>
      </c>
      <c r="H229" s="36" t="s">
        <v>228</v>
      </c>
      <c r="I229" s="36"/>
      <c r="J229" s="36">
        <v>2</v>
      </c>
      <c r="K229" s="36" t="s">
        <v>229</v>
      </c>
      <c r="L229" s="36" t="s">
        <v>228</v>
      </c>
      <c r="M229" s="36">
        <v>29</v>
      </c>
      <c r="N229" s="36">
        <f t="shared" si="36"/>
        <v>6.8965517241379306</v>
      </c>
      <c r="O229" s="36">
        <v>20.133437990580845</v>
      </c>
      <c r="P229" s="53">
        <f t="shared" si="37"/>
        <v>1.3885129648676444</v>
      </c>
      <c r="Q229" s="36">
        <v>20.260761647316265</v>
      </c>
      <c r="R229" s="108">
        <f t="shared" si="38"/>
        <v>6.853212080758901</v>
      </c>
      <c r="S229" s="62">
        <v>250</v>
      </c>
      <c r="T229" s="62">
        <v>250</v>
      </c>
      <c r="U229" s="62"/>
      <c r="V229" s="62"/>
      <c r="W229" s="62"/>
      <c r="X229" s="62"/>
      <c r="Y229" s="37">
        <f t="shared" si="40"/>
        <v>6.8532120807589011E-2</v>
      </c>
      <c r="Z229" s="37">
        <f t="shared" si="42"/>
        <v>-2.6804527267220202</v>
      </c>
      <c r="AA229" s="149">
        <f t="shared" si="41"/>
        <v>-0.18369711008674486</v>
      </c>
      <c r="AB229" s="37"/>
      <c r="AC229" s="98"/>
      <c r="AD229" s="98"/>
      <c r="AE229" s="98"/>
      <c r="AF229" s="36"/>
      <c r="AG229" s="36"/>
      <c r="AH229" s="36"/>
      <c r="AI229" s="36"/>
      <c r="AJ229" s="36"/>
      <c r="AK229" s="36"/>
      <c r="AL229" s="36"/>
      <c r="AM229" s="36"/>
      <c r="AN229" s="36"/>
    </row>
    <row r="230" spans="1:40" ht="20.25" customHeight="1">
      <c r="A230" s="35">
        <v>41761</v>
      </c>
      <c r="B230" s="65">
        <v>2</v>
      </c>
      <c r="C230" s="65" t="s">
        <v>223</v>
      </c>
      <c r="D230" s="65" t="s">
        <v>224</v>
      </c>
      <c r="E230" s="65" t="s">
        <v>225</v>
      </c>
      <c r="F230" s="65" t="s">
        <v>226</v>
      </c>
      <c r="G230" s="65" t="s">
        <v>239</v>
      </c>
      <c r="H230" s="36" t="s">
        <v>240</v>
      </c>
      <c r="I230" s="36"/>
      <c r="J230" s="36">
        <v>4</v>
      </c>
      <c r="K230" s="36" t="s">
        <v>229</v>
      </c>
      <c r="L230" s="36" t="s">
        <v>240</v>
      </c>
      <c r="M230" s="36">
        <v>29</v>
      </c>
      <c r="N230" s="36">
        <f t="shared" si="36"/>
        <v>13.793103448275861</v>
      </c>
      <c r="O230" s="36">
        <v>20.133437990580845</v>
      </c>
      <c r="P230" s="53">
        <f t="shared" si="37"/>
        <v>2.7770259297352888</v>
      </c>
      <c r="Q230" s="36">
        <v>20.260761647316301</v>
      </c>
      <c r="R230" s="108">
        <f t="shared" si="38"/>
        <v>13.706424161517777</v>
      </c>
      <c r="S230" s="62">
        <v>250</v>
      </c>
      <c r="T230" s="62">
        <v>250</v>
      </c>
      <c r="U230" s="62"/>
      <c r="V230" s="62"/>
      <c r="W230" s="62"/>
      <c r="X230" s="62"/>
      <c r="Y230" s="37">
        <f t="shared" si="40"/>
        <v>0.13706424161517777</v>
      </c>
      <c r="Z230" s="37">
        <f t="shared" si="42"/>
        <v>-1.9873055461620766</v>
      </c>
      <c r="AA230" s="149">
        <f t="shared" si="41"/>
        <v>-0.27238852754234166</v>
      </c>
      <c r="AB230" s="37"/>
      <c r="AC230" s="98"/>
      <c r="AD230" s="98"/>
      <c r="AE230" s="98"/>
      <c r="AF230" s="36"/>
      <c r="AG230" s="36"/>
      <c r="AH230" s="36"/>
      <c r="AI230" s="36"/>
      <c r="AJ230" s="36"/>
      <c r="AK230" s="36"/>
      <c r="AL230" s="36"/>
      <c r="AM230" s="36"/>
      <c r="AN230" s="36"/>
    </row>
    <row r="231" spans="1:40" ht="20.25" customHeight="1">
      <c r="A231" s="35">
        <v>41761</v>
      </c>
      <c r="B231" s="65">
        <v>2</v>
      </c>
      <c r="C231" s="47" t="s">
        <v>223</v>
      </c>
      <c r="D231" s="47" t="s">
        <v>224</v>
      </c>
      <c r="E231" s="47" t="s">
        <v>225</v>
      </c>
      <c r="F231" s="47" t="s">
        <v>226</v>
      </c>
      <c r="G231" s="47" t="s">
        <v>239</v>
      </c>
      <c r="H231" s="38" t="s">
        <v>240</v>
      </c>
      <c r="J231" s="47">
        <v>1</v>
      </c>
      <c r="K231" s="47" t="s">
        <v>229</v>
      </c>
      <c r="L231" s="155" t="s">
        <v>680</v>
      </c>
      <c r="M231" s="36">
        <v>29</v>
      </c>
      <c r="N231" s="36">
        <f t="shared" si="36"/>
        <v>3.4482758620689653</v>
      </c>
      <c r="O231" s="36">
        <v>20.133437990580799</v>
      </c>
      <c r="P231" s="53">
        <f t="shared" si="37"/>
        <v>0.69425648243382065</v>
      </c>
      <c r="Q231" s="36">
        <v>20.260761647316301</v>
      </c>
      <c r="R231" s="108">
        <f t="shared" si="38"/>
        <v>3.4266060403794367</v>
      </c>
      <c r="S231" s="62">
        <v>250</v>
      </c>
      <c r="T231" s="62">
        <v>250</v>
      </c>
      <c r="U231" s="62"/>
      <c r="V231" s="62"/>
      <c r="W231" s="62"/>
      <c r="X231" s="62"/>
      <c r="Y231" s="37">
        <f t="shared" si="40"/>
        <v>3.4266060403794367E-2</v>
      </c>
      <c r="Z231" s="37">
        <f t="shared" si="42"/>
        <v>-3.3735999072819696</v>
      </c>
      <c r="AA231" s="149">
        <f t="shared" si="41"/>
        <v>-0.11559997820115904</v>
      </c>
      <c r="AB231" s="37"/>
      <c r="AC231" s="98"/>
      <c r="AD231" s="98"/>
      <c r="AE231" s="98"/>
      <c r="AF231" s="36"/>
      <c r="AG231" s="36"/>
      <c r="AH231" s="36"/>
      <c r="AI231" s="36"/>
      <c r="AJ231" s="36"/>
      <c r="AK231" s="36"/>
      <c r="AL231" s="36"/>
      <c r="AM231" s="36"/>
      <c r="AN231" s="36"/>
    </row>
    <row r="232" spans="1:40" ht="20.25" customHeight="1">
      <c r="A232" s="35">
        <v>41761</v>
      </c>
      <c r="B232" s="65">
        <v>2</v>
      </c>
      <c r="C232" s="36" t="s">
        <v>223</v>
      </c>
      <c r="D232" s="36" t="s">
        <v>224</v>
      </c>
      <c r="E232" s="36" t="s">
        <v>225</v>
      </c>
      <c r="F232" s="36" t="s">
        <v>243</v>
      </c>
      <c r="G232" s="36"/>
      <c r="H232" s="36" t="s">
        <v>507</v>
      </c>
      <c r="I232" s="36"/>
      <c r="J232" s="36">
        <v>4</v>
      </c>
      <c r="K232" s="36" t="s">
        <v>229</v>
      </c>
      <c r="L232" s="36" t="s">
        <v>673</v>
      </c>
      <c r="M232" s="36">
        <v>29</v>
      </c>
      <c r="N232" s="36">
        <f t="shared" si="36"/>
        <v>13.793103448275861</v>
      </c>
      <c r="O232" s="36">
        <v>20.133437990580799</v>
      </c>
      <c r="P232" s="53">
        <f t="shared" si="37"/>
        <v>2.7770259297352826</v>
      </c>
      <c r="Q232" s="36">
        <v>20.260761647316301</v>
      </c>
      <c r="R232" s="108">
        <f t="shared" si="38"/>
        <v>13.706424161517747</v>
      </c>
      <c r="S232" s="62">
        <v>250</v>
      </c>
      <c r="T232" s="62">
        <v>250</v>
      </c>
      <c r="U232" s="62"/>
      <c r="V232" s="62"/>
      <c r="W232" s="62"/>
      <c r="X232" s="62"/>
      <c r="Y232" s="37">
        <f t="shared" si="40"/>
        <v>0.13706424161517747</v>
      </c>
      <c r="Z232" s="37">
        <f t="shared" si="42"/>
        <v>-1.9873055461620788</v>
      </c>
      <c r="AA232" s="149">
        <f t="shared" si="41"/>
        <v>-0.27238852754234139</v>
      </c>
      <c r="AB232" s="37"/>
      <c r="AC232" s="98"/>
      <c r="AD232" s="98"/>
      <c r="AE232" s="98"/>
      <c r="AF232" s="36"/>
      <c r="AG232" s="36"/>
      <c r="AH232" s="36"/>
      <c r="AI232" s="36"/>
      <c r="AJ232" s="36"/>
      <c r="AK232" s="36"/>
      <c r="AL232" s="36"/>
      <c r="AM232" s="36"/>
      <c r="AN232" s="36"/>
    </row>
    <row r="233" spans="1:40" ht="20.25" customHeight="1">
      <c r="A233" s="35">
        <v>41761</v>
      </c>
      <c r="B233" s="65">
        <v>2</v>
      </c>
      <c r="C233" s="65" t="s">
        <v>223</v>
      </c>
      <c r="D233" s="65" t="s">
        <v>224</v>
      </c>
      <c r="E233" s="65" t="s">
        <v>225</v>
      </c>
      <c r="F233" s="65" t="s">
        <v>248</v>
      </c>
      <c r="G233" s="53" t="s">
        <v>359</v>
      </c>
      <c r="H233" s="53" t="s">
        <v>669</v>
      </c>
      <c r="I233" s="36"/>
      <c r="J233" s="36">
        <v>3</v>
      </c>
      <c r="K233" s="36" t="s">
        <v>229</v>
      </c>
      <c r="L233" s="36" t="s">
        <v>669</v>
      </c>
      <c r="M233" s="36">
        <v>29</v>
      </c>
      <c r="N233" s="36">
        <f t="shared" si="36"/>
        <v>10.344827586206897</v>
      </c>
      <c r="O233" s="36">
        <v>20.133437990580799</v>
      </c>
      <c r="P233" s="53">
        <f t="shared" si="37"/>
        <v>2.082769447301462</v>
      </c>
      <c r="Q233" s="36">
        <v>20.260761647316301</v>
      </c>
      <c r="R233" s="108">
        <f t="shared" si="38"/>
        <v>10.279818121138311</v>
      </c>
      <c r="S233" s="62">
        <v>250</v>
      </c>
      <c r="T233" s="62">
        <v>250</v>
      </c>
      <c r="U233" s="62"/>
      <c r="V233" s="62"/>
      <c r="W233" s="62"/>
      <c r="X233" s="62"/>
      <c r="Y233" s="37">
        <f t="shared" si="40"/>
        <v>0.10279818121138311</v>
      </c>
      <c r="Z233" s="37">
        <f t="shared" si="42"/>
        <v>-2.2749876186138596</v>
      </c>
      <c r="AA233" s="149">
        <f t="shared" si="41"/>
        <v>-0.23386458947192046</v>
      </c>
      <c r="AB233" s="37"/>
      <c r="AC233" s="98"/>
      <c r="AD233" s="98"/>
      <c r="AE233" s="98"/>
      <c r="AF233" s="36"/>
      <c r="AG233" s="36"/>
      <c r="AH233" s="36"/>
      <c r="AI233" s="36"/>
      <c r="AJ233" s="36"/>
      <c r="AK233" s="36"/>
      <c r="AL233" s="36"/>
      <c r="AM233" s="36"/>
      <c r="AN233" s="36"/>
    </row>
    <row r="234" spans="1:40" ht="20.25" customHeight="1">
      <c r="A234" s="35">
        <v>41761</v>
      </c>
      <c r="B234" s="65">
        <v>2</v>
      </c>
      <c r="C234" s="65" t="s">
        <v>223</v>
      </c>
      <c r="D234" s="65" t="s">
        <v>224</v>
      </c>
      <c r="E234" s="65" t="s">
        <v>225</v>
      </c>
      <c r="F234" s="65" t="s">
        <v>248</v>
      </c>
      <c r="G234" s="53" t="s">
        <v>359</v>
      </c>
      <c r="H234" s="53" t="s">
        <v>670</v>
      </c>
      <c r="I234" s="36"/>
      <c r="J234" s="36">
        <v>3</v>
      </c>
      <c r="K234" s="36" t="s">
        <v>229</v>
      </c>
      <c r="L234" s="36" t="s">
        <v>670</v>
      </c>
      <c r="M234" s="36">
        <v>29</v>
      </c>
      <c r="N234" s="36">
        <f t="shared" si="36"/>
        <v>10.344827586206897</v>
      </c>
      <c r="O234" s="36">
        <v>20.133437990580799</v>
      </c>
      <c r="P234" s="53">
        <f t="shared" si="37"/>
        <v>2.082769447301462</v>
      </c>
      <c r="Q234" s="36">
        <v>20.260761647316301</v>
      </c>
      <c r="R234" s="108">
        <f t="shared" si="38"/>
        <v>10.279818121138311</v>
      </c>
      <c r="S234" s="62">
        <v>250</v>
      </c>
      <c r="T234" s="62">
        <v>250</v>
      </c>
      <c r="U234" s="62"/>
      <c r="V234" s="62"/>
      <c r="W234" s="62"/>
      <c r="X234" s="62"/>
      <c r="Y234" s="37">
        <f t="shared" si="40"/>
        <v>0.10279818121138311</v>
      </c>
      <c r="Z234" s="37">
        <f t="shared" si="42"/>
        <v>-2.2749876186138596</v>
      </c>
      <c r="AA234" s="149">
        <f t="shared" si="41"/>
        <v>-0.23386458947192046</v>
      </c>
      <c r="AB234" s="37"/>
      <c r="AC234" s="98"/>
      <c r="AD234" s="98"/>
      <c r="AE234" s="98"/>
      <c r="AF234" s="36"/>
      <c r="AG234" s="36"/>
      <c r="AH234" s="36"/>
      <c r="AI234" s="36"/>
      <c r="AJ234" s="36"/>
      <c r="AK234" s="36"/>
      <c r="AL234" s="36"/>
      <c r="AM234" s="36"/>
      <c r="AN234" s="36"/>
    </row>
    <row r="235" spans="1:40" ht="20.25" customHeight="1">
      <c r="A235" s="35">
        <v>41761</v>
      </c>
      <c r="B235" s="65">
        <v>2</v>
      </c>
      <c r="C235" s="65" t="s">
        <v>223</v>
      </c>
      <c r="D235" s="65" t="s">
        <v>224</v>
      </c>
      <c r="E235" s="65" t="s">
        <v>225</v>
      </c>
      <c r="F235" s="65" t="s">
        <v>248</v>
      </c>
      <c r="G235" s="53" t="s">
        <v>359</v>
      </c>
      <c r="H235" s="53" t="s">
        <v>671</v>
      </c>
      <c r="I235" s="36"/>
      <c r="J235" s="36">
        <v>2</v>
      </c>
      <c r="K235" s="36" t="s">
        <v>229</v>
      </c>
      <c r="L235" s="36" t="s">
        <v>671</v>
      </c>
      <c r="M235" s="36">
        <v>29</v>
      </c>
      <c r="N235" s="36">
        <f t="shared" si="36"/>
        <v>6.8965517241379306</v>
      </c>
      <c r="O235" s="36">
        <v>20.133437990580799</v>
      </c>
      <c r="P235" s="53">
        <f t="shared" si="37"/>
        <v>1.3885129648676413</v>
      </c>
      <c r="Q235" s="36">
        <v>20.260761647316301</v>
      </c>
      <c r="R235" s="108">
        <f t="shared" si="38"/>
        <v>6.8532120807588734</v>
      </c>
      <c r="S235" s="62">
        <v>250</v>
      </c>
      <c r="T235" s="62">
        <v>250</v>
      </c>
      <c r="U235" s="62"/>
      <c r="V235" s="62"/>
      <c r="W235" s="62"/>
      <c r="X235" s="62"/>
      <c r="Y235" s="37">
        <f t="shared" si="40"/>
        <v>6.8532120807588734E-2</v>
      </c>
      <c r="Z235" s="37">
        <f t="shared" si="42"/>
        <v>-2.6804527267220242</v>
      </c>
      <c r="AA235" s="149">
        <f t="shared" si="41"/>
        <v>-0.18369711008674439</v>
      </c>
      <c r="AB235" s="37"/>
      <c r="AC235" s="98"/>
      <c r="AD235" s="98"/>
      <c r="AE235" s="98"/>
      <c r="AF235" s="36"/>
      <c r="AG235" s="36"/>
      <c r="AH235" s="36"/>
      <c r="AI235" s="36"/>
      <c r="AJ235" s="36"/>
      <c r="AK235" s="36"/>
      <c r="AL235" s="36"/>
      <c r="AM235" s="36"/>
      <c r="AN235" s="36"/>
    </row>
    <row r="236" spans="1:40" ht="20.25" customHeight="1">
      <c r="A236" s="35">
        <v>41761</v>
      </c>
      <c r="B236" s="65">
        <v>2</v>
      </c>
      <c r="C236" s="65" t="s">
        <v>216</v>
      </c>
      <c r="D236" s="65" t="s">
        <v>217</v>
      </c>
      <c r="E236" s="65"/>
      <c r="F236" s="65"/>
      <c r="G236" s="65"/>
      <c r="H236" s="36" t="s">
        <v>647</v>
      </c>
      <c r="I236" s="36"/>
      <c r="J236" s="36">
        <v>4</v>
      </c>
      <c r="K236" s="36" t="s">
        <v>229</v>
      </c>
      <c r="L236" s="36" t="s">
        <v>219</v>
      </c>
      <c r="M236" s="36">
        <v>29</v>
      </c>
      <c r="N236" s="36">
        <f t="shared" si="36"/>
        <v>13.793103448275861</v>
      </c>
      <c r="O236" s="36">
        <v>20.133437990580799</v>
      </c>
      <c r="P236" s="53">
        <f t="shared" si="37"/>
        <v>2.7770259297352826</v>
      </c>
      <c r="Q236" s="36">
        <v>20.260761647316301</v>
      </c>
      <c r="R236" s="108">
        <f t="shared" si="38"/>
        <v>13.706424161517747</v>
      </c>
      <c r="S236" s="62">
        <v>250</v>
      </c>
      <c r="T236" s="62">
        <v>250</v>
      </c>
      <c r="U236" s="62"/>
      <c r="V236" s="62"/>
      <c r="W236" s="62"/>
      <c r="X236" s="62"/>
      <c r="Y236" s="37">
        <f t="shared" si="40"/>
        <v>0.13706424161517747</v>
      </c>
      <c r="Z236" s="37">
        <f t="shared" si="42"/>
        <v>-1.9873055461620788</v>
      </c>
      <c r="AA236" s="149">
        <f t="shared" si="41"/>
        <v>-0.27238852754234139</v>
      </c>
      <c r="AB236" s="37"/>
      <c r="AC236" s="98"/>
      <c r="AD236" s="98"/>
      <c r="AE236" s="98"/>
      <c r="AF236" s="36"/>
      <c r="AG236" s="36"/>
      <c r="AH236" s="36"/>
      <c r="AI236" s="36"/>
      <c r="AJ236" s="36"/>
      <c r="AK236" s="36"/>
      <c r="AL236" s="36"/>
      <c r="AM236" s="36"/>
      <c r="AN236" s="36"/>
    </row>
    <row r="237" spans="1:40" ht="20.25" customHeight="1">
      <c r="A237" s="35">
        <v>41761</v>
      </c>
      <c r="B237" s="65">
        <v>2</v>
      </c>
      <c r="C237" s="65" t="s">
        <v>223</v>
      </c>
      <c r="D237" s="65" t="s">
        <v>224</v>
      </c>
      <c r="E237" s="65" t="s">
        <v>225</v>
      </c>
      <c r="F237" s="65" t="s">
        <v>226</v>
      </c>
      <c r="G237" s="65" t="s">
        <v>253</v>
      </c>
      <c r="H237" s="36" t="s">
        <v>256</v>
      </c>
      <c r="I237" s="36"/>
      <c r="J237" s="36">
        <v>1</v>
      </c>
      <c r="K237" s="36" t="s">
        <v>229</v>
      </c>
      <c r="L237" s="36" t="s">
        <v>256</v>
      </c>
      <c r="M237" s="36">
        <v>29</v>
      </c>
      <c r="N237" s="36">
        <f t="shared" si="36"/>
        <v>3.4482758620689653</v>
      </c>
      <c r="O237" s="36">
        <v>20.133437990580799</v>
      </c>
      <c r="P237" s="53">
        <f t="shared" si="37"/>
        <v>0.69425648243382065</v>
      </c>
      <c r="Q237" s="36">
        <v>20.260761647316301</v>
      </c>
      <c r="R237" s="108">
        <f t="shared" si="38"/>
        <v>3.4266060403794367</v>
      </c>
      <c r="S237" s="62">
        <v>250</v>
      </c>
      <c r="T237" s="62">
        <v>250</v>
      </c>
      <c r="U237" s="62"/>
      <c r="V237" s="62"/>
      <c r="W237" s="62"/>
      <c r="X237" s="62"/>
      <c r="Y237" s="37">
        <f t="shared" si="40"/>
        <v>3.4266060403794367E-2</v>
      </c>
      <c r="Z237" s="37">
        <f t="shared" si="42"/>
        <v>-3.3735999072819696</v>
      </c>
      <c r="AA237" s="149">
        <f t="shared" si="41"/>
        <v>-0.11559997820115904</v>
      </c>
      <c r="AB237" s="37"/>
      <c r="AC237" s="98"/>
      <c r="AD237" s="98"/>
      <c r="AE237" s="98"/>
      <c r="AF237" s="36"/>
      <c r="AG237" s="36"/>
      <c r="AH237" s="36"/>
      <c r="AI237" s="36"/>
      <c r="AJ237" s="36"/>
      <c r="AK237" s="36"/>
      <c r="AL237" s="36"/>
      <c r="AM237" s="36"/>
      <c r="AN237" s="36"/>
    </row>
    <row r="238" spans="1:40" ht="20.25" customHeight="1">
      <c r="A238" s="35">
        <v>41761</v>
      </c>
      <c r="B238" s="65">
        <v>2</v>
      </c>
      <c r="C238" s="65" t="s">
        <v>223</v>
      </c>
      <c r="D238" s="65" t="s">
        <v>224</v>
      </c>
      <c r="E238" s="65" t="s">
        <v>225</v>
      </c>
      <c r="F238" s="65" t="s">
        <v>248</v>
      </c>
      <c r="G238" s="53" t="s">
        <v>359</v>
      </c>
      <c r="H238" s="53" t="s">
        <v>672</v>
      </c>
      <c r="I238" s="36"/>
      <c r="J238" s="36">
        <v>1</v>
      </c>
      <c r="K238" s="36" t="s">
        <v>229</v>
      </c>
      <c r="L238" s="36" t="s">
        <v>672</v>
      </c>
      <c r="M238" s="36">
        <v>29</v>
      </c>
      <c r="N238" s="36">
        <f t="shared" si="36"/>
        <v>3.4482758620689653</v>
      </c>
      <c r="O238" s="36">
        <v>20.133437990580799</v>
      </c>
      <c r="P238" s="53">
        <f t="shared" si="37"/>
        <v>0.69425648243382065</v>
      </c>
      <c r="Q238" s="36">
        <v>20.260761647316301</v>
      </c>
      <c r="R238" s="108">
        <f t="shared" si="38"/>
        <v>3.4266060403794367</v>
      </c>
      <c r="S238" s="62">
        <v>250</v>
      </c>
      <c r="T238" s="62">
        <v>250</v>
      </c>
      <c r="U238" s="62"/>
      <c r="V238" s="62"/>
      <c r="W238" s="62"/>
      <c r="X238" s="62"/>
      <c r="Y238" s="37">
        <f t="shared" si="40"/>
        <v>3.4266060403794367E-2</v>
      </c>
      <c r="Z238" s="37">
        <f t="shared" si="42"/>
        <v>-3.3735999072819696</v>
      </c>
      <c r="AA238" s="149">
        <f t="shared" si="41"/>
        <v>-0.11559997820115904</v>
      </c>
      <c r="AB238" s="37"/>
      <c r="AC238" s="98"/>
      <c r="AD238" s="98"/>
      <c r="AE238" s="98"/>
      <c r="AF238" s="36"/>
      <c r="AG238" s="36"/>
      <c r="AH238" s="36"/>
      <c r="AI238" s="36"/>
      <c r="AJ238" s="36"/>
      <c r="AK238" s="36"/>
      <c r="AL238" s="36"/>
      <c r="AM238" s="36"/>
      <c r="AN238" s="36"/>
    </row>
    <row r="239" spans="1:40" ht="20.25" customHeight="1">
      <c r="A239" s="35">
        <v>41761</v>
      </c>
      <c r="B239" s="65">
        <v>2</v>
      </c>
      <c r="C239" s="36" t="s">
        <v>223</v>
      </c>
      <c r="D239" s="36" t="s">
        <v>224</v>
      </c>
      <c r="E239" s="36" t="s">
        <v>225</v>
      </c>
      <c r="F239" s="36" t="s">
        <v>243</v>
      </c>
      <c r="G239" s="53"/>
      <c r="H239" s="53"/>
      <c r="I239" s="36"/>
      <c r="J239" s="36">
        <v>2</v>
      </c>
      <c r="K239" s="36" t="s">
        <v>508</v>
      </c>
      <c r="L239" s="36" t="s">
        <v>673</v>
      </c>
      <c r="M239" s="36">
        <v>29</v>
      </c>
      <c r="N239" s="36">
        <f t="shared" si="36"/>
        <v>6.8965517241379306</v>
      </c>
      <c r="O239" s="36">
        <v>20.133437990580799</v>
      </c>
      <c r="P239" s="53">
        <f t="shared" si="37"/>
        <v>1.3885129648676413</v>
      </c>
      <c r="Q239" s="36">
        <v>20.260761647316301</v>
      </c>
      <c r="R239" s="108">
        <f t="shared" si="38"/>
        <v>6.8532120807588734</v>
      </c>
      <c r="S239" s="62">
        <v>250</v>
      </c>
      <c r="T239" s="62">
        <v>250</v>
      </c>
      <c r="U239" s="62"/>
      <c r="V239" s="62"/>
      <c r="W239" s="62"/>
      <c r="X239" s="62"/>
      <c r="Y239" s="37">
        <f t="shared" si="40"/>
        <v>6.8532120807588734E-2</v>
      </c>
      <c r="Z239" s="37">
        <f t="shared" si="42"/>
        <v>-2.6804527267220242</v>
      </c>
      <c r="AA239" s="149">
        <f t="shared" si="41"/>
        <v>-0.18369711008674439</v>
      </c>
      <c r="AB239" s="37"/>
      <c r="AC239" s="98"/>
      <c r="AD239" s="98"/>
      <c r="AE239" s="98"/>
      <c r="AF239" s="36"/>
      <c r="AG239" s="36"/>
      <c r="AH239" s="36"/>
      <c r="AI239" s="36"/>
      <c r="AJ239" s="36"/>
      <c r="AK239" s="36"/>
      <c r="AL239" s="36"/>
      <c r="AM239" s="36"/>
      <c r="AN239" s="36"/>
    </row>
    <row r="240" spans="1:40" ht="20.25" customHeight="1">
      <c r="A240" s="35">
        <v>41761</v>
      </c>
      <c r="B240" s="65">
        <v>2</v>
      </c>
      <c r="C240" s="65" t="s">
        <v>223</v>
      </c>
      <c r="D240" s="65" t="s">
        <v>224</v>
      </c>
      <c r="E240" s="65" t="s">
        <v>225</v>
      </c>
      <c r="F240" s="65" t="s">
        <v>226</v>
      </c>
      <c r="G240" s="53" t="s">
        <v>674</v>
      </c>
      <c r="H240" s="53" t="s">
        <v>675</v>
      </c>
      <c r="I240" s="36"/>
      <c r="J240" s="36">
        <v>1</v>
      </c>
      <c r="K240" s="36" t="s">
        <v>229</v>
      </c>
      <c r="L240" s="36" t="s">
        <v>676</v>
      </c>
      <c r="M240" s="36">
        <v>29</v>
      </c>
      <c r="N240" s="36">
        <f t="shared" si="36"/>
        <v>3.4482758620689653</v>
      </c>
      <c r="O240" s="36">
        <v>20.133437990580799</v>
      </c>
      <c r="P240" s="53">
        <f t="shared" si="37"/>
        <v>0.69425648243382065</v>
      </c>
      <c r="Q240" s="36">
        <v>20.260761647316301</v>
      </c>
      <c r="R240" s="108">
        <f t="shared" si="38"/>
        <v>3.4266060403794367</v>
      </c>
      <c r="S240" s="62">
        <v>250</v>
      </c>
      <c r="T240" s="62">
        <v>250</v>
      </c>
      <c r="U240" s="62"/>
      <c r="V240" s="62"/>
      <c r="W240" s="62"/>
      <c r="X240" s="62"/>
      <c r="Y240" s="37">
        <f t="shared" si="40"/>
        <v>3.4266060403794367E-2</v>
      </c>
      <c r="Z240" s="37">
        <f t="shared" si="42"/>
        <v>-3.3735999072819696</v>
      </c>
      <c r="AA240" s="149">
        <f t="shared" si="41"/>
        <v>-0.11559997820115904</v>
      </c>
      <c r="AB240" s="37"/>
      <c r="AC240" s="98"/>
      <c r="AD240" s="98"/>
      <c r="AE240" s="98"/>
      <c r="AF240" s="36"/>
      <c r="AG240" s="36"/>
      <c r="AH240" s="36"/>
      <c r="AI240" s="36"/>
      <c r="AJ240" s="36"/>
      <c r="AK240" s="36"/>
      <c r="AL240" s="36"/>
      <c r="AM240" s="36"/>
      <c r="AN240" s="36"/>
    </row>
    <row r="241" spans="1:40" ht="20.25" customHeight="1">
      <c r="A241" s="35">
        <v>41761</v>
      </c>
      <c r="B241" s="65">
        <v>2</v>
      </c>
      <c r="C241" s="65" t="s">
        <v>223</v>
      </c>
      <c r="D241" s="65" t="s">
        <v>224</v>
      </c>
      <c r="E241" s="65" t="s">
        <v>225</v>
      </c>
      <c r="F241" s="65" t="s">
        <v>226</v>
      </c>
      <c r="G241" s="36"/>
      <c r="H241" s="36"/>
      <c r="I241" s="36"/>
      <c r="J241" s="36">
        <v>1</v>
      </c>
      <c r="K241" s="36" t="s">
        <v>508</v>
      </c>
      <c r="L241" s="36" t="s">
        <v>601</v>
      </c>
      <c r="M241" s="36">
        <v>29</v>
      </c>
      <c r="N241" s="36">
        <f t="shared" si="36"/>
        <v>3.4482758620689653</v>
      </c>
      <c r="O241" s="36">
        <v>20.133437990580799</v>
      </c>
      <c r="P241" s="53">
        <f t="shared" si="37"/>
        <v>0.69425648243382065</v>
      </c>
      <c r="Q241" s="36">
        <v>20.260761647316301</v>
      </c>
      <c r="R241" s="108">
        <f t="shared" si="38"/>
        <v>3.4266060403794367</v>
      </c>
      <c r="S241" s="62">
        <v>250</v>
      </c>
      <c r="T241" s="62">
        <v>250</v>
      </c>
      <c r="U241" s="62"/>
      <c r="V241" s="62"/>
      <c r="W241" s="62"/>
      <c r="X241" s="62"/>
      <c r="Y241" s="37">
        <f t="shared" si="40"/>
        <v>3.4266060403794367E-2</v>
      </c>
      <c r="Z241" s="37">
        <f t="shared" si="42"/>
        <v>-3.3735999072819696</v>
      </c>
      <c r="AA241" s="149">
        <f t="shared" si="41"/>
        <v>-0.11559997820115904</v>
      </c>
      <c r="AB241" s="37"/>
      <c r="AC241" s="98"/>
      <c r="AD241" s="98"/>
      <c r="AE241" s="98"/>
      <c r="AF241" s="36"/>
      <c r="AG241" s="36"/>
      <c r="AH241" s="36"/>
      <c r="AI241" s="36"/>
      <c r="AJ241" s="36"/>
      <c r="AK241" s="36"/>
      <c r="AL241" s="36"/>
      <c r="AM241" s="36"/>
      <c r="AN241" s="36"/>
    </row>
    <row r="242" spans="1:40" ht="20.25" customHeight="1">
      <c r="A242" s="35">
        <v>41851</v>
      </c>
      <c r="B242" s="76">
        <v>8</v>
      </c>
      <c r="C242" s="36" t="s">
        <v>351</v>
      </c>
      <c r="D242" s="36"/>
      <c r="E242" s="36"/>
      <c r="F242" s="36"/>
      <c r="G242" s="36"/>
      <c r="H242" s="36"/>
      <c r="I242" s="36"/>
      <c r="J242" s="36">
        <v>4</v>
      </c>
      <c r="K242" s="36" t="s">
        <v>474</v>
      </c>
      <c r="L242" s="36" t="s">
        <v>352</v>
      </c>
      <c r="M242" s="36">
        <v>5</v>
      </c>
      <c r="N242" s="36">
        <f t="shared" si="36"/>
        <v>80</v>
      </c>
      <c r="O242" s="65">
        <v>0.58764764647117596</v>
      </c>
      <c r="P242" s="53">
        <f t="shared" si="37"/>
        <v>0.4701181171769408</v>
      </c>
      <c r="Q242" s="36">
        <v>1640.2456730187823</v>
      </c>
      <c r="R242" s="53">
        <f t="shared" si="38"/>
        <v>2.8661445349934325E-2</v>
      </c>
      <c r="S242" s="36">
        <v>1000</v>
      </c>
      <c r="T242" s="36">
        <v>1000</v>
      </c>
      <c r="U242" s="36"/>
      <c r="V242" s="36"/>
      <c r="W242" s="36"/>
      <c r="X242" s="36"/>
      <c r="Y242" s="37">
        <f t="shared" si="40"/>
        <v>2.8661445349934325E-4</v>
      </c>
      <c r="Z242" s="37">
        <f t="shared" si="42"/>
        <v>-8.1573726129299242</v>
      </c>
      <c r="AA242" s="149">
        <f t="shared" si="41"/>
        <v>-2.3380208934454198E-3</v>
      </c>
      <c r="AB242" s="37">
        <f>SUM(AA242:AA250)*-1</f>
        <v>1.2729018166459476</v>
      </c>
      <c r="AC242" s="98">
        <v>8</v>
      </c>
      <c r="AD242" s="98">
        <f t="shared" ref="AD242" si="46">LN(AC242)</f>
        <v>2.0794415416798357</v>
      </c>
      <c r="AE242" s="98">
        <f>(AB242/AD242)</f>
        <v>0.61213637947122046</v>
      </c>
    </row>
    <row r="243" spans="1:40" ht="20.25" customHeight="1">
      <c r="A243" s="72">
        <v>41851</v>
      </c>
      <c r="B243" s="76">
        <v>8</v>
      </c>
      <c r="C243" s="36" t="s">
        <v>288</v>
      </c>
      <c r="D243" s="36" t="s">
        <v>289</v>
      </c>
      <c r="E243" s="36"/>
      <c r="F243" s="36"/>
      <c r="G243" s="36"/>
      <c r="H243" s="36"/>
      <c r="I243" s="36"/>
      <c r="J243" s="36">
        <v>1</v>
      </c>
      <c r="K243" s="36" t="s">
        <v>221</v>
      </c>
      <c r="L243" s="36" t="s">
        <v>294</v>
      </c>
      <c r="M243" s="36">
        <v>5</v>
      </c>
      <c r="N243" s="36">
        <f t="shared" si="36"/>
        <v>20</v>
      </c>
      <c r="O243" s="65">
        <v>0.58764764647117596</v>
      </c>
      <c r="P243" s="40">
        <f t="shared" si="37"/>
        <v>0.1175295292942352</v>
      </c>
      <c r="Q243" s="36">
        <v>1640.2456730187823</v>
      </c>
      <c r="R243" s="40">
        <f t="shared" si="38"/>
        <v>7.1653613374835813E-3</v>
      </c>
      <c r="S243" s="36">
        <v>1000</v>
      </c>
      <c r="T243" s="36">
        <v>1000</v>
      </c>
      <c r="U243" s="36"/>
      <c r="V243" s="36"/>
      <c r="W243" s="3"/>
      <c r="X243" s="36"/>
      <c r="Y243" s="37">
        <f t="shared" si="40"/>
        <v>7.1653613374835813E-5</v>
      </c>
      <c r="Z243" s="37">
        <f t="shared" si="42"/>
        <v>-9.543666974049815</v>
      </c>
      <c r="AA243" s="149">
        <f t="shared" si="41"/>
        <v>-6.8383822353675463E-4</v>
      </c>
      <c r="AB243" s="37"/>
      <c r="AC243" s="98"/>
    </row>
    <row r="244" spans="1:40" customFormat="1" ht="20.25" customHeight="1">
      <c r="A244" s="13">
        <v>41851</v>
      </c>
      <c r="B244" s="65">
        <v>8</v>
      </c>
      <c r="C244" s="3" t="s">
        <v>223</v>
      </c>
      <c r="D244" s="3" t="s">
        <v>224</v>
      </c>
      <c r="E244" s="3" t="s">
        <v>225</v>
      </c>
      <c r="F244" s="3" t="s">
        <v>226</v>
      </c>
      <c r="G244" s="3" t="s">
        <v>227</v>
      </c>
      <c r="H244" s="3" t="s">
        <v>228</v>
      </c>
      <c r="I244" s="3"/>
      <c r="J244" s="3">
        <v>144</v>
      </c>
      <c r="K244" s="3" t="s">
        <v>229</v>
      </c>
      <c r="L244" s="3" t="s">
        <v>228</v>
      </c>
      <c r="M244" s="3">
        <v>237</v>
      </c>
      <c r="N244" s="3">
        <f t="shared" si="36"/>
        <v>60.75949367088608</v>
      </c>
      <c r="O244" s="36">
        <v>1639.6580253723112</v>
      </c>
      <c r="P244" s="8">
        <f t="shared" si="37"/>
        <v>996.24791415026505</v>
      </c>
      <c r="Q244" s="36">
        <v>1640.2456730187801</v>
      </c>
      <c r="R244" s="60">
        <f t="shared" si="38"/>
        <v>60.737725484544434</v>
      </c>
      <c r="S244" s="36">
        <v>250</v>
      </c>
      <c r="T244" s="36">
        <v>250</v>
      </c>
      <c r="U244" s="3"/>
      <c r="V244" s="3"/>
      <c r="W244" s="3"/>
      <c r="X244" s="3"/>
      <c r="Y244" s="37">
        <f t="shared" si="40"/>
        <v>0.60737725484544436</v>
      </c>
      <c r="Z244" s="37">
        <f t="shared" si="42"/>
        <v>-0.49860517381934</v>
      </c>
      <c r="AA244" s="149">
        <f t="shared" si="41"/>
        <v>-0.30284144172612637</v>
      </c>
      <c r="AB244" s="37"/>
      <c r="AC244" s="98"/>
      <c r="AD244" s="99"/>
      <c r="AE244" s="99"/>
    </row>
    <row r="245" spans="1:40" customFormat="1" ht="20.25" customHeight="1">
      <c r="A245" s="13">
        <v>41851</v>
      </c>
      <c r="B245" s="65">
        <v>8</v>
      </c>
      <c r="C245" s="51" t="s">
        <v>223</v>
      </c>
      <c r="D245" s="51" t="s">
        <v>303</v>
      </c>
      <c r="E245" s="51" t="s">
        <v>304</v>
      </c>
      <c r="F245" s="51" t="s">
        <v>305</v>
      </c>
      <c r="G245" s="51" t="s">
        <v>306</v>
      </c>
      <c r="H245" s="3" t="s">
        <v>307</v>
      </c>
      <c r="I245" s="3"/>
      <c r="J245" s="3">
        <v>4</v>
      </c>
      <c r="K245" s="3" t="s">
        <v>229</v>
      </c>
      <c r="L245" s="3" t="s">
        <v>307</v>
      </c>
      <c r="M245" s="3">
        <v>237</v>
      </c>
      <c r="N245" s="3">
        <f t="shared" si="36"/>
        <v>1.6877637130801686</v>
      </c>
      <c r="O245" s="65">
        <v>1639.6580253723112</v>
      </c>
      <c r="P245" s="8">
        <f t="shared" si="37"/>
        <v>27.673553170840691</v>
      </c>
      <c r="Q245" s="36">
        <v>1640.2456730187801</v>
      </c>
      <c r="R245" s="60">
        <f t="shared" si="38"/>
        <v>1.6871590412373454</v>
      </c>
      <c r="S245" s="36">
        <v>250</v>
      </c>
      <c r="T245" s="36">
        <v>250</v>
      </c>
      <c r="U245" s="36" t="s">
        <v>308</v>
      </c>
      <c r="V245" s="3"/>
      <c r="W245" s="3"/>
      <c r="X245" s="3"/>
      <c r="Y245" s="37">
        <f t="shared" si="40"/>
        <v>1.6871590412373454E-2</v>
      </c>
      <c r="Z245" s="37">
        <f t="shared" si="42"/>
        <v>-4.0821241122754497</v>
      </c>
      <c r="AA245" s="149">
        <f t="shared" si="41"/>
        <v>-6.8871926034784967E-2</v>
      </c>
      <c r="AB245" s="37"/>
      <c r="AC245" s="98"/>
      <c r="AD245" s="99"/>
      <c r="AE245" s="99"/>
    </row>
    <row r="246" spans="1:40" customFormat="1" ht="20.25" customHeight="1">
      <c r="A246" s="13">
        <v>41851</v>
      </c>
      <c r="B246" s="65">
        <v>8</v>
      </c>
      <c r="C246" s="3" t="s">
        <v>223</v>
      </c>
      <c r="D246" s="3" t="s">
        <v>303</v>
      </c>
      <c r="E246" s="3" t="s">
        <v>304</v>
      </c>
      <c r="F246" s="3" t="s">
        <v>305</v>
      </c>
      <c r="G246" s="3" t="s">
        <v>306</v>
      </c>
      <c r="H246" s="3" t="s">
        <v>307</v>
      </c>
      <c r="I246" s="3"/>
      <c r="J246" s="3">
        <v>2</v>
      </c>
      <c r="K246" s="3" t="s">
        <v>229</v>
      </c>
      <c r="L246" s="3" t="s">
        <v>307</v>
      </c>
      <c r="M246" s="3">
        <v>237</v>
      </c>
      <c r="N246" s="3">
        <f t="shared" si="36"/>
        <v>0.8438818565400843</v>
      </c>
      <c r="O246" s="65">
        <v>1639.6580253723112</v>
      </c>
      <c r="P246" s="8">
        <f t="shared" si="37"/>
        <v>13.836776585420345</v>
      </c>
      <c r="Q246" s="36">
        <v>1640.2456730187801</v>
      </c>
      <c r="R246" s="60">
        <f t="shared" si="38"/>
        <v>0.8435795206186727</v>
      </c>
      <c r="S246" s="3">
        <v>250</v>
      </c>
      <c r="T246" s="3">
        <v>250</v>
      </c>
      <c r="U246" s="36" t="s">
        <v>620</v>
      </c>
      <c r="V246" s="3"/>
      <c r="W246" s="3"/>
      <c r="X246" s="3"/>
      <c r="Y246" s="37">
        <f t="shared" si="40"/>
        <v>8.4357952061867268E-3</v>
      </c>
      <c r="Z246" s="37">
        <f t="shared" si="42"/>
        <v>-4.7752712928353951</v>
      </c>
      <c r="AA246" s="149">
        <f t="shared" si="41"/>
        <v>-4.0283210680341922E-2</v>
      </c>
      <c r="AB246" s="37"/>
      <c r="AC246" s="98"/>
      <c r="AD246" s="99"/>
      <c r="AE246" s="99"/>
    </row>
    <row r="247" spans="1:40" customFormat="1" ht="20.25" customHeight="1">
      <c r="A247" s="13">
        <v>41851</v>
      </c>
      <c r="B247" s="65">
        <v>8</v>
      </c>
      <c r="C247" s="36" t="s">
        <v>223</v>
      </c>
      <c r="D247" s="36" t="s">
        <v>224</v>
      </c>
      <c r="E247" s="36" t="s">
        <v>225</v>
      </c>
      <c r="F247" s="36" t="s">
        <v>226</v>
      </c>
      <c r="G247" s="36" t="s">
        <v>239</v>
      </c>
      <c r="H247" s="36" t="s">
        <v>240</v>
      </c>
      <c r="I247" s="3"/>
      <c r="J247" s="3">
        <v>33</v>
      </c>
      <c r="K247" s="3" t="s">
        <v>229</v>
      </c>
      <c r="L247" s="3" t="s">
        <v>240</v>
      </c>
      <c r="M247" s="3">
        <v>237</v>
      </c>
      <c r="N247" s="3">
        <f t="shared" si="36"/>
        <v>13.924050632911392</v>
      </c>
      <c r="O247" s="65">
        <v>1639.6580253723112</v>
      </c>
      <c r="P247" s="8">
        <f t="shared" si="37"/>
        <v>228.30681365943573</v>
      </c>
      <c r="Q247" s="36">
        <v>1640.2456730187801</v>
      </c>
      <c r="R247" s="60">
        <f t="shared" si="38"/>
        <v>13.919062090208101</v>
      </c>
      <c r="S247" s="3">
        <v>250</v>
      </c>
      <c r="T247" s="3">
        <v>250</v>
      </c>
      <c r="U247" s="3"/>
      <c r="V247" s="3"/>
      <c r="W247" s="3"/>
      <c r="X247" s="3"/>
      <c r="Y247" s="37">
        <f t="shared" si="40"/>
        <v>0.13919062090208101</v>
      </c>
      <c r="Z247" s="37">
        <f t="shared" si="42"/>
        <v>-1.9719109119288603</v>
      </c>
      <c r="AA247" s="149">
        <f t="shared" si="41"/>
        <v>-0.27447150419496685</v>
      </c>
      <c r="AB247" s="37"/>
      <c r="AC247" s="98"/>
      <c r="AD247" s="99"/>
      <c r="AE247" s="99"/>
    </row>
    <row r="248" spans="1:40" customFormat="1" ht="20.25" customHeight="1">
      <c r="A248" s="13">
        <v>41851</v>
      </c>
      <c r="B248" s="65">
        <v>8</v>
      </c>
      <c r="C248" s="51" t="s">
        <v>223</v>
      </c>
      <c r="D248" s="51" t="s">
        <v>224</v>
      </c>
      <c r="E248" s="51" t="s">
        <v>225</v>
      </c>
      <c r="F248" s="51" t="s">
        <v>248</v>
      </c>
      <c r="G248" s="51" t="s">
        <v>249</v>
      </c>
      <c r="H248" s="3" t="s">
        <v>250</v>
      </c>
      <c r="I248" s="3" t="s">
        <v>501</v>
      </c>
      <c r="J248" s="3">
        <v>18</v>
      </c>
      <c r="K248" s="3" t="s">
        <v>247</v>
      </c>
      <c r="L248" s="3" t="s">
        <v>250</v>
      </c>
      <c r="M248" s="3">
        <v>237</v>
      </c>
      <c r="N248" s="3">
        <f t="shared" si="36"/>
        <v>7.59493670886076</v>
      </c>
      <c r="O248" s="65">
        <v>1639.6580253723112</v>
      </c>
      <c r="P248" s="8">
        <f t="shared" si="37"/>
        <v>124.53098926878313</v>
      </c>
      <c r="Q248" s="36">
        <v>1640.2456730187801</v>
      </c>
      <c r="R248" s="60">
        <f t="shared" si="38"/>
        <v>7.5922156855680543</v>
      </c>
      <c r="S248" s="36">
        <v>250</v>
      </c>
      <c r="T248" s="36">
        <v>250</v>
      </c>
      <c r="U248" s="3"/>
      <c r="V248" s="3"/>
      <c r="W248" s="3"/>
      <c r="X248" s="3"/>
      <c r="Y248" s="37">
        <f t="shared" si="40"/>
        <v>7.5922156855680545E-2</v>
      </c>
      <c r="Z248" s="37">
        <f t="shared" si="42"/>
        <v>-2.578046715499176</v>
      </c>
      <c r="AA248" s="149">
        <f t="shared" si="41"/>
        <v>-0.19573086711540047</v>
      </c>
      <c r="AB248" s="37"/>
      <c r="AC248" s="98"/>
      <c r="AD248" s="99"/>
      <c r="AE248" s="99"/>
    </row>
    <row r="249" spans="1:40" customFormat="1" ht="20.25" customHeight="1">
      <c r="A249" s="13">
        <v>41851</v>
      </c>
      <c r="B249" s="65">
        <v>8</v>
      </c>
      <c r="C249" s="65" t="s">
        <v>223</v>
      </c>
      <c r="D249" s="65" t="s">
        <v>224</v>
      </c>
      <c r="E249" s="65" t="s">
        <v>225</v>
      </c>
      <c r="F249" s="65" t="s">
        <v>226</v>
      </c>
      <c r="G249" s="65" t="s">
        <v>253</v>
      </c>
      <c r="H249" s="36" t="s">
        <v>256</v>
      </c>
      <c r="I249" s="3"/>
      <c r="J249" s="3">
        <v>14</v>
      </c>
      <c r="K249" s="3" t="s">
        <v>229</v>
      </c>
      <c r="L249" s="3" t="s">
        <v>256</v>
      </c>
      <c r="M249" s="3">
        <v>237</v>
      </c>
      <c r="N249" s="3">
        <f t="shared" ref="N249:N312" si="47">J249/M249*100</f>
        <v>5.9071729957805905</v>
      </c>
      <c r="O249" s="65">
        <v>1639.6580253723112</v>
      </c>
      <c r="P249" s="8">
        <f t="shared" ref="P249:P312" si="48">(N249/100)*O249</f>
        <v>96.857436097942426</v>
      </c>
      <c r="Q249" s="36">
        <v>1640.2456730187801</v>
      </c>
      <c r="R249" s="60">
        <f t="shared" ref="R249:R312" si="49">P249/Q249*100</f>
        <v>5.9050566443307089</v>
      </c>
      <c r="S249" s="3">
        <v>250</v>
      </c>
      <c r="T249" s="3">
        <v>250</v>
      </c>
      <c r="U249" s="3"/>
      <c r="V249" s="3"/>
      <c r="W249" s="3"/>
      <c r="X249" s="3"/>
      <c r="Y249" s="37">
        <f t="shared" si="40"/>
        <v>5.9050566443307091E-2</v>
      </c>
      <c r="Z249" s="37">
        <f t="shared" si="42"/>
        <v>-2.8293611437800821</v>
      </c>
      <c r="AA249" s="149">
        <f t="shared" si="41"/>
        <v>-0.16707537821289709</v>
      </c>
      <c r="AB249" s="37"/>
      <c r="AC249" s="98"/>
      <c r="AD249" s="99"/>
      <c r="AE249" s="99"/>
    </row>
    <row r="250" spans="1:40" customFormat="1" ht="20.25" customHeight="1">
      <c r="A250" s="13">
        <v>41851</v>
      </c>
      <c r="B250" s="65">
        <v>8</v>
      </c>
      <c r="C250" s="36" t="s">
        <v>223</v>
      </c>
      <c r="D250" s="36" t="s">
        <v>224</v>
      </c>
      <c r="E250" s="36" t="s">
        <v>225</v>
      </c>
      <c r="F250" s="36" t="s">
        <v>226</v>
      </c>
      <c r="G250" s="36" t="s">
        <v>261</v>
      </c>
      <c r="H250" s="36" t="s">
        <v>262</v>
      </c>
      <c r="I250" s="3"/>
      <c r="J250" s="3">
        <v>22</v>
      </c>
      <c r="K250" s="3" t="s">
        <v>229</v>
      </c>
      <c r="L250" s="3" t="s">
        <v>264</v>
      </c>
      <c r="M250" s="3">
        <v>237</v>
      </c>
      <c r="N250" s="3">
        <f t="shared" si="47"/>
        <v>9.2827004219409286</v>
      </c>
      <c r="O250" s="65">
        <v>1639.6580253723112</v>
      </c>
      <c r="P250" s="8">
        <f t="shared" si="48"/>
        <v>152.20454243962382</v>
      </c>
      <c r="Q250" s="36">
        <v>1640.2456730187801</v>
      </c>
      <c r="R250" s="60">
        <f t="shared" si="49"/>
        <v>9.2793747268054005</v>
      </c>
      <c r="S250" s="36">
        <v>250</v>
      </c>
      <c r="T250" s="36">
        <v>250</v>
      </c>
      <c r="U250" s="3"/>
      <c r="V250" s="3"/>
      <c r="W250" s="3"/>
      <c r="X250" s="3"/>
      <c r="Y250" s="37">
        <f t="shared" si="40"/>
        <v>9.2793747268054005E-2</v>
      </c>
      <c r="Z250" s="37">
        <f t="shared" si="42"/>
        <v>-2.3773760200370249</v>
      </c>
      <c r="AA250" s="149">
        <f t="shared" si="41"/>
        <v>-0.22060562956444779</v>
      </c>
      <c r="AB250" s="37"/>
      <c r="AC250" s="98"/>
      <c r="AD250" s="99"/>
      <c r="AE250" s="99"/>
    </row>
    <row r="251" spans="1:40" customFormat="1" ht="20.25" customHeight="1">
      <c r="A251" s="72">
        <v>41851</v>
      </c>
      <c r="B251" s="36">
        <v>5</v>
      </c>
      <c r="C251" s="36" t="s">
        <v>223</v>
      </c>
      <c r="D251" s="36" t="s">
        <v>267</v>
      </c>
      <c r="E251" s="36"/>
      <c r="F251" s="36" t="s">
        <v>273</v>
      </c>
      <c r="G251" s="36"/>
      <c r="H251" s="36"/>
      <c r="I251" s="36"/>
      <c r="J251" s="36">
        <v>1</v>
      </c>
      <c r="K251" s="36" t="s">
        <v>508</v>
      </c>
      <c r="L251" s="36" t="s">
        <v>494</v>
      </c>
      <c r="M251" s="36">
        <v>138</v>
      </c>
      <c r="N251" s="36">
        <f t="shared" si="47"/>
        <v>0.72463768115942029</v>
      </c>
      <c r="O251" s="65">
        <v>12.402822091403406</v>
      </c>
      <c r="P251" s="40">
        <f t="shared" si="48"/>
        <v>8.9875522401473965E-2</v>
      </c>
      <c r="Q251" s="36">
        <v>1812.1546147003387</v>
      </c>
      <c r="R251" s="40">
        <f t="shared" si="49"/>
        <v>4.9595945992906322E-3</v>
      </c>
      <c r="S251" s="36">
        <v>1000</v>
      </c>
      <c r="T251" s="36">
        <v>1000</v>
      </c>
      <c r="U251" s="36"/>
      <c r="V251" s="36"/>
      <c r="W251" s="3"/>
      <c r="X251" s="3"/>
      <c r="Y251" s="37">
        <f t="shared" si="40"/>
        <v>4.9595945992906319E-5</v>
      </c>
      <c r="Z251" s="37">
        <f t="shared" si="42"/>
        <v>-9.9116014615877841</v>
      </c>
      <c r="AA251" s="149">
        <f t="shared" si="41"/>
        <v>-4.9157525079211912E-4</v>
      </c>
      <c r="AB251" s="37">
        <f>SUM(AA251:AA263)*-1</f>
        <v>1.2805719127790323</v>
      </c>
      <c r="AC251" s="98">
        <v>13</v>
      </c>
      <c r="AD251" s="98">
        <f t="shared" ref="AD251" si="50">LN(AC251)</f>
        <v>2.5649493574615367</v>
      </c>
      <c r="AE251" s="98">
        <f>(AB251/AD251)</f>
        <v>0.4992581662689749</v>
      </c>
    </row>
    <row r="252" spans="1:40" customFormat="1" ht="20.25" customHeight="1">
      <c r="A252" s="72">
        <v>41851</v>
      </c>
      <c r="B252" s="36">
        <v>5</v>
      </c>
      <c r="C252" s="36" t="s">
        <v>223</v>
      </c>
      <c r="D252" s="36" t="s">
        <v>267</v>
      </c>
      <c r="E252" s="36"/>
      <c r="F252" s="36" t="s">
        <v>273</v>
      </c>
      <c r="G252" s="36" t="s">
        <v>274</v>
      </c>
      <c r="H252" s="36" t="s">
        <v>275</v>
      </c>
      <c r="I252" s="36" t="s">
        <v>276</v>
      </c>
      <c r="J252" s="36">
        <v>1</v>
      </c>
      <c r="K252" s="36" t="s">
        <v>247</v>
      </c>
      <c r="L252" s="36" t="s">
        <v>275</v>
      </c>
      <c r="M252" s="36">
        <v>138</v>
      </c>
      <c r="N252" s="36">
        <f t="shared" si="47"/>
        <v>0.72463768115942029</v>
      </c>
      <c r="O252" s="65">
        <v>12.402822091403406</v>
      </c>
      <c r="P252" s="40">
        <f t="shared" si="48"/>
        <v>8.9875522401473965E-2</v>
      </c>
      <c r="Q252" s="36">
        <v>1812.1546147003387</v>
      </c>
      <c r="R252" s="40">
        <f t="shared" si="49"/>
        <v>4.9595945992906322E-3</v>
      </c>
      <c r="S252" s="36">
        <v>1000</v>
      </c>
      <c r="T252" s="36">
        <v>1000</v>
      </c>
      <c r="U252" s="36"/>
      <c r="V252" s="36"/>
      <c r="W252" s="3"/>
      <c r="X252" s="3"/>
      <c r="Y252" s="37">
        <f t="shared" si="40"/>
        <v>4.9595945992906319E-5</v>
      </c>
      <c r="Z252" s="37">
        <f t="shared" si="42"/>
        <v>-9.9116014615877841</v>
      </c>
      <c r="AA252" s="149">
        <f t="shared" si="41"/>
        <v>-4.9157525079211912E-4</v>
      </c>
      <c r="AB252" s="37"/>
      <c r="AC252" s="98"/>
      <c r="AD252" s="99"/>
      <c r="AE252" s="99"/>
    </row>
    <row r="253" spans="1:40" ht="20.25" customHeight="1">
      <c r="A253" s="72">
        <v>41851</v>
      </c>
      <c r="B253" s="36">
        <v>5</v>
      </c>
      <c r="C253" s="36" t="s">
        <v>351</v>
      </c>
      <c r="D253" s="36"/>
      <c r="E253" s="36"/>
      <c r="F253" s="36"/>
      <c r="G253" s="36"/>
      <c r="H253" s="36"/>
      <c r="I253" s="36"/>
      <c r="J253" s="36">
        <v>119</v>
      </c>
      <c r="K253" s="36" t="s">
        <v>474</v>
      </c>
      <c r="L253" s="36" t="s">
        <v>534</v>
      </c>
      <c r="M253" s="36">
        <v>138</v>
      </c>
      <c r="N253" s="36">
        <f t="shared" si="47"/>
        <v>86.231884057971016</v>
      </c>
      <c r="O253" s="65">
        <v>12.402822091403406</v>
      </c>
      <c r="P253" s="40">
        <f t="shared" si="48"/>
        <v>10.695187165775401</v>
      </c>
      <c r="Q253" s="36">
        <v>1812.1546147003401</v>
      </c>
      <c r="R253" s="40">
        <f t="shared" si="49"/>
        <v>0.59019175731558482</v>
      </c>
      <c r="S253" s="36">
        <v>1000</v>
      </c>
      <c r="T253" s="36">
        <v>1000</v>
      </c>
      <c r="U253" s="36" t="s">
        <v>535</v>
      </c>
      <c r="V253" s="36"/>
      <c r="W253" s="3"/>
      <c r="X253" s="36"/>
      <c r="Y253" s="37">
        <f t="shared" si="40"/>
        <v>5.9019175731558479E-3</v>
      </c>
      <c r="Z253" s="37">
        <f t="shared" si="42"/>
        <v>-5.1324779684762554</v>
      </c>
      <c r="AA253" s="149">
        <f t="shared" si="41"/>
        <v>-3.0291461915985238E-2</v>
      </c>
      <c r="AB253" s="37"/>
      <c r="AC253" s="98"/>
    </row>
    <row r="254" spans="1:40" customFormat="1" ht="20.25" customHeight="1">
      <c r="A254" s="72">
        <v>41851</v>
      </c>
      <c r="B254" s="36">
        <v>5</v>
      </c>
      <c r="C254" s="36" t="s">
        <v>223</v>
      </c>
      <c r="D254" s="36" t="s">
        <v>267</v>
      </c>
      <c r="E254" s="36" t="s">
        <v>278</v>
      </c>
      <c r="F254" s="36" t="s">
        <v>269</v>
      </c>
      <c r="G254" s="36" t="s">
        <v>333</v>
      </c>
      <c r="H254" s="36" t="s">
        <v>334</v>
      </c>
      <c r="I254" s="36"/>
      <c r="J254" s="36">
        <v>1</v>
      </c>
      <c r="K254" s="36" t="s">
        <v>229</v>
      </c>
      <c r="L254" s="36" t="s">
        <v>270</v>
      </c>
      <c r="M254" s="36">
        <v>138</v>
      </c>
      <c r="N254" s="36">
        <f t="shared" si="47"/>
        <v>0.72463768115942029</v>
      </c>
      <c r="O254" s="65">
        <v>12.402822091403406</v>
      </c>
      <c r="P254" s="40">
        <f t="shared" si="48"/>
        <v>8.9875522401473965E-2</v>
      </c>
      <c r="Q254" s="36">
        <v>1812.1546147003401</v>
      </c>
      <c r="R254" s="40">
        <f t="shared" si="49"/>
        <v>4.9595945992906287E-3</v>
      </c>
      <c r="S254" s="36">
        <v>1000</v>
      </c>
      <c r="T254" s="36">
        <v>1000</v>
      </c>
      <c r="U254" s="36"/>
      <c r="V254" s="36"/>
      <c r="W254" s="36"/>
      <c r="X254" s="36"/>
      <c r="Y254" s="37">
        <f t="shared" si="40"/>
        <v>4.9595945992906285E-5</v>
      </c>
      <c r="Z254" s="37">
        <f t="shared" si="42"/>
        <v>-9.9116014615877859</v>
      </c>
      <c r="AA254" s="149">
        <f t="shared" si="41"/>
        <v>-4.915752507921188E-4</v>
      </c>
      <c r="AB254" s="37"/>
      <c r="AC254" s="98"/>
      <c r="AD254" s="99"/>
      <c r="AE254" s="99"/>
    </row>
    <row r="255" spans="1:40" customFormat="1" ht="20.25" customHeight="1">
      <c r="A255" s="72">
        <v>41851</v>
      </c>
      <c r="B255" s="36">
        <v>5</v>
      </c>
      <c r="C255" s="65" t="s">
        <v>288</v>
      </c>
      <c r="D255" s="65" t="s">
        <v>289</v>
      </c>
      <c r="E255" s="65"/>
      <c r="F255" s="65"/>
      <c r="G255" s="65"/>
      <c r="H255" s="65"/>
      <c r="I255" s="36"/>
      <c r="J255" s="36">
        <v>10</v>
      </c>
      <c r="K255" s="36" t="s">
        <v>221</v>
      </c>
      <c r="L255" s="36" t="s">
        <v>294</v>
      </c>
      <c r="M255" s="36">
        <v>138</v>
      </c>
      <c r="N255" s="36">
        <f t="shared" si="47"/>
        <v>7.2463768115942031</v>
      </c>
      <c r="O255" s="65">
        <v>12.402822091403406</v>
      </c>
      <c r="P255" s="40">
        <f t="shared" si="48"/>
        <v>0.89875522401473962</v>
      </c>
      <c r="Q255" s="36">
        <v>1812.1546147003401</v>
      </c>
      <c r="R255" s="40">
        <f t="shared" si="49"/>
        <v>4.9595945992906287E-2</v>
      </c>
      <c r="S255" s="36">
        <v>1000</v>
      </c>
      <c r="T255" s="36">
        <v>1000</v>
      </c>
      <c r="U255" s="36"/>
      <c r="V255" s="36"/>
      <c r="W255" s="36"/>
      <c r="X255" s="36"/>
      <c r="Y255" s="37">
        <f t="shared" si="40"/>
        <v>4.9595945992906285E-4</v>
      </c>
      <c r="Z255" s="37">
        <f t="shared" si="42"/>
        <v>-7.6090163685937391</v>
      </c>
      <c r="AA255" s="149">
        <f t="shared" si="41"/>
        <v>-3.77376364875915E-3</v>
      </c>
      <c r="AB255" s="37"/>
      <c r="AC255" s="98"/>
      <c r="AD255" s="99"/>
      <c r="AE255" s="99"/>
    </row>
    <row r="256" spans="1:40" customFormat="1" ht="20.25" customHeight="1">
      <c r="A256" s="35">
        <v>41851</v>
      </c>
      <c r="B256" s="65">
        <v>5</v>
      </c>
      <c r="C256" s="36" t="s">
        <v>223</v>
      </c>
      <c r="D256" s="36" t="s">
        <v>267</v>
      </c>
      <c r="E256" s="36" t="s">
        <v>278</v>
      </c>
      <c r="F256" s="36" t="s">
        <v>279</v>
      </c>
      <c r="G256" s="36" t="s">
        <v>280</v>
      </c>
      <c r="H256" s="36" t="s">
        <v>284</v>
      </c>
      <c r="I256" s="36" t="s">
        <v>285</v>
      </c>
      <c r="J256" s="36">
        <v>6</v>
      </c>
      <c r="K256" s="36" t="s">
        <v>247</v>
      </c>
      <c r="L256" s="36" t="s">
        <v>283</v>
      </c>
      <c r="M256" s="36">
        <v>138</v>
      </c>
      <c r="N256" s="36">
        <f t="shared" si="47"/>
        <v>4.3478260869565215</v>
      </c>
      <c r="O256" s="65">
        <v>12.402822091403406</v>
      </c>
      <c r="P256" s="40">
        <f t="shared" si="48"/>
        <v>0.5392531344088437</v>
      </c>
      <c r="Q256" s="36">
        <v>1812.1546147003401</v>
      </c>
      <c r="R256" s="40">
        <f t="shared" si="49"/>
        <v>2.9757567595743765E-2</v>
      </c>
      <c r="S256" s="36">
        <v>1000</v>
      </c>
      <c r="T256" s="36">
        <v>1000</v>
      </c>
      <c r="U256" s="36"/>
      <c r="V256" s="36"/>
      <c r="W256" s="36"/>
      <c r="X256" s="36"/>
      <c r="Y256" s="37">
        <f t="shared" si="40"/>
        <v>2.9757567595743766E-4</v>
      </c>
      <c r="Z256" s="37">
        <f t="shared" si="42"/>
        <v>-8.1198419923597296</v>
      </c>
      <c r="AA256" s="149">
        <f t="shared" si="41"/>
        <v>-2.416267469544034E-3</v>
      </c>
      <c r="AB256" s="37"/>
      <c r="AC256" s="98"/>
      <c r="AD256" s="99"/>
      <c r="AE256" s="99"/>
    </row>
    <row r="257" spans="1:31" customFormat="1" ht="20.25" customHeight="1">
      <c r="A257" s="71">
        <v>41851</v>
      </c>
      <c r="B257" s="36">
        <v>5</v>
      </c>
      <c r="C257" s="3" t="s">
        <v>223</v>
      </c>
      <c r="D257" s="3" t="s">
        <v>224</v>
      </c>
      <c r="E257" s="3" t="s">
        <v>225</v>
      </c>
      <c r="F257" s="3" t="s">
        <v>226</v>
      </c>
      <c r="G257" s="3" t="s">
        <v>227</v>
      </c>
      <c r="H257" s="3" t="s">
        <v>228</v>
      </c>
      <c r="I257" s="3"/>
      <c r="J257" s="3">
        <v>93</v>
      </c>
      <c r="K257" s="3" t="s">
        <v>229</v>
      </c>
      <c r="L257" s="3" t="s">
        <v>228</v>
      </c>
      <c r="M257" s="3">
        <v>205</v>
      </c>
      <c r="N257" s="3">
        <f t="shared" si="47"/>
        <v>45.365853658536587</v>
      </c>
      <c r="O257" s="53">
        <v>1799.7517926089354</v>
      </c>
      <c r="P257" s="8">
        <f t="shared" si="48"/>
        <v>816.47276445185855</v>
      </c>
      <c r="Q257" s="36">
        <v>1812.1546147003401</v>
      </c>
      <c r="R257" s="60">
        <f t="shared" si="49"/>
        <v>45.055358843476576</v>
      </c>
      <c r="S257" s="3">
        <v>250</v>
      </c>
      <c r="T257" s="3">
        <v>250</v>
      </c>
      <c r="U257" s="3"/>
      <c r="V257" s="3"/>
      <c r="W257" s="36"/>
      <c r="X257" s="36"/>
      <c r="Y257" s="37">
        <f t="shared" ref="Y257:Y320" si="51">(R257/100)</f>
        <v>0.45055358843476578</v>
      </c>
      <c r="Z257" s="37">
        <f t="shared" si="42"/>
        <v>-0.79727825576779654</v>
      </c>
      <c r="AA257" s="149">
        <f t="shared" ref="AA257:AA320" si="52">(Y257*Z257)</f>
        <v>-0.35921657911719174</v>
      </c>
      <c r="AB257" s="37"/>
      <c r="AC257" s="98"/>
      <c r="AD257" s="99"/>
      <c r="AE257" s="99"/>
    </row>
    <row r="258" spans="1:31" customFormat="1" ht="20.25" customHeight="1">
      <c r="A258" s="71">
        <v>41851</v>
      </c>
      <c r="B258" s="36">
        <v>5</v>
      </c>
      <c r="C258" s="3" t="s">
        <v>223</v>
      </c>
      <c r="D258" s="3" t="s">
        <v>303</v>
      </c>
      <c r="E258" s="3" t="s">
        <v>304</v>
      </c>
      <c r="F258" s="3" t="s">
        <v>305</v>
      </c>
      <c r="G258" s="3" t="s">
        <v>306</v>
      </c>
      <c r="H258" s="3" t="s">
        <v>307</v>
      </c>
      <c r="I258" s="3"/>
      <c r="J258" s="3">
        <v>4</v>
      </c>
      <c r="K258" s="3" t="s">
        <v>229</v>
      </c>
      <c r="L258" s="3" t="s">
        <v>307</v>
      </c>
      <c r="M258" s="3">
        <v>205</v>
      </c>
      <c r="N258" s="3">
        <f t="shared" si="47"/>
        <v>1.9512195121951219</v>
      </c>
      <c r="O258" s="53">
        <v>1799.7517926089354</v>
      </c>
      <c r="P258" s="8">
        <f t="shared" si="48"/>
        <v>35.117108148467032</v>
      </c>
      <c r="Q258" s="36">
        <v>1812.1546147003401</v>
      </c>
      <c r="R258" s="60">
        <f t="shared" si="49"/>
        <v>1.937864896493616</v>
      </c>
      <c r="S258" s="3">
        <v>250</v>
      </c>
      <c r="T258" s="3">
        <v>250</v>
      </c>
      <c r="U258" s="36" t="s">
        <v>308</v>
      </c>
      <c r="V258" s="3"/>
      <c r="W258" s="36"/>
      <c r="X258" s="36"/>
      <c r="Y258" s="37">
        <f t="shared" si="51"/>
        <v>1.9378648964936161E-2</v>
      </c>
      <c r="Z258" s="37">
        <f t="shared" si="42"/>
        <v>-3.9435833878011621</v>
      </c>
      <c r="AA258" s="149">
        <f t="shared" si="52"/>
        <v>-7.6421318136152425E-2</v>
      </c>
      <c r="AB258" s="37"/>
      <c r="AC258" s="98"/>
      <c r="AD258" s="99"/>
      <c r="AE258" s="99"/>
    </row>
    <row r="259" spans="1:31" ht="20.25" customHeight="1">
      <c r="A259" s="71">
        <v>41851</v>
      </c>
      <c r="B259" s="36">
        <v>5</v>
      </c>
      <c r="C259" s="65" t="s">
        <v>223</v>
      </c>
      <c r="D259" s="65" t="s">
        <v>224</v>
      </c>
      <c r="E259" s="65" t="s">
        <v>225</v>
      </c>
      <c r="F259" s="65" t="s">
        <v>226</v>
      </c>
      <c r="G259" s="65" t="s">
        <v>239</v>
      </c>
      <c r="H259" s="36" t="s">
        <v>240</v>
      </c>
      <c r="I259" s="3"/>
      <c r="J259" s="3">
        <v>79</v>
      </c>
      <c r="K259" s="3" t="s">
        <v>229</v>
      </c>
      <c r="L259" s="3" t="s">
        <v>240</v>
      </c>
      <c r="M259" s="3">
        <v>205</v>
      </c>
      <c r="N259" s="3">
        <f t="shared" si="47"/>
        <v>38.536585365853661</v>
      </c>
      <c r="O259" s="53">
        <v>1799.7517926089354</v>
      </c>
      <c r="P259" s="8">
        <f t="shared" si="48"/>
        <v>693.56288593222394</v>
      </c>
      <c r="Q259" s="36">
        <v>1812.1546147003401</v>
      </c>
      <c r="R259" s="60">
        <f t="shared" si="49"/>
        <v>38.272831705748921</v>
      </c>
      <c r="S259" s="36">
        <v>250</v>
      </c>
      <c r="T259" s="36">
        <v>250</v>
      </c>
      <c r="U259" s="3"/>
      <c r="V259" s="3"/>
      <c r="W259" s="36"/>
      <c r="X259" s="36"/>
      <c r="Y259" s="37">
        <f t="shared" si="51"/>
        <v>0.38272831705748922</v>
      </c>
      <c r="Z259" s="37">
        <f t="shared" ref="Z259:Z322" si="53">LN(Y259)</f>
        <v>-0.96042989645403098</v>
      </c>
      <c r="AA259" s="149">
        <f t="shared" si="52"/>
        <v>-0.36758371792154992</v>
      </c>
      <c r="AB259" s="37"/>
      <c r="AC259" s="98"/>
    </row>
    <row r="260" spans="1:31" customFormat="1" ht="20.25" customHeight="1">
      <c r="A260" s="71">
        <v>41851</v>
      </c>
      <c r="B260" s="36">
        <v>5</v>
      </c>
      <c r="C260" s="3" t="s">
        <v>223</v>
      </c>
      <c r="D260" s="3" t="s">
        <v>224</v>
      </c>
      <c r="E260" s="3" t="s">
        <v>225</v>
      </c>
      <c r="F260" s="3" t="s">
        <v>248</v>
      </c>
      <c r="G260" s="3" t="s">
        <v>249</v>
      </c>
      <c r="H260" s="3" t="s">
        <v>250</v>
      </c>
      <c r="I260" s="3" t="s">
        <v>501</v>
      </c>
      <c r="J260" s="3">
        <v>6</v>
      </c>
      <c r="K260" s="3" t="s">
        <v>247</v>
      </c>
      <c r="L260" s="3" t="s">
        <v>250</v>
      </c>
      <c r="M260" s="3">
        <v>205</v>
      </c>
      <c r="N260" s="3">
        <f t="shared" si="47"/>
        <v>2.9268292682926833</v>
      </c>
      <c r="O260" s="53">
        <v>1799.7517926089354</v>
      </c>
      <c r="P260" s="8">
        <f t="shared" si="48"/>
        <v>52.675662222700559</v>
      </c>
      <c r="Q260" s="36">
        <v>1812.1546147003401</v>
      </c>
      <c r="R260" s="60">
        <f t="shared" si="49"/>
        <v>2.9067973447404247</v>
      </c>
      <c r="S260" s="36">
        <v>250</v>
      </c>
      <c r="T260" s="36">
        <v>250</v>
      </c>
      <c r="U260" s="3"/>
      <c r="V260" s="3"/>
      <c r="W260" s="36"/>
      <c r="X260" s="36"/>
      <c r="Y260" s="37">
        <f t="shared" si="51"/>
        <v>2.9067973447404246E-2</v>
      </c>
      <c r="Z260" s="37">
        <f t="shared" si="53"/>
        <v>-3.5381182796929975</v>
      </c>
      <c r="AA260" s="149">
        <f t="shared" si="52"/>
        <v>-0.10284592820789164</v>
      </c>
      <c r="AB260" s="37"/>
      <c r="AC260" s="98"/>
      <c r="AD260" s="99"/>
      <c r="AE260" s="99"/>
    </row>
    <row r="261" spans="1:31" customFormat="1" ht="20.25" customHeight="1">
      <c r="A261" s="71">
        <v>41851</v>
      </c>
      <c r="B261" s="36">
        <v>5</v>
      </c>
      <c r="C261" s="65" t="s">
        <v>223</v>
      </c>
      <c r="D261" s="65" t="s">
        <v>224</v>
      </c>
      <c r="E261" s="65" t="s">
        <v>225</v>
      </c>
      <c r="F261" s="65" t="s">
        <v>226</v>
      </c>
      <c r="G261" s="65" t="s">
        <v>253</v>
      </c>
      <c r="H261" s="36" t="s">
        <v>256</v>
      </c>
      <c r="I261" s="3"/>
      <c r="J261" s="3">
        <v>13</v>
      </c>
      <c r="K261" s="3" t="s">
        <v>229</v>
      </c>
      <c r="L261" s="3" t="s">
        <v>256</v>
      </c>
      <c r="M261" s="3">
        <v>205</v>
      </c>
      <c r="N261" s="3">
        <f t="shared" si="47"/>
        <v>6.3414634146341466</v>
      </c>
      <c r="O261" s="53">
        <v>1799.7517926089354</v>
      </c>
      <c r="P261" s="8">
        <f t="shared" si="48"/>
        <v>114.13060148251786</v>
      </c>
      <c r="Q261" s="36">
        <v>1812.1546147003401</v>
      </c>
      <c r="R261" s="60">
        <f t="shared" si="49"/>
        <v>6.2980609136042531</v>
      </c>
      <c r="S261" s="3">
        <v>250</v>
      </c>
      <c r="T261" s="3">
        <v>250</v>
      </c>
      <c r="U261" s="3"/>
      <c r="V261" s="3"/>
      <c r="W261" s="36"/>
      <c r="X261" s="36"/>
      <c r="Y261" s="37">
        <f t="shared" si="51"/>
        <v>6.2980609136042531E-2</v>
      </c>
      <c r="Z261" s="37">
        <f t="shared" si="53"/>
        <v>-2.7649283914595157</v>
      </c>
      <c r="AA261" s="149">
        <f t="shared" si="52"/>
        <v>-0.17413687431165856</v>
      </c>
      <c r="AB261" s="37"/>
      <c r="AC261" s="98"/>
      <c r="AD261" s="99"/>
      <c r="AE261" s="99"/>
    </row>
    <row r="262" spans="1:31" customFormat="1" ht="20.25" customHeight="1">
      <c r="A262" s="71">
        <v>41851</v>
      </c>
      <c r="B262" s="36">
        <v>5</v>
      </c>
      <c r="C262" s="3" t="s">
        <v>223</v>
      </c>
      <c r="D262" s="3" t="s">
        <v>224</v>
      </c>
      <c r="E262" s="3" t="s">
        <v>225</v>
      </c>
      <c r="F262" s="3" t="s">
        <v>226</v>
      </c>
      <c r="G262" s="3" t="s">
        <v>239</v>
      </c>
      <c r="H262" s="3" t="s">
        <v>258</v>
      </c>
      <c r="I262" s="3" t="s">
        <v>259</v>
      </c>
      <c r="J262" s="3">
        <v>1</v>
      </c>
      <c r="K262" s="3" t="s">
        <v>247</v>
      </c>
      <c r="L262" s="3" t="s">
        <v>258</v>
      </c>
      <c r="M262" s="3">
        <v>205</v>
      </c>
      <c r="N262" s="3">
        <f t="shared" si="47"/>
        <v>0.48780487804878048</v>
      </c>
      <c r="O262" s="53">
        <v>1799.7517926089354</v>
      </c>
      <c r="P262" s="8">
        <f t="shared" si="48"/>
        <v>8.7792770371167581</v>
      </c>
      <c r="Q262" s="36">
        <v>1812.1546147003401</v>
      </c>
      <c r="R262" s="60">
        <f t="shared" si="49"/>
        <v>0.48446622412340401</v>
      </c>
      <c r="S262" s="3">
        <v>250</v>
      </c>
      <c r="T262" s="3">
        <v>250</v>
      </c>
      <c r="U262" s="3"/>
      <c r="V262" s="3"/>
      <c r="W262" s="36"/>
      <c r="X262" s="36"/>
      <c r="Y262" s="37">
        <f t="shared" si="51"/>
        <v>4.8446622412340401E-3</v>
      </c>
      <c r="Z262" s="37">
        <f t="shared" si="53"/>
        <v>-5.3298777489210529</v>
      </c>
      <c r="AA262" s="149">
        <f t="shared" si="52"/>
        <v>-2.5821457480591309E-2</v>
      </c>
      <c r="AB262" s="37"/>
      <c r="AC262" s="98"/>
      <c r="AD262" s="99"/>
      <c r="AE262" s="99"/>
    </row>
    <row r="263" spans="1:31" s="42" customFormat="1" ht="20.25" customHeight="1">
      <c r="A263" s="71">
        <v>41851</v>
      </c>
      <c r="B263" s="65">
        <v>5</v>
      </c>
      <c r="C263" s="36" t="s">
        <v>223</v>
      </c>
      <c r="D263" s="36" t="s">
        <v>224</v>
      </c>
      <c r="E263" s="36" t="s">
        <v>225</v>
      </c>
      <c r="F263" s="36" t="s">
        <v>226</v>
      </c>
      <c r="G263" s="36" t="s">
        <v>261</v>
      </c>
      <c r="H263" s="36" t="s">
        <v>262</v>
      </c>
      <c r="I263" s="3"/>
      <c r="J263" s="3">
        <v>9</v>
      </c>
      <c r="K263" s="3" t="s">
        <v>229</v>
      </c>
      <c r="L263" s="3" t="s">
        <v>264</v>
      </c>
      <c r="M263" s="3">
        <v>205</v>
      </c>
      <c r="N263" s="3">
        <f t="shared" si="47"/>
        <v>4.3902439024390238</v>
      </c>
      <c r="O263" s="53">
        <v>1799.7517926089354</v>
      </c>
      <c r="P263" s="8">
        <f t="shared" si="48"/>
        <v>79.013493334050821</v>
      </c>
      <c r="Q263" s="36">
        <v>1812.1546147003401</v>
      </c>
      <c r="R263" s="60">
        <f t="shared" si="49"/>
        <v>4.3601960171106358</v>
      </c>
      <c r="S263" s="36">
        <v>250</v>
      </c>
      <c r="T263" s="36">
        <v>250</v>
      </c>
      <c r="U263" s="3"/>
      <c r="V263" s="3"/>
      <c r="W263" s="36"/>
      <c r="X263" s="36"/>
      <c r="Y263" s="37">
        <f t="shared" si="51"/>
        <v>4.360196017110636E-2</v>
      </c>
      <c r="Z263" s="37">
        <f t="shared" si="53"/>
        <v>-3.1326531715848334</v>
      </c>
      <c r="AA263" s="149">
        <f t="shared" si="52"/>
        <v>-0.13658981881733193</v>
      </c>
      <c r="AB263" s="37"/>
      <c r="AC263" s="98"/>
      <c r="AD263" s="99"/>
      <c r="AE263" s="99"/>
    </row>
    <row r="264" spans="1:31" customFormat="1" ht="20.25" customHeight="1">
      <c r="A264" s="35">
        <v>41851</v>
      </c>
      <c r="B264" s="36">
        <v>4</v>
      </c>
      <c r="C264" s="36" t="s">
        <v>209</v>
      </c>
      <c r="D264" s="36" t="s">
        <v>210</v>
      </c>
      <c r="E264" s="36"/>
      <c r="F264" s="36" t="s">
        <v>211</v>
      </c>
      <c r="G264" s="36" t="s">
        <v>212</v>
      </c>
      <c r="H264" s="36" t="s">
        <v>213</v>
      </c>
      <c r="I264" s="36" t="s">
        <v>214</v>
      </c>
      <c r="J264" s="36">
        <v>1</v>
      </c>
      <c r="K264" s="36" t="s">
        <v>247</v>
      </c>
      <c r="L264" s="36" t="s">
        <v>215</v>
      </c>
      <c r="M264" s="36">
        <v>678</v>
      </c>
      <c r="N264" s="36">
        <f t="shared" si="47"/>
        <v>0.14749262536873156</v>
      </c>
      <c r="O264" s="53">
        <v>63.422771706085037</v>
      </c>
      <c r="P264" s="40">
        <f t="shared" si="48"/>
        <v>9.3543911070921887E-2</v>
      </c>
      <c r="Q264" s="36">
        <v>2417.7344385693605</v>
      </c>
      <c r="R264" s="40">
        <f t="shared" si="49"/>
        <v>3.8690730288093336E-3</v>
      </c>
      <c r="S264" s="36">
        <v>1000</v>
      </c>
      <c r="T264" s="36">
        <v>1000</v>
      </c>
      <c r="U264" s="36"/>
      <c r="V264" s="36"/>
      <c r="W264" s="36"/>
      <c r="X264" s="36"/>
      <c r="Y264" s="37">
        <f t="shared" si="51"/>
        <v>3.8690730288093335E-5</v>
      </c>
      <c r="Z264" s="37">
        <f t="shared" si="53"/>
        <v>-10.159910514059266</v>
      </c>
      <c r="AA264" s="149">
        <f t="shared" si="52"/>
        <v>-3.9309435745063075E-4</v>
      </c>
      <c r="AB264" s="37">
        <f>SUM(AA264:AA279)*-1</f>
        <v>1.559438136904912</v>
      </c>
      <c r="AC264" s="98">
        <v>15</v>
      </c>
      <c r="AD264" s="98">
        <f t="shared" ref="AD264" si="54">LN(AC264)</f>
        <v>2.7080502011022101</v>
      </c>
      <c r="AE264" s="98">
        <f>(AB264/AD264)</f>
        <v>0.57585274315454027</v>
      </c>
    </row>
    <row r="265" spans="1:31" customFormat="1" ht="20.25" customHeight="1">
      <c r="A265" s="35">
        <v>41851</v>
      </c>
      <c r="B265" s="36">
        <v>4</v>
      </c>
      <c r="C265" s="36" t="s">
        <v>223</v>
      </c>
      <c r="D265" s="36" t="s">
        <v>267</v>
      </c>
      <c r="E265" s="36"/>
      <c r="F265" s="36" t="s">
        <v>273</v>
      </c>
      <c r="G265" s="36"/>
      <c r="H265" s="36"/>
      <c r="I265" s="36"/>
      <c r="J265" s="36">
        <v>1</v>
      </c>
      <c r="K265" s="36" t="s">
        <v>508</v>
      </c>
      <c r="L265" s="36" t="s">
        <v>494</v>
      </c>
      <c r="M265" s="36">
        <v>678</v>
      </c>
      <c r="N265" s="36">
        <f t="shared" si="47"/>
        <v>0.14749262536873156</v>
      </c>
      <c r="O265" s="53">
        <v>63.422771706085037</v>
      </c>
      <c r="P265" s="40">
        <f t="shared" si="48"/>
        <v>9.3543911070921887E-2</v>
      </c>
      <c r="Q265" s="36">
        <v>2417.7344385693605</v>
      </c>
      <c r="R265" s="40">
        <f t="shared" si="49"/>
        <v>3.8690730288093336E-3</v>
      </c>
      <c r="S265" s="36">
        <v>1000</v>
      </c>
      <c r="T265" s="36">
        <v>1000</v>
      </c>
      <c r="U265" s="36"/>
      <c r="V265" s="36"/>
      <c r="W265" s="36"/>
      <c r="X265" s="36"/>
      <c r="Y265" s="37">
        <f t="shared" si="51"/>
        <v>3.8690730288093335E-5</v>
      </c>
      <c r="Z265" s="37">
        <f t="shared" si="53"/>
        <v>-10.159910514059266</v>
      </c>
      <c r="AA265" s="149">
        <f t="shared" si="52"/>
        <v>-3.9309435745063075E-4</v>
      </c>
      <c r="AB265" s="37"/>
      <c r="AC265" s="98"/>
      <c r="AD265" s="99"/>
      <c r="AE265" s="99"/>
    </row>
    <row r="266" spans="1:31" customFormat="1" ht="20.25" customHeight="1">
      <c r="A266" s="35">
        <v>41851</v>
      </c>
      <c r="B266" s="36">
        <v>4</v>
      </c>
      <c r="C266" s="36" t="s">
        <v>223</v>
      </c>
      <c r="D266" s="36" t="s">
        <v>267</v>
      </c>
      <c r="E266" s="36"/>
      <c r="F266" s="36" t="s">
        <v>273</v>
      </c>
      <c r="G266" s="36" t="s">
        <v>274</v>
      </c>
      <c r="H266" s="36" t="s">
        <v>275</v>
      </c>
      <c r="I266" s="36" t="s">
        <v>276</v>
      </c>
      <c r="J266" s="36">
        <v>1</v>
      </c>
      <c r="K266" s="36" t="s">
        <v>247</v>
      </c>
      <c r="L266" s="36" t="s">
        <v>519</v>
      </c>
      <c r="M266" s="36">
        <v>678</v>
      </c>
      <c r="N266" s="36">
        <f t="shared" si="47"/>
        <v>0.14749262536873156</v>
      </c>
      <c r="O266" s="53">
        <v>63.422771706085037</v>
      </c>
      <c r="P266" s="40">
        <f t="shared" si="48"/>
        <v>9.3543911070921887E-2</v>
      </c>
      <c r="Q266" s="36">
        <v>2417.73443856936</v>
      </c>
      <c r="R266" s="40">
        <f t="shared" si="49"/>
        <v>3.869073028809334E-3</v>
      </c>
      <c r="S266" s="36">
        <v>1000</v>
      </c>
      <c r="T266" s="36">
        <v>1000</v>
      </c>
      <c r="U266" s="36" t="s">
        <v>222</v>
      </c>
      <c r="V266" s="36"/>
      <c r="W266" s="36"/>
      <c r="X266" s="36"/>
      <c r="Y266" s="37">
        <f t="shared" si="51"/>
        <v>3.8690730288093342E-5</v>
      </c>
      <c r="Z266" s="37">
        <f t="shared" si="53"/>
        <v>-10.159910514059264</v>
      </c>
      <c r="AA266" s="149">
        <f t="shared" si="52"/>
        <v>-3.9309435745063075E-4</v>
      </c>
      <c r="AB266" s="37"/>
      <c r="AC266" s="98"/>
      <c r="AD266" s="99"/>
      <c r="AE266" s="99"/>
    </row>
    <row r="267" spans="1:31" customFormat="1" ht="20.25" customHeight="1">
      <c r="A267" s="35">
        <v>41851</v>
      </c>
      <c r="B267" s="36">
        <v>4</v>
      </c>
      <c r="C267" s="65" t="s">
        <v>351</v>
      </c>
      <c r="D267" s="65"/>
      <c r="E267" s="65"/>
      <c r="F267" s="65"/>
      <c r="G267" s="65"/>
      <c r="H267" s="36"/>
      <c r="I267" s="36"/>
      <c r="J267" s="36">
        <v>415</v>
      </c>
      <c r="K267" s="36" t="s">
        <v>474</v>
      </c>
      <c r="L267" s="36" t="s">
        <v>534</v>
      </c>
      <c r="M267" s="36">
        <v>678</v>
      </c>
      <c r="N267" s="36">
        <f t="shared" si="47"/>
        <v>61.209439528023601</v>
      </c>
      <c r="O267" s="53">
        <v>63.422771706085037</v>
      </c>
      <c r="P267" s="40">
        <f t="shared" si="48"/>
        <v>38.82072309443258</v>
      </c>
      <c r="Q267" s="36">
        <v>2417.73443856936</v>
      </c>
      <c r="R267" s="40">
        <f t="shared" si="49"/>
        <v>1.6056653069558735</v>
      </c>
      <c r="S267" s="36">
        <v>1000</v>
      </c>
      <c r="T267" s="36">
        <v>1000</v>
      </c>
      <c r="U267" s="36" t="s">
        <v>536</v>
      </c>
      <c r="V267" s="36"/>
      <c r="W267" s="36"/>
      <c r="X267" s="36"/>
      <c r="Y267" s="37">
        <f t="shared" si="51"/>
        <v>1.6056653069558734E-2</v>
      </c>
      <c r="Z267" s="37">
        <f t="shared" si="53"/>
        <v>-4.1316319938285675</v>
      </c>
      <c r="AA267" s="149">
        <f t="shared" si="52"/>
        <v>-6.6340181535994538E-2</v>
      </c>
      <c r="AB267" s="37"/>
      <c r="AC267" s="98"/>
      <c r="AD267" s="99"/>
      <c r="AE267" s="99"/>
    </row>
    <row r="268" spans="1:31" customFormat="1" ht="20.25" customHeight="1">
      <c r="A268" s="35">
        <v>41851</v>
      </c>
      <c r="B268" s="36">
        <v>4</v>
      </c>
      <c r="C268" s="65" t="s">
        <v>223</v>
      </c>
      <c r="D268" s="65" t="s">
        <v>267</v>
      </c>
      <c r="E268" s="65" t="s">
        <v>278</v>
      </c>
      <c r="F268" s="65" t="s">
        <v>269</v>
      </c>
      <c r="G268" s="65" t="s">
        <v>333</v>
      </c>
      <c r="H268" s="65" t="s">
        <v>334</v>
      </c>
      <c r="I268" s="36"/>
      <c r="J268" s="36">
        <v>2</v>
      </c>
      <c r="K268" s="36" t="s">
        <v>229</v>
      </c>
      <c r="L268" s="36" t="s">
        <v>270</v>
      </c>
      <c r="M268" s="36">
        <v>678</v>
      </c>
      <c r="N268" s="36">
        <f t="shared" si="47"/>
        <v>0.29498525073746312</v>
      </c>
      <c r="O268" s="65">
        <v>63.422771706085037</v>
      </c>
      <c r="P268" s="40">
        <f t="shared" si="48"/>
        <v>0.18708782214184377</v>
      </c>
      <c r="Q268" s="36">
        <v>2417.73443856936</v>
      </c>
      <c r="R268" s="40">
        <f t="shared" si="49"/>
        <v>7.7381460576186681E-3</v>
      </c>
      <c r="S268" s="36">
        <v>1000</v>
      </c>
      <c r="T268" s="36">
        <v>1000</v>
      </c>
      <c r="U268" s="36"/>
      <c r="V268" s="36"/>
      <c r="W268" s="36"/>
      <c r="X268" s="36"/>
      <c r="Y268" s="37">
        <f t="shared" si="51"/>
        <v>7.7381460576186683E-5</v>
      </c>
      <c r="Z268" s="37">
        <f t="shared" si="53"/>
        <v>-9.4667633334993209</v>
      </c>
      <c r="AA268" s="149">
        <f t="shared" si="52"/>
        <v>-7.3255197367526727E-4</v>
      </c>
      <c r="AB268" s="37"/>
      <c r="AC268" s="98"/>
      <c r="AD268" s="99"/>
      <c r="AE268" s="99"/>
    </row>
    <row r="269" spans="1:31" s="56" customFormat="1" ht="20.25" customHeight="1">
      <c r="A269" s="35">
        <v>41851</v>
      </c>
      <c r="B269" s="36">
        <v>4</v>
      </c>
      <c r="C269" s="65" t="s">
        <v>223</v>
      </c>
      <c r="D269" s="65" t="s">
        <v>267</v>
      </c>
      <c r="E269" s="65"/>
      <c r="F269" s="65" t="s">
        <v>273</v>
      </c>
      <c r="G269" s="65"/>
      <c r="H269" s="36" t="s">
        <v>537</v>
      </c>
      <c r="I269" s="36" t="s">
        <v>538</v>
      </c>
      <c r="J269" s="36">
        <v>1</v>
      </c>
      <c r="K269" s="36" t="s">
        <v>247</v>
      </c>
      <c r="L269" s="36" t="s">
        <v>539</v>
      </c>
      <c r="M269" s="36">
        <v>678</v>
      </c>
      <c r="N269" s="36">
        <f t="shared" si="47"/>
        <v>0.14749262536873156</v>
      </c>
      <c r="O269" s="65">
        <v>63.422771706085037</v>
      </c>
      <c r="P269" s="40">
        <f t="shared" si="48"/>
        <v>9.3543911070921887E-2</v>
      </c>
      <c r="Q269" s="36">
        <v>2417.73443856936</v>
      </c>
      <c r="R269" s="40">
        <f t="shared" si="49"/>
        <v>3.869073028809334E-3</v>
      </c>
      <c r="S269" s="36">
        <v>1000</v>
      </c>
      <c r="T269" s="36">
        <v>1000</v>
      </c>
      <c r="U269" s="36"/>
      <c r="V269" s="36"/>
      <c r="W269" s="36"/>
      <c r="X269" s="55"/>
      <c r="Y269" s="37">
        <f t="shared" si="51"/>
        <v>3.8690730288093342E-5</v>
      </c>
      <c r="Z269" s="37">
        <f t="shared" si="53"/>
        <v>-10.159910514059264</v>
      </c>
      <c r="AA269" s="149">
        <f t="shared" si="52"/>
        <v>-3.9309435745063075E-4</v>
      </c>
      <c r="AB269" s="152"/>
      <c r="AC269" s="153"/>
      <c r="AD269" s="154"/>
      <c r="AE269" s="154"/>
    </row>
    <row r="270" spans="1:31" s="56" customFormat="1" ht="20.25" customHeight="1">
      <c r="A270" s="35">
        <v>41851</v>
      </c>
      <c r="B270" s="65">
        <v>4</v>
      </c>
      <c r="C270" s="36" t="s">
        <v>223</v>
      </c>
      <c r="D270" s="36" t="s">
        <v>267</v>
      </c>
      <c r="E270" s="36" t="s">
        <v>278</v>
      </c>
      <c r="F270" s="36" t="s">
        <v>279</v>
      </c>
      <c r="G270" s="36" t="s">
        <v>280</v>
      </c>
      <c r="H270" s="36" t="s">
        <v>284</v>
      </c>
      <c r="I270" s="36" t="s">
        <v>285</v>
      </c>
      <c r="J270" s="36">
        <v>100</v>
      </c>
      <c r="K270" s="36" t="s">
        <v>247</v>
      </c>
      <c r="L270" s="36" t="s">
        <v>24</v>
      </c>
      <c r="M270" s="36">
        <v>678</v>
      </c>
      <c r="N270" s="36">
        <f t="shared" si="47"/>
        <v>14.749262536873156</v>
      </c>
      <c r="O270" s="65">
        <v>63.422771706085037</v>
      </c>
      <c r="P270" s="40">
        <f t="shared" si="48"/>
        <v>9.354391107092189</v>
      </c>
      <c r="Q270" s="65">
        <v>2417.73443856936</v>
      </c>
      <c r="R270" s="40">
        <f t="shared" si="49"/>
        <v>0.38690730288093339</v>
      </c>
      <c r="S270" s="36">
        <v>1000</v>
      </c>
      <c r="T270" s="36">
        <v>1000</v>
      </c>
      <c r="U270" s="36" t="s">
        <v>593</v>
      </c>
      <c r="V270" s="36"/>
      <c r="W270" s="36"/>
      <c r="X270" s="55"/>
      <c r="Y270" s="37">
        <f t="shared" si="51"/>
        <v>3.869073028809334E-3</v>
      </c>
      <c r="Z270" s="37">
        <f t="shared" si="53"/>
        <v>-5.5547403280711736</v>
      </c>
      <c r="AA270" s="149">
        <f t="shared" si="52"/>
        <v>-2.1491695985379689E-2</v>
      </c>
      <c r="AB270" s="152"/>
      <c r="AC270" s="153"/>
      <c r="AD270" s="154"/>
      <c r="AE270" s="154"/>
    </row>
    <row r="271" spans="1:31" ht="20.25" customHeight="1">
      <c r="A271" s="35">
        <v>41851</v>
      </c>
      <c r="B271" s="36">
        <v>4</v>
      </c>
      <c r="C271" s="36" t="s">
        <v>223</v>
      </c>
      <c r="D271" s="36" t="s">
        <v>267</v>
      </c>
      <c r="E271" s="36" t="s">
        <v>278</v>
      </c>
      <c r="F271" s="36" t="s">
        <v>279</v>
      </c>
      <c r="G271" s="36" t="s">
        <v>280</v>
      </c>
      <c r="H271" s="36"/>
      <c r="I271" s="36"/>
      <c r="J271" s="36">
        <v>157</v>
      </c>
      <c r="K271" s="36" t="s">
        <v>509</v>
      </c>
      <c r="L271" s="36" t="s">
        <v>24</v>
      </c>
      <c r="M271" s="36">
        <v>678</v>
      </c>
      <c r="N271" s="36">
        <f t="shared" si="47"/>
        <v>23.156342182890853</v>
      </c>
      <c r="O271" s="65">
        <v>63.422771706085037</v>
      </c>
      <c r="P271" s="40">
        <f t="shared" si="48"/>
        <v>14.686394038134734</v>
      </c>
      <c r="Q271" s="65">
        <v>2417.73443856936</v>
      </c>
      <c r="R271" s="40">
        <f t="shared" si="49"/>
        <v>0.60744446552306541</v>
      </c>
      <c r="S271" s="36">
        <v>1000</v>
      </c>
      <c r="T271" s="36">
        <v>1000</v>
      </c>
      <c r="U271" s="36" t="s">
        <v>592</v>
      </c>
      <c r="V271" s="36"/>
      <c r="W271" s="36"/>
      <c r="X271" s="36"/>
      <c r="Y271" s="37">
        <f t="shared" si="51"/>
        <v>6.0744446552306545E-3</v>
      </c>
      <c r="Z271" s="37">
        <f t="shared" si="53"/>
        <v>-5.1036647087109577</v>
      </c>
      <c r="AA271" s="149">
        <f t="shared" si="52"/>
        <v>-3.1001928811918593E-2</v>
      </c>
      <c r="AB271" s="37"/>
      <c r="AC271" s="98"/>
    </row>
    <row r="272" spans="1:31" ht="20.25" customHeight="1">
      <c r="A272" s="71">
        <v>41851</v>
      </c>
      <c r="B272" s="36">
        <v>4</v>
      </c>
      <c r="C272" s="51" t="s">
        <v>223</v>
      </c>
      <c r="D272" s="51" t="s">
        <v>224</v>
      </c>
      <c r="E272" s="51" t="s">
        <v>225</v>
      </c>
      <c r="F272" s="51" t="s">
        <v>226</v>
      </c>
      <c r="G272" s="51" t="s">
        <v>227</v>
      </c>
      <c r="H272" s="3" t="s">
        <v>228</v>
      </c>
      <c r="I272" s="3"/>
      <c r="J272" s="3">
        <v>72</v>
      </c>
      <c r="K272" s="3" t="s">
        <v>229</v>
      </c>
      <c r="L272" s="3" t="s">
        <v>500</v>
      </c>
      <c r="M272" s="3">
        <v>188</v>
      </c>
      <c r="N272" s="3">
        <f t="shared" si="47"/>
        <v>38.297872340425535</v>
      </c>
      <c r="O272" s="65">
        <v>2354.3116668632756</v>
      </c>
      <c r="P272" s="8">
        <f t="shared" si="48"/>
        <v>901.65127667104184</v>
      </c>
      <c r="Q272" s="36">
        <v>2417.73443856936</v>
      </c>
      <c r="R272" s="60">
        <f t="shared" si="49"/>
        <v>37.29323048417897</v>
      </c>
      <c r="S272" s="3">
        <v>250</v>
      </c>
      <c r="T272" s="3">
        <v>250</v>
      </c>
      <c r="U272" s="3" t="s">
        <v>496</v>
      </c>
      <c r="V272" s="3"/>
      <c r="W272" s="36"/>
      <c r="X272" s="36"/>
      <c r="Y272" s="37">
        <f t="shared" si="51"/>
        <v>0.37293230484178969</v>
      </c>
      <c r="Z272" s="37">
        <f t="shared" si="53"/>
        <v>-0.98635836416913991</v>
      </c>
      <c r="AA272" s="149">
        <f t="shared" si="52"/>
        <v>-0.36784489814957472</v>
      </c>
      <c r="AB272" s="37"/>
      <c r="AC272" s="98"/>
    </row>
    <row r="273" spans="1:31" ht="20.25" customHeight="1">
      <c r="A273" s="71">
        <v>41851</v>
      </c>
      <c r="B273" s="36">
        <v>4</v>
      </c>
      <c r="C273" s="51" t="s">
        <v>223</v>
      </c>
      <c r="D273" s="51" t="s">
        <v>303</v>
      </c>
      <c r="E273" s="51" t="s">
        <v>304</v>
      </c>
      <c r="F273" s="51" t="s">
        <v>305</v>
      </c>
      <c r="G273" s="51" t="s">
        <v>306</v>
      </c>
      <c r="H273" s="3" t="s">
        <v>307</v>
      </c>
      <c r="I273" s="3"/>
      <c r="J273" s="3">
        <v>7</v>
      </c>
      <c r="K273" s="3" t="s">
        <v>229</v>
      </c>
      <c r="L273" s="3" t="s">
        <v>307</v>
      </c>
      <c r="M273" s="3">
        <v>188</v>
      </c>
      <c r="N273" s="3">
        <f t="shared" si="47"/>
        <v>3.7234042553191489</v>
      </c>
      <c r="O273" s="65">
        <v>2354.3116668632756</v>
      </c>
      <c r="P273" s="8">
        <f t="shared" si="48"/>
        <v>87.660540787462381</v>
      </c>
      <c r="Q273" s="36">
        <v>2417.73443856936</v>
      </c>
      <c r="R273" s="60">
        <f t="shared" si="49"/>
        <v>3.6257307415173989</v>
      </c>
      <c r="S273" s="36">
        <v>250</v>
      </c>
      <c r="T273" s="36">
        <v>250</v>
      </c>
      <c r="U273" s="36" t="s">
        <v>308</v>
      </c>
      <c r="V273" s="3"/>
      <c r="W273" s="3"/>
      <c r="X273" s="36"/>
      <c r="Y273" s="37">
        <f t="shared" si="51"/>
        <v>3.6257307415173988E-2</v>
      </c>
      <c r="Z273" s="37">
        <f t="shared" si="53"/>
        <v>-3.3171143341298821</v>
      </c>
      <c r="AA273" s="149">
        <f t="shared" si="52"/>
        <v>-0.1202696341438273</v>
      </c>
      <c r="AB273" s="37"/>
      <c r="AC273" s="98"/>
    </row>
    <row r="274" spans="1:31" ht="20.25" customHeight="1">
      <c r="A274" s="71">
        <v>41851</v>
      </c>
      <c r="B274" s="36">
        <v>4</v>
      </c>
      <c r="C274" s="65" t="s">
        <v>223</v>
      </c>
      <c r="D274" s="65" t="s">
        <v>224</v>
      </c>
      <c r="E274" s="65" t="s">
        <v>225</v>
      </c>
      <c r="F274" s="65" t="s">
        <v>226</v>
      </c>
      <c r="G274" s="65" t="s">
        <v>239</v>
      </c>
      <c r="H274" s="36" t="s">
        <v>240</v>
      </c>
      <c r="I274" s="3"/>
      <c r="J274" s="3">
        <v>70</v>
      </c>
      <c r="K274" s="3" t="s">
        <v>229</v>
      </c>
      <c r="L274" s="3" t="s">
        <v>240</v>
      </c>
      <c r="M274" s="3">
        <v>188</v>
      </c>
      <c r="N274" s="3">
        <f t="shared" si="47"/>
        <v>37.234042553191486</v>
      </c>
      <c r="O274" s="65">
        <v>2354.3116668632756</v>
      </c>
      <c r="P274" s="8">
        <f t="shared" si="48"/>
        <v>876.60540787462389</v>
      </c>
      <c r="Q274" s="36">
        <v>2417.73443856936</v>
      </c>
      <c r="R274" s="60">
        <f t="shared" si="49"/>
        <v>36.257307415173997</v>
      </c>
      <c r="S274" s="36">
        <v>250</v>
      </c>
      <c r="T274" s="36">
        <v>250</v>
      </c>
      <c r="U274" s="3"/>
      <c r="V274" s="3"/>
      <c r="W274" s="3"/>
      <c r="X274" s="36"/>
      <c r="Y274" s="37">
        <f t="shared" si="51"/>
        <v>0.36257307415173995</v>
      </c>
      <c r="Z274" s="37">
        <f t="shared" si="53"/>
        <v>-1.0145292411358364</v>
      </c>
      <c r="AA274" s="149">
        <f t="shared" si="52"/>
        <v>-0.3678409857754521</v>
      </c>
      <c r="AB274" s="37"/>
      <c r="AC274" s="98"/>
    </row>
    <row r="275" spans="1:31" ht="20.25" customHeight="1">
      <c r="A275" s="71">
        <v>41851</v>
      </c>
      <c r="B275" s="36">
        <v>4</v>
      </c>
      <c r="C275" s="3" t="s">
        <v>223</v>
      </c>
      <c r="D275" s="3" t="s">
        <v>224</v>
      </c>
      <c r="E275" s="3" t="s">
        <v>225</v>
      </c>
      <c r="F275" s="3" t="s">
        <v>248</v>
      </c>
      <c r="G275" s="3" t="s">
        <v>249</v>
      </c>
      <c r="H275" s="3" t="s">
        <v>250</v>
      </c>
      <c r="I275" s="3"/>
      <c r="J275" s="3">
        <v>3</v>
      </c>
      <c r="K275" s="3" t="s">
        <v>229</v>
      </c>
      <c r="L275" s="3" t="s">
        <v>250</v>
      </c>
      <c r="M275" s="3">
        <v>188</v>
      </c>
      <c r="N275" s="3">
        <f t="shared" si="47"/>
        <v>1.5957446808510638</v>
      </c>
      <c r="O275" s="65">
        <v>2354.3116668632756</v>
      </c>
      <c r="P275" s="8">
        <f t="shared" si="48"/>
        <v>37.568803194626739</v>
      </c>
      <c r="Q275" s="36">
        <v>2417.73443856936</v>
      </c>
      <c r="R275" s="60">
        <f t="shared" si="49"/>
        <v>1.5538846035074569</v>
      </c>
      <c r="S275" s="36">
        <v>250</v>
      </c>
      <c r="T275" s="36">
        <v>250</v>
      </c>
      <c r="U275" s="3"/>
      <c r="V275" s="3"/>
      <c r="W275" s="3"/>
      <c r="X275" s="36"/>
      <c r="Y275" s="37">
        <f t="shared" si="51"/>
        <v>1.553884603507457E-2</v>
      </c>
      <c r="Z275" s="37">
        <f t="shared" si="53"/>
        <v>-4.1644121945170856</v>
      </c>
      <c r="AA275" s="149">
        <f t="shared" si="52"/>
        <v>-6.4710159917188009E-2</v>
      </c>
      <c r="AB275" s="37"/>
      <c r="AC275" s="98"/>
    </row>
    <row r="276" spans="1:31" ht="20.25" customHeight="1">
      <c r="A276" s="13">
        <v>41851</v>
      </c>
      <c r="B276" s="36">
        <v>4</v>
      </c>
      <c r="C276" s="51" t="s">
        <v>216</v>
      </c>
      <c r="D276" s="51" t="s">
        <v>217</v>
      </c>
      <c r="E276" s="51"/>
      <c r="F276" s="51"/>
      <c r="G276" s="51"/>
      <c r="H276" s="3" t="s">
        <v>219</v>
      </c>
      <c r="I276" s="3"/>
      <c r="J276" s="3">
        <v>3</v>
      </c>
      <c r="K276" s="36" t="s">
        <v>229</v>
      </c>
      <c r="L276" s="3" t="s">
        <v>219</v>
      </c>
      <c r="M276" s="3">
        <v>188</v>
      </c>
      <c r="N276" s="3">
        <f t="shared" si="47"/>
        <v>1.5957446808510638</v>
      </c>
      <c r="O276" s="65">
        <v>2354.3116668632756</v>
      </c>
      <c r="P276" s="8">
        <f t="shared" si="48"/>
        <v>37.568803194626739</v>
      </c>
      <c r="Q276" s="36">
        <v>2417.73443856936</v>
      </c>
      <c r="R276" s="60">
        <f t="shared" si="49"/>
        <v>1.5538846035074569</v>
      </c>
      <c r="S276" s="3">
        <v>250</v>
      </c>
      <c r="T276" s="3">
        <v>250</v>
      </c>
      <c r="U276" s="3" t="s">
        <v>498</v>
      </c>
      <c r="V276" s="3"/>
      <c r="W276" s="3"/>
      <c r="X276" s="36"/>
      <c r="Y276" s="37">
        <f t="shared" si="51"/>
        <v>1.553884603507457E-2</v>
      </c>
      <c r="Z276" s="37">
        <f t="shared" si="53"/>
        <v>-4.1644121945170856</v>
      </c>
      <c r="AA276" s="149">
        <f t="shared" si="52"/>
        <v>-6.4710159917188009E-2</v>
      </c>
      <c r="AB276" s="37"/>
      <c r="AC276" s="98"/>
    </row>
    <row r="277" spans="1:31" ht="20.25" customHeight="1">
      <c r="A277" s="13">
        <v>41851</v>
      </c>
      <c r="B277" s="36">
        <v>4</v>
      </c>
      <c r="C277" s="36" t="s">
        <v>223</v>
      </c>
      <c r="D277" s="36" t="s">
        <v>224</v>
      </c>
      <c r="E277" s="36" t="s">
        <v>225</v>
      </c>
      <c r="F277" s="36" t="s">
        <v>226</v>
      </c>
      <c r="G277" s="36" t="s">
        <v>253</v>
      </c>
      <c r="H277" s="36" t="s">
        <v>256</v>
      </c>
      <c r="I277" s="3"/>
      <c r="J277" s="3">
        <v>20</v>
      </c>
      <c r="K277" s="3" t="s">
        <v>229</v>
      </c>
      <c r="L277" s="3" t="s">
        <v>256</v>
      </c>
      <c r="M277" s="3">
        <v>188</v>
      </c>
      <c r="N277" s="3">
        <f t="shared" si="47"/>
        <v>10.638297872340425</v>
      </c>
      <c r="O277" s="65">
        <v>2354.3116668632756</v>
      </c>
      <c r="P277" s="8">
        <f t="shared" si="48"/>
        <v>250.45868796417827</v>
      </c>
      <c r="Q277" s="36">
        <v>2417.73443856936</v>
      </c>
      <c r="R277" s="60">
        <f t="shared" si="49"/>
        <v>10.359230690049714</v>
      </c>
      <c r="S277" s="3">
        <v>250</v>
      </c>
      <c r="T277" s="3">
        <v>250</v>
      </c>
      <c r="U277" s="3"/>
      <c r="V277" s="3"/>
      <c r="W277" s="36"/>
      <c r="X277" s="36"/>
      <c r="Y277" s="37">
        <f t="shared" si="51"/>
        <v>0.10359230690049713</v>
      </c>
      <c r="Z277" s="37">
        <f t="shared" si="53"/>
        <v>-2.2672922096312043</v>
      </c>
      <c r="AA277" s="149">
        <f t="shared" si="52"/>
        <v>-0.234874030413222</v>
      </c>
      <c r="AB277" s="37"/>
      <c r="AC277" s="98"/>
    </row>
    <row r="278" spans="1:31" ht="20.25" customHeight="1">
      <c r="A278" s="71">
        <v>41851</v>
      </c>
      <c r="B278" s="36">
        <v>4</v>
      </c>
      <c r="C278" s="51" t="s">
        <v>223</v>
      </c>
      <c r="D278" s="51" t="s">
        <v>224</v>
      </c>
      <c r="E278" s="51" t="s">
        <v>225</v>
      </c>
      <c r="F278" s="51" t="s">
        <v>226</v>
      </c>
      <c r="G278" s="51" t="s">
        <v>239</v>
      </c>
      <c r="H278" s="3" t="s">
        <v>258</v>
      </c>
      <c r="I278" s="3" t="s">
        <v>259</v>
      </c>
      <c r="J278" s="3">
        <v>3</v>
      </c>
      <c r="K278" s="3" t="s">
        <v>247</v>
      </c>
      <c r="L278" s="3" t="s">
        <v>258</v>
      </c>
      <c r="M278" s="3">
        <v>188</v>
      </c>
      <c r="N278" s="3">
        <f t="shared" si="47"/>
        <v>1.5957446808510638</v>
      </c>
      <c r="O278" s="65">
        <v>2354.3116668632756</v>
      </c>
      <c r="P278" s="8">
        <f t="shared" si="48"/>
        <v>37.568803194626739</v>
      </c>
      <c r="Q278" s="36">
        <v>2417.73443856936</v>
      </c>
      <c r="R278" s="60">
        <f t="shared" si="49"/>
        <v>1.5538846035074569</v>
      </c>
      <c r="S278" s="3">
        <v>250</v>
      </c>
      <c r="T278" s="3">
        <v>250</v>
      </c>
      <c r="U278" s="3"/>
      <c r="V278" s="3"/>
      <c r="W278" s="36"/>
      <c r="X278" s="36"/>
      <c r="Y278" s="37">
        <f t="shared" si="51"/>
        <v>1.553884603507457E-2</v>
      </c>
      <c r="Z278" s="37">
        <f t="shared" si="53"/>
        <v>-4.1644121945170856</v>
      </c>
      <c r="AA278" s="149">
        <f t="shared" si="52"/>
        <v>-6.4710159917188009E-2</v>
      </c>
      <c r="AB278" s="37"/>
      <c r="AC278" s="98"/>
    </row>
    <row r="279" spans="1:31" ht="20.25" customHeight="1">
      <c r="A279" s="71">
        <v>41851</v>
      </c>
      <c r="B279" s="65">
        <v>4</v>
      </c>
      <c r="C279" s="36" t="s">
        <v>223</v>
      </c>
      <c r="D279" s="36" t="s">
        <v>224</v>
      </c>
      <c r="E279" s="36" t="s">
        <v>225</v>
      </c>
      <c r="F279" s="36" t="s">
        <v>226</v>
      </c>
      <c r="G279" s="36" t="s">
        <v>261</v>
      </c>
      <c r="H279" s="36" t="s">
        <v>262</v>
      </c>
      <c r="I279" s="3"/>
      <c r="J279" s="3">
        <v>10</v>
      </c>
      <c r="K279" s="3" t="s">
        <v>229</v>
      </c>
      <c r="L279" s="3" t="s">
        <v>264</v>
      </c>
      <c r="M279" s="3">
        <v>188</v>
      </c>
      <c r="N279" s="3">
        <f t="shared" si="47"/>
        <v>5.3191489361702127</v>
      </c>
      <c r="O279" s="65">
        <v>2354.3116668632756</v>
      </c>
      <c r="P279" s="8">
        <f t="shared" si="48"/>
        <v>125.22934398208913</v>
      </c>
      <c r="Q279" s="36">
        <v>2417.73443856936</v>
      </c>
      <c r="R279" s="60">
        <f t="shared" si="49"/>
        <v>5.1796153450248568</v>
      </c>
      <c r="S279" s="36">
        <v>250</v>
      </c>
      <c r="T279" s="36">
        <v>250</v>
      </c>
      <c r="U279" s="3"/>
      <c r="V279" s="3"/>
      <c r="W279" s="36"/>
      <c r="X279" s="36"/>
      <c r="Y279" s="37">
        <f t="shared" si="51"/>
        <v>5.1796153450248565E-2</v>
      </c>
      <c r="Z279" s="37">
        <f t="shared" si="53"/>
        <v>-2.9604393901911497</v>
      </c>
      <c r="AA279" s="149">
        <f t="shared" si="52"/>
        <v>-0.15333937293450106</v>
      </c>
      <c r="AB279" s="37"/>
      <c r="AC279" s="98"/>
    </row>
    <row r="280" spans="1:31" ht="20.25" customHeight="1">
      <c r="A280" s="35">
        <v>41851</v>
      </c>
      <c r="B280" s="65">
        <v>2</v>
      </c>
      <c r="C280" s="36" t="s">
        <v>223</v>
      </c>
      <c r="D280" s="36" t="s">
        <v>267</v>
      </c>
      <c r="E280" s="36"/>
      <c r="F280" s="36" t="s">
        <v>273</v>
      </c>
      <c r="G280" s="36" t="s">
        <v>274</v>
      </c>
      <c r="H280" s="36" t="s">
        <v>275</v>
      </c>
      <c r="I280" s="36" t="s">
        <v>276</v>
      </c>
      <c r="J280" s="36">
        <v>1</v>
      </c>
      <c r="K280" s="36" t="s">
        <v>247</v>
      </c>
      <c r="L280" s="36" t="s">
        <v>275</v>
      </c>
      <c r="M280" s="36">
        <v>53</v>
      </c>
      <c r="N280" s="36">
        <f t="shared" si="47"/>
        <v>1.8867924528301887</v>
      </c>
      <c r="O280" s="65">
        <v>35.207758992924774</v>
      </c>
      <c r="P280" s="53">
        <f t="shared" si="48"/>
        <v>0.6642973394891466</v>
      </c>
      <c r="Q280" s="36">
        <v>2894.7740855235375</v>
      </c>
      <c r="R280" s="53">
        <f t="shared" si="49"/>
        <v>2.2948158297092271E-2</v>
      </c>
      <c r="S280" s="36">
        <v>1000</v>
      </c>
      <c r="T280" s="36">
        <v>1000</v>
      </c>
      <c r="U280" s="36"/>
      <c r="V280" s="36">
        <f>SUM(R280:R288)</f>
        <v>100</v>
      </c>
      <c r="W280" s="36"/>
      <c r="X280" s="36"/>
      <c r="Y280" s="37">
        <f t="shared" si="51"/>
        <v>2.294815829709227E-4</v>
      </c>
      <c r="Z280" s="37">
        <f t="shared" si="53"/>
        <v>-8.379687780176468</v>
      </c>
      <c r="AA280" s="149">
        <f t="shared" si="52"/>
        <v>-1.9229840165969931E-3</v>
      </c>
      <c r="AB280" s="37">
        <f>SUM(AA280:AA288)*-1</f>
        <v>0.32593735697697573</v>
      </c>
      <c r="AC280" s="98">
        <v>9</v>
      </c>
      <c r="AD280" s="98">
        <f t="shared" ref="AD280" si="55">LN(AC280)</f>
        <v>2.1972245773362196</v>
      </c>
      <c r="AE280" s="98">
        <f>(AB280/AD280)</f>
        <v>0.14834048387175888</v>
      </c>
    </row>
    <row r="281" spans="1:31" ht="20" customHeight="1">
      <c r="A281" s="35">
        <v>41851</v>
      </c>
      <c r="B281" s="65">
        <v>2</v>
      </c>
      <c r="C281" s="36" t="s">
        <v>351</v>
      </c>
      <c r="D281" s="36"/>
      <c r="E281" s="36"/>
      <c r="F281" s="36"/>
      <c r="G281" s="36"/>
      <c r="H281" s="36"/>
      <c r="I281" s="36"/>
      <c r="J281" s="36">
        <v>5</v>
      </c>
      <c r="K281" s="36" t="s">
        <v>474</v>
      </c>
      <c r="L281" s="36" t="s">
        <v>534</v>
      </c>
      <c r="M281" s="36">
        <v>53</v>
      </c>
      <c r="N281" s="36">
        <f t="shared" si="47"/>
        <v>9.433962264150944</v>
      </c>
      <c r="O281" s="65">
        <v>35.207758992924774</v>
      </c>
      <c r="P281" s="53">
        <f t="shared" si="48"/>
        <v>3.3214866974457338</v>
      </c>
      <c r="Q281" s="36">
        <v>2894.7740855235375</v>
      </c>
      <c r="R281" s="53">
        <f t="shared" si="49"/>
        <v>0.1147407914854614</v>
      </c>
      <c r="S281" s="36">
        <v>1000</v>
      </c>
      <c r="T281" s="36">
        <v>1000</v>
      </c>
      <c r="U281" s="36"/>
      <c r="V281" s="36"/>
      <c r="W281" s="36"/>
      <c r="X281" s="36"/>
      <c r="Y281" s="37">
        <f t="shared" si="51"/>
        <v>1.147407914854614E-3</v>
      </c>
      <c r="Z281" s="37">
        <f t="shared" si="53"/>
        <v>-6.7702498677423675</v>
      </c>
      <c r="AA281" s="149">
        <f t="shared" si="52"/>
        <v>-7.7682382837909961E-3</v>
      </c>
      <c r="AB281" s="37"/>
      <c r="AC281" s="98"/>
    </row>
    <row r="282" spans="1:31" ht="20" customHeight="1">
      <c r="A282" s="35">
        <v>41851</v>
      </c>
      <c r="B282" s="65">
        <v>2</v>
      </c>
      <c r="C282" s="36" t="s">
        <v>223</v>
      </c>
      <c r="D282" s="36" t="s">
        <v>267</v>
      </c>
      <c r="E282" s="36" t="s">
        <v>278</v>
      </c>
      <c r="F282" s="36" t="s">
        <v>269</v>
      </c>
      <c r="G282" s="36" t="s">
        <v>333</v>
      </c>
      <c r="H282" s="36" t="s">
        <v>334</v>
      </c>
      <c r="I282" s="36"/>
      <c r="J282" s="36">
        <v>5</v>
      </c>
      <c r="K282" s="36" t="s">
        <v>229</v>
      </c>
      <c r="L282" s="36" t="s">
        <v>270</v>
      </c>
      <c r="M282" s="36">
        <v>53</v>
      </c>
      <c r="N282" s="36">
        <f t="shared" si="47"/>
        <v>9.433962264150944</v>
      </c>
      <c r="O282" s="65">
        <v>35.207758992924774</v>
      </c>
      <c r="P282" s="53">
        <f t="shared" si="48"/>
        <v>3.3214866974457338</v>
      </c>
      <c r="Q282" s="36">
        <v>2894.7740855235375</v>
      </c>
      <c r="R282" s="53">
        <f t="shared" si="49"/>
        <v>0.1147407914854614</v>
      </c>
      <c r="S282" s="36">
        <v>1000</v>
      </c>
      <c r="T282" s="36">
        <v>1000</v>
      </c>
      <c r="U282" s="36" t="s">
        <v>540</v>
      </c>
      <c r="V282" s="36"/>
      <c r="W282" s="36"/>
      <c r="X282" s="36"/>
      <c r="Y282" s="37">
        <f t="shared" si="51"/>
        <v>1.147407914854614E-3</v>
      </c>
      <c r="Z282" s="37">
        <f t="shared" si="53"/>
        <v>-6.7702498677423675</v>
      </c>
      <c r="AA282" s="149">
        <f t="shared" si="52"/>
        <v>-7.7682382837909961E-3</v>
      </c>
      <c r="AB282" s="37"/>
      <c r="AC282" s="98"/>
    </row>
    <row r="283" spans="1:31" ht="20" customHeight="1">
      <c r="A283" s="72">
        <v>41851</v>
      </c>
      <c r="B283" s="65">
        <v>2</v>
      </c>
      <c r="C283" s="36" t="s">
        <v>288</v>
      </c>
      <c r="D283" s="36" t="s">
        <v>289</v>
      </c>
      <c r="E283" s="36"/>
      <c r="F283" s="36"/>
      <c r="G283" s="36"/>
      <c r="H283" s="36"/>
      <c r="I283" s="36"/>
      <c r="J283" s="36">
        <v>6</v>
      </c>
      <c r="K283" s="36" t="s">
        <v>221</v>
      </c>
      <c r="L283" s="36" t="s">
        <v>294</v>
      </c>
      <c r="M283" s="36">
        <v>53</v>
      </c>
      <c r="N283" s="36">
        <f t="shared" si="47"/>
        <v>11.320754716981133</v>
      </c>
      <c r="O283" s="65">
        <v>35.207758992924774</v>
      </c>
      <c r="P283" s="53">
        <f t="shared" si="48"/>
        <v>3.9857840369348807</v>
      </c>
      <c r="Q283" s="36">
        <v>2894.7740855235375</v>
      </c>
      <c r="R283" s="53">
        <f t="shared" si="49"/>
        <v>0.13768894978255367</v>
      </c>
      <c r="S283" s="36">
        <v>1000</v>
      </c>
      <c r="T283" s="36">
        <v>1000</v>
      </c>
      <c r="U283" s="36"/>
      <c r="V283" s="36"/>
      <c r="W283" s="36"/>
      <c r="X283" s="36"/>
      <c r="Y283" s="37">
        <f t="shared" si="51"/>
        <v>1.3768894978255367E-3</v>
      </c>
      <c r="Z283" s="37">
        <f t="shared" si="53"/>
        <v>-6.5879283109484126</v>
      </c>
      <c r="AA283" s="149">
        <f t="shared" si="52"/>
        <v>-9.0708493037723967E-3</v>
      </c>
      <c r="AB283" s="37"/>
      <c r="AC283" s="98"/>
    </row>
    <row r="284" spans="1:31" ht="20" customHeight="1">
      <c r="A284" s="35">
        <v>41851</v>
      </c>
      <c r="B284" s="65">
        <v>2</v>
      </c>
      <c r="C284" s="36" t="s">
        <v>223</v>
      </c>
      <c r="D284" s="36" t="s">
        <v>267</v>
      </c>
      <c r="E284" s="36" t="s">
        <v>278</v>
      </c>
      <c r="F284" s="36" t="s">
        <v>279</v>
      </c>
      <c r="G284" s="36" t="s">
        <v>280</v>
      </c>
      <c r="H284" s="36" t="s">
        <v>284</v>
      </c>
      <c r="I284" s="36" t="s">
        <v>285</v>
      </c>
      <c r="J284" s="36">
        <v>36</v>
      </c>
      <c r="K284" s="36" t="s">
        <v>247</v>
      </c>
      <c r="L284" s="36" t="s">
        <v>283</v>
      </c>
      <c r="M284" s="36">
        <v>53</v>
      </c>
      <c r="N284" s="36">
        <f t="shared" si="47"/>
        <v>67.924528301886795</v>
      </c>
      <c r="O284" s="65">
        <v>35.207758992924774</v>
      </c>
      <c r="P284" s="53">
        <f t="shared" si="48"/>
        <v>23.914704221609284</v>
      </c>
      <c r="Q284" s="36">
        <v>2894.7740855235375</v>
      </c>
      <c r="R284" s="53">
        <f t="shared" si="49"/>
        <v>0.82613369869532194</v>
      </c>
      <c r="S284" s="36">
        <v>1000</v>
      </c>
      <c r="T284" s="36">
        <v>1000</v>
      </c>
      <c r="U284" s="36"/>
      <c r="V284" s="36"/>
      <c r="W284" s="36"/>
      <c r="X284" s="36"/>
      <c r="Y284" s="37">
        <f t="shared" si="51"/>
        <v>8.2613369869532199E-3</v>
      </c>
      <c r="Z284" s="37">
        <f t="shared" si="53"/>
        <v>-4.7961688417203581</v>
      </c>
      <c r="AA284" s="149">
        <f t="shared" si="52"/>
        <v>-3.962276704777698E-2</v>
      </c>
      <c r="AB284" s="37"/>
      <c r="AC284" s="98"/>
    </row>
    <row r="285" spans="1:31" ht="20" customHeight="1">
      <c r="A285" s="35">
        <v>41851</v>
      </c>
      <c r="B285" s="65">
        <v>2</v>
      </c>
      <c r="C285" s="65" t="s">
        <v>223</v>
      </c>
      <c r="D285" s="65" t="s">
        <v>224</v>
      </c>
      <c r="E285" s="65" t="s">
        <v>225</v>
      </c>
      <c r="F285" s="65" t="s">
        <v>226</v>
      </c>
      <c r="G285" s="65" t="s">
        <v>227</v>
      </c>
      <c r="H285" s="36" t="s">
        <v>228</v>
      </c>
      <c r="I285" s="36"/>
      <c r="J285" s="36">
        <v>113</v>
      </c>
      <c r="K285" s="36" t="s">
        <v>229</v>
      </c>
      <c r="L285" s="36" t="s">
        <v>228</v>
      </c>
      <c r="M285" s="107">
        <v>119</v>
      </c>
      <c r="N285" s="36">
        <f t="shared" si="47"/>
        <v>94.9579831932773</v>
      </c>
      <c r="O285" s="65">
        <v>2859.5663265306125</v>
      </c>
      <c r="P285" s="53">
        <f t="shared" si="48"/>
        <v>2715.3865117475561</v>
      </c>
      <c r="Q285" s="36">
        <v>2894.7740855235375</v>
      </c>
      <c r="R285" s="108">
        <f t="shared" si="49"/>
        <v>93.803054453434569</v>
      </c>
      <c r="S285" s="36">
        <v>250</v>
      </c>
      <c r="T285" s="36">
        <v>250</v>
      </c>
      <c r="U285" s="36"/>
      <c r="V285" s="36"/>
      <c r="W285" s="36"/>
      <c r="X285" s="36"/>
      <c r="Y285" s="37">
        <f t="shared" si="51"/>
        <v>0.93803054453434564</v>
      </c>
      <c r="Z285" s="37">
        <f t="shared" si="53"/>
        <v>-6.3972767036638997E-2</v>
      </c>
      <c r="AA285" s="149">
        <f t="shared" si="52"/>
        <v>-6.0008409498747313E-2</v>
      </c>
      <c r="AB285" s="37"/>
      <c r="AC285" s="98"/>
    </row>
    <row r="286" spans="1:31" ht="20" customHeight="1">
      <c r="A286" s="35">
        <v>41851</v>
      </c>
      <c r="B286" s="65">
        <v>2</v>
      </c>
      <c r="C286" s="65" t="s">
        <v>223</v>
      </c>
      <c r="D286" s="65" t="s">
        <v>303</v>
      </c>
      <c r="E286" s="65" t="s">
        <v>304</v>
      </c>
      <c r="F286" s="65" t="s">
        <v>305</v>
      </c>
      <c r="G286" s="65" t="s">
        <v>306</v>
      </c>
      <c r="H286" s="36" t="s">
        <v>307</v>
      </c>
      <c r="I286" s="36"/>
      <c r="J286" s="36">
        <v>3</v>
      </c>
      <c r="K286" s="36" t="s">
        <v>229</v>
      </c>
      <c r="L286" s="36" t="s">
        <v>307</v>
      </c>
      <c r="M286" s="36">
        <v>119</v>
      </c>
      <c r="N286" s="36">
        <f t="shared" si="47"/>
        <v>2.5210084033613445</v>
      </c>
      <c r="O286" s="65">
        <v>2859.5663265306125</v>
      </c>
      <c r="P286" s="53">
        <f t="shared" si="48"/>
        <v>72.089907391528044</v>
      </c>
      <c r="Q286" s="36">
        <v>2894.7740855235375</v>
      </c>
      <c r="R286" s="108">
        <f t="shared" si="49"/>
        <v>2.4903465784097674</v>
      </c>
      <c r="S286" s="36">
        <v>250</v>
      </c>
      <c r="T286" s="36">
        <v>250</v>
      </c>
      <c r="U286" s="36" t="s">
        <v>308</v>
      </c>
      <c r="V286" s="36"/>
      <c r="W286" s="36"/>
      <c r="X286" s="36"/>
      <c r="Y286" s="37">
        <f t="shared" si="51"/>
        <v>2.4903465784097675E-2</v>
      </c>
      <c r="Z286" s="37">
        <f t="shared" si="53"/>
        <v>-3.6927482970808696</v>
      </c>
      <c r="AA286" s="149">
        <f t="shared" si="52"/>
        <v>-9.19622308656384E-2</v>
      </c>
      <c r="AB286" s="37"/>
      <c r="AC286" s="98"/>
    </row>
    <row r="287" spans="1:31" ht="20" customHeight="1">
      <c r="A287" s="35">
        <v>41851</v>
      </c>
      <c r="B287" s="65">
        <v>2</v>
      </c>
      <c r="C287" s="65" t="s">
        <v>223</v>
      </c>
      <c r="D287" s="65" t="s">
        <v>224</v>
      </c>
      <c r="E287" s="65" t="s">
        <v>225</v>
      </c>
      <c r="F287" s="65" t="s">
        <v>226</v>
      </c>
      <c r="G287" s="65" t="s">
        <v>239</v>
      </c>
      <c r="H287" s="36" t="s">
        <v>240</v>
      </c>
      <c r="I287" s="36"/>
      <c r="J287" s="36">
        <v>2</v>
      </c>
      <c r="K287" s="36" t="s">
        <v>229</v>
      </c>
      <c r="L287" s="36" t="s">
        <v>240</v>
      </c>
      <c r="M287" s="36">
        <v>119</v>
      </c>
      <c r="N287" s="36">
        <f t="shared" si="47"/>
        <v>1.680672268907563</v>
      </c>
      <c r="O287" s="65">
        <v>2859.5663265306125</v>
      </c>
      <c r="P287" s="53">
        <f t="shared" si="48"/>
        <v>48.059938261018694</v>
      </c>
      <c r="Q287" s="36">
        <v>2894.7740855235375</v>
      </c>
      <c r="R287" s="108">
        <f t="shared" si="49"/>
        <v>1.660231052273178</v>
      </c>
      <c r="S287" s="36">
        <v>250</v>
      </c>
      <c r="T287" s="36">
        <v>250</v>
      </c>
      <c r="U287" s="36"/>
      <c r="V287" s="36"/>
      <c r="W287" s="36"/>
      <c r="X287" s="36"/>
      <c r="Y287" s="37">
        <f t="shared" si="51"/>
        <v>1.660231052273178E-2</v>
      </c>
      <c r="Z287" s="37">
        <f t="shared" si="53"/>
        <v>-4.0982134051890347</v>
      </c>
      <c r="AA287" s="149">
        <f t="shared" si="52"/>
        <v>-6.8039811541370357E-2</v>
      </c>
      <c r="AB287" s="37"/>
      <c r="AC287" s="98"/>
    </row>
    <row r="288" spans="1:31" ht="20" customHeight="1">
      <c r="A288" s="35">
        <v>41851</v>
      </c>
      <c r="B288" s="65">
        <v>2</v>
      </c>
      <c r="C288" s="36" t="s">
        <v>223</v>
      </c>
      <c r="D288" s="36" t="s">
        <v>224</v>
      </c>
      <c r="E288" s="36" t="s">
        <v>225</v>
      </c>
      <c r="F288" s="36" t="s">
        <v>226</v>
      </c>
      <c r="G288" s="36" t="s">
        <v>261</v>
      </c>
      <c r="H288" s="36" t="s">
        <v>262</v>
      </c>
      <c r="I288" s="36"/>
      <c r="J288" s="36">
        <v>1</v>
      </c>
      <c r="K288" s="36" t="s">
        <v>229</v>
      </c>
      <c r="L288" s="36" t="s">
        <v>264</v>
      </c>
      <c r="M288" s="36">
        <v>119</v>
      </c>
      <c r="N288" s="36">
        <f t="shared" si="47"/>
        <v>0.84033613445378152</v>
      </c>
      <c r="O288" s="65">
        <v>2859.5663265306125</v>
      </c>
      <c r="P288" s="53">
        <f t="shared" si="48"/>
        <v>24.029969130509347</v>
      </c>
      <c r="Q288" s="36">
        <v>2894.7740855235375</v>
      </c>
      <c r="R288" s="108">
        <f t="shared" si="49"/>
        <v>0.83011552613658901</v>
      </c>
      <c r="S288" s="36">
        <v>250</v>
      </c>
      <c r="T288" s="36">
        <v>250</v>
      </c>
      <c r="U288" s="36"/>
      <c r="V288" s="36"/>
      <c r="W288" s="36"/>
      <c r="X288" s="36"/>
      <c r="Y288" s="37">
        <f t="shared" si="51"/>
        <v>8.30115526136589E-3</v>
      </c>
      <c r="Z288" s="37">
        <f t="shared" si="53"/>
        <v>-4.79136058574898</v>
      </c>
      <c r="AA288" s="149">
        <f t="shared" si="52"/>
        <v>-3.9773828135491296E-2</v>
      </c>
      <c r="AB288" s="37"/>
      <c r="AC288" s="98"/>
    </row>
    <row r="289" spans="1:31" ht="20.25" customHeight="1">
      <c r="A289" s="35">
        <v>41912</v>
      </c>
      <c r="B289" s="76">
        <v>8</v>
      </c>
      <c r="C289" s="36" t="s">
        <v>209</v>
      </c>
      <c r="D289" s="36" t="s">
        <v>210</v>
      </c>
      <c r="E289" s="36"/>
      <c r="F289" s="36" t="s">
        <v>211</v>
      </c>
      <c r="G289" s="36" t="s">
        <v>212</v>
      </c>
      <c r="H289" s="36" t="s">
        <v>213</v>
      </c>
      <c r="I289" s="36" t="s">
        <v>214</v>
      </c>
      <c r="J289" s="36">
        <v>1</v>
      </c>
      <c r="K289" s="36" t="s">
        <v>247</v>
      </c>
      <c r="L289" s="36" t="s">
        <v>215</v>
      </c>
      <c r="M289" s="36">
        <v>12</v>
      </c>
      <c r="N289" s="36">
        <f t="shared" si="47"/>
        <v>8.3333333333333321</v>
      </c>
      <c r="O289" s="36">
        <v>1.1459129106187931</v>
      </c>
      <c r="P289" s="40">
        <f t="shared" si="48"/>
        <v>9.5492742551566062E-2</v>
      </c>
      <c r="Q289" s="36">
        <v>3414.9390163588946</v>
      </c>
      <c r="R289" s="40">
        <f t="shared" si="49"/>
        <v>2.7963235095595689E-3</v>
      </c>
      <c r="S289" s="36">
        <v>1000</v>
      </c>
      <c r="T289" s="36">
        <v>1000</v>
      </c>
      <c r="U289" s="36"/>
      <c r="V289" s="36"/>
      <c r="W289" s="36"/>
      <c r="X289" s="36"/>
      <c r="Y289" s="37">
        <f t="shared" si="51"/>
        <v>2.796323509559569E-5</v>
      </c>
      <c r="Z289" s="37">
        <f t="shared" si="53"/>
        <v>-10.484619942871458</v>
      </c>
      <c r="AA289" s="149">
        <f t="shared" si="52"/>
        <v>-2.9318389235048563E-4</v>
      </c>
      <c r="AB289" s="37">
        <f>SUM(AA289:AA304)*-1</f>
        <v>1.2450019794330134</v>
      </c>
      <c r="AC289" s="98">
        <v>13</v>
      </c>
      <c r="AD289" s="98">
        <f t="shared" ref="AD289" si="56">LN(AC289)</f>
        <v>2.5649493574615367</v>
      </c>
      <c r="AE289" s="98">
        <f>(AB289/AD289)</f>
        <v>0.48539047206185748</v>
      </c>
    </row>
    <row r="290" spans="1:31" customFormat="1" ht="20.25" customHeight="1">
      <c r="A290" s="35">
        <v>41912</v>
      </c>
      <c r="B290" s="76">
        <v>8</v>
      </c>
      <c r="C290" s="36" t="s">
        <v>223</v>
      </c>
      <c r="D290" s="36" t="s">
        <v>267</v>
      </c>
      <c r="E290" s="36"/>
      <c r="F290" s="36" t="s">
        <v>273</v>
      </c>
      <c r="G290" s="36"/>
      <c r="H290" s="36" t="s">
        <v>558</v>
      </c>
      <c r="I290" s="36" t="s">
        <v>559</v>
      </c>
      <c r="J290" s="36">
        <v>1</v>
      </c>
      <c r="K290" s="36" t="s">
        <v>544</v>
      </c>
      <c r="L290" s="36" t="s">
        <v>494</v>
      </c>
      <c r="M290" s="36">
        <v>12</v>
      </c>
      <c r="N290" s="36">
        <f t="shared" si="47"/>
        <v>8.3333333333333321</v>
      </c>
      <c r="O290" s="36">
        <v>1.1459129106187931</v>
      </c>
      <c r="P290" s="40">
        <f t="shared" si="48"/>
        <v>9.5492742551566062E-2</v>
      </c>
      <c r="Q290" s="36">
        <v>3414.9390163588946</v>
      </c>
      <c r="R290" s="40">
        <f t="shared" si="49"/>
        <v>2.7963235095595689E-3</v>
      </c>
      <c r="S290" s="36">
        <v>1000</v>
      </c>
      <c r="T290" s="36">
        <v>1000</v>
      </c>
      <c r="U290" s="36" t="s">
        <v>573</v>
      </c>
      <c r="V290" s="36"/>
      <c r="W290" s="36"/>
      <c r="X290" s="36"/>
      <c r="Y290" s="37">
        <f t="shared" si="51"/>
        <v>2.796323509559569E-5</v>
      </c>
      <c r="Z290" s="37">
        <f t="shared" si="53"/>
        <v>-10.484619942871458</v>
      </c>
      <c r="AA290" s="149">
        <f t="shared" si="52"/>
        <v>-2.9318389235048563E-4</v>
      </c>
      <c r="AB290" s="37"/>
      <c r="AC290" s="98"/>
      <c r="AD290" s="99"/>
      <c r="AE290" s="99"/>
    </row>
    <row r="291" spans="1:31" customFormat="1" ht="20.25" customHeight="1">
      <c r="A291" s="35">
        <v>41912</v>
      </c>
      <c r="B291" s="76">
        <v>8</v>
      </c>
      <c r="C291" s="36" t="s">
        <v>223</v>
      </c>
      <c r="D291" s="36" t="s">
        <v>267</v>
      </c>
      <c r="E291" s="36"/>
      <c r="F291" s="36" t="s">
        <v>273</v>
      </c>
      <c r="G291" s="36"/>
      <c r="H291" s="36"/>
      <c r="I291" s="36"/>
      <c r="J291" s="36">
        <v>1</v>
      </c>
      <c r="K291" s="36" t="s">
        <v>508</v>
      </c>
      <c r="L291" s="36" t="s">
        <v>520</v>
      </c>
      <c r="M291" s="36">
        <v>12</v>
      </c>
      <c r="N291" s="36">
        <f t="shared" si="47"/>
        <v>8.3333333333333321</v>
      </c>
      <c r="O291" s="36">
        <v>1.1459129106187931</v>
      </c>
      <c r="P291" s="40">
        <f t="shared" si="48"/>
        <v>9.5492742551566062E-2</v>
      </c>
      <c r="Q291" s="36">
        <v>3414.9390163588901</v>
      </c>
      <c r="R291" s="40">
        <f t="shared" si="49"/>
        <v>2.7963235095595728E-3</v>
      </c>
      <c r="S291" s="36">
        <v>1000</v>
      </c>
      <c r="T291" s="36">
        <v>1000</v>
      </c>
      <c r="U291" s="36"/>
      <c r="V291" s="36"/>
      <c r="W291" s="36"/>
      <c r="X291" s="36"/>
      <c r="Y291" s="37">
        <f t="shared" si="51"/>
        <v>2.7963235095595728E-5</v>
      </c>
      <c r="Z291" s="37">
        <f t="shared" si="53"/>
        <v>-10.484619942871456</v>
      </c>
      <c r="AA291" s="149">
        <f t="shared" si="52"/>
        <v>-2.9318389235048596E-4</v>
      </c>
      <c r="AB291" s="37"/>
      <c r="AC291" s="98"/>
      <c r="AD291" s="99"/>
      <c r="AE291" s="99"/>
    </row>
    <row r="292" spans="1:31" customFormat="1" ht="20.25" customHeight="1">
      <c r="A292" s="72">
        <v>41912</v>
      </c>
      <c r="B292" s="76">
        <v>8</v>
      </c>
      <c r="C292" s="65" t="s">
        <v>288</v>
      </c>
      <c r="D292" s="65" t="s">
        <v>289</v>
      </c>
      <c r="E292" s="65"/>
      <c r="F292" s="65" t="s">
        <v>567</v>
      </c>
      <c r="G292" s="65" t="s">
        <v>340</v>
      </c>
      <c r="H292" s="36" t="s">
        <v>565</v>
      </c>
      <c r="I292" s="36" t="s">
        <v>566</v>
      </c>
      <c r="J292" s="36">
        <v>4</v>
      </c>
      <c r="K292" s="36" t="s">
        <v>247</v>
      </c>
      <c r="L292" s="36" t="s">
        <v>294</v>
      </c>
      <c r="M292" s="36">
        <v>12</v>
      </c>
      <c r="N292" s="36">
        <f t="shared" si="47"/>
        <v>33.333333333333329</v>
      </c>
      <c r="O292" s="36">
        <v>1.1459129106187931</v>
      </c>
      <c r="P292" s="40">
        <f t="shared" si="48"/>
        <v>0.38197097020626425</v>
      </c>
      <c r="Q292" s="36">
        <v>3414.9390163588901</v>
      </c>
      <c r="R292" s="40">
        <f t="shared" si="49"/>
        <v>1.1185294038238291E-2</v>
      </c>
      <c r="S292" s="36">
        <v>1000</v>
      </c>
      <c r="T292" s="36">
        <v>1000</v>
      </c>
      <c r="U292" s="36"/>
      <c r="V292" s="36"/>
      <c r="W292" s="36"/>
      <c r="X292" s="36"/>
      <c r="Y292" s="37">
        <f t="shared" si="51"/>
        <v>1.1185294038238291E-4</v>
      </c>
      <c r="Z292" s="37">
        <f t="shared" si="53"/>
        <v>-9.0983255817515669</v>
      </c>
      <c r="AA292" s="149">
        <f t="shared" si="52"/>
        <v>-1.0176744688751673E-3</v>
      </c>
      <c r="AB292" s="37"/>
      <c r="AC292" s="98"/>
      <c r="AD292" s="99"/>
      <c r="AE292" s="99"/>
    </row>
    <row r="293" spans="1:31" customFormat="1" ht="20.25" customHeight="1">
      <c r="A293" s="72">
        <v>41912</v>
      </c>
      <c r="B293" s="76">
        <v>8</v>
      </c>
      <c r="C293" s="36" t="s">
        <v>288</v>
      </c>
      <c r="D293" s="36" t="s">
        <v>289</v>
      </c>
      <c r="E293" s="36"/>
      <c r="F293" s="36"/>
      <c r="G293" s="36"/>
      <c r="H293" s="36"/>
      <c r="I293" s="36"/>
      <c r="J293" s="36">
        <v>5</v>
      </c>
      <c r="K293" s="36" t="s">
        <v>221</v>
      </c>
      <c r="L293" s="36" t="s">
        <v>294</v>
      </c>
      <c r="M293" s="36">
        <v>12</v>
      </c>
      <c r="N293" s="36">
        <f t="shared" si="47"/>
        <v>41.666666666666671</v>
      </c>
      <c r="O293" s="36">
        <v>1.1459129106187931</v>
      </c>
      <c r="P293" s="40">
        <f t="shared" si="48"/>
        <v>0.47746371275783056</v>
      </c>
      <c r="Q293" s="36">
        <v>3414.9390163588901</v>
      </c>
      <c r="R293" s="40">
        <f t="shared" si="49"/>
        <v>1.3981617547797871E-2</v>
      </c>
      <c r="S293" s="36">
        <v>1000</v>
      </c>
      <c r="T293" s="36">
        <v>1000</v>
      </c>
      <c r="U293" s="36"/>
      <c r="V293" s="36"/>
      <c r="W293" s="36"/>
      <c r="X293" s="36"/>
      <c r="Y293" s="37">
        <f t="shared" si="51"/>
        <v>1.3981617547797871E-4</v>
      </c>
      <c r="Z293" s="37">
        <f t="shared" si="53"/>
        <v>-8.8751820304373563</v>
      </c>
      <c r="AA293" s="149">
        <f t="shared" si="52"/>
        <v>-1.2408940081666327E-3</v>
      </c>
      <c r="AB293" s="37"/>
      <c r="AC293" s="98"/>
      <c r="AD293" s="99"/>
      <c r="AE293" s="99"/>
    </row>
    <row r="294" spans="1:31" customFormat="1" ht="20.25" customHeight="1">
      <c r="A294" s="13">
        <v>41912</v>
      </c>
      <c r="B294" s="65">
        <v>8</v>
      </c>
      <c r="C294" s="34" t="s">
        <v>223</v>
      </c>
      <c r="D294" s="34" t="s">
        <v>224</v>
      </c>
      <c r="E294" s="34" t="s">
        <v>225</v>
      </c>
      <c r="F294" s="34" t="s">
        <v>226</v>
      </c>
      <c r="G294" s="34" t="s">
        <v>227</v>
      </c>
      <c r="H294" s="3" t="s">
        <v>228</v>
      </c>
      <c r="I294" s="3"/>
      <c r="J294" s="3">
        <v>143</v>
      </c>
      <c r="K294" s="3" t="s">
        <v>229</v>
      </c>
      <c r="L294" s="3" t="s">
        <v>228</v>
      </c>
      <c r="M294" s="3">
        <v>217</v>
      </c>
      <c r="N294" s="3">
        <f t="shared" si="47"/>
        <v>65.89861751152074</v>
      </c>
      <c r="O294" s="36">
        <v>3413.7931034482758</v>
      </c>
      <c r="P294" s="8">
        <f t="shared" si="48"/>
        <v>2249.6424598760527</v>
      </c>
      <c r="Q294" s="36">
        <v>3414.9390163588901</v>
      </c>
      <c r="R294" s="60">
        <f t="shared" si="49"/>
        <v>65.876504649113429</v>
      </c>
      <c r="S294" s="36">
        <v>250</v>
      </c>
      <c r="T294" s="36">
        <v>250</v>
      </c>
      <c r="U294" s="3" t="s">
        <v>496</v>
      </c>
      <c r="V294" s="3"/>
      <c r="W294" s="36"/>
      <c r="X294" s="36"/>
      <c r="Y294" s="37">
        <f t="shared" si="51"/>
        <v>0.65876504649113432</v>
      </c>
      <c r="Z294" s="37">
        <f t="shared" si="53"/>
        <v>-0.41738833841415712</v>
      </c>
      <c r="AA294" s="149">
        <f t="shared" si="52"/>
        <v>-0.27496084816025951</v>
      </c>
      <c r="AB294" s="37"/>
      <c r="AC294" s="98"/>
      <c r="AD294" s="99"/>
      <c r="AE294" s="99"/>
    </row>
    <row r="295" spans="1:31" ht="20.25" customHeight="1">
      <c r="A295" s="13">
        <v>41912</v>
      </c>
      <c r="B295" s="65">
        <v>8</v>
      </c>
      <c r="C295" s="3" t="s">
        <v>223</v>
      </c>
      <c r="D295" s="3" t="s">
        <v>303</v>
      </c>
      <c r="E295" s="3" t="s">
        <v>304</v>
      </c>
      <c r="F295" s="3" t="s">
        <v>305</v>
      </c>
      <c r="G295" s="3" t="s">
        <v>306</v>
      </c>
      <c r="H295" s="3" t="s">
        <v>307</v>
      </c>
      <c r="I295" s="3"/>
      <c r="J295" s="3">
        <v>3</v>
      </c>
      <c r="K295" s="3" t="s">
        <v>229</v>
      </c>
      <c r="L295" s="3" t="s">
        <v>307</v>
      </c>
      <c r="M295" s="3">
        <v>217</v>
      </c>
      <c r="N295" s="3">
        <f t="shared" si="47"/>
        <v>1.3824884792626728</v>
      </c>
      <c r="O295" s="36">
        <v>3413.7931034482758</v>
      </c>
      <c r="P295" s="8">
        <f t="shared" si="48"/>
        <v>47.195296361036071</v>
      </c>
      <c r="Q295" s="36">
        <v>3414.9390163588901</v>
      </c>
      <c r="R295" s="60">
        <f t="shared" si="49"/>
        <v>1.3820245730583238</v>
      </c>
      <c r="S295" s="36">
        <v>250</v>
      </c>
      <c r="T295" s="36">
        <v>250</v>
      </c>
      <c r="U295" s="36" t="s">
        <v>308</v>
      </c>
      <c r="V295" s="3"/>
      <c r="W295" s="36"/>
      <c r="X295" s="36"/>
      <c r="Y295" s="37">
        <f t="shared" si="51"/>
        <v>1.3820245730583238E-2</v>
      </c>
      <c r="Z295" s="37">
        <f t="shared" si="53"/>
        <v>-4.2816206800059549</v>
      </c>
      <c r="AA295" s="149">
        <f t="shared" si="52"/>
        <v>-5.91730499228292E-2</v>
      </c>
      <c r="AB295" s="37"/>
      <c r="AC295" s="98"/>
    </row>
    <row r="296" spans="1:31" ht="20.25" customHeight="1">
      <c r="A296" s="13">
        <v>41912</v>
      </c>
      <c r="B296" s="65">
        <v>8</v>
      </c>
      <c r="C296" s="51" t="s">
        <v>223</v>
      </c>
      <c r="D296" s="51" t="s">
        <v>303</v>
      </c>
      <c r="E296" s="51" t="s">
        <v>304</v>
      </c>
      <c r="F296" s="51" t="s">
        <v>305</v>
      </c>
      <c r="G296" s="51" t="s">
        <v>306</v>
      </c>
      <c r="H296" s="3" t="s">
        <v>307</v>
      </c>
      <c r="I296" s="3"/>
      <c r="J296" s="3">
        <v>4</v>
      </c>
      <c r="K296" s="3" t="s">
        <v>229</v>
      </c>
      <c r="L296" s="3" t="s">
        <v>307</v>
      </c>
      <c r="M296" s="3">
        <v>217</v>
      </c>
      <c r="N296" s="3">
        <f t="shared" si="47"/>
        <v>1.8433179723502304</v>
      </c>
      <c r="O296" s="36">
        <v>3413.7931034482758</v>
      </c>
      <c r="P296" s="8">
        <f t="shared" si="48"/>
        <v>62.927061814714762</v>
      </c>
      <c r="Q296" s="36">
        <v>3414.9390163588901</v>
      </c>
      <c r="R296" s="60">
        <f t="shared" si="49"/>
        <v>1.8426994307444315</v>
      </c>
      <c r="S296" s="3">
        <v>250</v>
      </c>
      <c r="T296" s="3">
        <v>250</v>
      </c>
      <c r="U296" s="36" t="s">
        <v>620</v>
      </c>
      <c r="V296" s="3"/>
      <c r="W296" s="36"/>
      <c r="X296" s="36"/>
      <c r="Y296" s="37">
        <f t="shared" si="51"/>
        <v>1.8426994307444315E-2</v>
      </c>
      <c r="Z296" s="37">
        <f t="shared" si="53"/>
        <v>-3.9939386075541736</v>
      </c>
      <c r="AA296" s="149">
        <f t="shared" si="52"/>
        <v>-7.3596283985682825E-2</v>
      </c>
      <c r="AB296" s="37"/>
      <c r="AC296" s="98"/>
    </row>
    <row r="297" spans="1:31" s="50" customFormat="1" ht="20.25" customHeight="1">
      <c r="A297" s="13">
        <v>41912</v>
      </c>
      <c r="B297" s="65">
        <v>8</v>
      </c>
      <c r="C297" s="51" t="s">
        <v>223</v>
      </c>
      <c r="D297" s="51" t="s">
        <v>224</v>
      </c>
      <c r="E297" s="51" t="s">
        <v>225</v>
      </c>
      <c r="F297" s="51" t="s">
        <v>226</v>
      </c>
      <c r="G297" s="51" t="s">
        <v>235</v>
      </c>
      <c r="H297" s="3" t="s">
        <v>236</v>
      </c>
      <c r="I297" s="3"/>
      <c r="J297" s="3">
        <v>20</v>
      </c>
      <c r="K297" s="3" t="s">
        <v>229</v>
      </c>
      <c r="L297" s="3" t="s">
        <v>236</v>
      </c>
      <c r="M297" s="3">
        <v>217</v>
      </c>
      <c r="N297" s="3">
        <f t="shared" si="47"/>
        <v>9.216589861751153</v>
      </c>
      <c r="O297" s="36">
        <v>3413.7931034482758</v>
      </c>
      <c r="P297" s="8">
        <f t="shared" si="48"/>
        <v>314.63530907357381</v>
      </c>
      <c r="Q297" s="36">
        <v>3414.9390163588901</v>
      </c>
      <c r="R297" s="60">
        <f t="shared" si="49"/>
        <v>9.2134971537221588</v>
      </c>
      <c r="S297" s="36">
        <v>250</v>
      </c>
      <c r="T297" s="36">
        <v>250</v>
      </c>
      <c r="U297" s="3"/>
      <c r="V297" s="3"/>
      <c r="W297" s="36"/>
      <c r="X297" s="36"/>
      <c r="Y297" s="37">
        <f t="shared" si="51"/>
        <v>9.2134971537221583E-2</v>
      </c>
      <c r="Z297" s="37">
        <f t="shared" si="53"/>
        <v>-2.3845006951200736</v>
      </c>
      <c r="AA297" s="149">
        <f t="shared" si="52"/>
        <v>-0.21969590367537306</v>
      </c>
      <c r="AB297" s="37"/>
      <c r="AC297" s="98"/>
      <c r="AD297" s="99"/>
      <c r="AE297" s="99"/>
    </row>
    <row r="298" spans="1:31" customFormat="1" ht="20.25" customHeight="1">
      <c r="A298" s="13">
        <v>41912</v>
      </c>
      <c r="B298" s="65">
        <v>8</v>
      </c>
      <c r="C298" s="51" t="s">
        <v>223</v>
      </c>
      <c r="D298" s="51" t="s">
        <v>310</v>
      </c>
      <c r="E298" s="51" t="s">
        <v>314</v>
      </c>
      <c r="F298" s="51" t="s">
        <v>311</v>
      </c>
      <c r="G298" s="51" t="s">
        <v>315</v>
      </c>
      <c r="H298" s="51" t="s">
        <v>316</v>
      </c>
      <c r="I298" s="3"/>
      <c r="J298" s="3">
        <v>7</v>
      </c>
      <c r="K298" s="36" t="s">
        <v>229</v>
      </c>
      <c r="L298" s="3" t="s">
        <v>345</v>
      </c>
      <c r="M298" s="3">
        <v>217</v>
      </c>
      <c r="N298" s="3">
        <f t="shared" si="47"/>
        <v>3.225806451612903</v>
      </c>
      <c r="O298" s="36">
        <v>3413.7931034482758</v>
      </c>
      <c r="P298" s="8">
        <f t="shared" si="48"/>
        <v>110.12235817575083</v>
      </c>
      <c r="Q298" s="36">
        <v>3414.9390163588901</v>
      </c>
      <c r="R298" s="60">
        <f t="shared" si="49"/>
        <v>3.2247240038027556</v>
      </c>
      <c r="S298" s="3">
        <v>250</v>
      </c>
      <c r="T298" s="3">
        <v>250</v>
      </c>
      <c r="U298" s="3" t="s">
        <v>495</v>
      </c>
      <c r="V298" s="3"/>
      <c r="W298" s="36"/>
      <c r="X298" s="36"/>
      <c r="Y298" s="37">
        <f t="shared" si="51"/>
        <v>3.2247240038027557E-2</v>
      </c>
      <c r="Z298" s="37">
        <f t="shared" si="53"/>
        <v>-3.434322819618751</v>
      </c>
      <c r="AA298" s="149">
        <f t="shared" si="52"/>
        <v>-0.11074743233232148</v>
      </c>
      <c r="AB298" s="37"/>
      <c r="AC298" s="98"/>
      <c r="AD298" s="99"/>
      <c r="AE298" s="99"/>
    </row>
    <row r="299" spans="1:31" customFormat="1" ht="20.25" customHeight="1">
      <c r="A299" s="13">
        <v>41912</v>
      </c>
      <c r="B299" s="65">
        <v>8</v>
      </c>
      <c r="C299" s="51" t="s">
        <v>223</v>
      </c>
      <c r="D299" s="51" t="s">
        <v>310</v>
      </c>
      <c r="E299" s="51" t="s">
        <v>314</v>
      </c>
      <c r="F299" s="51" t="s">
        <v>311</v>
      </c>
      <c r="G299" s="51" t="s">
        <v>315</v>
      </c>
      <c r="H299" s="3" t="s">
        <v>347</v>
      </c>
      <c r="I299" s="3"/>
      <c r="J299" s="3">
        <v>2</v>
      </c>
      <c r="K299" s="36" t="s">
        <v>229</v>
      </c>
      <c r="L299" s="3" t="s">
        <v>345</v>
      </c>
      <c r="M299" s="3">
        <v>217</v>
      </c>
      <c r="N299" s="3">
        <f t="shared" si="47"/>
        <v>0.92165898617511521</v>
      </c>
      <c r="O299" s="36">
        <v>3413.7931034482758</v>
      </c>
      <c r="P299" s="8">
        <f t="shared" si="48"/>
        <v>31.463530907357381</v>
      </c>
      <c r="Q299" s="36">
        <v>3414.9390163588901</v>
      </c>
      <c r="R299" s="60">
        <f t="shared" si="49"/>
        <v>0.92134971537221577</v>
      </c>
      <c r="S299" s="36">
        <v>250</v>
      </c>
      <c r="T299" s="36">
        <v>250</v>
      </c>
      <c r="U299" s="3"/>
      <c r="V299" s="3"/>
      <c r="W299" s="36"/>
      <c r="X299" s="36"/>
      <c r="Y299" s="37">
        <f t="shared" si="51"/>
        <v>9.2134971537221576E-3</v>
      </c>
      <c r="Z299" s="37">
        <f t="shared" si="53"/>
        <v>-4.6870857881141195</v>
      </c>
      <c r="AA299" s="149">
        <f t="shared" si="52"/>
        <v>-4.3184451568041016E-2</v>
      </c>
      <c r="AB299" s="37"/>
      <c r="AC299" s="98"/>
      <c r="AD299" s="99"/>
      <c r="AE299" s="99"/>
    </row>
    <row r="300" spans="1:31" customFormat="1" ht="20.25" customHeight="1">
      <c r="A300" s="13">
        <v>41912</v>
      </c>
      <c r="B300" s="65">
        <v>8</v>
      </c>
      <c r="C300" s="36" t="s">
        <v>223</v>
      </c>
      <c r="D300" s="36" t="s">
        <v>224</v>
      </c>
      <c r="E300" s="36" t="s">
        <v>225</v>
      </c>
      <c r="F300" s="36" t="s">
        <v>226</v>
      </c>
      <c r="G300" s="36" t="s">
        <v>239</v>
      </c>
      <c r="H300" s="36" t="s">
        <v>240</v>
      </c>
      <c r="I300" s="3"/>
      <c r="J300" s="3">
        <v>26</v>
      </c>
      <c r="K300" s="3" t="s">
        <v>229</v>
      </c>
      <c r="L300" s="3" t="s">
        <v>240</v>
      </c>
      <c r="M300" s="3">
        <v>217</v>
      </c>
      <c r="N300" s="3">
        <f t="shared" si="47"/>
        <v>11.981566820276496</v>
      </c>
      <c r="O300" s="36">
        <v>3413.7931034482758</v>
      </c>
      <c r="P300" s="8">
        <f t="shared" si="48"/>
        <v>409.02590179564589</v>
      </c>
      <c r="Q300" s="36">
        <v>3414.9390163588901</v>
      </c>
      <c r="R300" s="60">
        <f t="shared" si="49"/>
        <v>11.977546299838803</v>
      </c>
      <c r="S300" s="3">
        <v>250</v>
      </c>
      <c r="T300" s="3">
        <v>250</v>
      </c>
      <c r="U300" s="3"/>
      <c r="V300" s="3"/>
      <c r="W300" s="36"/>
      <c r="X300" s="36"/>
      <c r="Y300" s="37">
        <f t="shared" si="51"/>
        <v>0.11977546299838802</v>
      </c>
      <c r="Z300" s="37">
        <f t="shared" si="53"/>
        <v>-2.1221364306525827</v>
      </c>
      <c r="AA300" s="149">
        <f t="shared" si="52"/>
        <v>-0.25417987352715965</v>
      </c>
      <c r="AB300" s="37"/>
      <c r="AC300" s="98"/>
      <c r="AD300" s="99"/>
      <c r="AE300" s="99"/>
    </row>
    <row r="301" spans="1:31" customFormat="1" ht="20.25" customHeight="1">
      <c r="A301" s="13">
        <v>41912</v>
      </c>
      <c r="B301" s="65">
        <v>8</v>
      </c>
      <c r="C301" s="34" t="s">
        <v>223</v>
      </c>
      <c r="D301" s="34" t="s">
        <v>224</v>
      </c>
      <c r="E301" s="34" t="s">
        <v>225</v>
      </c>
      <c r="F301" s="34" t="s">
        <v>248</v>
      </c>
      <c r="G301" s="34" t="s">
        <v>249</v>
      </c>
      <c r="H301" s="3" t="s">
        <v>250</v>
      </c>
      <c r="I301" s="3"/>
      <c r="J301" s="3">
        <v>1</v>
      </c>
      <c r="K301" s="3" t="s">
        <v>229</v>
      </c>
      <c r="L301" s="3" t="s">
        <v>250</v>
      </c>
      <c r="M301" s="3">
        <v>217</v>
      </c>
      <c r="N301" s="3">
        <f t="shared" si="47"/>
        <v>0.46082949308755761</v>
      </c>
      <c r="O301" s="36">
        <v>3413.7931034482758</v>
      </c>
      <c r="P301" s="8">
        <f t="shared" si="48"/>
        <v>15.73176545367869</v>
      </c>
      <c r="Q301" s="36">
        <v>3414.9390163588901</v>
      </c>
      <c r="R301" s="60">
        <f t="shared" si="49"/>
        <v>0.46067485768610789</v>
      </c>
      <c r="S301" s="36">
        <v>250</v>
      </c>
      <c r="T301" s="36">
        <v>250</v>
      </c>
      <c r="U301" s="3"/>
      <c r="V301" s="3"/>
      <c r="W301" s="36"/>
      <c r="X301" s="36"/>
      <c r="Y301" s="37">
        <f t="shared" si="51"/>
        <v>4.6067485768610788E-3</v>
      </c>
      <c r="Z301" s="37">
        <f t="shared" si="53"/>
        <v>-5.3802329686740649</v>
      </c>
      <c r="AA301" s="149">
        <f t="shared" si="52"/>
        <v>-2.4785380571620306E-2</v>
      </c>
      <c r="AB301" s="37"/>
      <c r="AC301" s="98"/>
      <c r="AD301" s="99"/>
      <c r="AE301" s="99"/>
    </row>
    <row r="302" spans="1:31" customFormat="1" ht="20.25" customHeight="1">
      <c r="A302" s="13">
        <v>41912</v>
      </c>
      <c r="B302" s="65">
        <v>8</v>
      </c>
      <c r="C302" s="3" t="s">
        <v>216</v>
      </c>
      <c r="D302" s="3" t="s">
        <v>217</v>
      </c>
      <c r="E302" s="3"/>
      <c r="F302" s="3"/>
      <c r="G302" s="3"/>
      <c r="H302" s="3" t="s">
        <v>219</v>
      </c>
      <c r="I302" s="3"/>
      <c r="J302" s="3">
        <v>1</v>
      </c>
      <c r="K302" s="36" t="s">
        <v>229</v>
      </c>
      <c r="L302" s="3" t="s">
        <v>219</v>
      </c>
      <c r="M302" s="3">
        <v>217</v>
      </c>
      <c r="N302" s="3">
        <f t="shared" si="47"/>
        <v>0.46082949308755761</v>
      </c>
      <c r="O302" s="36">
        <v>3413.7931034482758</v>
      </c>
      <c r="P302" s="8">
        <f t="shared" si="48"/>
        <v>15.73176545367869</v>
      </c>
      <c r="Q302" s="36">
        <v>3414.9390163588901</v>
      </c>
      <c r="R302" s="60">
        <f t="shared" si="49"/>
        <v>0.46067485768610789</v>
      </c>
      <c r="S302" s="36">
        <v>250</v>
      </c>
      <c r="T302" s="36">
        <v>250</v>
      </c>
      <c r="U302" s="3"/>
      <c r="V302" s="3"/>
      <c r="W302" s="36"/>
      <c r="X302" s="36"/>
      <c r="Y302" s="37">
        <f t="shared" si="51"/>
        <v>4.6067485768610788E-3</v>
      </c>
      <c r="Z302" s="37">
        <f t="shared" si="53"/>
        <v>-5.3802329686740649</v>
      </c>
      <c r="AA302" s="149">
        <f t="shared" si="52"/>
        <v>-2.4785380571620306E-2</v>
      </c>
      <c r="AB302" s="37"/>
      <c r="AC302" s="98"/>
      <c r="AD302" s="99"/>
      <c r="AE302" s="99"/>
    </row>
    <row r="303" spans="1:31" customFormat="1" ht="20.25" customHeight="1">
      <c r="A303" s="13">
        <v>41912</v>
      </c>
      <c r="B303" s="65">
        <v>8</v>
      </c>
      <c r="C303" s="65" t="s">
        <v>223</v>
      </c>
      <c r="D303" s="65" t="s">
        <v>224</v>
      </c>
      <c r="E303" s="65" t="s">
        <v>225</v>
      </c>
      <c r="F303" s="65" t="s">
        <v>226</v>
      </c>
      <c r="G303" s="65" t="s">
        <v>253</v>
      </c>
      <c r="H303" s="36" t="s">
        <v>256</v>
      </c>
      <c r="I303" s="3"/>
      <c r="J303" s="3">
        <v>1</v>
      </c>
      <c r="K303" s="3" t="s">
        <v>229</v>
      </c>
      <c r="L303" s="3" t="s">
        <v>256</v>
      </c>
      <c r="M303" s="3">
        <v>217</v>
      </c>
      <c r="N303" s="3">
        <f t="shared" si="47"/>
        <v>0.46082949308755761</v>
      </c>
      <c r="O303" s="36">
        <v>3413.7931034482758</v>
      </c>
      <c r="P303" s="8">
        <f t="shared" si="48"/>
        <v>15.73176545367869</v>
      </c>
      <c r="Q303" s="36">
        <v>3414.9390163588901</v>
      </c>
      <c r="R303" s="60">
        <f t="shared" si="49"/>
        <v>0.46067485768610789</v>
      </c>
      <c r="S303" s="3">
        <v>250</v>
      </c>
      <c r="T303" s="3">
        <v>250</v>
      </c>
      <c r="U303" s="3"/>
      <c r="V303" s="3"/>
      <c r="W303" s="36"/>
      <c r="X303" s="36"/>
      <c r="Y303" s="37">
        <f t="shared" si="51"/>
        <v>4.6067485768610788E-3</v>
      </c>
      <c r="Z303" s="37">
        <f t="shared" si="53"/>
        <v>-5.3802329686740649</v>
      </c>
      <c r="AA303" s="149">
        <f t="shared" si="52"/>
        <v>-2.4785380571620306E-2</v>
      </c>
      <c r="AB303" s="37"/>
      <c r="AC303" s="98"/>
      <c r="AD303" s="99"/>
      <c r="AE303" s="99"/>
    </row>
    <row r="304" spans="1:31" customFormat="1" ht="20.25" customHeight="1">
      <c r="A304" s="13">
        <v>41912</v>
      </c>
      <c r="B304" s="65">
        <v>8</v>
      </c>
      <c r="C304" s="3" t="s">
        <v>223</v>
      </c>
      <c r="D304" s="3" t="s">
        <v>224</v>
      </c>
      <c r="E304" s="3" t="s">
        <v>225</v>
      </c>
      <c r="F304" s="3" t="s">
        <v>226</v>
      </c>
      <c r="G304" s="3" t="s">
        <v>239</v>
      </c>
      <c r="H304" s="3" t="s">
        <v>258</v>
      </c>
      <c r="I304" s="3" t="s">
        <v>259</v>
      </c>
      <c r="J304" s="3">
        <v>9</v>
      </c>
      <c r="K304" s="3" t="s">
        <v>247</v>
      </c>
      <c r="L304" s="3" t="s">
        <v>258</v>
      </c>
      <c r="M304" s="3">
        <v>217</v>
      </c>
      <c r="N304" s="3">
        <f t="shared" si="47"/>
        <v>4.1474654377880187</v>
      </c>
      <c r="O304" s="36">
        <v>3413.7931034482758</v>
      </c>
      <c r="P304" s="8">
        <f t="shared" si="48"/>
        <v>141.58588908310821</v>
      </c>
      <c r="Q304" s="36">
        <v>3414.9390163588901</v>
      </c>
      <c r="R304" s="60">
        <f t="shared" si="49"/>
        <v>4.1460737191749715</v>
      </c>
      <c r="S304" s="3">
        <v>250</v>
      </c>
      <c r="T304" s="3">
        <v>250</v>
      </c>
      <c r="U304" s="3"/>
      <c r="V304" s="3"/>
      <c r="W304" s="36"/>
      <c r="X304" s="36"/>
      <c r="Y304" s="37">
        <f t="shared" si="51"/>
        <v>4.1460737191749718E-2</v>
      </c>
      <c r="Z304" s="37">
        <f t="shared" si="53"/>
        <v>-3.1830083913378449</v>
      </c>
      <c r="AA304" s="149">
        <f t="shared" si="52"/>
        <v>-0.13196987439239241</v>
      </c>
      <c r="AB304" s="37"/>
      <c r="AC304" s="98"/>
      <c r="AD304" s="99"/>
      <c r="AE304" s="99"/>
    </row>
    <row r="305" spans="1:31" customFormat="1" ht="20.25" customHeight="1">
      <c r="A305" s="35">
        <v>41912</v>
      </c>
      <c r="B305" s="76">
        <v>5</v>
      </c>
      <c r="C305" s="65" t="s">
        <v>223</v>
      </c>
      <c r="D305" s="65" t="s">
        <v>267</v>
      </c>
      <c r="E305" s="65" t="s">
        <v>268</v>
      </c>
      <c r="F305" s="65" t="s">
        <v>269</v>
      </c>
      <c r="G305" s="65"/>
      <c r="H305" s="65" t="s">
        <v>270</v>
      </c>
      <c r="I305" s="36"/>
      <c r="J305" s="36">
        <v>1</v>
      </c>
      <c r="K305" s="36" t="s">
        <v>229</v>
      </c>
      <c r="L305" s="36" t="s">
        <v>270</v>
      </c>
      <c r="M305" s="36">
        <v>176</v>
      </c>
      <c r="N305" s="36">
        <f t="shared" si="47"/>
        <v>0.56818181818181823</v>
      </c>
      <c r="O305" s="36">
        <v>11.204481792717086</v>
      </c>
      <c r="P305" s="40">
        <f t="shared" si="48"/>
        <v>6.3661828367710713E-2</v>
      </c>
      <c r="Q305" s="65">
        <v>5708.9199859048094</v>
      </c>
      <c r="R305" s="40">
        <f t="shared" si="49"/>
        <v>1.1151291054155652E-3</v>
      </c>
      <c r="S305" s="36">
        <v>1000</v>
      </c>
      <c r="T305" s="36">
        <v>1000</v>
      </c>
      <c r="U305" s="36" t="s">
        <v>578</v>
      </c>
      <c r="V305" s="36"/>
      <c r="W305" s="36"/>
      <c r="X305" s="36"/>
      <c r="Y305" s="37">
        <f t="shared" si="51"/>
        <v>1.1151291054155653E-5</v>
      </c>
      <c r="Z305" s="37">
        <f t="shared" si="53"/>
        <v>-11.403955277150873</v>
      </c>
      <c r="AA305" s="149">
        <f t="shared" si="52"/>
        <v>-1.2716882446408369E-4</v>
      </c>
      <c r="AB305" s="37">
        <f>SUM(AA305:AA327)*-1</f>
        <v>1.9100429743472538</v>
      </c>
      <c r="AC305" s="98">
        <v>19</v>
      </c>
      <c r="AD305" s="98">
        <f t="shared" ref="AD305" si="57">LN(AC305)</f>
        <v>2.9444389791664403</v>
      </c>
      <c r="AE305" s="98">
        <f>(AB305/AD305)</f>
        <v>0.64869504440807935</v>
      </c>
    </row>
    <row r="306" spans="1:31" customFormat="1" ht="20.25" customHeight="1">
      <c r="A306" s="35">
        <v>41912</v>
      </c>
      <c r="B306" s="76">
        <v>5</v>
      </c>
      <c r="C306" s="36" t="s">
        <v>209</v>
      </c>
      <c r="D306" s="36" t="s">
        <v>210</v>
      </c>
      <c r="E306" s="36"/>
      <c r="F306" s="36" t="s">
        <v>211</v>
      </c>
      <c r="G306" s="36" t="s">
        <v>212</v>
      </c>
      <c r="H306" s="36" t="s">
        <v>213</v>
      </c>
      <c r="I306" s="36" t="s">
        <v>214</v>
      </c>
      <c r="J306" s="36">
        <v>7</v>
      </c>
      <c r="K306" s="36" t="s">
        <v>247</v>
      </c>
      <c r="L306" s="36" t="s">
        <v>215</v>
      </c>
      <c r="M306" s="36">
        <v>176</v>
      </c>
      <c r="N306" s="36">
        <f t="shared" si="47"/>
        <v>3.9772727272727271</v>
      </c>
      <c r="O306" s="36">
        <v>11.204481792717086</v>
      </c>
      <c r="P306" s="40">
        <f t="shared" si="48"/>
        <v>0.44563279857397503</v>
      </c>
      <c r="Q306" s="65">
        <v>5708.9199859048094</v>
      </c>
      <c r="R306" s="40">
        <f t="shared" si="49"/>
        <v>7.8059037379089573E-3</v>
      </c>
      <c r="S306" s="36">
        <v>1000</v>
      </c>
      <c r="T306" s="36">
        <v>1000</v>
      </c>
      <c r="U306" s="36"/>
      <c r="V306" s="36"/>
      <c r="W306" s="36"/>
      <c r="X306" s="36"/>
      <c r="Y306" s="37">
        <f t="shared" si="51"/>
        <v>7.8059037379089576E-5</v>
      </c>
      <c r="Z306" s="37">
        <f t="shared" si="53"/>
        <v>-9.4580451280955593</v>
      </c>
      <c r="AA306" s="149">
        <f t="shared" si="52"/>
        <v>-7.382858981871273E-4</v>
      </c>
      <c r="AB306" s="37"/>
      <c r="AC306" s="98"/>
      <c r="AD306" s="99"/>
      <c r="AE306" s="99"/>
    </row>
    <row r="307" spans="1:31" customFormat="1" ht="20.25" customHeight="1">
      <c r="A307" s="35">
        <v>41912</v>
      </c>
      <c r="B307" s="76">
        <v>5</v>
      </c>
      <c r="C307" s="36" t="s">
        <v>223</v>
      </c>
      <c r="D307" s="36" t="s">
        <v>267</v>
      </c>
      <c r="E307" s="36"/>
      <c r="F307" s="36" t="s">
        <v>273</v>
      </c>
      <c r="G307" s="36" t="s">
        <v>274</v>
      </c>
      <c r="H307" s="36" t="s">
        <v>275</v>
      </c>
      <c r="I307" s="36" t="s">
        <v>276</v>
      </c>
      <c r="J307" s="36">
        <v>8</v>
      </c>
      <c r="K307" s="36" t="s">
        <v>247</v>
      </c>
      <c r="L307" s="36" t="s">
        <v>275</v>
      </c>
      <c r="M307" s="36">
        <v>176</v>
      </c>
      <c r="N307" s="36">
        <f t="shared" si="47"/>
        <v>4.5454545454545459</v>
      </c>
      <c r="O307" s="65">
        <v>11.204481792717086</v>
      </c>
      <c r="P307" s="40">
        <f t="shared" si="48"/>
        <v>0.5092946269416857</v>
      </c>
      <c r="Q307" s="65">
        <v>5708.9199859048103</v>
      </c>
      <c r="R307" s="40">
        <f t="shared" si="49"/>
        <v>8.9210328433245202E-3</v>
      </c>
      <c r="S307" s="36">
        <v>1000</v>
      </c>
      <c r="T307" s="36">
        <v>1000</v>
      </c>
      <c r="U307" s="36" t="s">
        <v>575</v>
      </c>
      <c r="V307" s="36"/>
      <c r="W307" s="36"/>
      <c r="X307" s="36"/>
      <c r="Y307" s="37">
        <f t="shared" si="51"/>
        <v>8.9210328433245208E-5</v>
      </c>
      <c r="Z307" s="37">
        <f t="shared" si="53"/>
        <v>-9.3245137354710383</v>
      </c>
      <c r="AA307" s="149">
        <f t="shared" si="52"/>
        <v>-8.318429328216775E-4</v>
      </c>
      <c r="AB307" s="37"/>
      <c r="AC307" s="98"/>
      <c r="AD307" s="99"/>
      <c r="AE307" s="99"/>
    </row>
    <row r="308" spans="1:31" customFormat="1" ht="20.25" customHeight="1">
      <c r="A308" s="35">
        <v>41912</v>
      </c>
      <c r="B308" s="76">
        <v>5</v>
      </c>
      <c r="C308" s="65" t="s">
        <v>351</v>
      </c>
      <c r="D308" s="65"/>
      <c r="E308" s="65"/>
      <c r="F308" s="65"/>
      <c r="G308" s="65"/>
      <c r="H308" s="36"/>
      <c r="I308" s="36"/>
      <c r="J308" s="36">
        <v>4</v>
      </c>
      <c r="K308" s="36" t="s">
        <v>474</v>
      </c>
      <c r="L308" s="36" t="s">
        <v>352</v>
      </c>
      <c r="M308" s="36">
        <v>176</v>
      </c>
      <c r="N308" s="36">
        <f t="shared" si="47"/>
        <v>2.2727272727272729</v>
      </c>
      <c r="O308" s="65">
        <v>11.204481792717086</v>
      </c>
      <c r="P308" s="40">
        <f t="shared" si="48"/>
        <v>0.25464731347084285</v>
      </c>
      <c r="Q308" s="65">
        <v>5708.9199859048103</v>
      </c>
      <c r="R308" s="40">
        <f t="shared" si="49"/>
        <v>4.4605164216622601E-3</v>
      </c>
      <c r="S308" s="36">
        <v>1000</v>
      </c>
      <c r="T308" s="36">
        <v>1000</v>
      </c>
      <c r="U308" s="36"/>
      <c r="V308" s="36"/>
      <c r="W308" s="36"/>
      <c r="X308" s="36"/>
      <c r="Y308" s="37">
        <f t="shared" si="51"/>
        <v>4.4605164216622604E-5</v>
      </c>
      <c r="Z308" s="37">
        <f t="shared" si="53"/>
        <v>-10.017660916030984</v>
      </c>
      <c r="AA308" s="149">
        <f t="shared" si="52"/>
        <v>-4.4683941022600403E-4</v>
      </c>
      <c r="AB308" s="37"/>
      <c r="AC308" s="98"/>
      <c r="AD308" s="99"/>
      <c r="AE308" s="99"/>
    </row>
    <row r="309" spans="1:31" customFormat="1" ht="20.25" customHeight="1">
      <c r="A309" s="35">
        <v>41912</v>
      </c>
      <c r="B309" s="76">
        <v>5</v>
      </c>
      <c r="C309" s="36" t="s">
        <v>223</v>
      </c>
      <c r="D309" s="36" t="s">
        <v>267</v>
      </c>
      <c r="E309" s="36"/>
      <c r="F309" s="36" t="s">
        <v>273</v>
      </c>
      <c r="G309" s="36"/>
      <c r="H309" s="36"/>
      <c r="I309" s="36"/>
      <c r="J309" s="36">
        <v>1</v>
      </c>
      <c r="K309" s="36" t="s">
        <v>508</v>
      </c>
      <c r="L309" s="36" t="s">
        <v>335</v>
      </c>
      <c r="M309" s="36">
        <v>176</v>
      </c>
      <c r="N309" s="36">
        <f t="shared" si="47"/>
        <v>0.56818181818181823</v>
      </c>
      <c r="O309" s="36">
        <v>11.204481792717086</v>
      </c>
      <c r="P309" s="40">
        <f t="shared" si="48"/>
        <v>6.3661828367710713E-2</v>
      </c>
      <c r="Q309" s="65">
        <v>5708.9199859048103</v>
      </c>
      <c r="R309" s="40">
        <f t="shared" si="49"/>
        <v>1.115129105415565E-3</v>
      </c>
      <c r="S309" s="36">
        <v>1000</v>
      </c>
      <c r="T309" s="36">
        <v>1000</v>
      </c>
      <c r="U309" s="36"/>
      <c r="V309" s="36"/>
      <c r="W309" s="36"/>
      <c r="X309" s="36"/>
      <c r="Y309" s="37">
        <f t="shared" si="51"/>
        <v>1.1151291054155651E-5</v>
      </c>
      <c r="Z309" s="37">
        <f t="shared" si="53"/>
        <v>-11.403955277150873</v>
      </c>
      <c r="AA309" s="149">
        <f t="shared" si="52"/>
        <v>-1.2716882446408366E-4</v>
      </c>
      <c r="AB309" s="37"/>
      <c r="AC309" s="98"/>
      <c r="AD309" s="99"/>
      <c r="AE309" s="99"/>
    </row>
    <row r="310" spans="1:31" customFormat="1" ht="20.25" customHeight="1">
      <c r="A310" s="72">
        <v>41912</v>
      </c>
      <c r="B310" s="76">
        <v>5</v>
      </c>
      <c r="C310" s="65" t="s">
        <v>288</v>
      </c>
      <c r="D310" s="65" t="s">
        <v>289</v>
      </c>
      <c r="E310" s="65"/>
      <c r="F310" s="65" t="s">
        <v>567</v>
      </c>
      <c r="G310" s="65" t="s">
        <v>340</v>
      </c>
      <c r="H310" s="36" t="s">
        <v>565</v>
      </c>
      <c r="I310" s="36" t="s">
        <v>566</v>
      </c>
      <c r="J310" s="36">
        <v>96</v>
      </c>
      <c r="K310" s="36" t="s">
        <v>247</v>
      </c>
      <c r="L310" s="36" t="s">
        <v>294</v>
      </c>
      <c r="M310" s="36">
        <v>176</v>
      </c>
      <c r="N310" s="36">
        <f t="shared" si="47"/>
        <v>54.54545454545454</v>
      </c>
      <c r="O310" s="36">
        <v>11.204481792717086</v>
      </c>
      <c r="P310" s="40">
        <f t="shared" si="48"/>
        <v>6.111535523300228</v>
      </c>
      <c r="Q310" s="65">
        <v>5708.9199859048103</v>
      </c>
      <c r="R310" s="40">
        <f t="shared" si="49"/>
        <v>0.10705239411989424</v>
      </c>
      <c r="S310" s="36">
        <v>1000</v>
      </c>
      <c r="T310" s="36">
        <v>1000</v>
      </c>
      <c r="U310" s="36" t="s">
        <v>574</v>
      </c>
      <c r="V310" s="36"/>
      <c r="W310" s="36"/>
      <c r="X310" s="36"/>
      <c r="Y310" s="37">
        <f t="shared" si="51"/>
        <v>1.0705239411989424E-3</v>
      </c>
      <c r="Z310" s="37">
        <f t="shared" si="53"/>
        <v>-6.8396070856830375</v>
      </c>
      <c r="AA310" s="149">
        <f t="shared" si="52"/>
        <v>-7.3219631336176177E-3</v>
      </c>
      <c r="AB310" s="37"/>
      <c r="AC310" s="98"/>
      <c r="AD310" s="99"/>
      <c r="AE310" s="99"/>
    </row>
    <row r="311" spans="1:31" customFormat="1" ht="20.25" customHeight="1">
      <c r="A311" s="72">
        <v>41912</v>
      </c>
      <c r="B311" s="76">
        <v>5</v>
      </c>
      <c r="C311" s="36" t="s">
        <v>288</v>
      </c>
      <c r="D311" s="36" t="s">
        <v>289</v>
      </c>
      <c r="E311" s="36"/>
      <c r="F311" s="36"/>
      <c r="G311" s="36"/>
      <c r="H311" s="36"/>
      <c r="I311" s="36"/>
      <c r="J311" s="36">
        <v>4</v>
      </c>
      <c r="K311" s="36" t="s">
        <v>221</v>
      </c>
      <c r="L311" s="36" t="s">
        <v>294</v>
      </c>
      <c r="M311" s="36">
        <v>176</v>
      </c>
      <c r="N311" s="36">
        <f t="shared" si="47"/>
        <v>2.2727272727272729</v>
      </c>
      <c r="O311" s="36">
        <v>11.204481792717086</v>
      </c>
      <c r="P311" s="40">
        <f t="shared" si="48"/>
        <v>0.25464731347084285</v>
      </c>
      <c r="Q311" s="36">
        <v>5708.9199859048103</v>
      </c>
      <c r="R311" s="40">
        <f t="shared" si="49"/>
        <v>4.4605164216622601E-3</v>
      </c>
      <c r="S311" s="36">
        <v>1000</v>
      </c>
      <c r="T311" s="36">
        <v>1000</v>
      </c>
      <c r="U311" s="36"/>
      <c r="V311" s="36"/>
      <c r="W311" s="36"/>
      <c r="X311" s="36"/>
      <c r="Y311" s="37">
        <f t="shared" si="51"/>
        <v>4.4605164216622604E-5</v>
      </c>
      <c r="Z311" s="37">
        <f t="shared" si="53"/>
        <v>-10.017660916030984</v>
      </c>
      <c r="AA311" s="149">
        <f t="shared" si="52"/>
        <v>-4.4683941022600403E-4</v>
      </c>
      <c r="AB311" s="37"/>
      <c r="AC311" s="98"/>
      <c r="AD311" s="99"/>
      <c r="AE311" s="99"/>
    </row>
    <row r="312" spans="1:31" s="33" customFormat="1" ht="20.25" customHeight="1">
      <c r="A312" s="35">
        <v>41912</v>
      </c>
      <c r="B312" s="76">
        <v>5</v>
      </c>
      <c r="C312" s="36" t="s">
        <v>223</v>
      </c>
      <c r="D312" s="36" t="s">
        <v>267</v>
      </c>
      <c r="E312" s="36" t="s">
        <v>278</v>
      </c>
      <c r="F312" s="36" t="s">
        <v>279</v>
      </c>
      <c r="G312" s="36" t="s">
        <v>280</v>
      </c>
      <c r="H312" s="36" t="s">
        <v>284</v>
      </c>
      <c r="I312" s="36" t="s">
        <v>285</v>
      </c>
      <c r="J312" s="36">
        <v>52</v>
      </c>
      <c r="K312" s="36" t="s">
        <v>247</v>
      </c>
      <c r="L312" s="36" t="s">
        <v>283</v>
      </c>
      <c r="M312" s="36">
        <v>176</v>
      </c>
      <c r="N312" s="36">
        <f t="shared" si="47"/>
        <v>29.545454545454547</v>
      </c>
      <c r="O312" s="36">
        <v>11.204481792717086</v>
      </c>
      <c r="P312" s="40">
        <f t="shared" si="48"/>
        <v>3.3104150751209573</v>
      </c>
      <c r="Q312" s="36">
        <v>5708.9199859048103</v>
      </c>
      <c r="R312" s="40">
        <f t="shared" si="49"/>
        <v>5.7986713481609393E-2</v>
      </c>
      <c r="S312" s="36">
        <v>1000</v>
      </c>
      <c r="T312" s="36">
        <v>1000</v>
      </c>
      <c r="U312" s="36" t="s">
        <v>595</v>
      </c>
      <c r="V312" s="36"/>
      <c r="W312" s="36"/>
      <c r="X312" s="36"/>
      <c r="Y312" s="37">
        <f t="shared" si="51"/>
        <v>5.7986713481609391E-4</v>
      </c>
      <c r="Z312" s="37">
        <f t="shared" si="53"/>
        <v>-7.4527115585694457</v>
      </c>
      <c r="AA312" s="149">
        <f t="shared" si="52"/>
        <v>-4.32158249807845E-3</v>
      </c>
      <c r="AB312" s="37"/>
      <c r="AC312" s="98"/>
      <c r="AD312" s="99"/>
      <c r="AE312" s="99"/>
    </row>
    <row r="313" spans="1:31" s="50" customFormat="1" ht="20.25" customHeight="1">
      <c r="A313" s="35">
        <v>41912</v>
      </c>
      <c r="B313" s="76">
        <v>5</v>
      </c>
      <c r="C313" s="65" t="s">
        <v>223</v>
      </c>
      <c r="D313" s="65" t="s">
        <v>267</v>
      </c>
      <c r="E313" s="65" t="s">
        <v>278</v>
      </c>
      <c r="F313" s="65" t="s">
        <v>279</v>
      </c>
      <c r="G313" s="65" t="s">
        <v>280</v>
      </c>
      <c r="H313" s="36" t="s">
        <v>284</v>
      </c>
      <c r="I313" s="36" t="s">
        <v>285</v>
      </c>
      <c r="J313" s="36">
        <v>1</v>
      </c>
      <c r="K313" s="36" t="s">
        <v>247</v>
      </c>
      <c r="L313" s="36" t="s">
        <v>283</v>
      </c>
      <c r="M313" s="36">
        <v>176</v>
      </c>
      <c r="N313" s="36">
        <f t="shared" ref="N313:N376" si="58">J313/M313*100</f>
        <v>0.56818181818181823</v>
      </c>
      <c r="O313" s="36">
        <v>11.204481792717086</v>
      </c>
      <c r="P313" s="40">
        <f t="shared" ref="P313:P376" si="59">(N313/100)*O313</f>
        <v>6.3661828367710713E-2</v>
      </c>
      <c r="Q313" s="36">
        <v>5708.9199859048103</v>
      </c>
      <c r="R313" s="40">
        <f t="shared" ref="R313:R376" si="60">P313/Q313*100</f>
        <v>1.115129105415565E-3</v>
      </c>
      <c r="S313" s="36">
        <v>1000</v>
      </c>
      <c r="T313" s="36">
        <v>1000</v>
      </c>
      <c r="U313" s="36" t="s">
        <v>596</v>
      </c>
      <c r="V313" s="36"/>
      <c r="W313" s="36"/>
      <c r="X313" s="36"/>
      <c r="Y313" s="37">
        <f t="shared" si="51"/>
        <v>1.1151291054155651E-5</v>
      </c>
      <c r="Z313" s="37">
        <f t="shared" si="53"/>
        <v>-11.403955277150873</v>
      </c>
      <c r="AA313" s="149">
        <f t="shared" si="52"/>
        <v>-1.2716882446408366E-4</v>
      </c>
      <c r="AB313" s="37"/>
      <c r="AC313" s="98"/>
      <c r="AD313" s="99"/>
      <c r="AE313" s="99"/>
    </row>
    <row r="314" spans="1:31" customFormat="1" ht="20.25" customHeight="1">
      <c r="A314" s="35">
        <v>41912</v>
      </c>
      <c r="B314" s="76">
        <v>5</v>
      </c>
      <c r="C314" s="36" t="s">
        <v>223</v>
      </c>
      <c r="D314" s="36" t="s">
        <v>576</v>
      </c>
      <c r="E314" s="36"/>
      <c r="F314" s="36"/>
      <c r="G314" s="36"/>
      <c r="H314" s="36"/>
      <c r="I314" s="36"/>
      <c r="J314" s="36">
        <v>2</v>
      </c>
      <c r="K314" s="36" t="s">
        <v>221</v>
      </c>
      <c r="L314" s="36" t="s">
        <v>577</v>
      </c>
      <c r="M314" s="36">
        <v>176</v>
      </c>
      <c r="N314" s="36">
        <f t="shared" si="58"/>
        <v>1.1363636363636365</v>
      </c>
      <c r="O314" s="36">
        <v>11.204481792717086</v>
      </c>
      <c r="P314" s="40">
        <f t="shared" si="59"/>
        <v>0.12732365673542143</v>
      </c>
      <c r="Q314" s="36">
        <v>5708.9199859048103</v>
      </c>
      <c r="R314" s="40">
        <f t="shared" si="60"/>
        <v>2.2302582108311301E-3</v>
      </c>
      <c r="S314" s="36">
        <v>1000</v>
      </c>
      <c r="T314" s="36">
        <v>1000</v>
      </c>
      <c r="U314" s="36"/>
      <c r="V314" s="36"/>
      <c r="W314" s="36"/>
      <c r="X314" s="36"/>
      <c r="Y314" s="37">
        <f t="shared" si="51"/>
        <v>2.2302582108311302E-5</v>
      </c>
      <c r="Z314" s="37">
        <f t="shared" si="53"/>
        <v>-10.710808096590927</v>
      </c>
      <c r="AA314" s="149">
        <f t="shared" si="52"/>
        <v>-2.3887867702058465E-4</v>
      </c>
      <c r="AB314" s="37"/>
      <c r="AC314" s="98"/>
      <c r="AD314" s="99"/>
      <c r="AE314" s="99"/>
    </row>
    <row r="315" spans="1:31" customFormat="1" ht="20.25" customHeight="1">
      <c r="A315" s="13">
        <v>41912</v>
      </c>
      <c r="B315" s="36">
        <v>5</v>
      </c>
      <c r="C315" s="3" t="s">
        <v>223</v>
      </c>
      <c r="D315" s="3" t="s">
        <v>224</v>
      </c>
      <c r="E315" s="3" t="s">
        <v>225</v>
      </c>
      <c r="F315" s="3" t="s">
        <v>226</v>
      </c>
      <c r="G315" s="3" t="s">
        <v>227</v>
      </c>
      <c r="H315" s="3" t="s">
        <v>228</v>
      </c>
      <c r="I315" s="3"/>
      <c r="J315" s="3">
        <v>64</v>
      </c>
      <c r="K315" s="3" t="s">
        <v>229</v>
      </c>
      <c r="L315" s="3" t="s">
        <v>228</v>
      </c>
      <c r="M315" s="3">
        <v>216</v>
      </c>
      <c r="N315" s="3">
        <f t="shared" si="58"/>
        <v>29.629629629629626</v>
      </c>
      <c r="O315" s="36">
        <v>5697.7155041120923</v>
      </c>
      <c r="P315" s="8">
        <f t="shared" si="59"/>
        <v>1688.2120012183975</v>
      </c>
      <c r="Q315" s="36">
        <v>5708.9199859048103</v>
      </c>
      <c r="R315" s="60">
        <f t="shared" si="60"/>
        <v>29.571477711836096</v>
      </c>
      <c r="S315" s="3">
        <v>250</v>
      </c>
      <c r="T315" s="3">
        <v>250</v>
      </c>
      <c r="U315" s="3" t="s">
        <v>472</v>
      </c>
      <c r="V315" s="3"/>
      <c r="W315" s="36"/>
      <c r="X315" s="36"/>
      <c r="Y315" s="37">
        <f t="shared" si="51"/>
        <v>0.29571477711836097</v>
      </c>
      <c r="Z315" s="37">
        <f t="shared" si="53"/>
        <v>-1.2183598800265047</v>
      </c>
      <c r="AA315" s="149">
        <f t="shared" si="52"/>
        <v>-0.36028702037199084</v>
      </c>
      <c r="AB315" s="37"/>
      <c r="AC315" s="98"/>
      <c r="AD315" s="99"/>
      <c r="AE315" s="99"/>
    </row>
    <row r="316" spans="1:31" customFormat="1" ht="20.25" customHeight="1">
      <c r="A316" s="13">
        <v>41912</v>
      </c>
      <c r="B316" s="36">
        <v>5</v>
      </c>
      <c r="C316" s="3" t="s">
        <v>223</v>
      </c>
      <c r="D316" s="3" t="s">
        <v>303</v>
      </c>
      <c r="E316" s="3" t="s">
        <v>304</v>
      </c>
      <c r="F316" s="3" t="s">
        <v>305</v>
      </c>
      <c r="G316" s="3" t="s">
        <v>306</v>
      </c>
      <c r="H316" s="3" t="s">
        <v>307</v>
      </c>
      <c r="I316" s="3"/>
      <c r="J316" s="3">
        <v>25</v>
      </c>
      <c r="K316" s="3" t="s">
        <v>229</v>
      </c>
      <c r="L316" s="3" t="s">
        <v>307</v>
      </c>
      <c r="M316" s="3">
        <v>216</v>
      </c>
      <c r="N316" s="3">
        <f t="shared" si="58"/>
        <v>11.574074074074074</v>
      </c>
      <c r="O316" s="36">
        <v>5697.7155041120923</v>
      </c>
      <c r="P316" s="8">
        <f t="shared" si="59"/>
        <v>659.45781297593658</v>
      </c>
      <c r="Q316" s="36">
        <v>5708.9199859048103</v>
      </c>
      <c r="R316" s="60">
        <f t="shared" si="60"/>
        <v>11.551358481185977</v>
      </c>
      <c r="S316" s="3">
        <v>250</v>
      </c>
      <c r="T316" s="3">
        <v>250</v>
      </c>
      <c r="U316" s="36" t="s">
        <v>308</v>
      </c>
      <c r="V316" s="3"/>
      <c r="W316" s="36"/>
      <c r="X316" s="36"/>
      <c r="Y316" s="37">
        <f t="shared" si="51"/>
        <v>0.11551358481185976</v>
      </c>
      <c r="Z316" s="37">
        <f t="shared" si="53"/>
        <v>-2.1583671385179759</v>
      </c>
      <c r="AA316" s="149">
        <f t="shared" si="52"/>
        <v>-0.24932072551032727</v>
      </c>
      <c r="AB316" s="37"/>
      <c r="AC316" s="98"/>
      <c r="AD316" s="99"/>
      <c r="AE316" s="99"/>
    </row>
    <row r="317" spans="1:31" customFormat="1" ht="20.25" customHeight="1">
      <c r="A317" s="13">
        <v>41912</v>
      </c>
      <c r="B317" s="36">
        <v>5</v>
      </c>
      <c r="C317" s="3" t="s">
        <v>223</v>
      </c>
      <c r="D317" s="3" t="s">
        <v>303</v>
      </c>
      <c r="E317" s="3" t="s">
        <v>304</v>
      </c>
      <c r="F317" s="3" t="s">
        <v>305</v>
      </c>
      <c r="G317" s="3" t="s">
        <v>306</v>
      </c>
      <c r="H317" s="3" t="s">
        <v>307</v>
      </c>
      <c r="I317" s="3"/>
      <c r="J317" s="3">
        <v>15</v>
      </c>
      <c r="K317" s="3" t="s">
        <v>229</v>
      </c>
      <c r="L317" s="3" t="s">
        <v>307</v>
      </c>
      <c r="M317" s="3">
        <v>216</v>
      </c>
      <c r="N317" s="3">
        <f t="shared" si="58"/>
        <v>6.9444444444444446</v>
      </c>
      <c r="O317" s="36">
        <v>5697.7155041120923</v>
      </c>
      <c r="P317" s="8">
        <f t="shared" si="59"/>
        <v>395.67468778556196</v>
      </c>
      <c r="Q317" s="36">
        <v>5708.9199859048103</v>
      </c>
      <c r="R317" s="60">
        <f t="shared" si="60"/>
        <v>6.9308150887115865</v>
      </c>
      <c r="S317" s="36">
        <v>250</v>
      </c>
      <c r="T317" s="36">
        <v>250</v>
      </c>
      <c r="U317" s="36" t="s">
        <v>620</v>
      </c>
      <c r="V317" s="3"/>
      <c r="W317" s="36"/>
      <c r="X317" s="36"/>
      <c r="Y317" s="37">
        <f t="shared" si="51"/>
        <v>6.9308150887115866E-2</v>
      </c>
      <c r="Z317" s="37">
        <f t="shared" si="53"/>
        <v>-2.6691927622839664</v>
      </c>
      <c r="AA317" s="149">
        <f t="shared" si="52"/>
        <v>-0.18499681471517473</v>
      </c>
      <c r="AB317" s="37"/>
      <c r="AC317" s="98"/>
      <c r="AD317" s="99"/>
      <c r="AE317" s="99"/>
    </row>
    <row r="318" spans="1:31" customFormat="1" ht="20.25" customHeight="1">
      <c r="A318" s="13">
        <v>41912</v>
      </c>
      <c r="B318" s="36">
        <v>5</v>
      </c>
      <c r="C318" s="51" t="s">
        <v>223</v>
      </c>
      <c r="D318" s="51" t="s">
        <v>224</v>
      </c>
      <c r="E318" s="51" t="s">
        <v>225</v>
      </c>
      <c r="F318" s="51" t="s">
        <v>226</v>
      </c>
      <c r="G318" s="51" t="s">
        <v>235</v>
      </c>
      <c r="H318" s="3" t="s">
        <v>236</v>
      </c>
      <c r="I318" s="3"/>
      <c r="J318" s="3">
        <v>16</v>
      </c>
      <c r="K318" s="3" t="s">
        <v>229</v>
      </c>
      <c r="L318" s="3" t="s">
        <v>236</v>
      </c>
      <c r="M318" s="3">
        <v>216</v>
      </c>
      <c r="N318" s="3">
        <f t="shared" si="58"/>
        <v>7.4074074074074066</v>
      </c>
      <c r="O318" s="36">
        <v>5697.7155041120923</v>
      </c>
      <c r="P318" s="8">
        <f t="shared" si="59"/>
        <v>422.05300030459938</v>
      </c>
      <c r="Q318" s="36">
        <v>5708.9199859048103</v>
      </c>
      <c r="R318" s="60">
        <f t="shared" si="60"/>
        <v>7.3928694279590239</v>
      </c>
      <c r="S318" s="3">
        <v>250</v>
      </c>
      <c r="T318" s="3">
        <v>250</v>
      </c>
      <c r="U318" s="3"/>
      <c r="V318" s="3"/>
      <c r="W318" s="36"/>
      <c r="X318" s="36"/>
      <c r="Y318" s="37">
        <f t="shared" si="51"/>
        <v>7.3928694279590243E-2</v>
      </c>
      <c r="Z318" s="37">
        <f t="shared" si="53"/>
        <v>-2.6046542411463953</v>
      </c>
      <c r="AA318" s="149">
        <f t="shared" si="52"/>
        <v>-0.19255868709774998</v>
      </c>
      <c r="AB318" s="37"/>
      <c r="AC318" s="98"/>
      <c r="AD318" s="99"/>
      <c r="AE318" s="99"/>
    </row>
    <row r="319" spans="1:31" customFormat="1" ht="20.25" customHeight="1">
      <c r="A319" s="13">
        <v>41912</v>
      </c>
      <c r="B319" s="36">
        <v>5</v>
      </c>
      <c r="C319" s="51" t="s">
        <v>223</v>
      </c>
      <c r="D319" s="51" t="s">
        <v>310</v>
      </c>
      <c r="E319" s="51" t="s">
        <v>314</v>
      </c>
      <c r="F319" s="51" t="s">
        <v>311</v>
      </c>
      <c r="G319" s="51" t="s">
        <v>315</v>
      </c>
      <c r="H319" s="3" t="s">
        <v>316</v>
      </c>
      <c r="I319" s="3"/>
      <c r="J319" s="3">
        <v>1</v>
      </c>
      <c r="K319" s="36" t="s">
        <v>229</v>
      </c>
      <c r="L319" s="3" t="s">
        <v>345</v>
      </c>
      <c r="M319" s="3">
        <v>216</v>
      </c>
      <c r="N319" s="3">
        <f t="shared" si="58"/>
        <v>0.46296296296296291</v>
      </c>
      <c r="O319" s="36">
        <v>5697.7155041120923</v>
      </c>
      <c r="P319" s="8">
        <f t="shared" si="59"/>
        <v>26.378312519037461</v>
      </c>
      <c r="Q319" s="36">
        <v>5708.9199859048103</v>
      </c>
      <c r="R319" s="60">
        <f t="shared" si="60"/>
        <v>0.46205433924743899</v>
      </c>
      <c r="S319" s="3">
        <v>250</v>
      </c>
      <c r="T319" s="3">
        <v>250</v>
      </c>
      <c r="U319" s="3"/>
      <c r="V319" s="3"/>
      <c r="W319" s="36"/>
      <c r="X319" s="36"/>
      <c r="Y319" s="37">
        <f t="shared" si="51"/>
        <v>4.6205433924743902E-3</v>
      </c>
      <c r="Z319" s="37">
        <f t="shared" si="53"/>
        <v>-5.3772429633861769</v>
      </c>
      <c r="AA319" s="149">
        <f t="shared" si="52"/>
        <v>-2.4845784444203409E-2</v>
      </c>
      <c r="AB319" s="37"/>
      <c r="AC319" s="98"/>
      <c r="AD319" s="99"/>
      <c r="AE319" s="99"/>
    </row>
    <row r="320" spans="1:31" customFormat="1" ht="20.25" customHeight="1">
      <c r="A320" s="13">
        <v>41912</v>
      </c>
      <c r="B320" s="36">
        <v>5</v>
      </c>
      <c r="C320" s="51" t="s">
        <v>223</v>
      </c>
      <c r="D320" s="51" t="s">
        <v>310</v>
      </c>
      <c r="E320" s="51" t="s">
        <v>314</v>
      </c>
      <c r="F320" s="51" t="s">
        <v>311</v>
      </c>
      <c r="G320" s="51" t="s">
        <v>315</v>
      </c>
      <c r="H320" s="3" t="s">
        <v>347</v>
      </c>
      <c r="I320" s="3"/>
      <c r="J320" s="3">
        <v>3</v>
      </c>
      <c r="K320" s="36" t="s">
        <v>229</v>
      </c>
      <c r="L320" s="3" t="s">
        <v>345</v>
      </c>
      <c r="M320" s="3">
        <v>216</v>
      </c>
      <c r="N320" s="3">
        <f t="shared" si="58"/>
        <v>1.3888888888888888</v>
      </c>
      <c r="O320" s="36">
        <v>5697.7155041120923</v>
      </c>
      <c r="P320" s="8">
        <f t="shared" si="59"/>
        <v>79.134937557112394</v>
      </c>
      <c r="Q320" s="36">
        <v>5708.9199859048103</v>
      </c>
      <c r="R320" s="60">
        <f t="shared" si="60"/>
        <v>1.3861630177423172</v>
      </c>
      <c r="S320" s="36">
        <v>250</v>
      </c>
      <c r="T320" s="36">
        <v>250</v>
      </c>
      <c r="U320" s="3"/>
      <c r="V320" s="3"/>
      <c r="W320" s="36"/>
      <c r="X320" s="36"/>
      <c r="Y320" s="37">
        <f t="shared" si="51"/>
        <v>1.3861630177423171E-2</v>
      </c>
      <c r="Z320" s="37">
        <f t="shared" si="53"/>
        <v>-4.2786306747180669</v>
      </c>
      <c r="AA320" s="149">
        <f t="shared" si="52"/>
        <v>-5.9308796078720423E-2</v>
      </c>
      <c r="AB320" s="37"/>
      <c r="AC320" s="98"/>
      <c r="AD320" s="99"/>
      <c r="AE320" s="99"/>
    </row>
    <row r="321" spans="1:31" customFormat="1" ht="20.25" customHeight="1">
      <c r="A321" s="13">
        <v>41912</v>
      </c>
      <c r="B321" s="36">
        <v>5</v>
      </c>
      <c r="C321" s="65" t="s">
        <v>223</v>
      </c>
      <c r="D321" s="36" t="s">
        <v>224</v>
      </c>
      <c r="E321" s="36" t="s">
        <v>225</v>
      </c>
      <c r="F321" s="65" t="s">
        <v>226</v>
      </c>
      <c r="G321" s="65" t="s">
        <v>239</v>
      </c>
      <c r="H321" s="65" t="s">
        <v>240</v>
      </c>
      <c r="I321" s="3"/>
      <c r="J321" s="3">
        <v>60</v>
      </c>
      <c r="K321" s="3" t="s">
        <v>229</v>
      </c>
      <c r="L321" s="3" t="s">
        <v>240</v>
      </c>
      <c r="M321" s="3">
        <v>216</v>
      </c>
      <c r="N321" s="3">
        <f t="shared" si="58"/>
        <v>27.777777777777779</v>
      </c>
      <c r="O321" s="36">
        <v>5697.7155041120923</v>
      </c>
      <c r="P321" s="8">
        <f t="shared" si="59"/>
        <v>1582.6987511422478</v>
      </c>
      <c r="Q321" s="36">
        <v>5708.9199859048103</v>
      </c>
      <c r="R321" s="60">
        <f t="shared" si="60"/>
        <v>27.723260354846346</v>
      </c>
      <c r="S321" s="36">
        <v>250</v>
      </c>
      <c r="T321" s="36">
        <v>250</v>
      </c>
      <c r="U321" s="3"/>
      <c r="V321" s="3"/>
      <c r="W321" s="36"/>
      <c r="X321" s="36"/>
      <c r="Y321" s="37">
        <f t="shared" ref="Y321:Y384" si="61">(R321/100)</f>
        <v>0.27723260354846346</v>
      </c>
      <c r="Z321" s="37">
        <f t="shared" si="53"/>
        <v>-1.2828984011640758</v>
      </c>
      <c r="AA321" s="149">
        <f t="shared" ref="AA321:AA384" si="62">(Y321*Z321)</f>
        <v>-0.35566126384287788</v>
      </c>
      <c r="AB321" s="37"/>
      <c r="AC321" s="98"/>
      <c r="AD321" s="99"/>
      <c r="AE321" s="99"/>
    </row>
    <row r="322" spans="1:31" customFormat="1" ht="20.25" customHeight="1">
      <c r="A322" s="13">
        <v>41912</v>
      </c>
      <c r="B322" s="36">
        <v>5</v>
      </c>
      <c r="C322" s="36" t="s">
        <v>323</v>
      </c>
      <c r="D322" s="36" t="s">
        <v>489</v>
      </c>
      <c r="E322" s="36"/>
      <c r="F322" s="36" t="s">
        <v>490</v>
      </c>
      <c r="G322" s="36" t="s">
        <v>491</v>
      </c>
      <c r="H322" s="36" t="s">
        <v>371</v>
      </c>
      <c r="I322" s="3" t="s">
        <v>372</v>
      </c>
      <c r="J322" s="3">
        <v>2</v>
      </c>
      <c r="K322" s="3" t="s">
        <v>247</v>
      </c>
      <c r="L322" s="3" t="s">
        <v>371</v>
      </c>
      <c r="M322" s="3">
        <v>216</v>
      </c>
      <c r="N322" s="3">
        <f t="shared" si="58"/>
        <v>0.92592592592592582</v>
      </c>
      <c r="O322" s="36">
        <v>5697.7155041120923</v>
      </c>
      <c r="P322" s="8">
        <f t="shared" si="59"/>
        <v>52.756625038074922</v>
      </c>
      <c r="Q322" s="36">
        <v>5708.9199859048103</v>
      </c>
      <c r="R322" s="60">
        <f t="shared" si="60"/>
        <v>0.92410867849487799</v>
      </c>
      <c r="S322" s="3">
        <v>250</v>
      </c>
      <c r="T322" s="3">
        <v>250</v>
      </c>
      <c r="U322" s="3"/>
      <c r="V322" s="3"/>
      <c r="W322" s="3"/>
      <c r="X322" s="3"/>
      <c r="Y322" s="37">
        <f t="shared" si="61"/>
        <v>9.2410867849487804E-3</v>
      </c>
      <c r="Z322" s="37">
        <f t="shared" si="53"/>
        <v>-4.6840957828262315</v>
      </c>
      <c r="AA322" s="149">
        <f t="shared" si="62"/>
        <v>-4.3286135638109798E-2</v>
      </c>
      <c r="AB322" s="37"/>
      <c r="AC322" s="98"/>
      <c r="AD322" s="99"/>
      <c r="AE322" s="99"/>
    </row>
    <row r="323" spans="1:31" customFormat="1" ht="20.25" customHeight="1">
      <c r="A323" s="13">
        <v>41912</v>
      </c>
      <c r="B323" s="36">
        <v>5</v>
      </c>
      <c r="C323" s="3" t="s">
        <v>223</v>
      </c>
      <c r="D323" s="3" t="s">
        <v>224</v>
      </c>
      <c r="E323" s="3" t="s">
        <v>225</v>
      </c>
      <c r="F323" s="3" t="s">
        <v>248</v>
      </c>
      <c r="G323" s="3" t="s">
        <v>249</v>
      </c>
      <c r="H323" s="3" t="s">
        <v>250</v>
      </c>
      <c r="I323" s="3"/>
      <c r="J323" s="3">
        <v>1</v>
      </c>
      <c r="K323" s="3" t="s">
        <v>229</v>
      </c>
      <c r="L323" s="3" t="s">
        <v>250</v>
      </c>
      <c r="M323" s="3">
        <v>216</v>
      </c>
      <c r="N323" s="3">
        <f t="shared" si="58"/>
        <v>0.46296296296296291</v>
      </c>
      <c r="O323" s="36">
        <v>5697.7155041120923</v>
      </c>
      <c r="P323" s="8">
        <f t="shared" si="59"/>
        <v>26.378312519037461</v>
      </c>
      <c r="Q323" s="36">
        <v>5708.9199859048103</v>
      </c>
      <c r="R323" s="60">
        <f t="shared" si="60"/>
        <v>0.46205433924743899</v>
      </c>
      <c r="S323" s="36">
        <v>250</v>
      </c>
      <c r="T323" s="36">
        <v>250</v>
      </c>
      <c r="U323" s="3"/>
      <c r="V323" s="3"/>
      <c r="W323" s="3"/>
      <c r="X323" s="3"/>
      <c r="Y323" s="37">
        <f t="shared" si="61"/>
        <v>4.6205433924743902E-3</v>
      </c>
      <c r="Z323" s="37">
        <f t="shared" ref="Z323:Z386" si="63">LN(Y323)</f>
        <v>-5.3772429633861769</v>
      </c>
      <c r="AA323" s="149">
        <f t="shared" si="62"/>
        <v>-2.4845784444203409E-2</v>
      </c>
      <c r="AB323" s="37"/>
      <c r="AC323" s="98"/>
      <c r="AD323" s="99"/>
      <c r="AE323" s="99"/>
    </row>
    <row r="324" spans="1:31" customFormat="1" ht="20.25" customHeight="1">
      <c r="A324" s="13">
        <v>41912</v>
      </c>
      <c r="B324" s="36">
        <v>5</v>
      </c>
      <c r="C324" s="51" t="s">
        <v>216</v>
      </c>
      <c r="D324" s="51" t="s">
        <v>217</v>
      </c>
      <c r="E324" s="51"/>
      <c r="F324" s="51"/>
      <c r="G324" s="51"/>
      <c r="H324" s="3" t="s">
        <v>219</v>
      </c>
      <c r="I324" s="3"/>
      <c r="J324" s="3">
        <v>2</v>
      </c>
      <c r="K324" s="36" t="s">
        <v>229</v>
      </c>
      <c r="L324" s="3" t="s">
        <v>219</v>
      </c>
      <c r="M324" s="3">
        <v>216</v>
      </c>
      <c r="N324" s="3">
        <f t="shared" si="58"/>
        <v>0.92592592592592582</v>
      </c>
      <c r="O324" s="36">
        <v>5697.7155041120923</v>
      </c>
      <c r="P324" s="8">
        <f t="shared" si="59"/>
        <v>52.756625038074922</v>
      </c>
      <c r="Q324" s="65">
        <v>5708.9199859048103</v>
      </c>
      <c r="R324" s="60">
        <f t="shared" si="60"/>
        <v>0.92410867849487799</v>
      </c>
      <c r="S324" s="3">
        <v>250</v>
      </c>
      <c r="T324" s="3">
        <v>250</v>
      </c>
      <c r="U324" s="3"/>
      <c r="V324" s="3"/>
      <c r="W324" s="67"/>
      <c r="X324" s="3"/>
      <c r="Y324" s="37">
        <f t="shared" si="61"/>
        <v>9.2410867849487804E-3</v>
      </c>
      <c r="Z324" s="37">
        <f t="shared" si="63"/>
        <v>-4.6840957828262315</v>
      </c>
      <c r="AA324" s="149">
        <f t="shared" si="62"/>
        <v>-4.3286135638109798E-2</v>
      </c>
      <c r="AB324" s="37"/>
      <c r="AC324" s="98"/>
      <c r="AD324" s="99"/>
      <c r="AE324" s="99"/>
    </row>
    <row r="325" spans="1:31" s="33" customFormat="1" ht="20.25" customHeight="1">
      <c r="A325" s="13">
        <v>41912</v>
      </c>
      <c r="B325" s="36">
        <v>5</v>
      </c>
      <c r="C325" s="53" t="s">
        <v>223</v>
      </c>
      <c r="D325" s="65" t="s">
        <v>224</v>
      </c>
      <c r="E325" s="65" t="s">
        <v>225</v>
      </c>
      <c r="F325" s="53" t="s">
        <v>226</v>
      </c>
      <c r="G325" s="53" t="s">
        <v>253</v>
      </c>
      <c r="H325" s="53" t="s">
        <v>256</v>
      </c>
      <c r="I325" s="3"/>
      <c r="J325" s="3">
        <v>17</v>
      </c>
      <c r="K325" s="3" t="s">
        <v>229</v>
      </c>
      <c r="L325" s="3" t="s">
        <v>256</v>
      </c>
      <c r="M325" s="3">
        <v>216</v>
      </c>
      <c r="N325" s="3">
        <f t="shared" si="58"/>
        <v>7.8703703703703702</v>
      </c>
      <c r="O325" s="36">
        <v>5697.7155041120923</v>
      </c>
      <c r="P325" s="8">
        <f t="shared" si="59"/>
        <v>448.43131282363692</v>
      </c>
      <c r="Q325" s="65">
        <v>5708.9199859048103</v>
      </c>
      <c r="R325" s="60">
        <f t="shared" si="60"/>
        <v>7.8549237672064649</v>
      </c>
      <c r="S325" s="36">
        <v>250</v>
      </c>
      <c r="T325" s="36">
        <v>250</v>
      </c>
      <c r="U325" s="3"/>
      <c r="V325" s="3"/>
      <c r="W325" s="3"/>
      <c r="X325" s="32"/>
      <c r="Y325" s="37">
        <f t="shared" si="61"/>
        <v>7.8549237672064648E-2</v>
      </c>
      <c r="Z325" s="37">
        <f t="shared" si="63"/>
        <v>-2.5440296193299603</v>
      </c>
      <c r="AA325" s="149">
        <f t="shared" si="62"/>
        <v>-0.19983158721352121</v>
      </c>
      <c r="AB325" s="37"/>
      <c r="AC325" s="98"/>
      <c r="AD325" s="99"/>
      <c r="AE325" s="99"/>
    </row>
    <row r="326" spans="1:31" customFormat="1" ht="20.25" customHeight="1">
      <c r="A326" s="13">
        <v>41912</v>
      </c>
      <c r="B326" s="36">
        <v>5</v>
      </c>
      <c r="C326" s="51" t="s">
        <v>223</v>
      </c>
      <c r="D326" s="3" t="s">
        <v>224</v>
      </c>
      <c r="E326" s="3" t="s">
        <v>225</v>
      </c>
      <c r="F326" s="51" t="s">
        <v>226</v>
      </c>
      <c r="G326" s="51" t="s">
        <v>239</v>
      </c>
      <c r="H326" s="51" t="s">
        <v>258</v>
      </c>
      <c r="I326" s="3" t="s">
        <v>259</v>
      </c>
      <c r="J326" s="3">
        <v>9</v>
      </c>
      <c r="K326" s="3" t="s">
        <v>247</v>
      </c>
      <c r="L326" s="3" t="s">
        <v>258</v>
      </c>
      <c r="M326" s="3">
        <v>216</v>
      </c>
      <c r="N326" s="3">
        <f t="shared" si="58"/>
        <v>4.1666666666666661</v>
      </c>
      <c r="O326" s="36">
        <v>5697.7155041120923</v>
      </c>
      <c r="P326" s="8">
        <f t="shared" si="59"/>
        <v>237.40481267133711</v>
      </c>
      <c r="Q326" s="65">
        <v>5708.9199859048103</v>
      </c>
      <c r="R326" s="60">
        <f t="shared" si="60"/>
        <v>4.1584890532269503</v>
      </c>
      <c r="S326" s="36">
        <v>250</v>
      </c>
      <c r="T326" s="36">
        <v>250</v>
      </c>
      <c r="U326" s="3"/>
      <c r="V326" s="3"/>
      <c r="W326" s="3"/>
      <c r="X326" s="3"/>
      <c r="Y326" s="37">
        <f t="shared" si="61"/>
        <v>4.1584890532269506E-2</v>
      </c>
      <c r="Z326" s="37">
        <f t="shared" si="63"/>
        <v>-3.1800183860499573</v>
      </c>
      <c r="AA326" s="149">
        <f t="shared" si="62"/>
        <v>-0.13224071647449182</v>
      </c>
      <c r="AB326" s="37"/>
      <c r="AC326" s="98"/>
      <c r="AD326" s="99"/>
      <c r="AE326" s="99"/>
    </row>
    <row r="327" spans="1:31" customFormat="1" ht="20.25" customHeight="1">
      <c r="A327" s="13">
        <v>41912</v>
      </c>
      <c r="B327" s="65">
        <v>5</v>
      </c>
      <c r="C327" s="36" t="s">
        <v>223</v>
      </c>
      <c r="D327" s="36" t="s">
        <v>224</v>
      </c>
      <c r="E327" s="36" t="s">
        <v>225</v>
      </c>
      <c r="F327" s="36" t="s">
        <v>226</v>
      </c>
      <c r="G327" s="36" t="s">
        <v>261</v>
      </c>
      <c r="H327" s="36" t="s">
        <v>262</v>
      </c>
      <c r="I327" s="3"/>
      <c r="J327" s="3">
        <v>1</v>
      </c>
      <c r="K327" s="3" t="s">
        <v>229</v>
      </c>
      <c r="L327" s="3" t="s">
        <v>264</v>
      </c>
      <c r="M327" s="3">
        <v>216</v>
      </c>
      <c r="N327" s="3">
        <f t="shared" si="58"/>
        <v>0.46296296296296291</v>
      </c>
      <c r="O327" s="36">
        <v>5697.7155041120923</v>
      </c>
      <c r="P327" s="8">
        <f t="shared" si="59"/>
        <v>26.378312519037461</v>
      </c>
      <c r="Q327" s="65">
        <v>5708.9199859048103</v>
      </c>
      <c r="R327" s="60">
        <f t="shared" si="60"/>
        <v>0.46205433924743899</v>
      </c>
      <c r="S327" s="3">
        <v>250</v>
      </c>
      <c r="T327" s="3">
        <v>250</v>
      </c>
      <c r="U327" s="3"/>
      <c r="V327" s="3"/>
      <c r="W327" s="3"/>
      <c r="X327" s="3"/>
      <c r="Y327" s="37">
        <f t="shared" si="61"/>
        <v>4.6205433924743902E-3</v>
      </c>
      <c r="Z327" s="37">
        <f t="shared" si="63"/>
        <v>-5.3772429633861769</v>
      </c>
      <c r="AA327" s="149">
        <f t="shared" si="62"/>
        <v>-2.4845784444203409E-2</v>
      </c>
      <c r="AB327" s="37"/>
      <c r="AC327" s="98"/>
      <c r="AD327" s="99"/>
      <c r="AE327" s="99"/>
    </row>
    <row r="328" spans="1:31" customFormat="1" ht="20.25" customHeight="1">
      <c r="A328" s="35">
        <v>41912</v>
      </c>
      <c r="B328" s="76">
        <v>4</v>
      </c>
      <c r="C328" s="36" t="s">
        <v>223</v>
      </c>
      <c r="D328" s="36" t="s">
        <v>267</v>
      </c>
      <c r="E328" s="36"/>
      <c r="F328" s="36" t="s">
        <v>273</v>
      </c>
      <c r="G328" s="36" t="s">
        <v>274</v>
      </c>
      <c r="H328" s="36" t="s">
        <v>275</v>
      </c>
      <c r="I328" s="36" t="s">
        <v>276</v>
      </c>
      <c r="J328" s="36">
        <v>4</v>
      </c>
      <c r="K328" s="36" t="s">
        <v>247</v>
      </c>
      <c r="L328" s="36" t="s">
        <v>275</v>
      </c>
      <c r="M328" s="36">
        <v>108</v>
      </c>
      <c r="N328" s="36">
        <f t="shared" si="58"/>
        <v>3.7037037037037033</v>
      </c>
      <c r="O328" s="65">
        <v>9.5198918728330497</v>
      </c>
      <c r="P328" s="40">
        <f t="shared" si="59"/>
        <v>0.35258858788270553</v>
      </c>
      <c r="Q328" s="36">
        <v>4753.4861740378728</v>
      </c>
      <c r="R328" s="40">
        <f t="shared" si="60"/>
        <v>7.4174737229370617E-3</v>
      </c>
      <c r="S328" s="36">
        <v>1000</v>
      </c>
      <c r="T328" s="36">
        <v>1000</v>
      </c>
      <c r="U328" s="36" t="s">
        <v>580</v>
      </c>
      <c r="V328" s="36"/>
      <c r="W328" s="3"/>
      <c r="X328" s="3"/>
      <c r="Y328" s="37">
        <f t="shared" si="61"/>
        <v>7.4174737229370621E-5</v>
      </c>
      <c r="Z328" s="37">
        <f t="shared" si="63"/>
        <v>-9.5090869343703996</v>
      </c>
      <c r="AA328" s="149">
        <f t="shared" si="62"/>
        <v>-7.0533402464816584E-4</v>
      </c>
      <c r="AB328" s="37">
        <f>SUM(AA328:AA342)*-1</f>
        <v>1.4294336880492673</v>
      </c>
      <c r="AC328" s="98">
        <v>14</v>
      </c>
      <c r="AD328" s="98">
        <f t="shared" ref="AD328" si="64">LN(AC328)</f>
        <v>2.6390573296152584</v>
      </c>
      <c r="AE328" s="98">
        <f>(AB328/AD328)</f>
        <v>0.54164556109042949</v>
      </c>
    </row>
    <row r="329" spans="1:31" customFormat="1" ht="20.25" customHeight="1">
      <c r="A329" s="72">
        <v>41912</v>
      </c>
      <c r="B329" s="76">
        <v>4</v>
      </c>
      <c r="C329" s="65" t="s">
        <v>288</v>
      </c>
      <c r="D329" s="65" t="s">
        <v>289</v>
      </c>
      <c r="E329" s="65"/>
      <c r="F329" s="65"/>
      <c r="G329" s="65"/>
      <c r="H329" s="36"/>
      <c r="I329" s="36"/>
      <c r="J329" s="36">
        <v>6</v>
      </c>
      <c r="K329" s="36" t="s">
        <v>221</v>
      </c>
      <c r="L329" s="36" t="s">
        <v>294</v>
      </c>
      <c r="M329" s="36">
        <v>108</v>
      </c>
      <c r="N329" s="36">
        <f t="shared" si="58"/>
        <v>5.5555555555555554</v>
      </c>
      <c r="O329" s="65">
        <v>9.5198918728330497</v>
      </c>
      <c r="P329" s="40">
        <f t="shared" si="59"/>
        <v>0.52888288182405829</v>
      </c>
      <c r="Q329" s="65">
        <v>4753.4861740378728</v>
      </c>
      <c r="R329" s="40">
        <f t="shared" si="60"/>
        <v>1.1126210584405594E-2</v>
      </c>
      <c r="S329" s="36">
        <v>1000</v>
      </c>
      <c r="T329" s="36">
        <v>1000</v>
      </c>
      <c r="U329" s="36"/>
      <c r="V329" s="36"/>
      <c r="W329" s="3"/>
      <c r="X329" s="3"/>
      <c r="Y329" s="37">
        <f t="shared" si="61"/>
        <v>1.1126210584405594E-4</v>
      </c>
      <c r="Z329" s="37">
        <f t="shared" si="63"/>
        <v>-9.1036218262622342</v>
      </c>
      <c r="AA329" s="149">
        <f t="shared" si="62"/>
        <v>-1.0128881351978466E-3</v>
      </c>
      <c r="AB329" s="37"/>
      <c r="AC329" s="98"/>
      <c r="AD329" s="99"/>
      <c r="AE329" s="99"/>
    </row>
    <row r="330" spans="1:31" customFormat="1" ht="20.25" customHeight="1">
      <c r="A330" s="72">
        <v>41912</v>
      </c>
      <c r="B330" s="76">
        <v>4</v>
      </c>
      <c r="C330" s="65" t="s">
        <v>223</v>
      </c>
      <c r="D330" s="65" t="s">
        <v>267</v>
      </c>
      <c r="E330" s="65"/>
      <c r="F330" s="65" t="s">
        <v>273</v>
      </c>
      <c r="G330" s="65"/>
      <c r="H330" s="36" t="s">
        <v>537</v>
      </c>
      <c r="I330" s="36" t="s">
        <v>538</v>
      </c>
      <c r="J330" s="36">
        <v>1</v>
      </c>
      <c r="K330" s="36" t="s">
        <v>247</v>
      </c>
      <c r="L330" s="36" t="s">
        <v>539</v>
      </c>
      <c r="M330" s="36">
        <v>108</v>
      </c>
      <c r="N330" s="36">
        <f t="shared" si="58"/>
        <v>0.92592592592592582</v>
      </c>
      <c r="O330" s="65">
        <v>9.5198918728330497</v>
      </c>
      <c r="P330" s="40">
        <f t="shared" si="59"/>
        <v>8.8147146970676382E-2</v>
      </c>
      <c r="Q330" s="36">
        <v>4753.4861740378701</v>
      </c>
      <c r="R330" s="40">
        <f t="shared" si="60"/>
        <v>1.8543684307342665E-3</v>
      </c>
      <c r="S330" s="36">
        <v>1000</v>
      </c>
      <c r="T330" s="36">
        <v>1000</v>
      </c>
      <c r="U330" s="36"/>
      <c r="V330" s="36"/>
      <c r="W330" s="32"/>
      <c r="X330" s="3"/>
      <c r="Y330" s="37">
        <f t="shared" si="61"/>
        <v>1.8543684307342665E-5</v>
      </c>
      <c r="Z330" s="37">
        <f t="shared" si="63"/>
        <v>-10.895381295490289</v>
      </c>
      <c r="AA330" s="149">
        <f t="shared" si="62"/>
        <v>-2.0204051115169807E-4</v>
      </c>
      <c r="AB330" s="37"/>
      <c r="AC330" s="98"/>
      <c r="AD330" s="99"/>
      <c r="AE330" s="99"/>
    </row>
    <row r="331" spans="1:31" ht="20.25" customHeight="1">
      <c r="A331" s="72">
        <v>41912</v>
      </c>
      <c r="B331" s="76">
        <v>4</v>
      </c>
      <c r="C331" s="65" t="s">
        <v>223</v>
      </c>
      <c r="D331" s="65" t="s">
        <v>267</v>
      </c>
      <c r="E331" s="65" t="s">
        <v>278</v>
      </c>
      <c r="F331" s="65" t="s">
        <v>279</v>
      </c>
      <c r="G331" s="65" t="s">
        <v>280</v>
      </c>
      <c r="H331" s="36" t="s">
        <v>284</v>
      </c>
      <c r="I331" s="36" t="s">
        <v>285</v>
      </c>
      <c r="J331" s="36">
        <v>93</v>
      </c>
      <c r="K331" s="36" t="s">
        <v>247</v>
      </c>
      <c r="L331" s="36" t="s">
        <v>283</v>
      </c>
      <c r="M331" s="36">
        <v>108</v>
      </c>
      <c r="N331" s="36">
        <f t="shared" si="58"/>
        <v>86.111111111111114</v>
      </c>
      <c r="O331" s="65">
        <v>9.5198918728330497</v>
      </c>
      <c r="P331" s="40">
        <f t="shared" si="59"/>
        <v>8.1976846682729043</v>
      </c>
      <c r="Q331" s="36">
        <v>4753.4861740378701</v>
      </c>
      <c r="R331" s="40">
        <f t="shared" si="60"/>
        <v>0.17245626405828682</v>
      </c>
      <c r="S331" s="36">
        <v>1000</v>
      </c>
      <c r="T331" s="36">
        <v>1000</v>
      </c>
      <c r="U331" s="36"/>
      <c r="V331" s="36"/>
      <c r="W331" s="48"/>
      <c r="X331" s="36"/>
      <c r="Y331" s="37">
        <f t="shared" si="61"/>
        <v>1.7245626405828682E-3</v>
      </c>
      <c r="Z331" s="37">
        <f t="shared" si="63"/>
        <v>-6.3627818023370333</v>
      </c>
      <c r="AA331" s="149">
        <f t="shared" si="62"/>
        <v>-1.0973015786490976E-2</v>
      </c>
      <c r="AB331" s="37"/>
      <c r="AC331" s="98"/>
    </row>
    <row r="332" spans="1:31" customFormat="1" ht="20.25" customHeight="1">
      <c r="A332" s="72">
        <v>41912</v>
      </c>
      <c r="B332" s="76">
        <v>4</v>
      </c>
      <c r="C332" s="36" t="s">
        <v>223</v>
      </c>
      <c r="D332" s="36" t="s">
        <v>267</v>
      </c>
      <c r="E332" s="36" t="s">
        <v>278</v>
      </c>
      <c r="F332" s="36" t="s">
        <v>279</v>
      </c>
      <c r="G332" s="36" t="s">
        <v>280</v>
      </c>
      <c r="H332" s="36"/>
      <c r="I332" s="36"/>
      <c r="J332" s="36">
        <v>4</v>
      </c>
      <c r="K332" s="36" t="s">
        <v>247</v>
      </c>
      <c r="L332" s="36" t="s">
        <v>283</v>
      </c>
      <c r="M332" s="36">
        <v>108</v>
      </c>
      <c r="N332" s="36">
        <f t="shared" si="58"/>
        <v>3.7037037037037033</v>
      </c>
      <c r="O332" s="65">
        <v>9.5198918728330497</v>
      </c>
      <c r="P332" s="40">
        <f t="shared" si="59"/>
        <v>0.35258858788270553</v>
      </c>
      <c r="Q332" s="36">
        <v>4753.4861740378701</v>
      </c>
      <c r="R332" s="40">
        <f t="shared" si="60"/>
        <v>7.4174737229370661E-3</v>
      </c>
      <c r="S332" s="36">
        <v>1000</v>
      </c>
      <c r="T332" s="36">
        <v>1000</v>
      </c>
      <c r="U332" s="36"/>
      <c r="V332" s="36"/>
      <c r="W332" s="3"/>
      <c r="X332" s="3"/>
      <c r="Y332" s="37">
        <f t="shared" si="61"/>
        <v>7.4174737229370662E-5</v>
      </c>
      <c r="Z332" s="37">
        <f t="shared" si="63"/>
        <v>-9.5090869343703996</v>
      </c>
      <c r="AA332" s="149">
        <f t="shared" si="62"/>
        <v>-7.0533402464816616E-4</v>
      </c>
      <c r="AB332" s="37"/>
      <c r="AC332" s="98"/>
      <c r="AD332" s="99"/>
      <c r="AE332" s="99"/>
    </row>
    <row r="333" spans="1:31" customFormat="1" ht="20.25" customHeight="1">
      <c r="A333" s="13">
        <v>41912</v>
      </c>
      <c r="B333" s="36">
        <v>4</v>
      </c>
      <c r="C333" s="3" t="s">
        <v>223</v>
      </c>
      <c r="D333" s="3" t="s">
        <v>224</v>
      </c>
      <c r="E333" s="3" t="s">
        <v>225</v>
      </c>
      <c r="F333" s="3" t="s">
        <v>226</v>
      </c>
      <c r="G333" s="3" t="s">
        <v>227</v>
      </c>
      <c r="H333" s="3" t="s">
        <v>228</v>
      </c>
      <c r="I333" s="3"/>
      <c r="J333" s="3">
        <v>116</v>
      </c>
      <c r="K333" s="3" t="s">
        <v>229</v>
      </c>
      <c r="L333" s="3" t="s">
        <v>228</v>
      </c>
      <c r="M333" s="3">
        <v>237</v>
      </c>
      <c r="N333" s="3">
        <f t="shared" si="58"/>
        <v>48.945147679324897</v>
      </c>
      <c r="O333" s="65">
        <v>4743.96628216504</v>
      </c>
      <c r="P333" s="8">
        <f t="shared" si="59"/>
        <v>2321.9413026630577</v>
      </c>
      <c r="Q333" s="36">
        <v>4753.4861740378701</v>
      </c>
      <c r="R333" s="60">
        <f t="shared" si="60"/>
        <v>48.847124355695229</v>
      </c>
      <c r="S333" s="3">
        <v>250</v>
      </c>
      <c r="T333" s="3">
        <v>250</v>
      </c>
      <c r="U333" s="3" t="s">
        <v>496</v>
      </c>
      <c r="V333" s="3"/>
      <c r="W333" s="3"/>
      <c r="X333" s="3"/>
      <c r="Y333" s="37">
        <f t="shared" si="61"/>
        <v>0.48847124355695226</v>
      </c>
      <c r="Z333" s="37">
        <f t="shared" si="63"/>
        <v>-0.71647467605504411</v>
      </c>
      <c r="AA333" s="149">
        <f t="shared" si="62"/>
        <v>-0.34997727598967193</v>
      </c>
      <c r="AB333" s="37"/>
      <c r="AC333" s="98"/>
      <c r="AD333" s="99"/>
      <c r="AE333" s="99"/>
    </row>
    <row r="334" spans="1:31" customFormat="1" ht="20.25" customHeight="1">
      <c r="A334" s="13">
        <v>41912</v>
      </c>
      <c r="B334" s="36">
        <v>4</v>
      </c>
      <c r="C334" s="3" t="s">
        <v>223</v>
      </c>
      <c r="D334" s="3" t="s">
        <v>303</v>
      </c>
      <c r="E334" s="3" t="s">
        <v>304</v>
      </c>
      <c r="F334" s="3" t="s">
        <v>305</v>
      </c>
      <c r="G334" s="3" t="s">
        <v>306</v>
      </c>
      <c r="H334" s="3" t="s">
        <v>307</v>
      </c>
      <c r="I334" s="3"/>
      <c r="J334" s="3">
        <v>10</v>
      </c>
      <c r="K334" s="3" t="s">
        <v>229</v>
      </c>
      <c r="L334" s="3" t="s">
        <v>307</v>
      </c>
      <c r="M334" s="3">
        <v>237</v>
      </c>
      <c r="N334" s="3">
        <f t="shared" si="58"/>
        <v>4.2194092827004219</v>
      </c>
      <c r="O334" s="65">
        <v>4743.96628216504</v>
      </c>
      <c r="P334" s="8">
        <f t="shared" si="59"/>
        <v>200.16735367784977</v>
      </c>
      <c r="Q334" s="36">
        <v>4753.4861740378701</v>
      </c>
      <c r="R334" s="60">
        <f t="shared" si="60"/>
        <v>4.2109589961806231</v>
      </c>
      <c r="S334" s="3">
        <v>250</v>
      </c>
      <c r="T334" s="3">
        <v>250</v>
      </c>
      <c r="U334" s="36" t="s">
        <v>308</v>
      </c>
      <c r="V334" s="3"/>
      <c r="W334" s="3"/>
      <c r="X334" s="3"/>
      <c r="Y334" s="37">
        <f t="shared" si="61"/>
        <v>4.2109589961806228E-2</v>
      </c>
      <c r="Z334" s="37">
        <f t="shared" si="63"/>
        <v>-3.1674797741673633</v>
      </c>
      <c r="AA334" s="149">
        <f t="shared" si="62"/>
        <v>-0.13338127450250226</v>
      </c>
      <c r="AB334" s="37"/>
      <c r="AC334" s="98"/>
      <c r="AD334" s="99"/>
      <c r="AE334" s="99"/>
    </row>
    <row r="335" spans="1:31" customFormat="1" ht="20.25" customHeight="1">
      <c r="A335" s="13">
        <v>41912</v>
      </c>
      <c r="B335" s="36">
        <v>4</v>
      </c>
      <c r="C335" s="3" t="s">
        <v>223</v>
      </c>
      <c r="D335" s="3" t="s">
        <v>224</v>
      </c>
      <c r="E335" s="3" t="s">
        <v>225</v>
      </c>
      <c r="F335" s="3" t="s">
        <v>226</v>
      </c>
      <c r="G335" s="3" t="s">
        <v>232</v>
      </c>
      <c r="H335" s="3" t="s">
        <v>233</v>
      </c>
      <c r="I335" s="3"/>
      <c r="J335" s="3">
        <v>1</v>
      </c>
      <c r="K335" s="3" t="s">
        <v>229</v>
      </c>
      <c r="L335" s="3" t="s">
        <v>233</v>
      </c>
      <c r="M335" s="3">
        <v>237</v>
      </c>
      <c r="N335" s="3">
        <f t="shared" si="58"/>
        <v>0.42194092827004215</v>
      </c>
      <c r="O335" s="65">
        <v>4743.96628216504</v>
      </c>
      <c r="P335" s="8">
        <f t="shared" si="59"/>
        <v>20.016735367784978</v>
      </c>
      <c r="Q335" s="36">
        <v>4753.4861740378701</v>
      </c>
      <c r="R335" s="60">
        <f t="shared" si="60"/>
        <v>0.42109589961806221</v>
      </c>
      <c r="S335" s="3">
        <v>250</v>
      </c>
      <c r="T335" s="3">
        <v>250</v>
      </c>
      <c r="U335" s="3"/>
      <c r="V335" s="3"/>
      <c r="W335" s="3"/>
      <c r="X335" s="3"/>
      <c r="Y335" s="37">
        <f t="shared" si="61"/>
        <v>4.2109589961806223E-3</v>
      </c>
      <c r="Z335" s="37">
        <f t="shared" si="63"/>
        <v>-5.4700648671614092</v>
      </c>
      <c r="AA335" s="149">
        <f t="shared" si="62"/>
        <v>-2.3034218862064897E-2</v>
      </c>
      <c r="AB335" s="37"/>
      <c r="AC335" s="98"/>
      <c r="AD335" s="99"/>
      <c r="AE335" s="99"/>
    </row>
    <row r="336" spans="1:31" customFormat="1" ht="20.25" customHeight="1">
      <c r="A336" s="13">
        <v>41912</v>
      </c>
      <c r="B336" s="36">
        <v>4</v>
      </c>
      <c r="C336" s="51" t="s">
        <v>223</v>
      </c>
      <c r="D336" s="51" t="s">
        <v>224</v>
      </c>
      <c r="E336" s="51" t="s">
        <v>225</v>
      </c>
      <c r="F336" s="51" t="s">
        <v>226</v>
      </c>
      <c r="G336" s="51" t="s">
        <v>235</v>
      </c>
      <c r="H336" s="3" t="s">
        <v>236</v>
      </c>
      <c r="I336" s="3"/>
      <c r="J336" s="3">
        <v>41</v>
      </c>
      <c r="K336" s="3" t="s">
        <v>229</v>
      </c>
      <c r="L336" s="3" t="s">
        <v>236</v>
      </c>
      <c r="M336" s="3">
        <v>237</v>
      </c>
      <c r="N336" s="3">
        <f t="shared" si="58"/>
        <v>17.299578059071731</v>
      </c>
      <c r="O336" s="65">
        <v>4743.96628216504</v>
      </c>
      <c r="P336" s="8">
        <f t="shared" si="59"/>
        <v>820.68615007918413</v>
      </c>
      <c r="Q336" s="36">
        <v>4753.4861740378701</v>
      </c>
      <c r="R336" s="60">
        <f t="shared" si="60"/>
        <v>17.264931884340555</v>
      </c>
      <c r="S336" s="3">
        <v>250</v>
      </c>
      <c r="T336" s="3">
        <v>250</v>
      </c>
      <c r="U336" s="3"/>
      <c r="V336" s="3"/>
      <c r="W336" s="3"/>
      <c r="X336" s="3"/>
      <c r="Y336" s="37">
        <f t="shared" si="61"/>
        <v>0.17264931884340556</v>
      </c>
      <c r="Z336" s="37">
        <f t="shared" si="63"/>
        <v>-1.7564928004571008</v>
      </c>
      <c r="AA336" s="149">
        <f t="shared" si="62"/>
        <v>-0.30325728555226433</v>
      </c>
      <c r="AB336" s="37"/>
      <c r="AC336" s="98"/>
      <c r="AD336" s="99"/>
      <c r="AE336" s="99"/>
    </row>
    <row r="337" spans="1:31" customFormat="1" ht="20.25" customHeight="1">
      <c r="A337" s="13">
        <v>41912</v>
      </c>
      <c r="B337" s="36">
        <v>4</v>
      </c>
      <c r="C337" s="36" t="s">
        <v>223</v>
      </c>
      <c r="D337" s="36" t="s">
        <v>224</v>
      </c>
      <c r="E337" s="36" t="s">
        <v>225</v>
      </c>
      <c r="F337" s="36" t="s">
        <v>226</v>
      </c>
      <c r="G337" s="36" t="s">
        <v>239</v>
      </c>
      <c r="H337" s="36" t="s">
        <v>240</v>
      </c>
      <c r="I337" s="3"/>
      <c r="J337" s="3">
        <v>53</v>
      </c>
      <c r="K337" s="3" t="s">
        <v>229</v>
      </c>
      <c r="L337" s="3" t="s">
        <v>240</v>
      </c>
      <c r="M337" s="3">
        <v>237</v>
      </c>
      <c r="N337" s="3">
        <f t="shared" si="58"/>
        <v>22.362869198312236</v>
      </c>
      <c r="O337" s="65">
        <v>4743.96628216504</v>
      </c>
      <c r="P337" s="8">
        <f t="shared" si="59"/>
        <v>1060.8869744926037</v>
      </c>
      <c r="Q337" s="36">
        <v>4753.4861740378701</v>
      </c>
      <c r="R337" s="60">
        <f t="shared" si="60"/>
        <v>22.318082679757296</v>
      </c>
      <c r="S337" s="36">
        <v>250</v>
      </c>
      <c r="T337" s="36">
        <v>250</v>
      </c>
      <c r="U337" s="3"/>
      <c r="V337" s="3"/>
      <c r="W337" s="3"/>
      <c r="X337" s="3"/>
      <c r="Y337" s="37">
        <f t="shared" si="61"/>
        <v>0.22318082679757295</v>
      </c>
      <c r="Z337" s="37">
        <f t="shared" si="63"/>
        <v>-1.4997729536092872</v>
      </c>
      <c r="AA337" s="149">
        <f t="shared" si="62"/>
        <v>-0.33472056779515874</v>
      </c>
      <c r="AB337" s="37"/>
      <c r="AC337" s="98"/>
      <c r="AD337" s="99"/>
      <c r="AE337" s="99"/>
    </row>
    <row r="338" spans="1:31" customFormat="1" ht="20.25" customHeight="1">
      <c r="A338" s="71">
        <v>41912</v>
      </c>
      <c r="B338" s="36">
        <v>4</v>
      </c>
      <c r="C338" s="65" t="s">
        <v>323</v>
      </c>
      <c r="D338" s="65" t="s">
        <v>489</v>
      </c>
      <c r="E338" s="65"/>
      <c r="F338" s="65" t="s">
        <v>490</v>
      </c>
      <c r="G338" s="65" t="s">
        <v>491</v>
      </c>
      <c r="H338" s="36" t="s">
        <v>371</v>
      </c>
      <c r="I338" s="36" t="s">
        <v>372</v>
      </c>
      <c r="J338" s="3">
        <v>5</v>
      </c>
      <c r="K338" s="3" t="s">
        <v>247</v>
      </c>
      <c r="L338" s="3" t="s">
        <v>371</v>
      </c>
      <c r="M338" s="3">
        <v>237</v>
      </c>
      <c r="N338" s="3">
        <f t="shared" si="58"/>
        <v>2.109704641350211</v>
      </c>
      <c r="O338" s="36">
        <v>4743.96628216504</v>
      </c>
      <c r="P338" s="8">
        <f t="shared" si="59"/>
        <v>100.08367683892489</v>
      </c>
      <c r="Q338" s="65">
        <v>4753.4861740378701</v>
      </c>
      <c r="R338" s="60">
        <f t="shared" si="60"/>
        <v>2.1054794980903115</v>
      </c>
      <c r="S338" s="36">
        <v>250</v>
      </c>
      <c r="T338" s="36">
        <v>250</v>
      </c>
      <c r="U338" s="3"/>
      <c r="V338" s="3"/>
      <c r="W338" s="3"/>
      <c r="X338" s="3"/>
      <c r="Y338" s="37">
        <f t="shared" si="61"/>
        <v>2.1054794980903114E-2</v>
      </c>
      <c r="Z338" s="37">
        <f t="shared" si="63"/>
        <v>-3.8606269547273082</v>
      </c>
      <c r="AA338" s="149">
        <f t="shared" si="62"/>
        <v>-8.1284709029531804E-2</v>
      </c>
      <c r="AB338" s="37"/>
      <c r="AC338" s="98"/>
      <c r="AD338" s="99"/>
      <c r="AE338" s="99"/>
    </row>
    <row r="339" spans="1:31" customFormat="1" ht="20.25" customHeight="1">
      <c r="A339" s="71">
        <v>41912</v>
      </c>
      <c r="B339" s="36">
        <v>4</v>
      </c>
      <c r="C339" s="51" t="s">
        <v>223</v>
      </c>
      <c r="D339" s="51" t="s">
        <v>224</v>
      </c>
      <c r="E339" s="51" t="s">
        <v>225</v>
      </c>
      <c r="F339" s="51" t="s">
        <v>226</v>
      </c>
      <c r="G339" s="51" t="s">
        <v>355</v>
      </c>
      <c r="H339" s="3" t="s">
        <v>356</v>
      </c>
      <c r="I339" s="3"/>
      <c r="J339" s="3">
        <v>2</v>
      </c>
      <c r="K339" s="3" t="s">
        <v>229</v>
      </c>
      <c r="L339" s="3" t="s">
        <v>356</v>
      </c>
      <c r="M339" s="3">
        <v>237</v>
      </c>
      <c r="N339" s="3">
        <f t="shared" si="58"/>
        <v>0.8438818565400843</v>
      </c>
      <c r="O339" s="36">
        <v>4743.96628216504</v>
      </c>
      <c r="P339" s="8">
        <f t="shared" si="59"/>
        <v>40.033470735569956</v>
      </c>
      <c r="Q339" s="65">
        <v>4753.4861740378701</v>
      </c>
      <c r="R339" s="60">
        <f t="shared" si="60"/>
        <v>0.84219179923612442</v>
      </c>
      <c r="S339" s="3">
        <v>250</v>
      </c>
      <c r="T339" s="3">
        <v>250</v>
      </c>
      <c r="U339" s="3"/>
      <c r="V339" s="3"/>
      <c r="W339" s="3"/>
      <c r="X339" s="3"/>
      <c r="Y339" s="37">
        <f t="shared" si="61"/>
        <v>8.4219179923612445E-3</v>
      </c>
      <c r="Z339" s="37">
        <f t="shared" si="63"/>
        <v>-4.7769176866014638</v>
      </c>
      <c r="AA339" s="149">
        <f t="shared" si="62"/>
        <v>-4.0230809012817517E-2</v>
      </c>
      <c r="AB339" s="37"/>
      <c r="AC339" s="98"/>
      <c r="AD339" s="99"/>
      <c r="AE339" s="99"/>
    </row>
    <row r="340" spans="1:31" customFormat="1" ht="20.25" customHeight="1">
      <c r="A340" s="71">
        <v>41912</v>
      </c>
      <c r="B340" s="36">
        <v>4</v>
      </c>
      <c r="C340" s="51" t="s">
        <v>216</v>
      </c>
      <c r="D340" s="51" t="s">
        <v>217</v>
      </c>
      <c r="E340" s="51"/>
      <c r="F340" s="51"/>
      <c r="G340" s="51"/>
      <c r="H340" s="3" t="s">
        <v>219</v>
      </c>
      <c r="I340" s="3"/>
      <c r="J340" s="3">
        <v>1</v>
      </c>
      <c r="K340" s="36" t="s">
        <v>229</v>
      </c>
      <c r="L340" s="3" t="s">
        <v>219</v>
      </c>
      <c r="M340" s="3">
        <v>237</v>
      </c>
      <c r="N340" s="3">
        <f t="shared" si="58"/>
        <v>0.42194092827004215</v>
      </c>
      <c r="O340" s="36">
        <v>4743.96628216504</v>
      </c>
      <c r="P340" s="8">
        <f t="shared" si="59"/>
        <v>20.016735367784978</v>
      </c>
      <c r="Q340" s="65">
        <v>4753.4861740378701</v>
      </c>
      <c r="R340" s="60">
        <f t="shared" si="60"/>
        <v>0.42109589961806221</v>
      </c>
      <c r="S340" s="36">
        <v>250</v>
      </c>
      <c r="T340" s="36">
        <v>250</v>
      </c>
      <c r="U340" s="3"/>
      <c r="V340" s="3"/>
      <c r="W340" s="3"/>
      <c r="X340" s="3"/>
      <c r="Y340" s="37">
        <f t="shared" si="61"/>
        <v>4.2109589961806223E-3</v>
      </c>
      <c r="Z340" s="37">
        <f t="shared" si="63"/>
        <v>-5.4700648671614092</v>
      </c>
      <c r="AA340" s="149">
        <f t="shared" si="62"/>
        <v>-2.3034218862064897E-2</v>
      </c>
      <c r="AB340" s="37"/>
      <c r="AC340" s="98"/>
      <c r="AD340" s="99"/>
      <c r="AE340" s="99"/>
    </row>
    <row r="341" spans="1:31" customFormat="1" ht="20.25" customHeight="1">
      <c r="A341" s="71">
        <v>41912</v>
      </c>
      <c r="B341" s="36">
        <v>4</v>
      </c>
      <c r="C341" s="36" t="s">
        <v>223</v>
      </c>
      <c r="D341" s="36" t="s">
        <v>224</v>
      </c>
      <c r="E341" s="36" t="s">
        <v>225</v>
      </c>
      <c r="F341" s="36" t="s">
        <v>226</v>
      </c>
      <c r="G341" s="36" t="s">
        <v>253</v>
      </c>
      <c r="H341" s="36" t="s">
        <v>256</v>
      </c>
      <c r="I341" s="3"/>
      <c r="J341" s="3">
        <v>7</v>
      </c>
      <c r="K341" s="3" t="s">
        <v>229</v>
      </c>
      <c r="L341" s="3" t="s">
        <v>256</v>
      </c>
      <c r="M341" s="3">
        <v>237</v>
      </c>
      <c r="N341" s="3">
        <f t="shared" si="58"/>
        <v>2.9535864978902953</v>
      </c>
      <c r="O341" s="36">
        <v>4743.96628216504</v>
      </c>
      <c r="P341" s="8">
        <f t="shared" si="59"/>
        <v>140.11714757449485</v>
      </c>
      <c r="Q341" s="65">
        <v>4753.4861740378701</v>
      </c>
      <c r="R341" s="60">
        <f t="shared" si="60"/>
        <v>2.9476712973264361</v>
      </c>
      <c r="S341" s="65">
        <v>250</v>
      </c>
      <c r="T341" s="65">
        <v>250</v>
      </c>
      <c r="U341" s="51"/>
      <c r="V341" s="51"/>
      <c r="W341" s="51"/>
      <c r="X341" s="3"/>
      <c r="Y341" s="37">
        <f t="shared" si="61"/>
        <v>2.947671297326436E-2</v>
      </c>
      <c r="Z341" s="37">
        <f t="shared" si="63"/>
        <v>-3.5241547181060953</v>
      </c>
      <c r="AA341" s="149">
        <f t="shared" si="62"/>
        <v>-0.10388049709898874</v>
      </c>
      <c r="AB341" s="37"/>
      <c r="AC341" s="98"/>
      <c r="AD341" s="99"/>
      <c r="AE341" s="99"/>
    </row>
    <row r="342" spans="1:31" customFormat="1" ht="20.25" customHeight="1">
      <c r="A342" s="71">
        <v>41912</v>
      </c>
      <c r="B342" s="36">
        <v>4</v>
      </c>
      <c r="C342" s="51" t="s">
        <v>223</v>
      </c>
      <c r="D342" s="51" t="s">
        <v>224</v>
      </c>
      <c r="E342" s="51" t="s">
        <v>225</v>
      </c>
      <c r="F342" s="51" t="s">
        <v>226</v>
      </c>
      <c r="G342" s="51" t="s">
        <v>239</v>
      </c>
      <c r="H342" s="3" t="s">
        <v>258</v>
      </c>
      <c r="I342" s="3" t="s">
        <v>259</v>
      </c>
      <c r="J342" s="3">
        <v>1</v>
      </c>
      <c r="K342" s="3" t="s">
        <v>247</v>
      </c>
      <c r="L342" s="3" t="s">
        <v>258</v>
      </c>
      <c r="M342" s="3">
        <v>237</v>
      </c>
      <c r="N342" s="3">
        <f t="shared" si="58"/>
        <v>0.42194092827004215</v>
      </c>
      <c r="O342" s="36">
        <v>4743.96628216504</v>
      </c>
      <c r="P342" s="8">
        <f t="shared" si="59"/>
        <v>20.016735367784978</v>
      </c>
      <c r="Q342" s="65">
        <v>4753.4861740378701</v>
      </c>
      <c r="R342" s="60">
        <f t="shared" si="60"/>
        <v>0.42109589961806221</v>
      </c>
      <c r="S342" s="65">
        <v>250</v>
      </c>
      <c r="T342" s="65">
        <v>250</v>
      </c>
      <c r="U342" s="51"/>
      <c r="V342" s="51"/>
      <c r="W342" s="51"/>
      <c r="X342" s="3"/>
      <c r="Y342" s="37">
        <f t="shared" si="61"/>
        <v>4.2109589961806223E-3</v>
      </c>
      <c r="Z342" s="37">
        <f t="shared" si="63"/>
        <v>-5.4700648671614092</v>
      </c>
      <c r="AA342" s="149">
        <f t="shared" si="62"/>
        <v>-2.3034218862064897E-2</v>
      </c>
      <c r="AB342" s="37"/>
      <c r="AC342" s="98"/>
      <c r="AD342" s="99"/>
      <c r="AE342" s="99"/>
    </row>
    <row r="343" spans="1:31" customFormat="1" ht="20.25" customHeight="1">
      <c r="A343" s="35">
        <v>41912</v>
      </c>
      <c r="B343" s="76">
        <v>2</v>
      </c>
      <c r="C343" s="65" t="s">
        <v>223</v>
      </c>
      <c r="D343" s="65" t="s">
        <v>267</v>
      </c>
      <c r="E343" s="65" t="s">
        <v>278</v>
      </c>
      <c r="F343" s="65" t="s">
        <v>269</v>
      </c>
      <c r="G343" s="65" t="s">
        <v>333</v>
      </c>
      <c r="H343" s="36" t="s">
        <v>334</v>
      </c>
      <c r="I343" s="36"/>
      <c r="J343" s="36">
        <v>1</v>
      </c>
      <c r="K343" s="36" t="s">
        <v>229</v>
      </c>
      <c r="L343" s="36" t="s">
        <v>270</v>
      </c>
      <c r="M343" s="36">
        <v>97</v>
      </c>
      <c r="N343" s="36">
        <f t="shared" si="58"/>
        <v>1.0309278350515463</v>
      </c>
      <c r="O343" s="36">
        <v>10.104868393638448</v>
      </c>
      <c r="P343" s="40">
        <f t="shared" si="59"/>
        <v>0.1041739009653448</v>
      </c>
      <c r="Q343" s="36">
        <v>8364.7846713492963</v>
      </c>
      <c r="R343" s="40">
        <f t="shared" si="60"/>
        <v>1.2453865228851235E-3</v>
      </c>
      <c r="S343" s="36">
        <v>1000</v>
      </c>
      <c r="T343" s="36">
        <v>1000</v>
      </c>
      <c r="U343" s="36"/>
      <c r="V343" s="36"/>
      <c r="W343" s="3"/>
      <c r="X343" s="3"/>
      <c r="Y343" s="37">
        <f t="shared" si="61"/>
        <v>1.2453865228851235E-5</v>
      </c>
      <c r="Z343" s="37">
        <f t="shared" si="63"/>
        <v>-11.293479523087644</v>
      </c>
      <c r="AA343" s="149">
        <f t="shared" si="62"/>
        <v>-1.4064747194532463E-4</v>
      </c>
      <c r="AB343" s="37">
        <f>SUM(AA343:AA351)*-1</f>
        <v>0.62994184501993689</v>
      </c>
      <c r="AC343" s="98">
        <v>8</v>
      </c>
      <c r="AD343" s="98">
        <f t="shared" ref="AD343" si="65">LN(AC343)</f>
        <v>2.0794415416798357</v>
      </c>
      <c r="AE343" s="98">
        <f>(AB343/AD343)</f>
        <v>0.30293799195290233</v>
      </c>
    </row>
    <row r="344" spans="1:31" s="70" customFormat="1" ht="20.25" customHeight="1">
      <c r="A344" s="35">
        <v>41912</v>
      </c>
      <c r="B344" s="76">
        <v>2</v>
      </c>
      <c r="C344" s="36" t="s">
        <v>223</v>
      </c>
      <c r="D344" s="36" t="s">
        <v>267</v>
      </c>
      <c r="E344" s="36"/>
      <c r="F344" s="36" t="s">
        <v>273</v>
      </c>
      <c r="G344" s="36" t="s">
        <v>274</v>
      </c>
      <c r="H344" s="36" t="s">
        <v>275</v>
      </c>
      <c r="I344" s="36" t="s">
        <v>276</v>
      </c>
      <c r="J344" s="36">
        <v>33</v>
      </c>
      <c r="K344" s="36" t="s">
        <v>247</v>
      </c>
      <c r="L344" s="36" t="s">
        <v>519</v>
      </c>
      <c r="M344" s="36">
        <v>97</v>
      </c>
      <c r="N344" s="36">
        <f t="shared" si="58"/>
        <v>34.020618556701031</v>
      </c>
      <c r="O344" s="36">
        <v>10.104868393638448</v>
      </c>
      <c r="P344" s="40">
        <f t="shared" si="59"/>
        <v>3.4377387318563795</v>
      </c>
      <c r="Q344" s="36">
        <v>8364.7846713492963</v>
      </c>
      <c r="R344" s="40">
        <f t="shared" si="60"/>
        <v>4.109775525520909E-2</v>
      </c>
      <c r="S344" s="36">
        <v>1000</v>
      </c>
      <c r="T344" s="36">
        <v>1000</v>
      </c>
      <c r="U344" s="36" t="s">
        <v>580</v>
      </c>
      <c r="V344" s="36"/>
      <c r="W344" s="3"/>
      <c r="X344" s="67"/>
      <c r="Y344" s="37">
        <f t="shared" si="61"/>
        <v>4.1097755255209092E-4</v>
      </c>
      <c r="Z344" s="37">
        <f t="shared" si="63"/>
        <v>-7.7969719616211632</v>
      </c>
      <c r="AA344" s="149">
        <f t="shared" si="62"/>
        <v>-3.2043804541043411E-3</v>
      </c>
      <c r="AB344" s="37"/>
      <c r="AC344" s="98"/>
      <c r="AD344" s="99"/>
      <c r="AE344" s="99"/>
    </row>
    <row r="345" spans="1:31" customFormat="1" ht="20.25" customHeight="1">
      <c r="A345" s="35">
        <v>41912</v>
      </c>
      <c r="B345" s="76">
        <v>2</v>
      </c>
      <c r="C345" s="36" t="s">
        <v>223</v>
      </c>
      <c r="D345" s="36" t="s">
        <v>267</v>
      </c>
      <c r="E345" s="36" t="s">
        <v>278</v>
      </c>
      <c r="F345" s="36" t="s">
        <v>279</v>
      </c>
      <c r="G345" s="36" t="s">
        <v>280</v>
      </c>
      <c r="H345" s="36" t="s">
        <v>284</v>
      </c>
      <c r="I345" s="36" t="s">
        <v>285</v>
      </c>
      <c r="J345" s="36">
        <v>55</v>
      </c>
      <c r="K345" s="36" t="s">
        <v>247</v>
      </c>
      <c r="L345" s="36" t="s">
        <v>283</v>
      </c>
      <c r="M345" s="36">
        <v>97</v>
      </c>
      <c r="N345" s="36">
        <f t="shared" si="58"/>
        <v>56.701030927835049</v>
      </c>
      <c r="O345" s="36">
        <v>10.104868393638448</v>
      </c>
      <c r="P345" s="40">
        <f t="shared" si="59"/>
        <v>5.7295645530939652</v>
      </c>
      <c r="Q345" s="36">
        <v>8364.7846713493</v>
      </c>
      <c r="R345" s="40">
        <f t="shared" si="60"/>
        <v>6.8496258758681774E-2</v>
      </c>
      <c r="S345" s="36">
        <v>1000</v>
      </c>
      <c r="T345" s="36">
        <v>1000</v>
      </c>
      <c r="U345" s="36"/>
      <c r="V345" s="36"/>
      <c r="W345" s="3"/>
      <c r="X345" s="3"/>
      <c r="Y345" s="37">
        <f t="shared" si="61"/>
        <v>6.8496258758681775E-4</v>
      </c>
      <c r="Z345" s="37">
        <f t="shared" si="63"/>
        <v>-7.2861463378551727</v>
      </c>
      <c r="AA345" s="149">
        <f t="shared" si="62"/>
        <v>-4.990737649113495E-3</v>
      </c>
      <c r="AB345" s="37"/>
      <c r="AC345" s="98"/>
      <c r="AD345" s="99"/>
      <c r="AE345" s="99"/>
    </row>
    <row r="346" spans="1:31" customFormat="1" ht="20.25" customHeight="1">
      <c r="A346" s="35">
        <v>41912</v>
      </c>
      <c r="B346" s="76">
        <v>2</v>
      </c>
      <c r="C346" s="65" t="s">
        <v>223</v>
      </c>
      <c r="D346" s="65" t="s">
        <v>267</v>
      </c>
      <c r="E346" s="65" t="s">
        <v>278</v>
      </c>
      <c r="F346" s="65" t="s">
        <v>279</v>
      </c>
      <c r="G346" s="65" t="s">
        <v>280</v>
      </c>
      <c r="H346" s="36"/>
      <c r="I346" s="36"/>
      <c r="J346" s="36">
        <v>8</v>
      </c>
      <c r="K346" s="36" t="s">
        <v>594</v>
      </c>
      <c r="L346" s="36" t="s">
        <v>283</v>
      </c>
      <c r="M346" s="36">
        <v>97</v>
      </c>
      <c r="N346" s="36">
        <f t="shared" si="58"/>
        <v>8.2474226804123703</v>
      </c>
      <c r="O346" s="36">
        <v>10.104868393638448</v>
      </c>
      <c r="P346" s="40">
        <f t="shared" si="59"/>
        <v>0.83339120772275843</v>
      </c>
      <c r="Q346" s="36">
        <v>8364.7846713493</v>
      </c>
      <c r="R346" s="40">
        <f t="shared" si="60"/>
        <v>9.9630921830809842E-3</v>
      </c>
      <c r="S346" s="36">
        <v>1000</v>
      </c>
      <c r="T346" s="36">
        <v>1000</v>
      </c>
      <c r="U346" s="36" t="s">
        <v>579</v>
      </c>
      <c r="V346" s="36"/>
      <c r="W346" s="3"/>
      <c r="X346" s="3"/>
      <c r="Y346" s="37">
        <f t="shared" si="61"/>
        <v>9.963092183080984E-5</v>
      </c>
      <c r="Z346" s="37">
        <f t="shared" si="63"/>
        <v>-9.2140379814078077</v>
      </c>
      <c r="AA346" s="149">
        <f t="shared" si="62"/>
        <v>-9.1800309787175413E-4</v>
      </c>
      <c r="AB346" s="37"/>
      <c r="AC346" s="98"/>
      <c r="AD346" s="99"/>
      <c r="AE346" s="99"/>
    </row>
    <row r="347" spans="1:31" customFormat="1" ht="20.25" customHeight="1">
      <c r="A347" s="63">
        <v>41912</v>
      </c>
      <c r="B347" s="65">
        <v>2</v>
      </c>
      <c r="C347" s="51" t="s">
        <v>223</v>
      </c>
      <c r="D347" s="51" t="s">
        <v>224</v>
      </c>
      <c r="E347" s="51" t="s">
        <v>225</v>
      </c>
      <c r="F347" s="51" t="s">
        <v>226</v>
      </c>
      <c r="G347" s="51" t="s">
        <v>227</v>
      </c>
      <c r="H347" s="3" t="s">
        <v>228</v>
      </c>
      <c r="I347" s="3"/>
      <c r="J347" s="3">
        <v>183</v>
      </c>
      <c r="K347" s="3" t="s">
        <v>229</v>
      </c>
      <c r="L347" s="3" t="s">
        <v>228</v>
      </c>
      <c r="M347" s="3">
        <v>232</v>
      </c>
      <c r="N347" s="3">
        <f t="shared" si="58"/>
        <v>78.879310344827587</v>
      </c>
      <c r="O347" s="36">
        <v>8354.6798029556576</v>
      </c>
      <c r="P347" s="8">
        <f t="shared" si="59"/>
        <v>6590.1138100900234</v>
      </c>
      <c r="Q347" s="36">
        <v>8364.7846713493</v>
      </c>
      <c r="R347" s="60">
        <f t="shared" si="60"/>
        <v>78.784022171690765</v>
      </c>
      <c r="S347" s="36">
        <v>250</v>
      </c>
      <c r="T347" s="36">
        <v>250</v>
      </c>
      <c r="U347" s="3"/>
      <c r="V347" s="3"/>
      <c r="W347" s="3"/>
      <c r="X347" s="3"/>
      <c r="Y347" s="37">
        <f t="shared" si="61"/>
        <v>0.7878402217169076</v>
      </c>
      <c r="Z347" s="37">
        <f t="shared" si="63"/>
        <v>-0.23845997400236676</v>
      </c>
      <c r="AA347" s="149">
        <f t="shared" si="62"/>
        <v>-0.18786835878863264</v>
      </c>
      <c r="AB347" s="37"/>
      <c r="AC347" s="98"/>
      <c r="AD347" s="99"/>
      <c r="AE347" s="99"/>
    </row>
    <row r="348" spans="1:31" customFormat="1" ht="20.25" customHeight="1">
      <c r="A348" s="63">
        <v>41912</v>
      </c>
      <c r="B348" s="65">
        <v>2</v>
      </c>
      <c r="C348" s="51" t="s">
        <v>223</v>
      </c>
      <c r="D348" s="51" t="s">
        <v>224</v>
      </c>
      <c r="E348" s="51" t="s">
        <v>225</v>
      </c>
      <c r="F348" s="51" t="s">
        <v>226</v>
      </c>
      <c r="G348" s="51" t="s">
        <v>235</v>
      </c>
      <c r="H348" s="3" t="s">
        <v>236</v>
      </c>
      <c r="I348" s="3"/>
      <c r="J348" s="3">
        <v>3</v>
      </c>
      <c r="K348" s="3" t="s">
        <v>229</v>
      </c>
      <c r="L348" s="3" t="s">
        <v>236</v>
      </c>
      <c r="M348" s="3">
        <v>232</v>
      </c>
      <c r="N348" s="3">
        <f t="shared" si="58"/>
        <v>1.2931034482758621</v>
      </c>
      <c r="O348" s="36">
        <v>8354.6798029556576</v>
      </c>
      <c r="P348" s="8">
        <f t="shared" si="59"/>
        <v>108.0346526244266</v>
      </c>
      <c r="Q348" s="36">
        <v>8364.7846713493</v>
      </c>
      <c r="R348" s="60">
        <f t="shared" si="60"/>
        <v>1.2915413470768977</v>
      </c>
      <c r="S348" s="36">
        <v>250</v>
      </c>
      <c r="T348" s="36">
        <v>250</v>
      </c>
      <c r="U348" s="3" t="s">
        <v>497</v>
      </c>
      <c r="V348" s="3"/>
      <c r="W348" s="3"/>
      <c r="X348" s="3"/>
      <c r="Y348" s="37">
        <f t="shared" si="61"/>
        <v>1.2915413470768976E-2</v>
      </c>
      <c r="Z348" s="37">
        <f t="shared" si="63"/>
        <v>-4.3493338381756779</v>
      </c>
      <c r="AA348" s="149">
        <f t="shared" si="62"/>
        <v>-5.6173444842445484E-2</v>
      </c>
      <c r="AB348" s="37"/>
      <c r="AC348" s="98"/>
      <c r="AD348" s="99"/>
      <c r="AE348" s="99"/>
    </row>
    <row r="349" spans="1:31" customFormat="1" ht="20.25" customHeight="1">
      <c r="A349" s="63">
        <v>41912</v>
      </c>
      <c r="B349" s="65">
        <v>2</v>
      </c>
      <c r="C349" s="36" t="s">
        <v>223</v>
      </c>
      <c r="D349" s="36" t="s">
        <v>224</v>
      </c>
      <c r="E349" s="36" t="s">
        <v>225</v>
      </c>
      <c r="F349" s="36" t="s">
        <v>226</v>
      </c>
      <c r="G349" s="36" t="s">
        <v>239</v>
      </c>
      <c r="H349" s="36" t="s">
        <v>240</v>
      </c>
      <c r="I349" s="3"/>
      <c r="J349" s="3">
        <v>43</v>
      </c>
      <c r="K349" s="3" t="s">
        <v>229</v>
      </c>
      <c r="L349" s="3" t="s">
        <v>240</v>
      </c>
      <c r="M349" s="3">
        <v>232</v>
      </c>
      <c r="N349" s="3">
        <f t="shared" si="58"/>
        <v>18.53448275862069</v>
      </c>
      <c r="O349" s="36">
        <v>8354.6798029556576</v>
      </c>
      <c r="P349" s="8">
        <f t="shared" si="59"/>
        <v>1548.4966876167814</v>
      </c>
      <c r="Q349" s="36">
        <v>8364.7846713493</v>
      </c>
      <c r="R349" s="60">
        <f t="shared" si="60"/>
        <v>18.512092641435533</v>
      </c>
      <c r="S349" s="3">
        <v>250</v>
      </c>
      <c r="T349" s="3">
        <v>250</v>
      </c>
      <c r="U349" s="3"/>
      <c r="V349" s="3"/>
      <c r="W349" s="3"/>
      <c r="X349" s="3"/>
      <c r="Y349" s="37">
        <f t="shared" si="61"/>
        <v>0.18512092641435532</v>
      </c>
      <c r="Z349" s="37">
        <f t="shared" si="63"/>
        <v>-1.6867460111502253</v>
      </c>
      <c r="AA349" s="149">
        <f t="shared" si="62"/>
        <v>-0.31225198420984823</v>
      </c>
      <c r="AB349" s="37"/>
      <c r="AC349" s="98"/>
      <c r="AD349" s="99"/>
      <c r="AE349" s="99"/>
    </row>
    <row r="350" spans="1:31" s="33" customFormat="1" ht="20.25" customHeight="1">
      <c r="A350" s="63">
        <v>41912</v>
      </c>
      <c r="B350" s="65">
        <v>2</v>
      </c>
      <c r="C350" s="3" t="s">
        <v>216</v>
      </c>
      <c r="D350" s="3" t="s">
        <v>217</v>
      </c>
      <c r="E350" s="3"/>
      <c r="F350" s="3"/>
      <c r="G350" s="3"/>
      <c r="H350" s="3" t="s">
        <v>219</v>
      </c>
      <c r="I350" s="3"/>
      <c r="J350" s="3">
        <v>2</v>
      </c>
      <c r="K350" s="36" t="s">
        <v>229</v>
      </c>
      <c r="L350" s="3" t="s">
        <v>219</v>
      </c>
      <c r="M350" s="3">
        <v>232</v>
      </c>
      <c r="N350" s="3">
        <f t="shared" si="58"/>
        <v>0.86206896551724133</v>
      </c>
      <c r="O350" s="36">
        <v>8354.6798029556576</v>
      </c>
      <c r="P350" s="8">
        <f t="shared" si="59"/>
        <v>72.023101749617737</v>
      </c>
      <c r="Q350" s="36">
        <v>8364.7846713493</v>
      </c>
      <c r="R350" s="60">
        <f t="shared" si="60"/>
        <v>0.86102756471793196</v>
      </c>
      <c r="S350" s="3">
        <v>250</v>
      </c>
      <c r="T350" s="3">
        <v>250</v>
      </c>
      <c r="U350" s="3"/>
      <c r="V350" s="3"/>
      <c r="W350" s="3"/>
      <c r="X350" s="32"/>
      <c r="Y350" s="37">
        <f t="shared" si="61"/>
        <v>8.6102756471793194E-3</v>
      </c>
      <c r="Z350" s="37">
        <f t="shared" si="63"/>
        <v>-4.7547989462838425</v>
      </c>
      <c r="AA350" s="149">
        <f t="shared" si="62"/>
        <v>-4.0940129574421655E-2</v>
      </c>
      <c r="AB350" s="37"/>
      <c r="AC350" s="98"/>
      <c r="AD350" s="99"/>
      <c r="AE350" s="99"/>
    </row>
    <row r="351" spans="1:31" ht="20.25" customHeight="1">
      <c r="A351" s="63">
        <v>41912</v>
      </c>
      <c r="B351" s="65">
        <v>2</v>
      </c>
      <c r="C351" s="65" t="s">
        <v>223</v>
      </c>
      <c r="D351" s="65" t="s">
        <v>224</v>
      </c>
      <c r="E351" s="65" t="s">
        <v>225</v>
      </c>
      <c r="F351" s="65" t="s">
        <v>226</v>
      </c>
      <c r="G351" s="65" t="s">
        <v>261</v>
      </c>
      <c r="H351" s="65" t="s">
        <v>262</v>
      </c>
      <c r="I351" s="3"/>
      <c r="J351" s="3">
        <v>1</v>
      </c>
      <c r="K351" s="3" t="s">
        <v>229</v>
      </c>
      <c r="L351" s="3" t="s">
        <v>264</v>
      </c>
      <c r="M351" s="3">
        <v>232</v>
      </c>
      <c r="N351" s="3">
        <f t="shared" si="58"/>
        <v>0.43103448275862066</v>
      </c>
      <c r="O351" s="36">
        <v>8354.6798029556576</v>
      </c>
      <c r="P351" s="8">
        <f t="shared" si="59"/>
        <v>36.011550874808869</v>
      </c>
      <c r="Q351" s="36">
        <v>8364.7846713493</v>
      </c>
      <c r="R351" s="60">
        <f t="shared" si="60"/>
        <v>0.43051378235896598</v>
      </c>
      <c r="S351" s="3">
        <v>250</v>
      </c>
      <c r="T351" s="3">
        <v>250</v>
      </c>
      <c r="U351" s="3"/>
      <c r="V351" s="3"/>
      <c r="W351" s="3"/>
      <c r="X351" s="36"/>
      <c r="Y351" s="37">
        <f t="shared" si="61"/>
        <v>4.3051378235896597E-3</v>
      </c>
      <c r="Z351" s="37">
        <f t="shared" si="63"/>
        <v>-5.4479461268437879</v>
      </c>
      <c r="AA351" s="149">
        <f t="shared" si="62"/>
        <v>-2.3454158931553983E-2</v>
      </c>
      <c r="AB351" s="37"/>
      <c r="AC351" s="98"/>
    </row>
    <row r="352" spans="1:31" s="61" customFormat="1" ht="20.25" customHeight="1">
      <c r="A352" s="58">
        <v>42144</v>
      </c>
      <c r="B352" s="113">
        <v>8</v>
      </c>
      <c r="C352" s="57" t="s">
        <v>323</v>
      </c>
      <c r="D352" s="57" t="s">
        <v>324</v>
      </c>
      <c r="E352" s="57"/>
      <c r="F352" s="57" t="s">
        <v>325</v>
      </c>
      <c r="G352" s="57" t="s">
        <v>326</v>
      </c>
      <c r="H352" s="57" t="s">
        <v>327</v>
      </c>
      <c r="I352" s="57"/>
      <c r="J352" s="57">
        <v>1</v>
      </c>
      <c r="K352" s="57" t="s">
        <v>229</v>
      </c>
      <c r="L352" s="57" t="s">
        <v>327</v>
      </c>
      <c r="M352" s="57">
        <v>17</v>
      </c>
      <c r="N352" s="57">
        <f t="shared" si="58"/>
        <v>5.8823529411764701</v>
      </c>
      <c r="O352" s="57">
        <v>2.1645021645021645</v>
      </c>
      <c r="P352" s="87">
        <f t="shared" si="59"/>
        <v>0.12732365673542143</v>
      </c>
      <c r="Q352" s="57">
        <v>2.1645021645021645</v>
      </c>
      <c r="R352" s="92">
        <f t="shared" si="60"/>
        <v>5.8823529411764701</v>
      </c>
      <c r="S352" s="57">
        <v>1000</v>
      </c>
      <c r="T352" s="57">
        <v>1000</v>
      </c>
      <c r="U352" s="57" t="s">
        <v>616</v>
      </c>
      <c r="V352" s="57"/>
      <c r="W352" s="57"/>
      <c r="X352" s="57"/>
      <c r="Y352" s="37">
        <f t="shared" si="61"/>
        <v>5.8823529411764698E-2</v>
      </c>
      <c r="Z352" s="37">
        <f t="shared" si="63"/>
        <v>-2.8332133440562162</v>
      </c>
      <c r="AA352" s="149">
        <f t="shared" si="62"/>
        <v>-0.16665960847389505</v>
      </c>
      <c r="AB352" s="37">
        <f>SUM(AA352:AA353)*-1</f>
        <v>0.22371807606583383</v>
      </c>
      <c r="AC352" s="98">
        <v>2</v>
      </c>
      <c r="AD352" s="98">
        <f t="shared" ref="AD352" si="66">LN(AC352)</f>
        <v>0.69314718055994529</v>
      </c>
      <c r="AE352" s="98">
        <f>(AB352/AD352)</f>
        <v>0.32275695889739836</v>
      </c>
    </row>
    <row r="353" spans="1:31" s="61" customFormat="1" ht="20.25" customHeight="1">
      <c r="A353" s="58">
        <v>42144</v>
      </c>
      <c r="B353" s="113">
        <v>8</v>
      </c>
      <c r="C353" s="57" t="s">
        <v>288</v>
      </c>
      <c r="D353" s="57" t="s">
        <v>289</v>
      </c>
      <c r="E353" s="57"/>
      <c r="F353" s="57"/>
      <c r="G353" s="57"/>
      <c r="H353" s="57"/>
      <c r="I353" s="57"/>
      <c r="J353" s="57">
        <v>16</v>
      </c>
      <c r="K353" s="57" t="s">
        <v>221</v>
      </c>
      <c r="L353" s="57" t="s">
        <v>294</v>
      </c>
      <c r="M353" s="57">
        <v>17</v>
      </c>
      <c r="N353" s="57">
        <f t="shared" si="58"/>
        <v>94.117647058823522</v>
      </c>
      <c r="O353" s="57">
        <v>2.1645021645021645</v>
      </c>
      <c r="P353" s="87">
        <f t="shared" si="59"/>
        <v>2.0371785077667428</v>
      </c>
      <c r="Q353" s="57">
        <v>2.1645021645021645</v>
      </c>
      <c r="R353" s="92">
        <f t="shared" si="60"/>
        <v>94.117647058823522</v>
      </c>
      <c r="S353" s="57">
        <v>1000</v>
      </c>
      <c r="T353" s="57">
        <v>1000</v>
      </c>
      <c r="U353" s="57"/>
      <c r="V353" s="57"/>
      <c r="W353" s="57"/>
      <c r="X353" s="57"/>
      <c r="Y353" s="37">
        <f t="shared" si="61"/>
        <v>0.94117647058823517</v>
      </c>
      <c r="Z353" s="37">
        <f t="shared" si="63"/>
        <v>-6.0624621816434972E-2</v>
      </c>
      <c r="AA353" s="149">
        <f t="shared" si="62"/>
        <v>-5.7058467591938791E-2</v>
      </c>
      <c r="AB353" s="37"/>
      <c r="AC353" s="98"/>
      <c r="AD353" s="99"/>
      <c r="AE353" s="99"/>
    </row>
    <row r="354" spans="1:31" ht="20.25" customHeight="1">
      <c r="A354" s="35">
        <v>42144</v>
      </c>
      <c r="B354" s="36">
        <v>5</v>
      </c>
      <c r="C354" s="36" t="s">
        <v>323</v>
      </c>
      <c r="D354" s="36" t="s">
        <v>324</v>
      </c>
      <c r="E354" s="36"/>
      <c r="F354" s="36" t="s">
        <v>325</v>
      </c>
      <c r="G354" s="36" t="s">
        <v>326</v>
      </c>
      <c r="H354" s="36" t="s">
        <v>327</v>
      </c>
      <c r="I354" s="36"/>
      <c r="J354" s="36">
        <v>5</v>
      </c>
      <c r="K354" s="36" t="s">
        <v>229</v>
      </c>
      <c r="L354" s="36" t="s">
        <v>532</v>
      </c>
      <c r="M354" s="36">
        <v>8</v>
      </c>
      <c r="N354" s="36">
        <f t="shared" si="58"/>
        <v>62.5</v>
      </c>
      <c r="O354" s="65">
        <v>0.74835128856737498</v>
      </c>
      <c r="P354" s="53">
        <f t="shared" si="59"/>
        <v>0.46771955535460935</v>
      </c>
      <c r="Q354" s="65">
        <v>2034.1549446951608</v>
      </c>
      <c r="R354" s="108">
        <f t="shared" si="60"/>
        <v>2.2993310149473492E-2</v>
      </c>
      <c r="S354" s="36">
        <v>1000</v>
      </c>
      <c r="T354" s="36">
        <v>1000</v>
      </c>
      <c r="U354" s="36"/>
      <c r="V354" s="36"/>
      <c r="W354" s="36"/>
      <c r="X354" s="36"/>
      <c r="Y354" s="37">
        <f t="shared" si="61"/>
        <v>2.2993310149473491E-4</v>
      </c>
      <c r="Z354" s="37">
        <f t="shared" si="63"/>
        <v>-8.3777221544163147</v>
      </c>
      <c r="AA354" s="149">
        <f t="shared" si="62"/>
        <v>-1.9263156384260957E-3</v>
      </c>
      <c r="AB354" s="37">
        <f>SUM(AA354:AA365)*-1</f>
        <v>1.6064252332776632</v>
      </c>
      <c r="AC354" s="98">
        <v>11</v>
      </c>
      <c r="AD354" s="98">
        <f t="shared" ref="AD354" si="67">LN(AC354)</f>
        <v>2.3978952727983707</v>
      </c>
      <c r="AE354" s="98">
        <f>(AB354/AD354)</f>
        <v>0.6699313566780366</v>
      </c>
    </row>
    <row r="355" spans="1:31" ht="20.25" customHeight="1">
      <c r="A355" s="35">
        <v>42144</v>
      </c>
      <c r="B355" s="36">
        <v>5</v>
      </c>
      <c r="C355" s="36" t="s">
        <v>223</v>
      </c>
      <c r="D355" s="36" t="s">
        <v>267</v>
      </c>
      <c r="E355" s="36" t="s">
        <v>278</v>
      </c>
      <c r="F355" s="36" t="s">
        <v>269</v>
      </c>
      <c r="G355" s="36" t="s">
        <v>333</v>
      </c>
      <c r="H355" s="36" t="s">
        <v>334</v>
      </c>
      <c r="I355" s="36"/>
      <c r="J355" s="36">
        <v>1</v>
      </c>
      <c r="K355" s="36" t="s">
        <v>229</v>
      </c>
      <c r="L355" s="36" t="s">
        <v>270</v>
      </c>
      <c r="M355" s="36">
        <v>8</v>
      </c>
      <c r="N355" s="36">
        <f t="shared" si="58"/>
        <v>12.5</v>
      </c>
      <c r="O355" s="65">
        <v>0.74835128856737498</v>
      </c>
      <c r="P355" s="53">
        <f t="shared" si="59"/>
        <v>9.3543911070921873E-2</v>
      </c>
      <c r="Q355" s="65">
        <v>2034.1549446951608</v>
      </c>
      <c r="R355" s="108">
        <f t="shared" si="60"/>
        <v>4.5986620298946986E-3</v>
      </c>
      <c r="S355" s="36">
        <v>1000</v>
      </c>
      <c r="T355" s="36">
        <v>1000</v>
      </c>
      <c r="U355" s="36"/>
      <c r="V355" s="36"/>
      <c r="W355" s="36"/>
      <c r="X355" s="36"/>
      <c r="Y355" s="37">
        <f t="shared" si="61"/>
        <v>4.5986620298946983E-5</v>
      </c>
      <c r="Z355" s="37">
        <f t="shared" si="63"/>
        <v>-9.9871600668504144</v>
      </c>
      <c r="AA355" s="149">
        <f t="shared" si="62"/>
        <v>-4.5927573785905596E-4</v>
      </c>
      <c r="AB355" s="37"/>
      <c r="AC355" s="98"/>
    </row>
    <row r="356" spans="1:31" ht="20.25" customHeight="1">
      <c r="A356" s="35">
        <v>42144</v>
      </c>
      <c r="B356" s="65">
        <v>5</v>
      </c>
      <c r="C356" s="36" t="s">
        <v>223</v>
      </c>
      <c r="D356" s="36" t="s">
        <v>267</v>
      </c>
      <c r="E356" s="36" t="s">
        <v>278</v>
      </c>
      <c r="F356" s="36" t="s">
        <v>279</v>
      </c>
      <c r="G356" s="36" t="s">
        <v>280</v>
      </c>
      <c r="H356" s="36" t="s">
        <v>284</v>
      </c>
      <c r="I356" s="36" t="s">
        <v>285</v>
      </c>
      <c r="J356" s="36">
        <v>1</v>
      </c>
      <c r="K356" s="36" t="s">
        <v>247</v>
      </c>
      <c r="L356" s="36" t="s">
        <v>283</v>
      </c>
      <c r="M356" s="36">
        <v>8</v>
      </c>
      <c r="N356" s="36">
        <f t="shared" si="58"/>
        <v>12.5</v>
      </c>
      <c r="O356" s="65">
        <v>0.74835128856737498</v>
      </c>
      <c r="P356" s="53">
        <f t="shared" si="59"/>
        <v>9.3543911070921873E-2</v>
      </c>
      <c r="Q356" s="65">
        <v>2034.1549446951601</v>
      </c>
      <c r="R356" s="108">
        <f t="shared" si="60"/>
        <v>4.5986620298947003E-3</v>
      </c>
      <c r="S356" s="36">
        <v>1000</v>
      </c>
      <c r="T356" s="36">
        <v>1000</v>
      </c>
      <c r="U356" s="36"/>
      <c r="V356" s="36"/>
      <c r="W356" s="36"/>
      <c r="X356" s="36"/>
      <c r="Y356" s="37">
        <f t="shared" si="61"/>
        <v>4.5986620298947003E-5</v>
      </c>
      <c r="Z356" s="37">
        <f t="shared" si="63"/>
        <v>-9.9871600668504144</v>
      </c>
      <c r="AA356" s="149">
        <f t="shared" si="62"/>
        <v>-4.5927573785905617E-4</v>
      </c>
      <c r="AB356" s="37"/>
      <c r="AC356" s="98"/>
    </row>
    <row r="357" spans="1:31" ht="20.25" customHeight="1">
      <c r="A357" s="35">
        <v>42144</v>
      </c>
      <c r="B357" s="36">
        <v>5</v>
      </c>
      <c r="C357" s="36" t="s">
        <v>223</v>
      </c>
      <c r="D357" s="36" t="s">
        <v>267</v>
      </c>
      <c r="E357" s="36" t="s">
        <v>278</v>
      </c>
      <c r="F357" s="36" t="s">
        <v>279</v>
      </c>
      <c r="G357" s="36" t="s">
        <v>280</v>
      </c>
      <c r="H357" s="36"/>
      <c r="I357" s="36"/>
      <c r="J357" s="36">
        <v>1</v>
      </c>
      <c r="K357" s="36" t="s">
        <v>594</v>
      </c>
      <c r="L357" s="36" t="s">
        <v>283</v>
      </c>
      <c r="M357" s="36">
        <v>8</v>
      </c>
      <c r="N357" s="36">
        <f t="shared" si="58"/>
        <v>12.5</v>
      </c>
      <c r="O357" s="65">
        <v>0.74835128856737498</v>
      </c>
      <c r="P357" s="53">
        <f t="shared" si="59"/>
        <v>9.3543911070921873E-2</v>
      </c>
      <c r="Q357" s="65">
        <v>2034.1549446951601</v>
      </c>
      <c r="R357" s="108">
        <f t="shared" si="60"/>
        <v>4.5986620298947003E-3</v>
      </c>
      <c r="S357" s="36">
        <v>1000</v>
      </c>
      <c r="T357" s="36">
        <v>1000</v>
      </c>
      <c r="U357" s="36"/>
      <c r="V357" s="36"/>
      <c r="W357" s="36"/>
      <c r="X357" s="36"/>
      <c r="Y357" s="37">
        <f t="shared" si="61"/>
        <v>4.5986620298947003E-5</v>
      </c>
      <c r="Z357" s="37">
        <f t="shared" si="63"/>
        <v>-9.9871600668504144</v>
      </c>
      <c r="AA357" s="149">
        <f t="shared" si="62"/>
        <v>-4.5927573785905617E-4</v>
      </c>
      <c r="AB357" s="37"/>
      <c r="AC357" s="98"/>
    </row>
    <row r="358" spans="1:31" ht="20.25" customHeight="1">
      <c r="A358" s="35">
        <v>42144</v>
      </c>
      <c r="B358" s="36">
        <v>5</v>
      </c>
      <c r="C358" s="65" t="s">
        <v>223</v>
      </c>
      <c r="D358" s="65" t="s">
        <v>224</v>
      </c>
      <c r="E358" s="65" t="s">
        <v>225</v>
      </c>
      <c r="F358" s="65" t="s">
        <v>226</v>
      </c>
      <c r="G358" s="65" t="s">
        <v>227</v>
      </c>
      <c r="H358" s="36" t="s">
        <v>228</v>
      </c>
      <c r="I358" s="36"/>
      <c r="J358" s="36">
        <v>20</v>
      </c>
      <c r="K358" s="36" t="s">
        <v>229</v>
      </c>
      <c r="L358" s="36" t="s">
        <v>228</v>
      </c>
      <c r="M358" s="36">
        <v>327</v>
      </c>
      <c r="N358" s="36">
        <f t="shared" si="58"/>
        <v>6.1162079510703364</v>
      </c>
      <c r="O358" s="36">
        <v>2033.4065934065934</v>
      </c>
      <c r="P358" s="53">
        <f t="shared" si="59"/>
        <v>124.36737574352253</v>
      </c>
      <c r="Q358" s="65">
        <v>2034.1549446951601</v>
      </c>
      <c r="R358" s="108">
        <f t="shared" si="60"/>
        <v>6.1139578412086166</v>
      </c>
      <c r="S358" s="36">
        <v>250</v>
      </c>
      <c r="T358" s="36">
        <v>250</v>
      </c>
      <c r="U358" s="36" t="s">
        <v>504</v>
      </c>
      <c r="V358" s="36"/>
      <c r="W358" s="36"/>
      <c r="X358" s="36"/>
      <c r="Y358" s="37">
        <f t="shared" si="61"/>
        <v>6.1139578412086164E-2</v>
      </c>
      <c r="Z358" s="37">
        <f t="shared" si="63"/>
        <v>-2.7945958579948718</v>
      </c>
      <c r="AA358" s="149">
        <f t="shared" si="62"/>
        <v>-0.17086041258996867</v>
      </c>
      <c r="AB358" s="37"/>
      <c r="AC358" s="98"/>
    </row>
    <row r="359" spans="1:31" ht="20.25" customHeight="1">
      <c r="A359" s="72">
        <v>42144</v>
      </c>
      <c r="B359" s="36">
        <v>5</v>
      </c>
      <c r="C359" s="65" t="s">
        <v>223</v>
      </c>
      <c r="D359" s="65" t="s">
        <v>303</v>
      </c>
      <c r="E359" s="65" t="s">
        <v>304</v>
      </c>
      <c r="F359" s="65" t="s">
        <v>305</v>
      </c>
      <c r="G359" s="65" t="s">
        <v>306</v>
      </c>
      <c r="H359" s="36" t="s">
        <v>307</v>
      </c>
      <c r="I359" s="36"/>
      <c r="J359" s="36">
        <v>3</v>
      </c>
      <c r="K359" s="36" t="s">
        <v>229</v>
      </c>
      <c r="L359" s="36" t="s">
        <v>307</v>
      </c>
      <c r="M359" s="36">
        <v>327</v>
      </c>
      <c r="N359" s="36">
        <f t="shared" si="58"/>
        <v>0.91743119266055051</v>
      </c>
      <c r="O359" s="36">
        <v>2033.4065934065934</v>
      </c>
      <c r="P359" s="53">
        <f t="shared" si="59"/>
        <v>18.655106361528382</v>
      </c>
      <c r="Q359" s="65">
        <v>2034.1549446951601</v>
      </c>
      <c r="R359" s="108">
        <f t="shared" si="60"/>
        <v>0.91709367618129267</v>
      </c>
      <c r="S359" s="36">
        <v>250</v>
      </c>
      <c r="T359" s="36">
        <v>250</v>
      </c>
      <c r="U359" s="36" t="s">
        <v>620</v>
      </c>
      <c r="V359" s="36"/>
      <c r="W359" s="36"/>
      <c r="X359" s="36"/>
      <c r="Y359" s="37">
        <f t="shared" si="61"/>
        <v>9.1709367618129263E-3</v>
      </c>
      <c r="Z359" s="37">
        <f t="shared" si="63"/>
        <v>-4.6917158428807531</v>
      </c>
      <c r="AA359" s="149">
        <f t="shared" si="62"/>
        <v>-4.3027429299455217E-2</v>
      </c>
      <c r="AB359" s="37"/>
      <c r="AC359" s="98"/>
    </row>
    <row r="360" spans="1:31" ht="20.25" customHeight="1">
      <c r="A360" s="72">
        <v>42144</v>
      </c>
      <c r="B360" s="36">
        <v>5</v>
      </c>
      <c r="C360" s="36" t="s">
        <v>223</v>
      </c>
      <c r="D360" s="36" t="s">
        <v>310</v>
      </c>
      <c r="E360" s="36" t="s">
        <v>314</v>
      </c>
      <c r="F360" s="36" t="s">
        <v>311</v>
      </c>
      <c r="G360" s="36" t="s">
        <v>315</v>
      </c>
      <c r="H360" s="36" t="s">
        <v>347</v>
      </c>
      <c r="I360" s="36"/>
      <c r="J360" s="36">
        <v>1</v>
      </c>
      <c r="K360" s="36" t="s">
        <v>229</v>
      </c>
      <c r="L360" s="36" t="s">
        <v>345</v>
      </c>
      <c r="M360" s="36">
        <v>327</v>
      </c>
      <c r="N360" s="36">
        <f t="shared" si="58"/>
        <v>0.3058103975535168</v>
      </c>
      <c r="O360" s="36">
        <v>2033.4065934065934</v>
      </c>
      <c r="P360" s="53">
        <f t="shared" si="59"/>
        <v>6.218368787176126</v>
      </c>
      <c r="Q360" s="65">
        <v>2034.1549446951601</v>
      </c>
      <c r="R360" s="108">
        <f t="shared" si="60"/>
        <v>0.3056978920604308</v>
      </c>
      <c r="S360" s="36">
        <v>250</v>
      </c>
      <c r="T360" s="36">
        <v>250</v>
      </c>
      <c r="U360" s="36"/>
      <c r="V360" s="36"/>
      <c r="W360" s="36"/>
      <c r="X360" s="36"/>
      <c r="Y360" s="37">
        <f t="shared" si="61"/>
        <v>3.0569789206043082E-3</v>
      </c>
      <c r="Z360" s="37">
        <f t="shared" si="63"/>
        <v>-5.7903281315488622</v>
      </c>
      <c r="AA360" s="149">
        <f t="shared" si="62"/>
        <v>-1.7700911041527E-2</v>
      </c>
      <c r="AB360" s="37"/>
      <c r="AC360" s="98"/>
    </row>
    <row r="361" spans="1:31" ht="20.25" customHeight="1">
      <c r="A361" s="72">
        <v>42144</v>
      </c>
      <c r="B361" s="36">
        <v>5</v>
      </c>
      <c r="C361" s="36" t="s">
        <v>223</v>
      </c>
      <c r="D361" s="36" t="s">
        <v>224</v>
      </c>
      <c r="E361" s="36" t="s">
        <v>225</v>
      </c>
      <c r="F361" s="36" t="s">
        <v>226</v>
      </c>
      <c r="G361" s="36" t="s">
        <v>239</v>
      </c>
      <c r="H361" s="36" t="s">
        <v>240</v>
      </c>
      <c r="I361" s="36"/>
      <c r="J361" s="36">
        <v>54</v>
      </c>
      <c r="K361" s="36" t="s">
        <v>229</v>
      </c>
      <c r="L361" s="36" t="s">
        <v>240</v>
      </c>
      <c r="M361" s="36">
        <v>327</v>
      </c>
      <c r="N361" s="36">
        <f t="shared" si="58"/>
        <v>16.513761467889911</v>
      </c>
      <c r="O361" s="36">
        <v>2033.4065934065934</v>
      </c>
      <c r="P361" s="53">
        <f t="shared" si="59"/>
        <v>335.79191450751085</v>
      </c>
      <c r="Q361" s="36">
        <v>2034.1549446951601</v>
      </c>
      <c r="R361" s="108">
        <f t="shared" si="60"/>
        <v>16.507686171263263</v>
      </c>
      <c r="S361" s="36">
        <v>250</v>
      </c>
      <c r="T361" s="36">
        <v>250</v>
      </c>
      <c r="U361" s="36"/>
      <c r="V361" s="36"/>
      <c r="W361" s="36"/>
      <c r="X361" s="36"/>
      <c r="Y361" s="37">
        <f t="shared" si="61"/>
        <v>0.16507686171263264</v>
      </c>
      <c r="Z361" s="37">
        <f t="shared" si="63"/>
        <v>-1.8013440849845883</v>
      </c>
      <c r="AA361" s="149">
        <f t="shared" si="62"/>
        <v>-0.29736022841386966</v>
      </c>
      <c r="AB361" s="37"/>
      <c r="AC361" s="98"/>
    </row>
    <row r="362" spans="1:31" ht="20.25" customHeight="1">
      <c r="A362" s="72">
        <v>42144</v>
      </c>
      <c r="B362" s="36">
        <v>5</v>
      </c>
      <c r="C362" s="65" t="s">
        <v>223</v>
      </c>
      <c r="D362" s="65" t="s">
        <v>224</v>
      </c>
      <c r="E362" s="65" t="s">
        <v>225</v>
      </c>
      <c r="F362" s="65" t="s">
        <v>248</v>
      </c>
      <c r="G362" s="65" t="s">
        <v>249</v>
      </c>
      <c r="H362" s="65" t="s">
        <v>250</v>
      </c>
      <c r="I362" s="36"/>
      <c r="J362" s="36">
        <v>15</v>
      </c>
      <c r="K362" s="36" t="s">
        <v>229</v>
      </c>
      <c r="L362" s="36" t="s">
        <v>250</v>
      </c>
      <c r="M362" s="36">
        <v>327</v>
      </c>
      <c r="N362" s="36">
        <f t="shared" si="58"/>
        <v>4.5871559633027523</v>
      </c>
      <c r="O362" s="36">
        <v>2033.4065934065934</v>
      </c>
      <c r="P362" s="53">
        <f t="shared" si="59"/>
        <v>93.275531807641897</v>
      </c>
      <c r="Q362" s="36">
        <v>2034.1549446951601</v>
      </c>
      <c r="R362" s="108">
        <f t="shared" si="60"/>
        <v>4.5854683809064625</v>
      </c>
      <c r="S362" s="36">
        <v>250</v>
      </c>
      <c r="T362" s="36">
        <v>250</v>
      </c>
      <c r="U362" s="36"/>
      <c r="V362" s="36"/>
      <c r="W362" s="36"/>
      <c r="X362" s="36"/>
      <c r="Y362" s="37">
        <f t="shared" si="61"/>
        <v>4.5854683809064628E-2</v>
      </c>
      <c r="Z362" s="37">
        <f t="shared" si="63"/>
        <v>-3.0822779304466525</v>
      </c>
      <c r="AA362" s="149">
        <f t="shared" si="62"/>
        <v>-0.14133687991228935</v>
      </c>
      <c r="AB362" s="37"/>
      <c r="AC362" s="98"/>
    </row>
    <row r="363" spans="1:31" ht="20.25" customHeight="1">
      <c r="A363" s="72">
        <v>42144</v>
      </c>
      <c r="B363" s="36">
        <v>5</v>
      </c>
      <c r="C363" s="65" t="s">
        <v>216</v>
      </c>
      <c r="D363" s="65" t="s">
        <v>217</v>
      </c>
      <c r="E363" s="65"/>
      <c r="F363" s="65"/>
      <c r="G363" s="65"/>
      <c r="H363" s="36" t="s">
        <v>647</v>
      </c>
      <c r="I363" s="36"/>
      <c r="J363" s="36">
        <v>97</v>
      </c>
      <c r="K363" s="36" t="s">
        <v>229</v>
      </c>
      <c r="L363" s="36" t="s">
        <v>219</v>
      </c>
      <c r="M363" s="36">
        <v>327</v>
      </c>
      <c r="N363" s="36">
        <f t="shared" si="58"/>
        <v>29.663608562691131</v>
      </c>
      <c r="O363" s="36">
        <v>2033.4065934065934</v>
      </c>
      <c r="P363" s="53">
        <f t="shared" si="59"/>
        <v>603.18177235608425</v>
      </c>
      <c r="Q363" s="36">
        <v>2034.1549446951601</v>
      </c>
      <c r="R363" s="108">
        <f t="shared" si="60"/>
        <v>29.652695529861788</v>
      </c>
      <c r="S363" s="36">
        <v>250</v>
      </c>
      <c r="T363" s="36">
        <v>250</v>
      </c>
      <c r="U363" s="36"/>
      <c r="V363" s="36"/>
      <c r="W363" s="36"/>
      <c r="X363" s="36"/>
      <c r="Y363" s="37">
        <f t="shared" si="61"/>
        <v>0.29652695529861789</v>
      </c>
      <c r="Z363" s="37">
        <f t="shared" si="63"/>
        <v>-1.2156171530454798</v>
      </c>
      <c r="AA363" s="149">
        <f t="shared" si="62"/>
        <v>-0.36046325320135014</v>
      </c>
      <c r="AB363" s="37"/>
      <c r="AC363" s="98"/>
    </row>
    <row r="364" spans="1:31" ht="20.25" customHeight="1">
      <c r="A364" s="72">
        <v>42144</v>
      </c>
      <c r="B364" s="36">
        <v>5</v>
      </c>
      <c r="C364" s="65" t="s">
        <v>223</v>
      </c>
      <c r="D364" s="65" t="s">
        <v>224</v>
      </c>
      <c r="E364" s="65" t="s">
        <v>225</v>
      </c>
      <c r="F364" s="65" t="s">
        <v>226</v>
      </c>
      <c r="G364" s="65" t="s">
        <v>253</v>
      </c>
      <c r="H364" s="36" t="s">
        <v>256</v>
      </c>
      <c r="I364" s="36"/>
      <c r="J364" s="36">
        <v>110</v>
      </c>
      <c r="K364" s="36" t="s">
        <v>229</v>
      </c>
      <c r="L364" s="36" t="s">
        <v>256</v>
      </c>
      <c r="M364" s="36">
        <v>327</v>
      </c>
      <c r="N364" s="36">
        <f t="shared" si="58"/>
        <v>33.63914373088685</v>
      </c>
      <c r="O364" s="36">
        <v>2033.4065934065934</v>
      </c>
      <c r="P364" s="53">
        <f t="shared" si="59"/>
        <v>684.02056658937397</v>
      </c>
      <c r="Q364" s="36">
        <v>2034.1549446951601</v>
      </c>
      <c r="R364" s="108">
        <f t="shared" si="60"/>
        <v>33.626768126647391</v>
      </c>
      <c r="S364" s="36">
        <v>250</v>
      </c>
      <c r="T364" s="36">
        <v>250</v>
      </c>
      <c r="U364" s="36"/>
      <c r="V364" s="36"/>
      <c r="W364" s="36"/>
      <c r="X364" s="36"/>
      <c r="Y364" s="37">
        <f t="shared" si="61"/>
        <v>0.33626768126647394</v>
      </c>
      <c r="Z364" s="37">
        <f t="shared" si="63"/>
        <v>-1.0898477657564463</v>
      </c>
      <c r="AA364" s="149">
        <f t="shared" si="62"/>
        <v>-0.36648058112436743</v>
      </c>
      <c r="AB364" s="37"/>
      <c r="AC364" s="98"/>
    </row>
    <row r="365" spans="1:31" ht="20.25" customHeight="1">
      <c r="A365" s="72">
        <v>42144</v>
      </c>
      <c r="B365" s="65">
        <v>5</v>
      </c>
      <c r="C365" s="65" t="s">
        <v>223</v>
      </c>
      <c r="D365" s="65" t="s">
        <v>224</v>
      </c>
      <c r="E365" s="65" t="s">
        <v>225</v>
      </c>
      <c r="F365" s="65" t="s">
        <v>226</v>
      </c>
      <c r="G365" s="65" t="s">
        <v>261</v>
      </c>
      <c r="H365" s="36" t="s">
        <v>262</v>
      </c>
      <c r="I365" s="36"/>
      <c r="J365" s="36">
        <v>27</v>
      </c>
      <c r="K365" s="36" t="s">
        <v>229</v>
      </c>
      <c r="L365" s="36" t="s">
        <v>264</v>
      </c>
      <c r="M365" s="36">
        <v>327</v>
      </c>
      <c r="N365" s="36">
        <f t="shared" si="58"/>
        <v>8.2568807339449553</v>
      </c>
      <c r="O365" s="36">
        <v>2033.4065934065934</v>
      </c>
      <c r="P365" s="53">
        <f t="shared" si="59"/>
        <v>167.89595725375543</v>
      </c>
      <c r="Q365" s="36">
        <v>2034.1549446951601</v>
      </c>
      <c r="R365" s="108">
        <f t="shared" si="60"/>
        <v>8.2538430856316314</v>
      </c>
      <c r="S365" s="36">
        <v>250</v>
      </c>
      <c r="T365" s="36">
        <v>250</v>
      </c>
      <c r="U365" s="36"/>
      <c r="V365" s="36"/>
      <c r="W365" s="36"/>
      <c r="X365" s="36"/>
      <c r="Y365" s="37">
        <f t="shared" si="61"/>
        <v>8.2538430856316319E-2</v>
      </c>
      <c r="Z365" s="37">
        <f t="shared" si="63"/>
        <v>-2.4944912655445335</v>
      </c>
      <c r="AA365" s="149">
        <f t="shared" si="62"/>
        <v>-0.20589139484283248</v>
      </c>
      <c r="AB365" s="37"/>
      <c r="AC365" s="98"/>
    </row>
    <row r="366" spans="1:31" ht="20.25" customHeight="1">
      <c r="A366" s="72">
        <v>42144</v>
      </c>
      <c r="B366" s="36">
        <v>4</v>
      </c>
      <c r="C366" s="65" t="s">
        <v>223</v>
      </c>
      <c r="D366" s="65" t="s">
        <v>267</v>
      </c>
      <c r="E366" s="65" t="s">
        <v>268</v>
      </c>
      <c r="F366" s="65" t="s">
        <v>269</v>
      </c>
      <c r="G366" s="65"/>
      <c r="H366" s="36" t="s">
        <v>542</v>
      </c>
      <c r="I366" s="36" t="s">
        <v>543</v>
      </c>
      <c r="J366" s="65">
        <v>1</v>
      </c>
      <c r="K366" s="65" t="s">
        <v>247</v>
      </c>
      <c r="L366" s="65" t="s">
        <v>270</v>
      </c>
      <c r="M366" s="36">
        <v>21</v>
      </c>
      <c r="N366" s="36">
        <f t="shared" si="58"/>
        <v>4.7619047619047619</v>
      </c>
      <c r="O366" s="65">
        <v>2.6737967914438503</v>
      </c>
      <c r="P366" s="53">
        <f t="shared" si="59"/>
        <v>0.12732365673542143</v>
      </c>
      <c r="Q366" s="36">
        <v>2997.3385198235137</v>
      </c>
      <c r="R366" s="108">
        <f t="shared" si="60"/>
        <v>4.2478904499221653E-3</v>
      </c>
      <c r="S366" s="65">
        <v>1000</v>
      </c>
      <c r="T366" s="65">
        <v>1000</v>
      </c>
      <c r="U366" s="65">
        <f>SUM(R366:R382)</f>
        <v>100.00000000000013</v>
      </c>
      <c r="V366" s="65"/>
      <c r="W366" s="65"/>
      <c r="X366" s="36"/>
      <c r="Y366" s="37">
        <f t="shared" si="61"/>
        <v>4.2478904499221651E-5</v>
      </c>
      <c r="Z366" s="37">
        <f t="shared" si="63"/>
        <v>-10.066502969987848</v>
      </c>
      <c r="AA366" s="149">
        <f t="shared" si="62"/>
        <v>-4.2761401830324492E-4</v>
      </c>
      <c r="AB366" s="37">
        <f>SUM(AA366:AA382)*-1</f>
        <v>1.0970694506364438</v>
      </c>
      <c r="AC366" s="98">
        <v>16</v>
      </c>
      <c r="AD366" s="98">
        <f t="shared" ref="AD366" si="68">LN(AC366)</f>
        <v>2.7725887222397811</v>
      </c>
      <c r="AE366" s="98">
        <f>(AB366/AD366)</f>
        <v>0.39568416398599426</v>
      </c>
    </row>
    <row r="367" spans="1:31" ht="20.25" customHeight="1">
      <c r="A367" s="72">
        <v>42144</v>
      </c>
      <c r="B367" s="36">
        <v>4</v>
      </c>
      <c r="C367" s="36" t="s">
        <v>209</v>
      </c>
      <c r="D367" s="36" t="s">
        <v>210</v>
      </c>
      <c r="E367" s="36"/>
      <c r="F367" s="36" t="s">
        <v>211</v>
      </c>
      <c r="G367" s="36" t="s">
        <v>212</v>
      </c>
      <c r="H367" s="36" t="s">
        <v>213</v>
      </c>
      <c r="I367" s="36" t="s">
        <v>214</v>
      </c>
      <c r="J367" s="36">
        <v>1</v>
      </c>
      <c r="K367" s="36" t="s">
        <v>247</v>
      </c>
      <c r="L367" s="36" t="s">
        <v>215</v>
      </c>
      <c r="M367" s="36">
        <v>21</v>
      </c>
      <c r="N367" s="36">
        <f t="shared" si="58"/>
        <v>4.7619047619047619</v>
      </c>
      <c r="O367" s="65">
        <v>2.6737967914438503</v>
      </c>
      <c r="P367" s="53">
        <f t="shared" si="59"/>
        <v>0.12732365673542143</v>
      </c>
      <c r="Q367" s="36">
        <v>2997.3385198235137</v>
      </c>
      <c r="R367" s="108">
        <f t="shared" si="60"/>
        <v>4.2478904499221653E-3</v>
      </c>
      <c r="S367" s="65">
        <v>1000</v>
      </c>
      <c r="T367" s="65">
        <v>1000</v>
      </c>
      <c r="U367" s="65"/>
      <c r="V367" s="65"/>
      <c r="W367" s="145"/>
      <c r="X367" s="36"/>
      <c r="Y367" s="37">
        <f t="shared" si="61"/>
        <v>4.2478904499221651E-5</v>
      </c>
      <c r="Z367" s="37">
        <f t="shared" si="63"/>
        <v>-10.066502969987848</v>
      </c>
      <c r="AA367" s="149">
        <f t="shared" si="62"/>
        <v>-4.2761401830324492E-4</v>
      </c>
      <c r="AB367" s="37"/>
      <c r="AC367" s="98"/>
    </row>
    <row r="368" spans="1:31" ht="20.25" customHeight="1">
      <c r="A368" s="72">
        <v>42144</v>
      </c>
      <c r="B368" s="36">
        <v>4</v>
      </c>
      <c r="C368" s="36" t="s">
        <v>323</v>
      </c>
      <c r="D368" s="36" t="s">
        <v>324</v>
      </c>
      <c r="E368" s="36"/>
      <c r="F368" s="36" t="s">
        <v>325</v>
      </c>
      <c r="G368" s="65" t="s">
        <v>326</v>
      </c>
      <c r="H368" s="65" t="s">
        <v>327</v>
      </c>
      <c r="I368" s="36"/>
      <c r="J368" s="36">
        <v>7</v>
      </c>
      <c r="K368" s="36" t="s">
        <v>229</v>
      </c>
      <c r="L368" s="36" t="s">
        <v>532</v>
      </c>
      <c r="M368" s="36">
        <v>21</v>
      </c>
      <c r="N368" s="36">
        <f t="shared" si="58"/>
        <v>33.333333333333329</v>
      </c>
      <c r="O368" s="65">
        <v>2.6737967914438503</v>
      </c>
      <c r="P368" s="53">
        <f t="shared" si="59"/>
        <v>0.89126559714794995</v>
      </c>
      <c r="Q368" s="36">
        <v>2997.3385198235101</v>
      </c>
      <c r="R368" s="108">
        <f t="shared" si="60"/>
        <v>2.9735233149455195E-2</v>
      </c>
      <c r="S368" s="65">
        <v>1000</v>
      </c>
      <c r="T368" s="65">
        <v>1000</v>
      </c>
      <c r="U368" s="65"/>
      <c r="V368" s="65"/>
      <c r="W368" s="145"/>
      <c r="X368" s="36"/>
      <c r="Y368" s="37">
        <f t="shared" si="61"/>
        <v>2.9735233149455194E-4</v>
      </c>
      <c r="Z368" s="37">
        <f t="shared" si="63"/>
        <v>-8.1205928209325347</v>
      </c>
      <c r="AA368" s="149">
        <f t="shared" si="62"/>
        <v>-2.4146772084222097E-3</v>
      </c>
      <c r="AB368" s="37"/>
      <c r="AC368" s="98"/>
    </row>
    <row r="369" spans="1:31" ht="20.25" customHeight="1">
      <c r="A369" s="35">
        <v>42144</v>
      </c>
      <c r="B369" s="36">
        <v>4</v>
      </c>
      <c r="C369" s="36" t="s">
        <v>288</v>
      </c>
      <c r="D369" s="36" t="s">
        <v>289</v>
      </c>
      <c r="E369" s="36"/>
      <c r="F369" s="36"/>
      <c r="G369" s="65"/>
      <c r="H369" s="65" t="s">
        <v>293</v>
      </c>
      <c r="I369" s="36" t="s">
        <v>541</v>
      </c>
      <c r="J369" s="36">
        <v>3</v>
      </c>
      <c r="K369" s="36" t="s">
        <v>247</v>
      </c>
      <c r="L369" s="36" t="s">
        <v>294</v>
      </c>
      <c r="M369" s="36">
        <v>21</v>
      </c>
      <c r="N369" s="36">
        <f t="shared" si="58"/>
        <v>14.285714285714285</v>
      </c>
      <c r="O369" s="65">
        <v>2.6737967914438503</v>
      </c>
      <c r="P369" s="53">
        <f t="shared" si="59"/>
        <v>0.3819709702062643</v>
      </c>
      <c r="Q369" s="65">
        <v>2997.3385198235101</v>
      </c>
      <c r="R369" s="108">
        <f t="shared" si="60"/>
        <v>1.2743671349766512E-2</v>
      </c>
      <c r="S369" s="65">
        <v>1000</v>
      </c>
      <c r="T369" s="65">
        <v>1000</v>
      </c>
      <c r="U369" s="65"/>
      <c r="V369" s="65"/>
      <c r="W369" s="65"/>
      <c r="X369" s="36"/>
      <c r="Y369" s="37">
        <f t="shared" si="61"/>
        <v>1.2743671349766512E-4</v>
      </c>
      <c r="Z369" s="37">
        <f t="shared" si="63"/>
        <v>-8.9678906813197372</v>
      </c>
      <c r="AA369" s="149">
        <f t="shared" si="62"/>
        <v>-1.1428385154337241E-3</v>
      </c>
      <c r="AB369" s="37"/>
      <c r="AC369" s="98"/>
    </row>
    <row r="370" spans="1:31" ht="20.25" customHeight="1">
      <c r="A370" s="35">
        <v>42144</v>
      </c>
      <c r="B370" s="36">
        <v>4</v>
      </c>
      <c r="C370" s="36" t="s">
        <v>223</v>
      </c>
      <c r="D370" s="36" t="s">
        <v>267</v>
      </c>
      <c r="E370" s="36" t="s">
        <v>278</v>
      </c>
      <c r="F370" s="36" t="s">
        <v>279</v>
      </c>
      <c r="G370" s="65" t="s">
        <v>280</v>
      </c>
      <c r="H370" s="65"/>
      <c r="I370" s="36"/>
      <c r="J370" s="36">
        <v>1</v>
      </c>
      <c r="K370" s="36" t="s">
        <v>509</v>
      </c>
      <c r="L370" s="36" t="s">
        <v>283</v>
      </c>
      <c r="M370" s="36">
        <v>21</v>
      </c>
      <c r="N370" s="36">
        <f t="shared" si="58"/>
        <v>4.7619047619047619</v>
      </c>
      <c r="O370" s="65">
        <v>2.6737967914438503</v>
      </c>
      <c r="P370" s="53">
        <f t="shared" si="59"/>
        <v>0.12732365673542143</v>
      </c>
      <c r="Q370" s="36">
        <v>2997.3385198235101</v>
      </c>
      <c r="R370" s="108">
        <f t="shared" si="60"/>
        <v>4.2478904499221705E-3</v>
      </c>
      <c r="S370" s="65">
        <v>1000</v>
      </c>
      <c r="T370" s="65">
        <v>1000</v>
      </c>
      <c r="U370" s="65"/>
      <c r="V370" s="65"/>
      <c r="W370" s="65"/>
      <c r="X370" s="36"/>
      <c r="Y370" s="37">
        <f t="shared" si="61"/>
        <v>4.2478904499221705E-5</v>
      </c>
      <c r="Z370" s="37">
        <f t="shared" si="63"/>
        <v>-10.066502969987848</v>
      </c>
      <c r="AA370" s="149">
        <f t="shared" si="62"/>
        <v>-4.2761401830324546E-4</v>
      </c>
      <c r="AB370" s="37"/>
      <c r="AC370" s="98"/>
    </row>
    <row r="371" spans="1:31" ht="20.25" customHeight="1">
      <c r="A371" s="35">
        <v>42144</v>
      </c>
      <c r="B371" s="65">
        <v>4</v>
      </c>
      <c r="C371" s="36" t="s">
        <v>223</v>
      </c>
      <c r="D371" s="36" t="s">
        <v>267</v>
      </c>
      <c r="E371" s="36" t="s">
        <v>278</v>
      </c>
      <c r="F371" s="36" t="s">
        <v>279</v>
      </c>
      <c r="G371" s="36" t="s">
        <v>280</v>
      </c>
      <c r="H371" s="36" t="s">
        <v>284</v>
      </c>
      <c r="I371" s="36" t="s">
        <v>285</v>
      </c>
      <c r="J371" s="36">
        <v>8</v>
      </c>
      <c r="K371" s="36" t="s">
        <v>247</v>
      </c>
      <c r="L371" s="36" t="s">
        <v>283</v>
      </c>
      <c r="M371" s="36">
        <v>21</v>
      </c>
      <c r="N371" s="36">
        <f t="shared" si="58"/>
        <v>38.095238095238095</v>
      </c>
      <c r="O371" s="65">
        <v>2.6737967914438503</v>
      </c>
      <c r="P371" s="53">
        <f t="shared" si="59"/>
        <v>1.0185892538833714</v>
      </c>
      <c r="Q371" s="36">
        <v>2997.3385198235101</v>
      </c>
      <c r="R371" s="108">
        <f t="shared" si="60"/>
        <v>3.3983123599377364E-2</v>
      </c>
      <c r="S371" s="65">
        <v>1000</v>
      </c>
      <c r="T371" s="65">
        <v>1000</v>
      </c>
      <c r="U371" s="65"/>
      <c r="V371" s="65"/>
      <c r="W371" s="65"/>
      <c r="X371" s="36"/>
      <c r="Y371" s="37">
        <f t="shared" si="61"/>
        <v>3.3983123599377364E-4</v>
      </c>
      <c r="Z371" s="37">
        <f t="shared" si="63"/>
        <v>-7.9870614283080119</v>
      </c>
      <c r="AA371" s="149">
        <f t="shared" si="62"/>
        <v>-2.7142529571401067E-3</v>
      </c>
      <c r="AB371" s="37"/>
      <c r="AC371" s="98"/>
    </row>
    <row r="372" spans="1:31" ht="20.25" customHeight="1">
      <c r="A372" s="35">
        <v>42144</v>
      </c>
      <c r="B372" s="36">
        <v>4</v>
      </c>
      <c r="C372" s="36" t="s">
        <v>223</v>
      </c>
      <c r="D372" s="36" t="s">
        <v>224</v>
      </c>
      <c r="E372" s="36" t="s">
        <v>225</v>
      </c>
      <c r="F372" s="36" t="s">
        <v>226</v>
      </c>
      <c r="G372" s="36" t="s">
        <v>227</v>
      </c>
      <c r="H372" s="36" t="s">
        <v>228</v>
      </c>
      <c r="I372" s="36"/>
      <c r="J372" s="36">
        <v>20</v>
      </c>
      <c r="K372" s="36" t="s">
        <v>229</v>
      </c>
      <c r="L372" s="36" t="s">
        <v>228</v>
      </c>
      <c r="M372" s="36">
        <v>229</v>
      </c>
      <c r="N372" s="36">
        <f t="shared" si="58"/>
        <v>8.7336244541484707</v>
      </c>
      <c r="O372" s="36">
        <v>2994.66472303207</v>
      </c>
      <c r="P372" s="53">
        <f t="shared" si="59"/>
        <v>261.54277057048643</v>
      </c>
      <c r="Q372" s="36">
        <v>2997.3385198235101</v>
      </c>
      <c r="R372" s="108">
        <f t="shared" si="60"/>
        <v>8.7258335633669653</v>
      </c>
      <c r="S372" s="65">
        <v>250</v>
      </c>
      <c r="T372" s="65">
        <v>250</v>
      </c>
      <c r="U372" s="65"/>
      <c r="V372" s="65"/>
      <c r="W372" s="65"/>
      <c r="X372" s="36"/>
      <c r="Y372" s="37">
        <f t="shared" si="61"/>
        <v>8.7258335633669651E-2</v>
      </c>
      <c r="Z372" s="37">
        <f t="shared" si="63"/>
        <v>-2.4388821851143532</v>
      </c>
      <c r="AA372" s="149">
        <f t="shared" si="62"/>
        <v>-0.21281280027968585</v>
      </c>
      <c r="AB372" s="37"/>
      <c r="AC372" s="98"/>
    </row>
    <row r="373" spans="1:31" ht="20.25" customHeight="1">
      <c r="A373" s="35">
        <v>42144</v>
      </c>
      <c r="B373" s="36">
        <v>4</v>
      </c>
      <c r="C373" s="36" t="s">
        <v>223</v>
      </c>
      <c r="D373" s="36" t="s">
        <v>224</v>
      </c>
      <c r="E373" s="36" t="s">
        <v>225</v>
      </c>
      <c r="F373" s="36" t="s">
        <v>226</v>
      </c>
      <c r="G373" s="65" t="s">
        <v>232</v>
      </c>
      <c r="H373" s="65" t="s">
        <v>233</v>
      </c>
      <c r="I373" s="36"/>
      <c r="J373" s="36">
        <v>1</v>
      </c>
      <c r="K373" s="36" t="s">
        <v>229</v>
      </c>
      <c r="L373" s="36" t="s">
        <v>233</v>
      </c>
      <c r="M373" s="36">
        <v>229</v>
      </c>
      <c r="N373" s="36">
        <f t="shared" si="58"/>
        <v>0.43668122270742354</v>
      </c>
      <c r="O373" s="36">
        <v>2994.66472303207</v>
      </c>
      <c r="P373" s="53">
        <f t="shared" si="59"/>
        <v>13.077138528524323</v>
      </c>
      <c r="Q373" s="36">
        <v>2997.3385198235101</v>
      </c>
      <c r="R373" s="108">
        <f t="shared" si="60"/>
        <v>0.43629167816834835</v>
      </c>
      <c r="S373" s="65">
        <v>250</v>
      </c>
      <c r="T373" s="65">
        <v>250</v>
      </c>
      <c r="U373" s="65"/>
      <c r="V373" s="65"/>
      <c r="W373" s="65"/>
      <c r="X373" s="36"/>
      <c r="Y373" s="37">
        <f t="shared" si="61"/>
        <v>4.3629167816834832E-3</v>
      </c>
      <c r="Z373" s="37">
        <f t="shared" si="63"/>
        <v>-5.434614458668344</v>
      </c>
      <c r="AA373" s="149">
        <f t="shared" si="62"/>
        <v>-2.3710770623703817E-2</v>
      </c>
      <c r="AB373" s="37"/>
      <c r="AC373" s="98"/>
    </row>
    <row r="374" spans="1:31" ht="20.25" customHeight="1">
      <c r="A374" s="35">
        <v>42144</v>
      </c>
      <c r="B374" s="36">
        <v>4</v>
      </c>
      <c r="C374" s="65" t="s">
        <v>223</v>
      </c>
      <c r="D374" s="65" t="s">
        <v>310</v>
      </c>
      <c r="E374" s="65" t="s">
        <v>314</v>
      </c>
      <c r="F374" s="65" t="s">
        <v>311</v>
      </c>
      <c r="G374" s="65" t="s">
        <v>315</v>
      </c>
      <c r="H374" s="65" t="s">
        <v>316</v>
      </c>
      <c r="I374" s="36"/>
      <c r="J374" s="36">
        <v>1</v>
      </c>
      <c r="K374" s="36" t="s">
        <v>229</v>
      </c>
      <c r="L374" s="36" t="s">
        <v>345</v>
      </c>
      <c r="M374" s="36">
        <v>229</v>
      </c>
      <c r="N374" s="36">
        <f t="shared" si="58"/>
        <v>0.43668122270742354</v>
      </c>
      <c r="O374" s="36">
        <v>2994.66472303207</v>
      </c>
      <c r="P374" s="53">
        <f t="shared" si="59"/>
        <v>13.077138528524323</v>
      </c>
      <c r="Q374" s="36">
        <v>2997.3385198235101</v>
      </c>
      <c r="R374" s="108">
        <f t="shared" si="60"/>
        <v>0.43629167816834835</v>
      </c>
      <c r="S374" s="65">
        <v>250</v>
      </c>
      <c r="T374" s="65">
        <v>250</v>
      </c>
      <c r="U374" s="65"/>
      <c r="V374" s="65"/>
      <c r="W374" s="65"/>
      <c r="X374" s="36"/>
      <c r="Y374" s="37">
        <f t="shared" si="61"/>
        <v>4.3629167816834832E-3</v>
      </c>
      <c r="Z374" s="37">
        <f t="shared" si="63"/>
        <v>-5.434614458668344</v>
      </c>
      <c r="AA374" s="149">
        <f t="shared" si="62"/>
        <v>-2.3710770623703817E-2</v>
      </c>
      <c r="AB374" s="37"/>
      <c r="AC374" s="98"/>
    </row>
    <row r="375" spans="1:31" ht="20.25" customHeight="1">
      <c r="A375" s="35">
        <v>42144</v>
      </c>
      <c r="B375" s="36">
        <v>4</v>
      </c>
      <c r="C375" s="65" t="s">
        <v>223</v>
      </c>
      <c r="D375" s="65" t="s">
        <v>224</v>
      </c>
      <c r="E375" s="65" t="s">
        <v>225</v>
      </c>
      <c r="F375" s="65" t="s">
        <v>226</v>
      </c>
      <c r="G375" s="65" t="s">
        <v>239</v>
      </c>
      <c r="H375" s="65" t="s">
        <v>240</v>
      </c>
      <c r="I375" s="36"/>
      <c r="J375" s="36">
        <v>162</v>
      </c>
      <c r="K375" s="36" t="s">
        <v>229</v>
      </c>
      <c r="L375" s="36" t="s">
        <v>240</v>
      </c>
      <c r="M375" s="36">
        <v>229</v>
      </c>
      <c r="N375" s="36">
        <f t="shared" si="58"/>
        <v>70.742358078602621</v>
      </c>
      <c r="O375" s="65">
        <v>2994.66472303207</v>
      </c>
      <c r="P375" s="53">
        <f t="shared" si="59"/>
        <v>2118.4964416209405</v>
      </c>
      <c r="Q375" s="36">
        <v>2997.3385198235101</v>
      </c>
      <c r="R375" s="108">
        <f t="shared" si="60"/>
        <v>70.679251863272427</v>
      </c>
      <c r="S375" s="65">
        <v>250</v>
      </c>
      <c r="T375" s="65">
        <v>250</v>
      </c>
      <c r="U375" s="65"/>
      <c r="V375" s="65"/>
      <c r="W375" s="65"/>
      <c r="X375" s="36"/>
      <c r="Y375" s="37">
        <f t="shared" si="61"/>
        <v>0.7067925186327243</v>
      </c>
      <c r="Z375" s="37">
        <f t="shared" si="63"/>
        <v>-0.34701812343595978</v>
      </c>
      <c r="AA375" s="149">
        <f t="shared" si="62"/>
        <v>-0.24526981347450363</v>
      </c>
      <c r="AB375" s="37"/>
      <c r="AC375" s="98"/>
    </row>
    <row r="376" spans="1:31" ht="20.25" customHeight="1">
      <c r="A376" s="35">
        <v>42144</v>
      </c>
      <c r="B376" s="36">
        <v>4</v>
      </c>
      <c r="C376" s="65" t="s">
        <v>223</v>
      </c>
      <c r="D376" s="65" t="s">
        <v>224</v>
      </c>
      <c r="E376" s="65" t="s">
        <v>225</v>
      </c>
      <c r="F376" s="65" t="s">
        <v>243</v>
      </c>
      <c r="G376" s="65" t="s">
        <v>244</v>
      </c>
      <c r="H376" s="36" t="s">
        <v>245</v>
      </c>
      <c r="I376" s="36" t="s">
        <v>246</v>
      </c>
      <c r="J376" s="36">
        <v>1</v>
      </c>
      <c r="K376" s="36" t="s">
        <v>247</v>
      </c>
      <c r="L376" s="36" t="s">
        <v>357</v>
      </c>
      <c r="M376" s="36">
        <v>229</v>
      </c>
      <c r="N376" s="36">
        <f t="shared" si="58"/>
        <v>0.43668122270742354</v>
      </c>
      <c r="O376" s="65">
        <v>2994.66472303207</v>
      </c>
      <c r="P376" s="53">
        <f t="shared" si="59"/>
        <v>13.077138528524323</v>
      </c>
      <c r="Q376" s="36">
        <v>2997.3385198235101</v>
      </c>
      <c r="R376" s="108">
        <f t="shared" si="60"/>
        <v>0.43629167816834835</v>
      </c>
      <c r="S376" s="65">
        <v>250</v>
      </c>
      <c r="T376" s="65">
        <v>250</v>
      </c>
      <c r="U376" s="65"/>
      <c r="V376" s="65"/>
      <c r="W376" s="65"/>
      <c r="X376" s="36"/>
      <c r="Y376" s="37">
        <f t="shared" si="61"/>
        <v>4.3629167816834832E-3</v>
      </c>
      <c r="Z376" s="37">
        <f t="shared" si="63"/>
        <v>-5.434614458668344</v>
      </c>
      <c r="AA376" s="149">
        <f t="shared" si="62"/>
        <v>-2.3710770623703817E-2</v>
      </c>
      <c r="AB376" s="37"/>
      <c r="AC376" s="98"/>
    </row>
    <row r="377" spans="1:31" ht="20.25" customHeight="1">
      <c r="A377" s="35">
        <v>42144</v>
      </c>
      <c r="B377" s="36">
        <v>4</v>
      </c>
      <c r="C377" s="36" t="s">
        <v>223</v>
      </c>
      <c r="D377" s="36" t="s">
        <v>224</v>
      </c>
      <c r="E377" s="36" t="s">
        <v>225</v>
      </c>
      <c r="F377" s="36" t="s">
        <v>248</v>
      </c>
      <c r="G377" s="36" t="s">
        <v>249</v>
      </c>
      <c r="H377" s="36" t="s">
        <v>250</v>
      </c>
      <c r="I377" s="36"/>
      <c r="J377" s="36">
        <v>5</v>
      </c>
      <c r="K377" s="36" t="s">
        <v>229</v>
      </c>
      <c r="L377" s="36" t="s">
        <v>250</v>
      </c>
      <c r="M377" s="36">
        <v>229</v>
      </c>
      <c r="N377" s="36">
        <f t="shared" ref="N377:N440" si="69">J377/M377*100</f>
        <v>2.1834061135371177</v>
      </c>
      <c r="O377" s="65">
        <v>2994.66472303207</v>
      </c>
      <c r="P377" s="53">
        <f t="shared" ref="P377:P440" si="70">(N377/100)*O377</f>
        <v>65.385692642621606</v>
      </c>
      <c r="Q377" s="65">
        <v>2997.3385198235101</v>
      </c>
      <c r="R377" s="108">
        <f t="shared" ref="R377:R440" si="71">P377/Q377*100</f>
        <v>2.1814583908417413</v>
      </c>
      <c r="S377" s="36">
        <v>250</v>
      </c>
      <c r="T377" s="36">
        <v>250</v>
      </c>
      <c r="U377" s="36"/>
      <c r="V377" s="36"/>
      <c r="W377" s="36"/>
      <c r="X377" s="36"/>
      <c r="Y377" s="37">
        <f t="shared" si="61"/>
        <v>2.1814583908417413E-2</v>
      </c>
      <c r="Z377" s="37">
        <f t="shared" si="63"/>
        <v>-3.8251765462342435</v>
      </c>
      <c r="AA377" s="149">
        <f t="shared" si="62"/>
        <v>-8.3444634732337222E-2</v>
      </c>
      <c r="AB377" s="37"/>
      <c r="AC377" s="98"/>
    </row>
    <row r="378" spans="1:31" ht="20.25" customHeight="1">
      <c r="A378" s="35">
        <v>42144</v>
      </c>
      <c r="B378" s="36">
        <v>4</v>
      </c>
      <c r="C378" s="65" t="s">
        <v>223</v>
      </c>
      <c r="D378" s="65" t="s">
        <v>224</v>
      </c>
      <c r="E378" s="65" t="s">
        <v>225</v>
      </c>
      <c r="F378" s="65" t="s">
        <v>226</v>
      </c>
      <c r="G378" s="65" t="s">
        <v>355</v>
      </c>
      <c r="H378" s="36" t="s">
        <v>356</v>
      </c>
      <c r="I378" s="36"/>
      <c r="J378" s="36">
        <v>1</v>
      </c>
      <c r="K378" s="36" t="s">
        <v>229</v>
      </c>
      <c r="L378" s="36" t="s">
        <v>356</v>
      </c>
      <c r="M378" s="36">
        <v>229</v>
      </c>
      <c r="N378" s="36">
        <f t="shared" si="69"/>
        <v>0.43668122270742354</v>
      </c>
      <c r="O378" s="65">
        <v>2994.66472303207</v>
      </c>
      <c r="P378" s="53">
        <f t="shared" si="70"/>
        <v>13.077138528524323</v>
      </c>
      <c r="Q378" s="65">
        <v>2997.3385198235101</v>
      </c>
      <c r="R378" s="108">
        <f t="shared" si="71"/>
        <v>0.43629167816834835</v>
      </c>
      <c r="S378" s="36">
        <v>250</v>
      </c>
      <c r="T378" s="36">
        <v>250</v>
      </c>
      <c r="U378" s="36"/>
      <c r="V378" s="36"/>
      <c r="W378" s="36"/>
      <c r="X378" s="36"/>
      <c r="Y378" s="37">
        <f t="shared" si="61"/>
        <v>4.3629167816834832E-3</v>
      </c>
      <c r="Z378" s="37">
        <f t="shared" si="63"/>
        <v>-5.434614458668344</v>
      </c>
      <c r="AA378" s="149">
        <f t="shared" si="62"/>
        <v>-2.3710770623703817E-2</v>
      </c>
      <c r="AB378" s="37"/>
      <c r="AC378" s="98"/>
    </row>
    <row r="379" spans="1:31" ht="20.25" customHeight="1">
      <c r="A379" s="35">
        <v>42144</v>
      </c>
      <c r="B379" s="36">
        <v>4</v>
      </c>
      <c r="C379" s="65" t="s">
        <v>216</v>
      </c>
      <c r="D379" s="65" t="s">
        <v>217</v>
      </c>
      <c r="E379" s="65"/>
      <c r="F379" s="65"/>
      <c r="G379" s="65"/>
      <c r="H379" s="36" t="s">
        <v>647</v>
      </c>
      <c r="I379" s="36"/>
      <c r="J379" s="36">
        <v>8</v>
      </c>
      <c r="K379" s="36" t="s">
        <v>229</v>
      </c>
      <c r="L379" s="36" t="s">
        <v>219</v>
      </c>
      <c r="M379" s="36">
        <v>229</v>
      </c>
      <c r="N379" s="36">
        <f t="shared" si="69"/>
        <v>3.4934497816593884</v>
      </c>
      <c r="O379" s="65">
        <v>2994.66472303207</v>
      </c>
      <c r="P379" s="53">
        <f t="shared" si="70"/>
        <v>104.61710822819458</v>
      </c>
      <c r="Q379" s="65">
        <v>2997.3385198235101</v>
      </c>
      <c r="R379" s="108">
        <f t="shared" si="71"/>
        <v>3.4903334253467868</v>
      </c>
      <c r="S379" s="36">
        <v>250</v>
      </c>
      <c r="T379" s="36">
        <v>250</v>
      </c>
      <c r="U379" s="36"/>
      <c r="V379" s="36"/>
      <c r="W379" s="36"/>
      <c r="X379" s="36"/>
      <c r="Y379" s="37">
        <f t="shared" si="61"/>
        <v>3.4903334253467866E-2</v>
      </c>
      <c r="Z379" s="37">
        <f t="shared" si="63"/>
        <v>-3.3551729169885078</v>
      </c>
      <c r="AA379" s="149">
        <f t="shared" si="62"/>
        <v>-0.11710672179983268</v>
      </c>
      <c r="AB379" s="37"/>
      <c r="AC379" s="98"/>
    </row>
    <row r="380" spans="1:31" ht="20.25" customHeight="1">
      <c r="A380" s="35">
        <v>42144</v>
      </c>
      <c r="B380" s="36">
        <v>4</v>
      </c>
      <c r="C380" s="53" t="s">
        <v>223</v>
      </c>
      <c r="D380" s="53" t="s">
        <v>224</v>
      </c>
      <c r="E380" s="53" t="s">
        <v>225</v>
      </c>
      <c r="F380" s="53" t="s">
        <v>226</v>
      </c>
      <c r="G380" s="53" t="s">
        <v>253</v>
      </c>
      <c r="H380" s="65" t="s">
        <v>256</v>
      </c>
      <c r="I380" s="36"/>
      <c r="J380" s="36">
        <v>25</v>
      </c>
      <c r="K380" s="36" t="s">
        <v>229</v>
      </c>
      <c r="L380" s="36" t="s">
        <v>256</v>
      </c>
      <c r="M380" s="36">
        <v>229</v>
      </c>
      <c r="N380" s="36">
        <f t="shared" si="69"/>
        <v>10.91703056768559</v>
      </c>
      <c r="O380" s="65">
        <v>2994.66472303207</v>
      </c>
      <c r="P380" s="53">
        <f t="shared" si="70"/>
        <v>326.9284632131081</v>
      </c>
      <c r="Q380" s="65">
        <v>2997.3385198235101</v>
      </c>
      <c r="R380" s="108">
        <f t="shared" si="71"/>
        <v>10.907291954208709</v>
      </c>
      <c r="S380" s="36">
        <v>250</v>
      </c>
      <c r="T380" s="36">
        <v>250</v>
      </c>
      <c r="U380" s="36"/>
      <c r="V380" s="36"/>
      <c r="W380" s="36"/>
      <c r="X380" s="36"/>
      <c r="Y380" s="37">
        <f t="shared" si="61"/>
        <v>0.10907291954208709</v>
      </c>
      <c r="Z380" s="37">
        <f t="shared" si="63"/>
        <v>-2.215738633800143</v>
      </c>
      <c r="AA380" s="149">
        <f t="shared" si="62"/>
        <v>-0.24167708173077695</v>
      </c>
      <c r="AB380" s="37"/>
      <c r="AC380" s="98"/>
    </row>
    <row r="381" spans="1:31" ht="20.25" customHeight="1">
      <c r="A381" s="35">
        <v>42144</v>
      </c>
      <c r="B381" s="36">
        <v>4</v>
      </c>
      <c r="C381" s="36" t="s">
        <v>223</v>
      </c>
      <c r="D381" s="36" t="s">
        <v>224</v>
      </c>
      <c r="E381" s="36" t="s">
        <v>225</v>
      </c>
      <c r="F381" s="36" t="s">
        <v>226</v>
      </c>
      <c r="G381" s="36" t="s">
        <v>239</v>
      </c>
      <c r="H381" s="36" t="s">
        <v>258</v>
      </c>
      <c r="I381" s="36" t="s">
        <v>259</v>
      </c>
      <c r="J381" s="36">
        <v>1</v>
      </c>
      <c r="K381" s="36" t="s">
        <v>247</v>
      </c>
      <c r="L381" s="36" t="s">
        <v>258</v>
      </c>
      <c r="M381" s="36">
        <v>229</v>
      </c>
      <c r="N381" s="36">
        <f t="shared" si="69"/>
        <v>0.43668122270742354</v>
      </c>
      <c r="O381" s="65">
        <v>2994.66472303207</v>
      </c>
      <c r="P381" s="53">
        <f t="shared" si="70"/>
        <v>13.077138528524323</v>
      </c>
      <c r="Q381" s="65">
        <v>2997.3385198235101</v>
      </c>
      <c r="R381" s="108">
        <f t="shared" si="71"/>
        <v>0.43629167816834835</v>
      </c>
      <c r="S381" s="36">
        <v>250</v>
      </c>
      <c r="T381" s="36">
        <v>250</v>
      </c>
      <c r="U381" s="36"/>
      <c r="V381" s="36"/>
      <c r="W381" s="36"/>
      <c r="X381" s="36"/>
      <c r="Y381" s="37">
        <f t="shared" si="61"/>
        <v>4.3629167816834832E-3</v>
      </c>
      <c r="Z381" s="37">
        <f t="shared" si="63"/>
        <v>-5.434614458668344</v>
      </c>
      <c r="AA381" s="149">
        <f t="shared" si="62"/>
        <v>-2.3710770623703817E-2</v>
      </c>
      <c r="AB381" s="37"/>
      <c r="AC381" s="98"/>
    </row>
    <row r="382" spans="1:31" ht="20.25" customHeight="1">
      <c r="A382" s="35">
        <v>42144</v>
      </c>
      <c r="B382" s="65">
        <v>4</v>
      </c>
      <c r="C382" s="36" t="s">
        <v>223</v>
      </c>
      <c r="D382" s="36" t="s">
        <v>224</v>
      </c>
      <c r="E382" s="36" t="s">
        <v>225</v>
      </c>
      <c r="F382" s="36" t="s">
        <v>226</v>
      </c>
      <c r="G382" s="36" t="s">
        <v>261</v>
      </c>
      <c r="H382" s="36" t="s">
        <v>262</v>
      </c>
      <c r="I382" s="36"/>
      <c r="J382" s="36">
        <v>4</v>
      </c>
      <c r="K382" s="36" t="s">
        <v>229</v>
      </c>
      <c r="L382" s="36" t="s">
        <v>264</v>
      </c>
      <c r="M382" s="36">
        <v>229</v>
      </c>
      <c r="N382" s="36">
        <f t="shared" si="69"/>
        <v>1.7467248908296942</v>
      </c>
      <c r="O382" s="65">
        <v>2994.66472303207</v>
      </c>
      <c r="P382" s="53">
        <f t="shared" si="70"/>
        <v>52.308554114097291</v>
      </c>
      <c r="Q382" s="65">
        <v>2997.3385198235101</v>
      </c>
      <c r="R382" s="108">
        <f t="shared" si="71"/>
        <v>1.7451667126733934</v>
      </c>
      <c r="S382" s="36">
        <v>250</v>
      </c>
      <c r="T382" s="36">
        <v>250</v>
      </c>
      <c r="U382" s="36"/>
      <c r="V382" s="36"/>
      <c r="W382" s="36"/>
      <c r="X382" s="36"/>
      <c r="Y382" s="37">
        <f t="shared" si="61"/>
        <v>1.7451667126733933E-2</v>
      </c>
      <c r="Z382" s="37">
        <f t="shared" si="63"/>
        <v>-4.0483200975484532</v>
      </c>
      <c r="AA382" s="149">
        <f t="shared" si="62"/>
        <v>-7.0649934764882655E-2</v>
      </c>
      <c r="AB382" s="37"/>
      <c r="AC382" s="98"/>
    </row>
    <row r="383" spans="1:31" customFormat="1" ht="20.25" customHeight="1">
      <c r="A383" s="72">
        <v>42144</v>
      </c>
      <c r="B383" s="65">
        <v>2</v>
      </c>
      <c r="C383" s="36" t="s">
        <v>323</v>
      </c>
      <c r="D383" s="36" t="s">
        <v>324</v>
      </c>
      <c r="E383" s="36"/>
      <c r="F383" s="36" t="s">
        <v>325</v>
      </c>
      <c r="G383" s="36" t="s">
        <v>326</v>
      </c>
      <c r="H383" s="36" t="s">
        <v>327</v>
      </c>
      <c r="I383" s="36"/>
      <c r="J383" s="36">
        <v>4</v>
      </c>
      <c r="K383" s="36" t="s">
        <v>229</v>
      </c>
      <c r="L383" s="36" t="s">
        <v>532</v>
      </c>
      <c r="M383" s="36">
        <v>7</v>
      </c>
      <c r="N383" s="36">
        <f t="shared" si="69"/>
        <v>57.142857142857139</v>
      </c>
      <c r="O383" s="65">
        <v>0.84435688150858434</v>
      </c>
      <c r="P383" s="40">
        <f t="shared" si="70"/>
        <v>0.48248964657633386</v>
      </c>
      <c r="Q383" s="36">
        <v>3251.2667584002556</v>
      </c>
      <c r="R383" s="60">
        <f t="shared" si="71"/>
        <v>1.4840051045634186E-2</v>
      </c>
      <c r="S383" s="36">
        <v>1000</v>
      </c>
      <c r="T383" s="36">
        <v>1000</v>
      </c>
      <c r="U383" s="36"/>
      <c r="V383" s="36"/>
      <c r="W383" s="3"/>
      <c r="X383" s="3"/>
      <c r="Y383" s="37">
        <f t="shared" si="61"/>
        <v>1.4840051045634186E-4</v>
      </c>
      <c r="Z383" s="37">
        <f t="shared" si="63"/>
        <v>-8.8155957875041473</v>
      </c>
      <c r="AA383" s="149">
        <f t="shared" si="62"/>
        <v>-1.3082389148423924E-3</v>
      </c>
      <c r="AB383" s="37">
        <f>SUM(AA383:AA392)*-1</f>
        <v>0.51094218922405221</v>
      </c>
      <c r="AC383" s="98">
        <v>10</v>
      </c>
      <c r="AD383" s="98">
        <f t="shared" ref="AD383" si="72">LN(AC383)</f>
        <v>2.3025850929940459</v>
      </c>
      <c r="AE383" s="98">
        <f>(AB383/AD383)</f>
        <v>0.221899373351573</v>
      </c>
    </row>
    <row r="384" spans="1:31" customFormat="1" ht="20.25" customHeight="1">
      <c r="A384" s="72">
        <v>42144</v>
      </c>
      <c r="B384" s="65">
        <v>2</v>
      </c>
      <c r="C384" s="36" t="s">
        <v>288</v>
      </c>
      <c r="D384" s="36" t="s">
        <v>289</v>
      </c>
      <c r="E384" s="36"/>
      <c r="F384" s="36"/>
      <c r="G384" s="36"/>
      <c r="H384" s="36" t="s">
        <v>293</v>
      </c>
      <c r="I384" s="36" t="s">
        <v>541</v>
      </c>
      <c r="J384" s="36">
        <v>1</v>
      </c>
      <c r="K384" s="36" t="s">
        <v>247</v>
      </c>
      <c r="L384" s="36" t="s">
        <v>294</v>
      </c>
      <c r="M384" s="36">
        <v>7</v>
      </c>
      <c r="N384" s="36">
        <f t="shared" si="69"/>
        <v>14.285714285714285</v>
      </c>
      <c r="O384" s="65">
        <v>0.84435688150858434</v>
      </c>
      <c r="P384" s="40">
        <f t="shared" si="70"/>
        <v>0.12062241164408347</v>
      </c>
      <c r="Q384" s="36">
        <v>3251.2667584002556</v>
      </c>
      <c r="R384" s="60">
        <f t="shared" si="71"/>
        <v>3.7100127614085464E-3</v>
      </c>
      <c r="S384" s="36">
        <v>1000</v>
      </c>
      <c r="T384" s="36">
        <v>1000</v>
      </c>
      <c r="U384" s="36"/>
      <c r="V384" s="36"/>
      <c r="W384" s="36"/>
      <c r="X384" s="3"/>
      <c r="Y384" s="37">
        <f t="shared" si="61"/>
        <v>3.7100127614085464E-5</v>
      </c>
      <c r="Z384" s="37">
        <f t="shared" si="63"/>
        <v>-10.201890148624038</v>
      </c>
      <c r="AA384" s="149">
        <f t="shared" si="62"/>
        <v>-3.7849142641883314E-4</v>
      </c>
      <c r="AB384" s="37"/>
      <c r="AC384" s="98"/>
      <c r="AD384" s="99"/>
      <c r="AE384" s="99"/>
    </row>
    <row r="385" spans="1:31" customFormat="1" ht="20.25" customHeight="1">
      <c r="A385" s="64">
        <v>42144</v>
      </c>
      <c r="B385" s="65">
        <v>2</v>
      </c>
      <c r="C385" s="65" t="s">
        <v>223</v>
      </c>
      <c r="D385" s="65" t="s">
        <v>267</v>
      </c>
      <c r="E385" s="65" t="s">
        <v>278</v>
      </c>
      <c r="F385" s="65" t="s">
        <v>279</v>
      </c>
      <c r="G385" s="65" t="s">
        <v>280</v>
      </c>
      <c r="H385" s="36" t="s">
        <v>284</v>
      </c>
      <c r="I385" s="36" t="s">
        <v>285</v>
      </c>
      <c r="J385" s="36">
        <v>2</v>
      </c>
      <c r="K385" s="36" t="s">
        <v>544</v>
      </c>
      <c r="L385" s="36" t="s">
        <v>283</v>
      </c>
      <c r="M385" s="36">
        <v>7</v>
      </c>
      <c r="N385" s="36">
        <f t="shared" si="69"/>
        <v>28.571428571428569</v>
      </c>
      <c r="O385" s="65">
        <v>0.84435688150858434</v>
      </c>
      <c r="P385" s="40">
        <f t="shared" si="70"/>
        <v>0.24124482328816693</v>
      </c>
      <c r="Q385" s="36">
        <v>3251.2667584002556</v>
      </c>
      <c r="R385" s="60">
        <f t="shared" si="71"/>
        <v>7.4200255228170928E-3</v>
      </c>
      <c r="S385" s="36">
        <v>1000</v>
      </c>
      <c r="T385" s="36">
        <v>1000</v>
      </c>
      <c r="U385" s="36"/>
      <c r="V385" s="36"/>
      <c r="W385" s="3"/>
      <c r="X385" s="3"/>
      <c r="Y385" s="37">
        <f t="shared" ref="Y385:Y448" si="73">(R385/100)</f>
        <v>7.4200255228170929E-5</v>
      </c>
      <c r="Z385" s="37">
        <f t="shared" si="63"/>
        <v>-9.5087429680640927</v>
      </c>
      <c r="AA385" s="149">
        <f t="shared" ref="AA385:AA448" si="74">(Y385*Z385)</f>
        <v>-7.0555115512943123E-4</v>
      </c>
      <c r="AB385" s="37"/>
      <c r="AC385" s="98"/>
      <c r="AD385" s="99"/>
      <c r="AE385" s="99"/>
    </row>
    <row r="386" spans="1:31" s="70" customFormat="1" ht="20.25" customHeight="1">
      <c r="A386" s="84">
        <v>42144</v>
      </c>
      <c r="B386" s="65">
        <v>2</v>
      </c>
      <c r="C386" s="3" t="s">
        <v>223</v>
      </c>
      <c r="D386" s="3" t="s">
        <v>303</v>
      </c>
      <c r="E386" s="3" t="s">
        <v>304</v>
      </c>
      <c r="F386" s="3" t="s">
        <v>305</v>
      </c>
      <c r="G386" s="3" t="s">
        <v>306</v>
      </c>
      <c r="H386" s="3" t="s">
        <v>307</v>
      </c>
      <c r="I386" s="3"/>
      <c r="J386" s="3">
        <v>1</v>
      </c>
      <c r="K386" s="3" t="s">
        <v>229</v>
      </c>
      <c r="L386" s="3" t="s">
        <v>307</v>
      </c>
      <c r="M386" s="3">
        <v>333</v>
      </c>
      <c r="N386" s="3">
        <f t="shared" si="69"/>
        <v>0.3003003003003003</v>
      </c>
      <c r="O386" s="65">
        <v>3250.4224015187469</v>
      </c>
      <c r="P386" s="8">
        <f t="shared" si="70"/>
        <v>9.7610282327890303</v>
      </c>
      <c r="Q386" s="65">
        <v>3251.2667584002556</v>
      </c>
      <c r="R386" s="60">
        <f t="shared" si="71"/>
        <v>0.30022231204405447</v>
      </c>
      <c r="S386" s="3">
        <v>250</v>
      </c>
      <c r="T386" s="3">
        <v>250</v>
      </c>
      <c r="U386" s="36" t="s">
        <v>620</v>
      </c>
      <c r="V386" s="3"/>
      <c r="W386" s="3"/>
      <c r="X386" s="67"/>
      <c r="Y386" s="37">
        <f t="shared" si="73"/>
        <v>3.0022231204405447E-3</v>
      </c>
      <c r="Z386" s="37">
        <f t="shared" si="63"/>
        <v>-5.808402224601859</v>
      </c>
      <c r="AA386" s="149">
        <f t="shared" si="74"/>
        <v>-1.7438119451517995E-2</v>
      </c>
      <c r="AB386" s="37"/>
      <c r="AC386" s="98"/>
      <c r="AD386" s="99"/>
      <c r="AE386" s="99"/>
    </row>
    <row r="387" spans="1:31" customFormat="1" ht="20.25" customHeight="1">
      <c r="A387" s="84">
        <v>42144</v>
      </c>
      <c r="B387" s="65">
        <v>2</v>
      </c>
      <c r="C387" s="3" t="s">
        <v>223</v>
      </c>
      <c r="D387" s="3" t="s">
        <v>310</v>
      </c>
      <c r="E387" s="3" t="s">
        <v>314</v>
      </c>
      <c r="F387" s="3" t="s">
        <v>311</v>
      </c>
      <c r="G387" s="3" t="s">
        <v>315</v>
      </c>
      <c r="H387" s="3" t="s">
        <v>347</v>
      </c>
      <c r="I387" s="3"/>
      <c r="J387" s="3">
        <v>1</v>
      </c>
      <c r="K387" s="36" t="s">
        <v>229</v>
      </c>
      <c r="L387" s="3" t="s">
        <v>345</v>
      </c>
      <c r="M387" s="3">
        <v>333</v>
      </c>
      <c r="N387" s="3">
        <f t="shared" si="69"/>
        <v>0.3003003003003003</v>
      </c>
      <c r="O387" s="65">
        <v>3250.4224015187469</v>
      </c>
      <c r="P387" s="8">
        <f t="shared" si="70"/>
        <v>9.7610282327890303</v>
      </c>
      <c r="Q387" s="65">
        <v>3251.2667584002556</v>
      </c>
      <c r="R387" s="60">
        <f t="shared" si="71"/>
        <v>0.30022231204405447</v>
      </c>
      <c r="S387" s="3">
        <v>250</v>
      </c>
      <c r="T387" s="3">
        <v>250</v>
      </c>
      <c r="U387" s="3"/>
      <c r="V387" s="3"/>
      <c r="W387" s="3"/>
      <c r="X387" s="3"/>
      <c r="Y387" s="37">
        <f t="shared" si="73"/>
        <v>3.0022231204405447E-3</v>
      </c>
      <c r="Z387" s="37">
        <f t="shared" ref="Z387:Z450" si="75">LN(Y387)</f>
        <v>-5.808402224601859</v>
      </c>
      <c r="AA387" s="149">
        <f t="shared" si="74"/>
        <v>-1.7438119451517995E-2</v>
      </c>
      <c r="AB387" s="37"/>
      <c r="AC387" s="98"/>
      <c r="AD387" s="99"/>
      <c r="AE387" s="99"/>
    </row>
    <row r="388" spans="1:31" customFormat="1" ht="20.25" customHeight="1">
      <c r="A388" s="84">
        <v>42144</v>
      </c>
      <c r="B388" s="65">
        <v>2</v>
      </c>
      <c r="C388" s="65" t="s">
        <v>223</v>
      </c>
      <c r="D388" s="36" t="s">
        <v>224</v>
      </c>
      <c r="E388" s="36" t="s">
        <v>225</v>
      </c>
      <c r="F388" s="65" t="s">
        <v>226</v>
      </c>
      <c r="G388" s="65" t="s">
        <v>239</v>
      </c>
      <c r="H388" s="65" t="s">
        <v>240</v>
      </c>
      <c r="I388" s="3"/>
      <c r="J388" s="3">
        <v>287</v>
      </c>
      <c r="K388" s="3" t="s">
        <v>229</v>
      </c>
      <c r="L388" s="3" t="s">
        <v>481</v>
      </c>
      <c r="M388" s="3">
        <v>333</v>
      </c>
      <c r="N388" s="3">
        <f t="shared" si="69"/>
        <v>86.186186186186191</v>
      </c>
      <c r="O388" s="65">
        <v>3250.4224015187469</v>
      </c>
      <c r="P388" s="8">
        <f t="shared" si="70"/>
        <v>2801.4151028104516</v>
      </c>
      <c r="Q388" s="65">
        <v>3251.2667584002556</v>
      </c>
      <c r="R388" s="60">
        <f t="shared" si="71"/>
        <v>86.163803556643643</v>
      </c>
      <c r="S388" s="36">
        <v>250</v>
      </c>
      <c r="T388" s="36">
        <v>250</v>
      </c>
      <c r="U388" s="3" t="s">
        <v>502</v>
      </c>
      <c r="V388" s="3"/>
      <c r="W388" s="41"/>
      <c r="X388" s="3"/>
      <c r="Y388" s="37">
        <f t="shared" si="73"/>
        <v>0.86163803556643648</v>
      </c>
      <c r="Z388" s="37">
        <f t="shared" si="75"/>
        <v>-0.14892000884223777</v>
      </c>
      <c r="AA388" s="149">
        <f t="shared" si="74"/>
        <v>-0.12831514387536211</v>
      </c>
      <c r="AB388" s="37"/>
      <c r="AC388" s="98"/>
      <c r="AD388" s="99"/>
      <c r="AE388" s="99"/>
    </row>
    <row r="389" spans="1:31" customFormat="1" ht="20.25" customHeight="1">
      <c r="A389" s="84">
        <v>42144</v>
      </c>
      <c r="B389" s="65">
        <v>2</v>
      </c>
      <c r="C389" s="3" t="s">
        <v>223</v>
      </c>
      <c r="D389" s="3" t="s">
        <v>224</v>
      </c>
      <c r="E389" s="3" t="s">
        <v>225</v>
      </c>
      <c r="F389" s="3" t="s">
        <v>248</v>
      </c>
      <c r="G389" s="3" t="s">
        <v>249</v>
      </c>
      <c r="H389" s="3" t="s">
        <v>250</v>
      </c>
      <c r="I389" s="3"/>
      <c r="J389" s="3">
        <v>1</v>
      </c>
      <c r="K389" s="3" t="s">
        <v>229</v>
      </c>
      <c r="L389" s="3" t="s">
        <v>250</v>
      </c>
      <c r="M389" s="3">
        <v>333</v>
      </c>
      <c r="N389" s="3">
        <f t="shared" si="69"/>
        <v>0.3003003003003003</v>
      </c>
      <c r="O389" s="65">
        <v>3250.4224015187469</v>
      </c>
      <c r="P389" s="8">
        <f t="shared" si="70"/>
        <v>9.7610282327890303</v>
      </c>
      <c r="Q389" s="65">
        <v>3251.2667584002556</v>
      </c>
      <c r="R389" s="60">
        <f t="shared" si="71"/>
        <v>0.30022231204405447</v>
      </c>
      <c r="S389" s="36">
        <v>250</v>
      </c>
      <c r="T389" s="36">
        <v>250</v>
      </c>
      <c r="U389" s="3" t="s">
        <v>503</v>
      </c>
      <c r="V389" s="3"/>
      <c r="W389" s="3"/>
      <c r="X389" s="3"/>
      <c r="Y389" s="37">
        <f t="shared" si="73"/>
        <v>3.0022231204405447E-3</v>
      </c>
      <c r="Z389" s="37">
        <f t="shared" si="75"/>
        <v>-5.808402224601859</v>
      </c>
      <c r="AA389" s="149">
        <f t="shared" si="74"/>
        <v>-1.7438119451517995E-2</v>
      </c>
      <c r="AB389" s="37"/>
      <c r="AC389" s="98"/>
      <c r="AD389" s="99"/>
      <c r="AE389" s="99"/>
    </row>
    <row r="390" spans="1:31" s="70" customFormat="1" ht="20.25" customHeight="1">
      <c r="A390" s="84">
        <v>42144</v>
      </c>
      <c r="B390" s="65">
        <v>2</v>
      </c>
      <c r="C390" s="51" t="s">
        <v>216</v>
      </c>
      <c r="D390" s="51" t="s">
        <v>217</v>
      </c>
      <c r="E390" s="51"/>
      <c r="F390" s="51"/>
      <c r="G390" s="51"/>
      <c r="H390" s="3" t="s">
        <v>647</v>
      </c>
      <c r="I390" s="3"/>
      <c r="J390" s="3">
        <v>37</v>
      </c>
      <c r="K390" s="36" t="s">
        <v>229</v>
      </c>
      <c r="L390" s="3" t="s">
        <v>219</v>
      </c>
      <c r="M390" s="3">
        <v>333</v>
      </c>
      <c r="N390" s="3">
        <f t="shared" si="69"/>
        <v>11.111111111111111</v>
      </c>
      <c r="O390" s="65">
        <v>3250.4224015187469</v>
      </c>
      <c r="P390" s="8">
        <f t="shared" si="70"/>
        <v>361.15804461319408</v>
      </c>
      <c r="Q390" s="36">
        <v>3251.2667584002556</v>
      </c>
      <c r="R390" s="60">
        <f t="shared" si="71"/>
        <v>11.108225545630015</v>
      </c>
      <c r="S390" s="3">
        <v>250</v>
      </c>
      <c r="T390" s="3">
        <v>250</v>
      </c>
      <c r="U390" s="3"/>
      <c r="V390" s="3"/>
      <c r="W390" s="3"/>
      <c r="X390" s="67"/>
      <c r="Y390" s="37">
        <f t="shared" si="73"/>
        <v>0.11108225545630016</v>
      </c>
      <c r="Z390" s="37">
        <f t="shared" si="75"/>
        <v>-2.1974843119576346</v>
      </c>
      <c r="AA390" s="149">
        <f t="shared" si="74"/>
        <v>-0.24410151370208996</v>
      </c>
      <c r="AB390" s="37"/>
      <c r="AC390" s="98"/>
      <c r="AD390" s="99"/>
      <c r="AE390" s="99"/>
    </row>
    <row r="391" spans="1:31" s="42" customFormat="1" ht="20.25" customHeight="1">
      <c r="A391" s="84">
        <v>42144</v>
      </c>
      <c r="B391" s="65">
        <v>2</v>
      </c>
      <c r="C391" s="36" t="s">
        <v>223</v>
      </c>
      <c r="D391" s="36" t="s">
        <v>224</v>
      </c>
      <c r="E391" s="36" t="s">
        <v>225</v>
      </c>
      <c r="F391" s="36" t="s">
        <v>226</v>
      </c>
      <c r="G391" s="36" t="s">
        <v>253</v>
      </c>
      <c r="H391" s="36" t="s">
        <v>256</v>
      </c>
      <c r="I391" s="3"/>
      <c r="J391" s="3">
        <v>4</v>
      </c>
      <c r="K391" s="3" t="s">
        <v>229</v>
      </c>
      <c r="L391" s="3" t="s">
        <v>256</v>
      </c>
      <c r="M391" s="3">
        <v>333</v>
      </c>
      <c r="N391" s="3">
        <f t="shared" si="69"/>
        <v>1.2012012012012012</v>
      </c>
      <c r="O391" s="65">
        <v>3250.4224015187469</v>
      </c>
      <c r="P391" s="8">
        <f t="shared" si="70"/>
        <v>39.044112931156121</v>
      </c>
      <c r="Q391" s="36">
        <v>3251.2667584002556</v>
      </c>
      <c r="R391" s="60">
        <f t="shared" si="71"/>
        <v>1.2008892481762179</v>
      </c>
      <c r="S391" s="36">
        <v>250</v>
      </c>
      <c r="T391" s="36">
        <v>250</v>
      </c>
      <c r="U391" s="3"/>
      <c r="V391" s="3"/>
      <c r="W391" s="3"/>
      <c r="X391" s="41"/>
      <c r="Y391" s="37">
        <f t="shared" si="73"/>
        <v>1.2008892481762179E-2</v>
      </c>
      <c r="Z391" s="37">
        <f t="shared" si="75"/>
        <v>-4.4221078634819682</v>
      </c>
      <c r="AA391" s="149">
        <f t="shared" si="74"/>
        <v>-5.3104617875310019E-2</v>
      </c>
      <c r="AB391" s="37"/>
      <c r="AC391" s="98"/>
      <c r="AD391" s="99"/>
      <c r="AE391" s="99"/>
    </row>
    <row r="392" spans="1:31" s="42" customFormat="1" ht="20.25" customHeight="1">
      <c r="A392" s="13">
        <v>42144</v>
      </c>
      <c r="B392" s="65">
        <v>2</v>
      </c>
      <c r="C392" s="36" t="s">
        <v>223</v>
      </c>
      <c r="D392" s="36" t="s">
        <v>224</v>
      </c>
      <c r="E392" s="36" t="s">
        <v>225</v>
      </c>
      <c r="F392" s="36" t="s">
        <v>226</v>
      </c>
      <c r="G392" s="36" t="s">
        <v>261</v>
      </c>
      <c r="H392" s="36" t="s">
        <v>262</v>
      </c>
      <c r="I392" s="3"/>
      <c r="J392" s="3">
        <v>2</v>
      </c>
      <c r="K392" s="3" t="s">
        <v>229</v>
      </c>
      <c r="L392" s="3" t="s">
        <v>264</v>
      </c>
      <c r="M392" s="3">
        <v>333</v>
      </c>
      <c r="N392" s="3">
        <f t="shared" si="69"/>
        <v>0.60060060060060061</v>
      </c>
      <c r="O392" s="65">
        <v>3250.4224015187469</v>
      </c>
      <c r="P392" s="8">
        <f t="shared" si="70"/>
        <v>19.522056465578061</v>
      </c>
      <c r="Q392" s="36">
        <v>3251.2667584002556</v>
      </c>
      <c r="R392" s="60">
        <f t="shared" si="71"/>
        <v>0.60044462408810895</v>
      </c>
      <c r="S392" s="36">
        <v>250</v>
      </c>
      <c r="T392" s="36">
        <v>250</v>
      </c>
      <c r="U392" s="3"/>
      <c r="V392" s="3"/>
      <c r="W392" s="3"/>
      <c r="X392" s="41"/>
      <c r="Y392" s="37">
        <f t="shared" si="73"/>
        <v>6.0044462408810895E-3</v>
      </c>
      <c r="Z392" s="37">
        <f t="shared" si="75"/>
        <v>-5.1152550440419136</v>
      </c>
      <c r="AA392" s="149">
        <f t="shared" si="74"/>
        <v>-3.0714273920345498E-2</v>
      </c>
      <c r="AB392" s="37"/>
      <c r="AC392" s="98"/>
      <c r="AD392" s="99"/>
      <c r="AE392" s="99"/>
    </row>
    <row r="393" spans="1:31" customFormat="1" ht="20.25" customHeight="1">
      <c r="A393" s="35">
        <v>42206</v>
      </c>
      <c r="B393" s="65">
        <v>8</v>
      </c>
      <c r="C393" s="65" t="s">
        <v>223</v>
      </c>
      <c r="D393" s="65" t="s">
        <v>267</v>
      </c>
      <c r="E393" s="65" t="s">
        <v>278</v>
      </c>
      <c r="F393" s="65" t="s">
        <v>269</v>
      </c>
      <c r="G393" s="65" t="s">
        <v>333</v>
      </c>
      <c r="H393" s="36" t="s">
        <v>334</v>
      </c>
      <c r="I393" s="36"/>
      <c r="J393" s="36">
        <v>2</v>
      </c>
      <c r="K393" s="36" t="s">
        <v>229</v>
      </c>
      <c r="L393" s="36" t="s">
        <v>270</v>
      </c>
      <c r="M393" s="36">
        <v>7</v>
      </c>
      <c r="N393" s="36">
        <f t="shared" si="69"/>
        <v>28.571428571428569</v>
      </c>
      <c r="O393" s="36">
        <v>0.76394194041252861</v>
      </c>
      <c r="P393" s="40">
        <f t="shared" si="70"/>
        <v>0.21826912583215102</v>
      </c>
      <c r="Q393" s="36">
        <v>879.84557459347377</v>
      </c>
      <c r="R393" s="60">
        <f t="shared" si="71"/>
        <v>2.4807663087127615E-2</v>
      </c>
      <c r="S393" s="36">
        <v>1000</v>
      </c>
      <c r="T393" s="36">
        <v>1000</v>
      </c>
      <c r="U393" s="36"/>
      <c r="V393" s="36"/>
      <c r="W393" s="3"/>
      <c r="X393" s="3"/>
      <c r="Y393" s="37">
        <f t="shared" si="73"/>
        <v>2.4807663087127613E-4</v>
      </c>
      <c r="Z393" s="37">
        <f t="shared" si="75"/>
        <v>-8.3017728640798598</v>
      </c>
      <c r="AA393" s="149">
        <f t="shared" si="74"/>
        <v>-2.0594758423795162E-3</v>
      </c>
      <c r="AB393" s="37">
        <f>SUM(AA393:AA409)*-1</f>
        <v>2.1406199999129161</v>
      </c>
      <c r="AC393" s="98">
        <v>14</v>
      </c>
      <c r="AD393" s="98">
        <f t="shared" ref="AD393" si="76">LN(AC393)</f>
        <v>2.6390573296152584</v>
      </c>
      <c r="AE393" s="98">
        <f>(AB393/AD393)</f>
        <v>0.81113054115614525</v>
      </c>
    </row>
    <row r="394" spans="1:31" customFormat="1" ht="20.25" customHeight="1">
      <c r="A394" s="35">
        <v>42206</v>
      </c>
      <c r="B394" s="65">
        <v>8</v>
      </c>
      <c r="C394" s="36" t="s">
        <v>223</v>
      </c>
      <c r="D394" s="36" t="s">
        <v>267</v>
      </c>
      <c r="E394" s="36" t="s">
        <v>278</v>
      </c>
      <c r="F394" s="36" t="s">
        <v>269</v>
      </c>
      <c r="G394" s="36" t="s">
        <v>554</v>
      </c>
      <c r="H394" s="36" t="s">
        <v>552</v>
      </c>
      <c r="I394" s="36" t="s">
        <v>553</v>
      </c>
      <c r="J394" s="36">
        <v>1</v>
      </c>
      <c r="K394" s="36" t="s">
        <v>544</v>
      </c>
      <c r="L394" s="36" t="s">
        <v>270</v>
      </c>
      <c r="M394" s="36">
        <v>7</v>
      </c>
      <c r="N394" s="36">
        <f t="shared" si="69"/>
        <v>14.285714285714285</v>
      </c>
      <c r="O394" s="36">
        <v>0.76394194041252861</v>
      </c>
      <c r="P394" s="40">
        <f t="shared" si="70"/>
        <v>0.10913456291607551</v>
      </c>
      <c r="Q394" s="36">
        <v>879.84557459347377</v>
      </c>
      <c r="R394" s="60">
        <f t="shared" si="71"/>
        <v>1.2403831543563807E-2</v>
      </c>
      <c r="S394" s="36">
        <v>1000</v>
      </c>
      <c r="T394" s="36">
        <v>1000</v>
      </c>
      <c r="U394" s="36"/>
      <c r="V394" s="36"/>
      <c r="W394" s="36"/>
      <c r="X394" s="3"/>
      <c r="Y394" s="37">
        <f t="shared" si="73"/>
        <v>1.2403831543563807E-4</v>
      </c>
      <c r="Z394" s="37">
        <f t="shared" si="75"/>
        <v>-8.9949200446398052</v>
      </c>
      <c r="AA394" s="149">
        <f t="shared" si="74"/>
        <v>-1.1157147298153757E-3</v>
      </c>
      <c r="AB394" s="37"/>
      <c r="AC394" s="98"/>
      <c r="AD394" s="99"/>
      <c r="AE394" s="99"/>
    </row>
    <row r="395" spans="1:31" customFormat="1" ht="20.25" customHeight="1">
      <c r="A395" s="35">
        <v>42206</v>
      </c>
      <c r="B395" s="65">
        <v>8</v>
      </c>
      <c r="C395" s="65" t="s">
        <v>300</v>
      </c>
      <c r="D395" s="65" t="s">
        <v>320</v>
      </c>
      <c r="E395" s="65"/>
      <c r="F395" s="65"/>
      <c r="G395" s="65"/>
      <c r="H395" s="36"/>
      <c r="I395" s="36"/>
      <c r="J395" s="36">
        <v>1</v>
      </c>
      <c r="K395" s="36" t="s">
        <v>221</v>
      </c>
      <c r="L395" s="36" t="s">
        <v>322</v>
      </c>
      <c r="M395" s="36">
        <v>7</v>
      </c>
      <c r="N395" s="36">
        <f t="shared" si="69"/>
        <v>14.285714285714285</v>
      </c>
      <c r="O395" s="36">
        <v>0.76394194041252861</v>
      </c>
      <c r="P395" s="40">
        <f t="shared" si="70"/>
        <v>0.10913456291607551</v>
      </c>
      <c r="Q395" s="36">
        <v>879.84557459347377</v>
      </c>
      <c r="R395" s="60">
        <f t="shared" si="71"/>
        <v>1.2403831543563807E-2</v>
      </c>
      <c r="S395" s="36">
        <v>1000</v>
      </c>
      <c r="T395" s="36">
        <v>1000</v>
      </c>
      <c r="U395" s="36"/>
      <c r="V395" s="36"/>
      <c r="W395" s="36"/>
      <c r="X395" s="3"/>
      <c r="Y395" s="37">
        <f t="shared" si="73"/>
        <v>1.2403831543563807E-4</v>
      </c>
      <c r="Z395" s="37">
        <f t="shared" si="75"/>
        <v>-8.9949200446398052</v>
      </c>
      <c r="AA395" s="149">
        <f t="shared" si="74"/>
        <v>-1.1157147298153757E-3</v>
      </c>
      <c r="AB395" s="37"/>
      <c r="AC395" s="98"/>
      <c r="AD395" s="99"/>
      <c r="AE395" s="99"/>
    </row>
    <row r="396" spans="1:31" customFormat="1" ht="20.25" customHeight="1">
      <c r="A396" s="35">
        <v>42206</v>
      </c>
      <c r="B396" s="65">
        <v>8</v>
      </c>
      <c r="C396" s="65" t="s">
        <v>223</v>
      </c>
      <c r="D396" s="65" t="s">
        <v>267</v>
      </c>
      <c r="E396" s="65" t="s">
        <v>278</v>
      </c>
      <c r="F396" s="65" t="s">
        <v>279</v>
      </c>
      <c r="G396" s="65" t="s">
        <v>280</v>
      </c>
      <c r="H396" s="36" t="s">
        <v>284</v>
      </c>
      <c r="I396" s="36" t="s">
        <v>285</v>
      </c>
      <c r="J396" s="36">
        <v>3</v>
      </c>
      <c r="K396" s="36" t="s">
        <v>247</v>
      </c>
      <c r="L396" s="36" t="s">
        <v>283</v>
      </c>
      <c r="M396" s="36">
        <v>7</v>
      </c>
      <c r="N396" s="36">
        <f t="shared" si="69"/>
        <v>42.857142857142854</v>
      </c>
      <c r="O396" s="36">
        <v>0.76394194041252861</v>
      </c>
      <c r="P396" s="40">
        <f t="shared" si="70"/>
        <v>0.32740368874822651</v>
      </c>
      <c r="Q396" s="36">
        <v>879.84557459347377</v>
      </c>
      <c r="R396" s="60">
        <f t="shared" si="71"/>
        <v>3.7211494630691413E-2</v>
      </c>
      <c r="S396" s="36">
        <v>1000</v>
      </c>
      <c r="T396" s="36">
        <v>1000</v>
      </c>
      <c r="U396" s="36"/>
      <c r="V396" s="36"/>
      <c r="W396" s="3"/>
      <c r="X396" s="3"/>
      <c r="Y396" s="37">
        <f t="shared" si="73"/>
        <v>3.7211494630691412E-4</v>
      </c>
      <c r="Z396" s="37">
        <f t="shared" si="75"/>
        <v>-7.8963077559716952</v>
      </c>
      <c r="AA396" s="149">
        <f t="shared" si="74"/>
        <v>-2.9383341366362769E-3</v>
      </c>
      <c r="AB396" s="37"/>
      <c r="AC396" s="98"/>
      <c r="AD396" s="99"/>
      <c r="AE396" s="99"/>
    </row>
    <row r="397" spans="1:31" customFormat="1" ht="20.25" customHeight="1">
      <c r="A397" s="71">
        <v>42206</v>
      </c>
      <c r="B397" s="65">
        <v>8</v>
      </c>
      <c r="C397" s="3" t="s">
        <v>223</v>
      </c>
      <c r="D397" s="3" t="s">
        <v>224</v>
      </c>
      <c r="E397" s="3" t="s">
        <v>225</v>
      </c>
      <c r="F397" s="3" t="s">
        <v>226</v>
      </c>
      <c r="G397" s="3" t="s">
        <v>227</v>
      </c>
      <c r="H397" s="3" t="s">
        <v>228</v>
      </c>
      <c r="I397" s="3"/>
      <c r="J397" s="3">
        <v>68</v>
      </c>
      <c r="K397" s="3" t="s">
        <v>229</v>
      </c>
      <c r="L397" s="36" t="s">
        <v>228</v>
      </c>
      <c r="M397" s="3">
        <v>199</v>
      </c>
      <c r="N397" s="3">
        <f t="shared" si="69"/>
        <v>34.170854271356781</v>
      </c>
      <c r="O397" s="65">
        <v>879.08163265306121</v>
      </c>
      <c r="P397" s="8">
        <f t="shared" si="70"/>
        <v>300.38970362014152</v>
      </c>
      <c r="Q397" s="36">
        <v>879.84557459347377</v>
      </c>
      <c r="R397" s="60">
        <f t="shared" si="71"/>
        <v>34.141184804951074</v>
      </c>
      <c r="S397" s="3">
        <v>250</v>
      </c>
      <c r="T397" s="3">
        <v>250</v>
      </c>
      <c r="U397" s="3" t="s">
        <v>477</v>
      </c>
      <c r="V397" s="3"/>
      <c r="W397" s="3"/>
      <c r="X397" s="3"/>
      <c r="Y397" s="37">
        <f t="shared" si="73"/>
        <v>0.34141184804951075</v>
      </c>
      <c r="Z397" s="37">
        <f t="shared" si="75"/>
        <v>-1.0746657649196107</v>
      </c>
      <c r="AA397" s="149">
        <f t="shared" si="74"/>
        <v>-0.36690362483674538</v>
      </c>
      <c r="AB397" s="37"/>
      <c r="AC397" s="98"/>
      <c r="AD397" s="99"/>
      <c r="AE397" s="99"/>
    </row>
    <row r="398" spans="1:31" customFormat="1" ht="20.25" customHeight="1">
      <c r="A398" s="71">
        <v>42206</v>
      </c>
      <c r="B398" s="65">
        <v>8</v>
      </c>
      <c r="C398" s="3" t="s">
        <v>223</v>
      </c>
      <c r="D398" s="3" t="s">
        <v>303</v>
      </c>
      <c r="E398" s="3" t="s">
        <v>304</v>
      </c>
      <c r="F398" s="3" t="s">
        <v>305</v>
      </c>
      <c r="G398" s="3" t="s">
        <v>306</v>
      </c>
      <c r="H398" s="3" t="s">
        <v>307</v>
      </c>
      <c r="I398" s="3"/>
      <c r="J398" s="3">
        <v>13</v>
      </c>
      <c r="K398" s="3" t="s">
        <v>229</v>
      </c>
      <c r="L398" s="3" t="s">
        <v>307</v>
      </c>
      <c r="M398" s="3">
        <v>199</v>
      </c>
      <c r="N398" s="3">
        <f t="shared" si="69"/>
        <v>6.5326633165829149</v>
      </c>
      <c r="O398" s="65">
        <v>879.08163265306121</v>
      </c>
      <c r="P398" s="8">
        <f t="shared" si="70"/>
        <v>57.427443339144709</v>
      </c>
      <c r="Q398" s="36">
        <v>879.84557459347377</v>
      </c>
      <c r="R398" s="60">
        <f t="shared" si="71"/>
        <v>6.5269912127112351</v>
      </c>
      <c r="S398" s="36">
        <v>250</v>
      </c>
      <c r="T398" s="36">
        <v>250</v>
      </c>
      <c r="U398" s="36" t="s">
        <v>308</v>
      </c>
      <c r="V398" s="3"/>
      <c r="W398" s="3"/>
      <c r="X398" s="3"/>
      <c r="Y398" s="37">
        <f t="shared" si="73"/>
        <v>6.5269912127112348E-2</v>
      </c>
      <c r="Z398" s="37">
        <f t="shared" si="75"/>
        <v>-2.7292241126341805</v>
      </c>
      <c r="AA398" s="149">
        <f t="shared" si="74"/>
        <v>-0.17813621800682913</v>
      </c>
      <c r="AB398" s="37"/>
      <c r="AC398" s="98"/>
      <c r="AD398" s="99"/>
      <c r="AE398" s="99"/>
    </row>
    <row r="399" spans="1:31" customFormat="1" ht="20.25" customHeight="1">
      <c r="A399" s="13">
        <v>42206</v>
      </c>
      <c r="B399" s="65">
        <v>8</v>
      </c>
      <c r="C399" s="3" t="s">
        <v>223</v>
      </c>
      <c r="D399" s="3" t="s">
        <v>303</v>
      </c>
      <c r="E399" s="3" t="s">
        <v>304</v>
      </c>
      <c r="F399" s="3" t="s">
        <v>305</v>
      </c>
      <c r="G399" s="3" t="s">
        <v>306</v>
      </c>
      <c r="H399" s="3" t="s">
        <v>307</v>
      </c>
      <c r="I399" s="3"/>
      <c r="J399" s="3">
        <v>11</v>
      </c>
      <c r="K399" s="3" t="s">
        <v>229</v>
      </c>
      <c r="L399" s="3" t="s">
        <v>307</v>
      </c>
      <c r="M399" s="3">
        <v>199</v>
      </c>
      <c r="N399" s="3">
        <f t="shared" si="69"/>
        <v>5.5276381909547743</v>
      </c>
      <c r="O399" s="65">
        <v>879.08163265306121</v>
      </c>
      <c r="P399" s="8">
        <f t="shared" si="70"/>
        <v>48.592452056199363</v>
      </c>
      <c r="Q399" s="36">
        <v>879.84557459347377</v>
      </c>
      <c r="R399" s="60">
        <f t="shared" si="71"/>
        <v>5.5228387184479679</v>
      </c>
      <c r="S399" s="3">
        <v>250</v>
      </c>
      <c r="T399" s="3">
        <v>250</v>
      </c>
      <c r="U399" s="36" t="s">
        <v>620</v>
      </c>
      <c r="V399" s="3"/>
      <c r="W399" s="3"/>
      <c r="X399" s="3"/>
      <c r="Y399" s="37">
        <f t="shared" si="73"/>
        <v>5.5228387184479678E-2</v>
      </c>
      <c r="Z399" s="37">
        <f t="shared" si="75"/>
        <v>-2.896278197297347</v>
      </c>
      <c r="AA399" s="149">
        <f t="shared" si="74"/>
        <v>-0.15995677367430472</v>
      </c>
      <c r="AB399" s="37"/>
      <c r="AC399" s="98"/>
      <c r="AD399" s="99"/>
      <c r="AE399" s="99"/>
    </row>
    <row r="400" spans="1:31" customFormat="1" ht="20.25" customHeight="1">
      <c r="A400" s="13">
        <v>42206</v>
      </c>
      <c r="B400" s="65">
        <v>8</v>
      </c>
      <c r="C400" s="76" t="s">
        <v>295</v>
      </c>
      <c r="D400" s="38" t="s">
        <v>296</v>
      </c>
      <c r="E400" s="38"/>
      <c r="F400" s="76" t="s">
        <v>297</v>
      </c>
      <c r="G400" s="76" t="s">
        <v>298</v>
      </c>
      <c r="H400" s="76" t="s">
        <v>299</v>
      </c>
      <c r="I400" s="36"/>
      <c r="J400" s="36">
        <v>9</v>
      </c>
      <c r="K400" s="36" t="s">
        <v>229</v>
      </c>
      <c r="L400" s="36" t="s">
        <v>369</v>
      </c>
      <c r="M400" s="3">
        <v>199</v>
      </c>
      <c r="N400" s="3">
        <f t="shared" si="69"/>
        <v>4.5226130653266337</v>
      </c>
      <c r="O400" s="65">
        <v>879.08163265306121</v>
      </c>
      <c r="P400" s="8">
        <f t="shared" si="70"/>
        <v>39.757460773254024</v>
      </c>
      <c r="Q400" s="36">
        <v>879.84557459347377</v>
      </c>
      <c r="R400" s="60">
        <f t="shared" si="71"/>
        <v>4.5186862241847008</v>
      </c>
      <c r="S400" s="3">
        <v>250</v>
      </c>
      <c r="T400" s="3">
        <v>250</v>
      </c>
      <c r="U400" s="32"/>
      <c r="V400" s="32"/>
      <c r="W400" s="3"/>
      <c r="X400" s="3"/>
      <c r="Y400" s="37">
        <f t="shared" si="73"/>
        <v>4.5186862241847009E-2</v>
      </c>
      <c r="Z400" s="37">
        <f t="shared" si="75"/>
        <v>-3.0969488927594981</v>
      </c>
      <c r="AA400" s="149">
        <f t="shared" si="74"/>
        <v>-0.13994140298716407</v>
      </c>
      <c r="AB400" s="37"/>
      <c r="AC400" s="98"/>
      <c r="AD400" s="99"/>
      <c r="AE400" s="99"/>
    </row>
    <row r="401" spans="1:31" customFormat="1" ht="20.25" customHeight="1">
      <c r="A401" s="71">
        <v>42206</v>
      </c>
      <c r="B401" s="65">
        <v>8</v>
      </c>
      <c r="C401" s="3" t="s">
        <v>223</v>
      </c>
      <c r="D401" s="3" t="s">
        <v>224</v>
      </c>
      <c r="E401" s="3" t="s">
        <v>225</v>
      </c>
      <c r="F401" s="3" t="s">
        <v>226</v>
      </c>
      <c r="G401" s="3" t="s">
        <v>235</v>
      </c>
      <c r="H401" s="3" t="s">
        <v>236</v>
      </c>
      <c r="I401" s="3"/>
      <c r="J401" s="3">
        <v>2</v>
      </c>
      <c r="K401" s="3" t="s">
        <v>229</v>
      </c>
      <c r="L401" s="36" t="s">
        <v>236</v>
      </c>
      <c r="M401" s="3">
        <v>199</v>
      </c>
      <c r="N401" s="3">
        <f t="shared" si="69"/>
        <v>1.0050251256281406</v>
      </c>
      <c r="O401" s="65">
        <v>879.08163265306121</v>
      </c>
      <c r="P401" s="8">
        <f t="shared" si="70"/>
        <v>8.834991282945337</v>
      </c>
      <c r="Q401" s="36">
        <v>879.84557459347377</v>
      </c>
      <c r="R401" s="60">
        <f t="shared" si="71"/>
        <v>1.0041524942632667</v>
      </c>
      <c r="S401" s="3">
        <v>250</v>
      </c>
      <c r="T401" s="3">
        <v>250</v>
      </c>
      <c r="U401" s="3"/>
      <c r="V401" s="3"/>
      <c r="W401" s="3"/>
      <c r="X401" s="3"/>
      <c r="Y401" s="37">
        <f t="shared" si="73"/>
        <v>1.0041524942632668E-2</v>
      </c>
      <c r="Z401" s="37">
        <f t="shared" si="75"/>
        <v>-4.6010262895357723</v>
      </c>
      <c r="AA401" s="149">
        <f t="shared" si="74"/>
        <v>-4.6201320248082094E-2</v>
      </c>
      <c r="AB401" s="37"/>
      <c r="AC401" s="98"/>
      <c r="AD401" s="99"/>
      <c r="AE401" s="99"/>
    </row>
    <row r="402" spans="1:31" customFormat="1" ht="20.25" customHeight="1">
      <c r="A402" s="71">
        <v>42206</v>
      </c>
      <c r="B402" s="65">
        <v>8</v>
      </c>
      <c r="C402" s="3" t="s">
        <v>223</v>
      </c>
      <c r="D402" s="3" t="s">
        <v>317</v>
      </c>
      <c r="E402" s="3" t="s">
        <v>314</v>
      </c>
      <c r="F402" s="3" t="s">
        <v>346</v>
      </c>
      <c r="G402" s="3" t="s">
        <v>315</v>
      </c>
      <c r="H402" s="3" t="s">
        <v>347</v>
      </c>
      <c r="I402" s="3"/>
      <c r="J402" s="3">
        <v>10</v>
      </c>
      <c r="K402" s="3" t="s">
        <v>229</v>
      </c>
      <c r="L402" s="36" t="s">
        <v>345</v>
      </c>
      <c r="M402" s="3">
        <v>199</v>
      </c>
      <c r="N402" s="3">
        <f t="shared" si="69"/>
        <v>5.025125628140704</v>
      </c>
      <c r="O402" s="65">
        <v>879.08163265306121</v>
      </c>
      <c r="P402" s="8">
        <f t="shared" si="70"/>
        <v>44.174956414726694</v>
      </c>
      <c r="Q402" s="36">
        <v>879.84557459347377</v>
      </c>
      <c r="R402" s="60">
        <f t="shared" si="71"/>
        <v>5.0207624713163339</v>
      </c>
      <c r="S402" s="3">
        <v>250</v>
      </c>
      <c r="T402" s="3">
        <v>250</v>
      </c>
      <c r="U402" s="3" t="s">
        <v>478</v>
      </c>
      <c r="V402" s="3"/>
      <c r="W402" s="3"/>
      <c r="X402" s="3"/>
      <c r="Y402" s="37">
        <f t="shared" si="73"/>
        <v>5.020762471316334E-2</v>
      </c>
      <c r="Z402" s="37">
        <f t="shared" si="75"/>
        <v>-2.9915883771016718</v>
      </c>
      <c r="AA402" s="149">
        <f t="shared" si="74"/>
        <v>-0.15020054653378212</v>
      </c>
      <c r="AB402" s="37"/>
      <c r="AC402" s="98"/>
      <c r="AD402" s="99"/>
      <c r="AE402" s="99"/>
    </row>
    <row r="403" spans="1:31" customFormat="1" ht="20.25" customHeight="1">
      <c r="A403" s="71">
        <v>42206</v>
      </c>
      <c r="B403" s="65">
        <v>8</v>
      </c>
      <c r="C403" s="65" t="s">
        <v>223</v>
      </c>
      <c r="D403" s="65" t="s">
        <v>310</v>
      </c>
      <c r="E403" s="65" t="s">
        <v>314</v>
      </c>
      <c r="F403" s="65" t="s">
        <v>311</v>
      </c>
      <c r="G403" s="65" t="s">
        <v>315</v>
      </c>
      <c r="H403" s="36" t="s">
        <v>316</v>
      </c>
      <c r="I403" s="3"/>
      <c r="J403" s="3">
        <v>5</v>
      </c>
      <c r="K403" s="3" t="s">
        <v>229</v>
      </c>
      <c r="L403" s="36" t="s">
        <v>345</v>
      </c>
      <c r="M403" s="3">
        <v>199</v>
      </c>
      <c r="N403" s="3">
        <f t="shared" si="69"/>
        <v>2.512562814070352</v>
      </c>
      <c r="O403" s="65">
        <v>879.08163265306121</v>
      </c>
      <c r="P403" s="8">
        <f t="shared" si="70"/>
        <v>22.087478207363347</v>
      </c>
      <c r="Q403" s="36">
        <v>879.84557459347377</v>
      </c>
      <c r="R403" s="60">
        <f t="shared" si="71"/>
        <v>2.510381235658167</v>
      </c>
      <c r="S403" s="36">
        <v>250</v>
      </c>
      <c r="T403" s="36">
        <v>250</v>
      </c>
      <c r="U403" s="3"/>
      <c r="V403" s="3"/>
      <c r="W403" s="3"/>
      <c r="X403" s="3"/>
      <c r="Y403" s="37">
        <f t="shared" si="73"/>
        <v>2.510381235658167E-2</v>
      </c>
      <c r="Z403" s="37">
        <f t="shared" si="75"/>
        <v>-3.6847355576616172</v>
      </c>
      <c r="AA403" s="149">
        <f t="shared" si="74"/>
        <v>-9.2500910023161562E-2</v>
      </c>
      <c r="AB403" s="37"/>
      <c r="AC403" s="98"/>
      <c r="AD403" s="99"/>
      <c r="AE403" s="99"/>
    </row>
    <row r="404" spans="1:31" customFormat="1" ht="20.25" customHeight="1">
      <c r="A404" s="71">
        <v>42206</v>
      </c>
      <c r="B404" s="65">
        <v>8</v>
      </c>
      <c r="C404" s="65" t="s">
        <v>223</v>
      </c>
      <c r="D404" s="65" t="s">
        <v>224</v>
      </c>
      <c r="E404" s="65" t="s">
        <v>225</v>
      </c>
      <c r="F404" s="65" t="s">
        <v>226</v>
      </c>
      <c r="G404" s="65" t="s">
        <v>239</v>
      </c>
      <c r="H404" s="36" t="s">
        <v>240</v>
      </c>
      <c r="I404" s="3"/>
      <c r="J404" s="3">
        <v>9</v>
      </c>
      <c r="K404" s="3" t="s">
        <v>229</v>
      </c>
      <c r="L404" s="36" t="s">
        <v>240</v>
      </c>
      <c r="M404" s="3">
        <v>199</v>
      </c>
      <c r="N404" s="3">
        <f t="shared" si="69"/>
        <v>4.5226130653266337</v>
      </c>
      <c r="O404" s="65">
        <v>879.08163265306121</v>
      </c>
      <c r="P404" s="8">
        <f t="shared" si="70"/>
        <v>39.757460773254024</v>
      </c>
      <c r="Q404" s="36">
        <v>879.84557459347377</v>
      </c>
      <c r="R404" s="60">
        <f t="shared" si="71"/>
        <v>4.5186862241847008</v>
      </c>
      <c r="S404" s="36">
        <v>250</v>
      </c>
      <c r="T404" s="36">
        <v>250</v>
      </c>
      <c r="U404" s="3"/>
      <c r="V404" s="3"/>
      <c r="W404" s="3"/>
      <c r="X404" s="3"/>
      <c r="Y404" s="37">
        <f t="shared" si="73"/>
        <v>4.5186862241847009E-2</v>
      </c>
      <c r="Z404" s="37">
        <f t="shared" si="75"/>
        <v>-3.0969488927594981</v>
      </c>
      <c r="AA404" s="149">
        <f t="shared" si="74"/>
        <v>-0.13994140298716407</v>
      </c>
      <c r="AB404" s="37"/>
      <c r="AC404" s="98"/>
      <c r="AD404" s="99"/>
      <c r="AE404" s="99"/>
    </row>
    <row r="405" spans="1:31" customFormat="1" ht="20.25" customHeight="1">
      <c r="A405" s="71">
        <v>42206</v>
      </c>
      <c r="B405" s="65">
        <v>8</v>
      </c>
      <c r="C405" s="3" t="s">
        <v>223</v>
      </c>
      <c r="D405" s="3" t="s">
        <v>224</v>
      </c>
      <c r="E405" s="3" t="s">
        <v>225</v>
      </c>
      <c r="F405" s="3" t="s">
        <v>248</v>
      </c>
      <c r="G405" s="3" t="s">
        <v>249</v>
      </c>
      <c r="H405" s="3" t="s">
        <v>250</v>
      </c>
      <c r="I405" s="3"/>
      <c r="J405" s="3">
        <v>26</v>
      </c>
      <c r="K405" s="3" t="s">
        <v>229</v>
      </c>
      <c r="L405" s="36" t="s">
        <v>250</v>
      </c>
      <c r="M405" s="3">
        <v>199</v>
      </c>
      <c r="N405" s="3">
        <f t="shared" si="69"/>
        <v>13.06532663316583</v>
      </c>
      <c r="O405" s="65">
        <v>879.08163265306121</v>
      </c>
      <c r="P405" s="8">
        <f t="shared" si="70"/>
        <v>114.85488667828942</v>
      </c>
      <c r="Q405" s="36">
        <v>879.84557459347377</v>
      </c>
      <c r="R405" s="60">
        <f t="shared" si="71"/>
        <v>13.05398242542247</v>
      </c>
      <c r="S405" s="3">
        <v>250</v>
      </c>
      <c r="T405" s="3">
        <v>250</v>
      </c>
      <c r="U405" s="3"/>
      <c r="V405" s="3"/>
      <c r="W405" s="36"/>
      <c r="X405" s="3"/>
      <c r="Y405" s="37">
        <f t="shared" si="73"/>
        <v>0.1305398242542247</v>
      </c>
      <c r="Z405" s="37">
        <f t="shared" si="75"/>
        <v>-2.0360769320742356</v>
      </c>
      <c r="AA405" s="149">
        <f t="shared" si="74"/>
        <v>-0.26578912488105172</v>
      </c>
      <c r="AB405" s="37"/>
      <c r="AC405" s="98"/>
      <c r="AD405" s="99"/>
      <c r="AE405" s="99"/>
    </row>
    <row r="406" spans="1:31" customFormat="1" ht="20.25" customHeight="1">
      <c r="A406" s="71">
        <v>42206</v>
      </c>
      <c r="B406" s="65">
        <v>8</v>
      </c>
      <c r="C406" s="3" t="s">
        <v>216</v>
      </c>
      <c r="D406" s="3" t="s">
        <v>217</v>
      </c>
      <c r="E406" s="3"/>
      <c r="F406" s="3"/>
      <c r="G406" s="3"/>
      <c r="H406" s="3" t="s">
        <v>219</v>
      </c>
      <c r="I406" s="3"/>
      <c r="J406" s="3">
        <v>1</v>
      </c>
      <c r="K406" s="36" t="s">
        <v>229</v>
      </c>
      <c r="L406" s="36" t="s">
        <v>219</v>
      </c>
      <c r="M406" s="3">
        <v>199</v>
      </c>
      <c r="N406" s="3">
        <f t="shared" si="69"/>
        <v>0.50251256281407031</v>
      </c>
      <c r="O406" s="65">
        <v>879.08163265306121</v>
      </c>
      <c r="P406" s="8">
        <f t="shared" si="70"/>
        <v>4.4174956414726685</v>
      </c>
      <c r="Q406" s="36">
        <v>879.84557459347377</v>
      </c>
      <c r="R406" s="60">
        <f t="shared" si="71"/>
        <v>0.50207624713163335</v>
      </c>
      <c r="S406" s="36">
        <v>250</v>
      </c>
      <c r="T406" s="36">
        <v>250</v>
      </c>
      <c r="U406" s="3"/>
      <c r="V406" s="3"/>
      <c r="W406" s="3"/>
      <c r="X406" s="3"/>
      <c r="Y406" s="37">
        <f t="shared" si="73"/>
        <v>5.0207624713163338E-3</v>
      </c>
      <c r="Z406" s="37">
        <f t="shared" si="75"/>
        <v>-5.2941734700957177</v>
      </c>
      <c r="AA406" s="149">
        <f t="shared" si="74"/>
        <v>-2.6580787475295145E-2</v>
      </c>
      <c r="AB406" s="37"/>
      <c r="AC406" s="98"/>
      <c r="AD406" s="99"/>
      <c r="AE406" s="99"/>
    </row>
    <row r="407" spans="1:31" customFormat="1" ht="20.25" customHeight="1">
      <c r="A407" s="71">
        <v>42206</v>
      </c>
      <c r="B407" s="65">
        <v>8</v>
      </c>
      <c r="C407" s="36" t="s">
        <v>223</v>
      </c>
      <c r="D407" s="36" t="s">
        <v>224</v>
      </c>
      <c r="E407" s="36" t="s">
        <v>225</v>
      </c>
      <c r="F407" s="36" t="s">
        <v>226</v>
      </c>
      <c r="G407" s="36" t="s">
        <v>253</v>
      </c>
      <c r="H407" s="36" t="s">
        <v>256</v>
      </c>
      <c r="I407" s="3"/>
      <c r="J407" s="3">
        <v>8</v>
      </c>
      <c r="K407" s="3" t="s">
        <v>229</v>
      </c>
      <c r="L407" s="36" t="s">
        <v>256</v>
      </c>
      <c r="M407" s="3">
        <v>199</v>
      </c>
      <c r="N407" s="3">
        <f t="shared" si="69"/>
        <v>4.0201005025125625</v>
      </c>
      <c r="O407" s="65">
        <v>879.08163265306121</v>
      </c>
      <c r="P407" s="8">
        <f t="shared" si="70"/>
        <v>35.339965131781348</v>
      </c>
      <c r="Q407" s="36">
        <v>879.84557459347377</v>
      </c>
      <c r="R407" s="60">
        <f t="shared" si="71"/>
        <v>4.0166099770530668</v>
      </c>
      <c r="S407" s="3">
        <v>250</v>
      </c>
      <c r="T407" s="3">
        <v>250</v>
      </c>
      <c r="U407" s="3"/>
      <c r="V407" s="3"/>
      <c r="W407" s="3"/>
      <c r="X407" s="3"/>
      <c r="Y407" s="37">
        <f t="shared" si="73"/>
        <v>4.0166099770530671E-2</v>
      </c>
      <c r="Z407" s="37">
        <f t="shared" si="75"/>
        <v>-3.2147319284158815</v>
      </c>
      <c r="AA407" s="149">
        <f t="shared" si="74"/>
        <v>-0.12912324337226275</v>
      </c>
      <c r="AB407" s="37"/>
      <c r="AC407" s="98"/>
      <c r="AD407" s="99"/>
      <c r="AE407" s="99"/>
    </row>
    <row r="408" spans="1:31" customFormat="1" ht="20.25" customHeight="1">
      <c r="A408" s="13">
        <v>42206</v>
      </c>
      <c r="B408" s="65">
        <v>8</v>
      </c>
      <c r="C408" s="3" t="s">
        <v>223</v>
      </c>
      <c r="D408" s="3" t="s">
        <v>224</v>
      </c>
      <c r="E408" s="3" t="s">
        <v>225</v>
      </c>
      <c r="F408" s="3" t="s">
        <v>226</v>
      </c>
      <c r="G408" s="3" t="s">
        <v>239</v>
      </c>
      <c r="H408" s="3" t="s">
        <v>258</v>
      </c>
      <c r="I408" s="3" t="s">
        <v>259</v>
      </c>
      <c r="J408" s="3">
        <v>15</v>
      </c>
      <c r="K408" s="3" t="s">
        <v>247</v>
      </c>
      <c r="L408" s="36" t="s">
        <v>258</v>
      </c>
      <c r="M408" s="3">
        <v>199</v>
      </c>
      <c r="N408" s="3">
        <f t="shared" si="69"/>
        <v>7.5376884422110546</v>
      </c>
      <c r="O408" s="65">
        <v>879.08163265306121</v>
      </c>
      <c r="P408" s="8">
        <f t="shared" si="70"/>
        <v>66.262434622090041</v>
      </c>
      <c r="Q408" s="36">
        <v>879.84557459347377</v>
      </c>
      <c r="R408" s="60">
        <f t="shared" si="71"/>
        <v>7.5311437069745013</v>
      </c>
      <c r="S408" s="36">
        <v>250</v>
      </c>
      <c r="T408" s="36">
        <v>250</v>
      </c>
      <c r="U408" s="3"/>
      <c r="V408" s="3"/>
      <c r="W408" s="3"/>
      <c r="X408" s="3"/>
      <c r="Y408" s="37">
        <f t="shared" si="73"/>
        <v>7.531143706974501E-2</v>
      </c>
      <c r="Z408" s="37">
        <f t="shared" si="75"/>
        <v>-2.5861232689935072</v>
      </c>
      <c r="AA408" s="149">
        <f t="shared" si="74"/>
        <v>-0.19476465982740776</v>
      </c>
      <c r="AB408" s="37"/>
      <c r="AC408" s="98"/>
      <c r="AD408" s="99"/>
      <c r="AE408" s="99"/>
    </row>
    <row r="409" spans="1:31" customFormat="1" ht="20.25" customHeight="1">
      <c r="A409" s="13">
        <v>42206</v>
      </c>
      <c r="B409" s="65">
        <v>8</v>
      </c>
      <c r="C409" s="36" t="s">
        <v>223</v>
      </c>
      <c r="D409" s="36" t="s">
        <v>224</v>
      </c>
      <c r="E409" s="36" t="s">
        <v>225</v>
      </c>
      <c r="F409" s="36" t="s">
        <v>226</v>
      </c>
      <c r="G409" s="36" t="s">
        <v>261</v>
      </c>
      <c r="H409" s="36" t="s">
        <v>262</v>
      </c>
      <c r="I409" s="3"/>
      <c r="J409" s="3">
        <v>22</v>
      </c>
      <c r="K409" s="3" t="s">
        <v>229</v>
      </c>
      <c r="L409" s="36" t="s">
        <v>264</v>
      </c>
      <c r="M409" s="3">
        <v>199</v>
      </c>
      <c r="N409" s="3">
        <f t="shared" si="69"/>
        <v>11.055276381909549</v>
      </c>
      <c r="O409" s="65">
        <v>879.08163265306121</v>
      </c>
      <c r="P409" s="8">
        <f t="shared" si="70"/>
        <v>97.184904112398726</v>
      </c>
      <c r="Q409" s="36">
        <v>879.84557459347377</v>
      </c>
      <c r="R409" s="60">
        <f t="shared" si="71"/>
        <v>11.045677436895936</v>
      </c>
      <c r="S409" s="36">
        <v>250</v>
      </c>
      <c r="T409" s="36">
        <v>250</v>
      </c>
      <c r="U409" s="3"/>
      <c r="V409" s="3"/>
      <c r="W409" s="3"/>
      <c r="X409" s="3"/>
      <c r="Y409" s="37">
        <f t="shared" si="73"/>
        <v>0.11045677436895936</v>
      </c>
      <c r="Z409" s="37">
        <f t="shared" si="75"/>
        <v>-2.2031310167374016</v>
      </c>
      <c r="AA409" s="149">
        <f t="shared" si="74"/>
        <v>-0.24335074562101919</v>
      </c>
      <c r="AB409" s="37"/>
      <c r="AC409" s="98"/>
      <c r="AD409" s="99"/>
      <c r="AE409" s="99"/>
    </row>
    <row r="410" spans="1:31" customFormat="1" ht="20.25" customHeight="1">
      <c r="A410" s="35">
        <v>42206</v>
      </c>
      <c r="B410" s="36">
        <v>5</v>
      </c>
      <c r="C410" s="36" t="s">
        <v>223</v>
      </c>
      <c r="D410" s="36" t="s">
        <v>267</v>
      </c>
      <c r="E410" s="36"/>
      <c r="F410" s="36" t="s">
        <v>273</v>
      </c>
      <c r="G410" s="36" t="s">
        <v>274</v>
      </c>
      <c r="H410" s="36" t="s">
        <v>275</v>
      </c>
      <c r="I410" s="36" t="s">
        <v>276</v>
      </c>
      <c r="J410" s="36">
        <v>1</v>
      </c>
      <c r="K410" s="36" t="s">
        <v>247</v>
      </c>
      <c r="L410" s="36" t="s">
        <v>275</v>
      </c>
      <c r="M410" s="36">
        <v>12</v>
      </c>
      <c r="N410" s="36">
        <f t="shared" si="69"/>
        <v>8.3333333333333321</v>
      </c>
      <c r="O410" s="65">
        <v>1.1000763941940412</v>
      </c>
      <c r="P410" s="40">
        <f t="shared" si="70"/>
        <v>9.1673032849503414E-2</v>
      </c>
      <c r="Q410" s="65">
        <v>4829.7642693441012</v>
      </c>
      <c r="R410" s="40">
        <f t="shared" si="71"/>
        <v>1.8980850355653678E-3</v>
      </c>
      <c r="S410" s="36">
        <v>1000</v>
      </c>
      <c r="T410" s="36">
        <v>1000</v>
      </c>
      <c r="U410" s="36" t="s">
        <v>222</v>
      </c>
      <c r="V410" s="36"/>
      <c r="W410" s="36"/>
      <c r="X410" s="3"/>
      <c r="Y410" s="37">
        <f t="shared" si="73"/>
        <v>1.8980850355653678E-5</v>
      </c>
      <c r="Z410" s="37">
        <f t="shared" si="75"/>
        <v>-10.872079963064625</v>
      </c>
      <c r="AA410" s="149">
        <f t="shared" si="74"/>
        <v>-2.0636132283363039E-4</v>
      </c>
      <c r="AB410" s="37">
        <f>SUM(AA410:AA428)*-1</f>
        <v>1.6854016666989202</v>
      </c>
      <c r="AC410" s="98">
        <v>16</v>
      </c>
      <c r="AD410" s="98">
        <f t="shared" ref="AD410" si="77">LN(AC410)</f>
        <v>2.7725887222397811</v>
      </c>
      <c r="AE410" s="98">
        <f>(AB410/AD410)</f>
        <v>0.60788015661313144</v>
      </c>
    </row>
    <row r="411" spans="1:31" customFormat="1" ht="20.25" customHeight="1">
      <c r="A411" s="35">
        <v>42206</v>
      </c>
      <c r="B411" s="36">
        <v>5</v>
      </c>
      <c r="C411" s="36" t="s">
        <v>323</v>
      </c>
      <c r="D411" s="36" t="s">
        <v>324</v>
      </c>
      <c r="E411" s="36"/>
      <c r="F411" s="36" t="s">
        <v>325</v>
      </c>
      <c r="G411" s="36" t="s">
        <v>326</v>
      </c>
      <c r="H411" s="36" t="s">
        <v>327</v>
      </c>
      <c r="I411" s="36"/>
      <c r="J411" s="36">
        <v>4</v>
      </c>
      <c r="K411" s="36" t="s">
        <v>229</v>
      </c>
      <c r="L411" s="36" t="s">
        <v>327</v>
      </c>
      <c r="M411" s="36">
        <v>12</v>
      </c>
      <c r="N411" s="36">
        <f t="shared" si="69"/>
        <v>33.333333333333329</v>
      </c>
      <c r="O411" s="36">
        <v>1.1000763941940412</v>
      </c>
      <c r="P411" s="40">
        <f t="shared" si="70"/>
        <v>0.36669213139801365</v>
      </c>
      <c r="Q411" s="65">
        <v>4829.7642693441012</v>
      </c>
      <c r="R411" s="40">
        <f t="shared" si="71"/>
        <v>7.5923401422614712E-3</v>
      </c>
      <c r="S411" s="36">
        <v>1000</v>
      </c>
      <c r="T411" s="36">
        <v>1000</v>
      </c>
      <c r="U411" s="36"/>
      <c r="V411" s="36"/>
      <c r="W411" s="3"/>
      <c r="X411" s="3"/>
      <c r="Y411" s="37">
        <f t="shared" si="73"/>
        <v>7.592340142261471E-5</v>
      </c>
      <c r="Z411" s="37">
        <f t="shared" si="75"/>
        <v>-9.485785601944734</v>
      </c>
      <c r="AA411" s="149">
        <f t="shared" si="74"/>
        <v>-7.2019310806530892E-4</v>
      </c>
      <c r="AB411" s="37"/>
      <c r="AC411" s="98"/>
      <c r="AD411" s="99"/>
      <c r="AE411" s="99"/>
    </row>
    <row r="412" spans="1:31" customFormat="1" ht="20.25" customHeight="1">
      <c r="A412" s="35">
        <v>42206</v>
      </c>
      <c r="B412" s="65">
        <v>5</v>
      </c>
      <c r="C412" s="36" t="s">
        <v>223</v>
      </c>
      <c r="D412" s="36" t="s">
        <v>267</v>
      </c>
      <c r="E412" s="36" t="s">
        <v>278</v>
      </c>
      <c r="F412" s="36" t="s">
        <v>279</v>
      </c>
      <c r="G412" s="36" t="s">
        <v>280</v>
      </c>
      <c r="H412" s="36"/>
      <c r="I412" s="36"/>
      <c r="J412" s="36">
        <v>4</v>
      </c>
      <c r="K412" s="36" t="s">
        <v>509</v>
      </c>
      <c r="L412" s="36" t="s">
        <v>283</v>
      </c>
      <c r="M412" s="36">
        <v>12</v>
      </c>
      <c r="N412" s="36">
        <f t="shared" si="69"/>
        <v>33.333333333333329</v>
      </c>
      <c r="O412" s="36">
        <v>1.1000763941940412</v>
      </c>
      <c r="P412" s="40">
        <f t="shared" si="70"/>
        <v>0.36669213139801365</v>
      </c>
      <c r="Q412" s="65">
        <v>4829.7642693441012</v>
      </c>
      <c r="R412" s="40">
        <f t="shared" si="71"/>
        <v>7.5923401422614712E-3</v>
      </c>
      <c r="S412" s="36">
        <v>1000</v>
      </c>
      <c r="T412" s="36">
        <v>1000</v>
      </c>
      <c r="U412" s="36"/>
      <c r="V412" s="36"/>
      <c r="W412" s="3"/>
      <c r="X412" s="3"/>
      <c r="Y412" s="37">
        <f t="shared" si="73"/>
        <v>7.592340142261471E-5</v>
      </c>
      <c r="Z412" s="37">
        <f t="shared" si="75"/>
        <v>-9.485785601944734</v>
      </c>
      <c r="AA412" s="149">
        <f t="shared" si="74"/>
        <v>-7.2019310806530892E-4</v>
      </c>
      <c r="AB412" s="37"/>
      <c r="AC412" s="98"/>
      <c r="AD412" s="99"/>
      <c r="AE412" s="99"/>
    </row>
    <row r="413" spans="1:31" customFormat="1" ht="20.25" customHeight="1">
      <c r="A413" s="35">
        <v>42206</v>
      </c>
      <c r="B413" s="36">
        <v>5</v>
      </c>
      <c r="C413" s="65" t="s">
        <v>223</v>
      </c>
      <c r="D413" s="65" t="s">
        <v>267</v>
      </c>
      <c r="E413" s="65" t="s">
        <v>278</v>
      </c>
      <c r="F413" s="65" t="s">
        <v>279</v>
      </c>
      <c r="G413" s="65" t="s">
        <v>280</v>
      </c>
      <c r="H413" s="36" t="s">
        <v>284</v>
      </c>
      <c r="I413" s="36" t="s">
        <v>285</v>
      </c>
      <c r="J413" s="36">
        <v>3</v>
      </c>
      <c r="K413" s="36" t="s">
        <v>247</v>
      </c>
      <c r="L413" s="36" t="s">
        <v>283</v>
      </c>
      <c r="M413" s="36">
        <v>12</v>
      </c>
      <c r="N413" s="36">
        <f t="shared" si="69"/>
        <v>25</v>
      </c>
      <c r="O413" s="36">
        <v>1.1000763941940412</v>
      </c>
      <c r="P413" s="40">
        <f t="shared" si="70"/>
        <v>0.27501909854851031</v>
      </c>
      <c r="Q413" s="65">
        <v>4829.7642693441012</v>
      </c>
      <c r="R413" s="40">
        <f t="shared" si="71"/>
        <v>5.6942551066961047E-3</v>
      </c>
      <c r="S413" s="36">
        <v>1000</v>
      </c>
      <c r="T413" s="36">
        <v>1000</v>
      </c>
      <c r="U413" s="36"/>
      <c r="V413" s="36"/>
      <c r="W413" s="3"/>
      <c r="X413" s="3"/>
      <c r="Y413" s="37">
        <f t="shared" si="73"/>
        <v>5.694255106696105E-5</v>
      </c>
      <c r="Z413" s="37">
        <f t="shared" si="75"/>
        <v>-9.7734676743965156</v>
      </c>
      <c r="AA413" s="149">
        <f t="shared" si="74"/>
        <v>-5.5652618215061664E-4</v>
      </c>
      <c r="AB413" s="37"/>
      <c r="AC413" s="98"/>
      <c r="AD413" s="99"/>
      <c r="AE413" s="99"/>
    </row>
    <row r="414" spans="1:31" customFormat="1" ht="20.25" customHeight="1">
      <c r="A414" s="71">
        <v>42206</v>
      </c>
      <c r="B414" s="36">
        <v>5</v>
      </c>
      <c r="C414" s="3" t="s">
        <v>223</v>
      </c>
      <c r="D414" s="3" t="s">
        <v>224</v>
      </c>
      <c r="E414" s="3" t="s">
        <v>225</v>
      </c>
      <c r="F414" s="3" t="s">
        <v>226</v>
      </c>
      <c r="G414" s="3" t="s">
        <v>227</v>
      </c>
      <c r="H414" s="3" t="s">
        <v>228</v>
      </c>
      <c r="I414" s="3"/>
      <c r="J414" s="3">
        <v>40</v>
      </c>
      <c r="K414" s="3" t="s">
        <v>229</v>
      </c>
      <c r="L414" s="36" t="s">
        <v>228</v>
      </c>
      <c r="M414" s="3">
        <v>251</v>
      </c>
      <c r="N414" s="3">
        <f t="shared" si="69"/>
        <v>15.936254980079681</v>
      </c>
      <c r="O414" s="65">
        <v>4828.6641929499074</v>
      </c>
      <c r="P414" s="8">
        <f t="shared" si="70"/>
        <v>769.50823792030394</v>
      </c>
      <c r="Q414" s="65">
        <v>4829.7642693441012</v>
      </c>
      <c r="R414" s="40">
        <f t="shared" si="71"/>
        <v>15.932625176027603</v>
      </c>
      <c r="S414" s="3">
        <v>250</v>
      </c>
      <c r="T414" s="3">
        <v>250</v>
      </c>
      <c r="U414" s="3"/>
      <c r="V414" s="3"/>
      <c r="W414" s="36"/>
      <c r="X414" s="3"/>
      <c r="Y414" s="37">
        <f t="shared" si="73"/>
        <v>0.15932625176027604</v>
      </c>
      <c r="Z414" s="37">
        <f t="shared" si="75"/>
        <v>-1.836801281165688</v>
      </c>
      <c r="AA414" s="149">
        <f t="shared" si="74"/>
        <v>-0.292650663356602</v>
      </c>
      <c r="AB414" s="37"/>
      <c r="AC414" s="98"/>
      <c r="AD414" s="99"/>
      <c r="AE414" s="99"/>
    </row>
    <row r="415" spans="1:31" customFormat="1" ht="20.25" customHeight="1">
      <c r="A415" s="13">
        <v>42206</v>
      </c>
      <c r="B415" s="36">
        <v>5</v>
      </c>
      <c r="C415" s="51" t="s">
        <v>223</v>
      </c>
      <c r="D415" s="51" t="s">
        <v>303</v>
      </c>
      <c r="E415" s="51" t="s">
        <v>304</v>
      </c>
      <c r="F415" s="51" t="s">
        <v>305</v>
      </c>
      <c r="G415" s="51" t="s">
        <v>306</v>
      </c>
      <c r="H415" s="3" t="s">
        <v>307</v>
      </c>
      <c r="I415" s="3"/>
      <c r="J415" s="3">
        <v>11</v>
      </c>
      <c r="K415" s="3" t="s">
        <v>229</v>
      </c>
      <c r="L415" s="3" t="s">
        <v>307</v>
      </c>
      <c r="M415" s="3">
        <v>251</v>
      </c>
      <c r="N415" s="3">
        <f t="shared" si="69"/>
        <v>4.3824701195219129</v>
      </c>
      <c r="O415" s="65">
        <v>4828.6641929499074</v>
      </c>
      <c r="P415" s="8">
        <f t="shared" si="70"/>
        <v>211.61476542808362</v>
      </c>
      <c r="Q415" s="65">
        <v>4829.7642693441012</v>
      </c>
      <c r="R415" s="60">
        <f t="shared" si="71"/>
        <v>4.3814719234075916</v>
      </c>
      <c r="S415" s="3">
        <v>250</v>
      </c>
      <c r="T415" s="3">
        <v>250</v>
      </c>
      <c r="U415" s="36" t="s">
        <v>308</v>
      </c>
      <c r="V415" s="3"/>
      <c r="W415" s="3"/>
      <c r="X415" s="3"/>
      <c r="Y415" s="37">
        <f t="shared" si="73"/>
        <v>4.3814719234075913E-2</v>
      </c>
      <c r="Z415" s="37">
        <f t="shared" si="75"/>
        <v>-3.1277854624812536</v>
      </c>
      <c r="AA415" s="149">
        <f t="shared" si="74"/>
        <v>-0.13704304186304039</v>
      </c>
      <c r="AB415" s="37"/>
      <c r="AC415" s="98"/>
      <c r="AD415" s="99"/>
      <c r="AE415" s="99"/>
    </row>
    <row r="416" spans="1:31" customFormat="1" ht="20.25" customHeight="1">
      <c r="A416" s="13">
        <v>42206</v>
      </c>
      <c r="B416" s="36">
        <v>5</v>
      </c>
      <c r="C416" s="3" t="s">
        <v>223</v>
      </c>
      <c r="D416" s="3" t="s">
        <v>303</v>
      </c>
      <c r="E416" s="3" t="s">
        <v>304</v>
      </c>
      <c r="F416" s="3" t="s">
        <v>305</v>
      </c>
      <c r="G416" s="3" t="s">
        <v>306</v>
      </c>
      <c r="H416" s="3" t="s">
        <v>307</v>
      </c>
      <c r="I416" s="3"/>
      <c r="J416" s="3">
        <v>1</v>
      </c>
      <c r="K416" s="3" t="s">
        <v>229</v>
      </c>
      <c r="L416" s="3" t="s">
        <v>307</v>
      </c>
      <c r="M416" s="3">
        <v>251</v>
      </c>
      <c r="N416" s="3">
        <f t="shared" si="69"/>
        <v>0.39840637450199201</v>
      </c>
      <c r="O416" s="65">
        <v>4828.6641929499074</v>
      </c>
      <c r="P416" s="8">
        <f t="shared" si="70"/>
        <v>19.237705948007598</v>
      </c>
      <c r="Q416" s="65">
        <v>4829.7642693441012</v>
      </c>
      <c r="R416" s="60">
        <f t="shared" si="71"/>
        <v>0.3983156294006901</v>
      </c>
      <c r="S416" s="36">
        <v>250</v>
      </c>
      <c r="T416" s="36">
        <v>250</v>
      </c>
      <c r="U416" s="36" t="s">
        <v>620</v>
      </c>
      <c r="V416" s="3"/>
      <c r="W416" s="57"/>
      <c r="X416" s="3"/>
      <c r="Y416" s="37">
        <f t="shared" si="73"/>
        <v>3.9831562940069011E-3</v>
      </c>
      <c r="Z416" s="37">
        <f t="shared" si="75"/>
        <v>-5.5256807352796242</v>
      </c>
      <c r="AA416" s="149">
        <f t="shared" si="74"/>
        <v>-2.2009649999401717E-2</v>
      </c>
      <c r="AB416" s="37"/>
      <c r="AC416" s="98"/>
      <c r="AD416" s="99"/>
      <c r="AE416" s="99"/>
    </row>
    <row r="417" spans="1:31" s="70" customFormat="1" ht="20.25" customHeight="1">
      <c r="A417" s="13">
        <v>42206</v>
      </c>
      <c r="B417" s="36">
        <v>5</v>
      </c>
      <c r="C417" s="51" t="s">
        <v>223</v>
      </c>
      <c r="D417" s="51" t="s">
        <v>224</v>
      </c>
      <c r="E417" s="51" t="s">
        <v>225</v>
      </c>
      <c r="F417" s="51" t="s">
        <v>226</v>
      </c>
      <c r="G417" s="51" t="s">
        <v>232</v>
      </c>
      <c r="H417" s="3" t="s">
        <v>233</v>
      </c>
      <c r="I417" s="3"/>
      <c r="J417" s="3">
        <v>1</v>
      </c>
      <c r="K417" s="3" t="s">
        <v>229</v>
      </c>
      <c r="L417" s="36" t="s">
        <v>233</v>
      </c>
      <c r="M417" s="3">
        <v>251</v>
      </c>
      <c r="N417" s="3">
        <f t="shared" si="69"/>
        <v>0.39840637450199201</v>
      </c>
      <c r="O417" s="65">
        <v>4828.6641929499074</v>
      </c>
      <c r="P417" s="8">
        <f t="shared" si="70"/>
        <v>19.237705948007598</v>
      </c>
      <c r="Q417" s="65">
        <v>4829.7642693441012</v>
      </c>
      <c r="R417" s="60">
        <f t="shared" si="71"/>
        <v>0.3983156294006901</v>
      </c>
      <c r="S417" s="36">
        <v>250</v>
      </c>
      <c r="T417" s="36">
        <v>250</v>
      </c>
      <c r="U417" s="3"/>
      <c r="V417" s="3"/>
      <c r="W417" s="3"/>
      <c r="X417" s="67"/>
      <c r="Y417" s="37">
        <f t="shared" si="73"/>
        <v>3.9831562940069011E-3</v>
      </c>
      <c r="Z417" s="37">
        <f t="shared" si="75"/>
        <v>-5.5256807352796242</v>
      </c>
      <c r="AA417" s="149">
        <f t="shared" si="74"/>
        <v>-2.2009649999401717E-2</v>
      </c>
      <c r="AB417" s="37"/>
      <c r="AC417" s="98"/>
      <c r="AD417" s="99"/>
      <c r="AE417" s="99"/>
    </row>
    <row r="418" spans="1:31" customFormat="1" ht="20.25" customHeight="1">
      <c r="A418" s="13">
        <v>42206</v>
      </c>
      <c r="B418" s="36">
        <v>5</v>
      </c>
      <c r="C418" s="51" t="s">
        <v>223</v>
      </c>
      <c r="D418" s="51" t="s">
        <v>224</v>
      </c>
      <c r="E418" s="51" t="s">
        <v>225</v>
      </c>
      <c r="F418" s="51" t="s">
        <v>226</v>
      </c>
      <c r="G418" s="51" t="s">
        <v>235</v>
      </c>
      <c r="H418" s="3" t="s">
        <v>236</v>
      </c>
      <c r="I418" s="3"/>
      <c r="J418" s="3">
        <v>2</v>
      </c>
      <c r="K418" s="3" t="s">
        <v>229</v>
      </c>
      <c r="L418" s="36" t="s">
        <v>236</v>
      </c>
      <c r="M418" s="3">
        <v>251</v>
      </c>
      <c r="N418" s="3">
        <f t="shared" si="69"/>
        <v>0.79681274900398402</v>
      </c>
      <c r="O418" s="65">
        <v>4828.6641929499074</v>
      </c>
      <c r="P418" s="8">
        <f t="shared" si="70"/>
        <v>38.475411896015196</v>
      </c>
      <c r="Q418" s="36">
        <v>4829.7642693441012</v>
      </c>
      <c r="R418" s="60">
        <f t="shared" si="71"/>
        <v>0.79663125880138019</v>
      </c>
      <c r="S418" s="36">
        <v>250</v>
      </c>
      <c r="T418" s="36">
        <v>250</v>
      </c>
      <c r="U418" s="3"/>
      <c r="V418" s="3"/>
      <c r="W418" s="3"/>
      <c r="X418" s="3"/>
      <c r="Y418" s="37">
        <f t="shared" si="73"/>
        <v>7.9663125880138023E-3</v>
      </c>
      <c r="Z418" s="37">
        <f t="shared" si="75"/>
        <v>-4.8325335547196788</v>
      </c>
      <c r="AA418" s="149">
        <f t="shared" si="74"/>
        <v>-3.8497472888962464E-2</v>
      </c>
      <c r="AB418" s="37"/>
      <c r="AC418" s="98"/>
      <c r="AD418" s="99"/>
      <c r="AE418" s="99"/>
    </row>
    <row r="419" spans="1:31" customFormat="1" ht="20.25" customHeight="1">
      <c r="A419" s="13">
        <v>42206</v>
      </c>
      <c r="B419" s="36">
        <v>5</v>
      </c>
      <c r="C419" s="3" t="s">
        <v>223</v>
      </c>
      <c r="D419" s="3" t="s">
        <v>317</v>
      </c>
      <c r="E419" s="3" t="s">
        <v>314</v>
      </c>
      <c r="F419" s="3" t="s">
        <v>346</v>
      </c>
      <c r="G419" s="3" t="s">
        <v>315</v>
      </c>
      <c r="H419" s="3" t="s">
        <v>347</v>
      </c>
      <c r="I419" s="3"/>
      <c r="J419" s="3">
        <v>1</v>
      </c>
      <c r="K419" s="3" t="s">
        <v>229</v>
      </c>
      <c r="L419" s="36" t="s">
        <v>345</v>
      </c>
      <c r="M419" s="3">
        <v>251</v>
      </c>
      <c r="N419" s="3">
        <f t="shared" si="69"/>
        <v>0.39840637450199201</v>
      </c>
      <c r="O419" s="65">
        <v>4828.6641929499074</v>
      </c>
      <c r="P419" s="8">
        <f t="shared" si="70"/>
        <v>19.237705948007598</v>
      </c>
      <c r="Q419" s="36">
        <v>4829.7642693441012</v>
      </c>
      <c r="R419" s="60">
        <f t="shared" si="71"/>
        <v>0.3983156294006901</v>
      </c>
      <c r="S419" s="36">
        <v>250</v>
      </c>
      <c r="T419" s="36">
        <v>250</v>
      </c>
      <c r="U419" s="3"/>
      <c r="V419" s="3"/>
      <c r="W419" s="3"/>
      <c r="X419" s="3"/>
      <c r="Y419" s="37">
        <f t="shared" si="73"/>
        <v>3.9831562940069011E-3</v>
      </c>
      <c r="Z419" s="37">
        <f t="shared" si="75"/>
        <v>-5.5256807352796242</v>
      </c>
      <c r="AA419" s="149">
        <f t="shared" si="74"/>
        <v>-2.2009649999401717E-2</v>
      </c>
      <c r="AB419" s="37"/>
      <c r="AC419" s="98"/>
      <c r="AD419" s="99"/>
      <c r="AE419" s="99"/>
    </row>
    <row r="420" spans="1:31" s="61" customFormat="1" ht="20.25" customHeight="1">
      <c r="A420" s="13">
        <v>42206</v>
      </c>
      <c r="B420" s="36">
        <v>5</v>
      </c>
      <c r="C420" s="65" t="s">
        <v>223</v>
      </c>
      <c r="D420" s="65" t="s">
        <v>310</v>
      </c>
      <c r="E420" s="65" t="s">
        <v>314</v>
      </c>
      <c r="F420" s="65" t="s">
        <v>311</v>
      </c>
      <c r="G420" s="65" t="s">
        <v>315</v>
      </c>
      <c r="H420" s="36" t="s">
        <v>316</v>
      </c>
      <c r="I420" s="3"/>
      <c r="J420" s="3">
        <v>3</v>
      </c>
      <c r="K420" s="3" t="s">
        <v>229</v>
      </c>
      <c r="L420" s="36" t="s">
        <v>345</v>
      </c>
      <c r="M420" s="3">
        <v>251</v>
      </c>
      <c r="N420" s="3">
        <f t="shared" si="69"/>
        <v>1.1952191235059761</v>
      </c>
      <c r="O420" s="65">
        <v>4828.6641929499074</v>
      </c>
      <c r="P420" s="8">
        <f t="shared" si="70"/>
        <v>57.713117844022797</v>
      </c>
      <c r="Q420" s="36">
        <v>4829.7642693441012</v>
      </c>
      <c r="R420" s="60">
        <f t="shared" si="71"/>
        <v>1.1949468882020704</v>
      </c>
      <c r="S420" s="3">
        <v>250</v>
      </c>
      <c r="T420" s="3">
        <v>250</v>
      </c>
      <c r="U420" s="3"/>
      <c r="V420" s="3"/>
      <c r="W420" s="3"/>
      <c r="X420" s="57"/>
      <c r="Y420" s="37">
        <f t="shared" si="73"/>
        <v>1.1949468882020704E-2</v>
      </c>
      <c r="Z420" s="37">
        <f t="shared" si="75"/>
        <v>-4.4270684466115142</v>
      </c>
      <c r="AA420" s="149">
        <f t="shared" si="74"/>
        <v>-5.2901116641360026E-2</v>
      </c>
      <c r="AB420" s="37"/>
      <c r="AC420" s="98"/>
      <c r="AD420" s="99"/>
      <c r="AE420" s="99"/>
    </row>
    <row r="421" spans="1:31" s="61" customFormat="1" ht="20.25" customHeight="1">
      <c r="A421" s="13">
        <v>42206</v>
      </c>
      <c r="B421" s="36">
        <v>5</v>
      </c>
      <c r="C421" s="65" t="s">
        <v>223</v>
      </c>
      <c r="D421" s="65" t="s">
        <v>224</v>
      </c>
      <c r="E421" s="65" t="s">
        <v>225</v>
      </c>
      <c r="F421" s="65" t="s">
        <v>226</v>
      </c>
      <c r="G421" s="65" t="s">
        <v>239</v>
      </c>
      <c r="H421" s="36" t="s">
        <v>240</v>
      </c>
      <c r="I421" s="36"/>
      <c r="J421" s="36">
        <v>37</v>
      </c>
      <c r="K421" s="36" t="s">
        <v>229</v>
      </c>
      <c r="L421" s="36" t="s">
        <v>240</v>
      </c>
      <c r="M421" s="3">
        <v>251</v>
      </c>
      <c r="N421" s="3">
        <f t="shared" si="69"/>
        <v>14.741035856573706</v>
      </c>
      <c r="O421" s="65">
        <v>4828.6641929499074</v>
      </c>
      <c r="P421" s="8">
        <f t="shared" si="70"/>
        <v>711.79512007628125</v>
      </c>
      <c r="Q421" s="36">
        <v>4829.7642693441012</v>
      </c>
      <c r="R421" s="60">
        <f t="shared" si="71"/>
        <v>14.737678287825537</v>
      </c>
      <c r="S421" s="36">
        <v>250</v>
      </c>
      <c r="T421" s="36">
        <v>250</v>
      </c>
      <c r="U421" s="3"/>
      <c r="V421" s="3"/>
      <c r="W421" s="3"/>
      <c r="X421" s="57"/>
      <c r="Y421" s="37">
        <f t="shared" si="73"/>
        <v>0.14737678287825537</v>
      </c>
      <c r="Z421" s="37">
        <f t="shared" si="75"/>
        <v>-1.9147628226353997</v>
      </c>
      <c r="AA421" s="149">
        <f t="shared" si="74"/>
        <v>-0.2821915847748927</v>
      </c>
      <c r="AB421" s="37"/>
      <c r="AC421" s="98"/>
      <c r="AD421" s="99"/>
      <c r="AE421" s="99"/>
    </row>
    <row r="422" spans="1:31" customFormat="1" ht="20.25" customHeight="1">
      <c r="A422" s="13">
        <v>42206</v>
      </c>
      <c r="B422" s="36">
        <v>5</v>
      </c>
      <c r="C422" s="65" t="s">
        <v>223</v>
      </c>
      <c r="D422" s="65" t="s">
        <v>224</v>
      </c>
      <c r="E422" s="65" t="s">
        <v>225</v>
      </c>
      <c r="F422" s="65"/>
      <c r="G422" s="65"/>
      <c r="H422" s="36" t="s">
        <v>476</v>
      </c>
      <c r="I422" s="36"/>
      <c r="J422" s="36">
        <v>1</v>
      </c>
      <c r="K422" s="36" t="s">
        <v>229</v>
      </c>
      <c r="L422" s="36" t="s">
        <v>476</v>
      </c>
      <c r="M422" s="3">
        <v>251</v>
      </c>
      <c r="N422" s="3">
        <f t="shared" si="69"/>
        <v>0.39840637450199201</v>
      </c>
      <c r="O422" s="65">
        <v>4828.6641929499074</v>
      </c>
      <c r="P422" s="8">
        <f t="shared" si="70"/>
        <v>19.237705948007598</v>
      </c>
      <c r="Q422" s="36">
        <v>4829.7642693441012</v>
      </c>
      <c r="R422" s="60">
        <f t="shared" si="71"/>
        <v>0.3983156294006901</v>
      </c>
      <c r="S422" s="3">
        <v>250</v>
      </c>
      <c r="T422" s="3">
        <v>250</v>
      </c>
      <c r="U422" s="32"/>
      <c r="V422" s="32"/>
      <c r="W422" s="3"/>
      <c r="X422" s="3"/>
      <c r="Y422" s="37">
        <f t="shared" si="73"/>
        <v>3.9831562940069011E-3</v>
      </c>
      <c r="Z422" s="37">
        <f t="shared" si="75"/>
        <v>-5.5256807352796242</v>
      </c>
      <c r="AA422" s="149">
        <f t="shared" si="74"/>
        <v>-2.2009649999401717E-2</v>
      </c>
      <c r="AB422" s="37"/>
      <c r="AC422" s="98"/>
      <c r="AD422" s="99"/>
      <c r="AE422" s="99"/>
    </row>
    <row r="423" spans="1:31" customFormat="1" ht="20.25" customHeight="1">
      <c r="A423" s="71">
        <v>42206</v>
      </c>
      <c r="B423" s="36">
        <v>5</v>
      </c>
      <c r="C423" s="65" t="s">
        <v>223</v>
      </c>
      <c r="D423" s="65" t="s">
        <v>224</v>
      </c>
      <c r="E423" s="65" t="s">
        <v>225</v>
      </c>
      <c r="F423" s="65" t="s">
        <v>248</v>
      </c>
      <c r="G423" s="65" t="s">
        <v>249</v>
      </c>
      <c r="H423" s="36" t="s">
        <v>250</v>
      </c>
      <c r="I423" s="36"/>
      <c r="J423" s="36">
        <v>2</v>
      </c>
      <c r="K423" s="36" t="s">
        <v>229</v>
      </c>
      <c r="L423" s="36" t="s">
        <v>250</v>
      </c>
      <c r="M423" s="3">
        <v>251</v>
      </c>
      <c r="N423" s="3">
        <f t="shared" si="69"/>
        <v>0.79681274900398402</v>
      </c>
      <c r="O423" s="65">
        <v>4828.6641929499074</v>
      </c>
      <c r="P423" s="8">
        <f t="shared" si="70"/>
        <v>38.475411896015196</v>
      </c>
      <c r="Q423" s="36">
        <v>4829.7642693441012</v>
      </c>
      <c r="R423" s="60">
        <f t="shared" si="71"/>
        <v>0.79663125880138019</v>
      </c>
      <c r="S423" s="36">
        <v>250</v>
      </c>
      <c r="T423" s="36">
        <v>250</v>
      </c>
      <c r="U423" s="3"/>
      <c r="V423" s="3"/>
      <c r="W423" s="36"/>
      <c r="X423" s="3"/>
      <c r="Y423" s="37">
        <f t="shared" si="73"/>
        <v>7.9663125880138023E-3</v>
      </c>
      <c r="Z423" s="37">
        <f t="shared" si="75"/>
        <v>-4.8325335547196788</v>
      </c>
      <c r="AA423" s="149">
        <f t="shared" si="74"/>
        <v>-3.8497472888962464E-2</v>
      </c>
      <c r="AB423" s="37"/>
      <c r="AC423" s="98"/>
      <c r="AD423" s="99"/>
      <c r="AE423" s="99"/>
    </row>
    <row r="424" spans="1:31" customFormat="1" ht="20.25" customHeight="1">
      <c r="A424" s="71">
        <v>42206</v>
      </c>
      <c r="B424" s="36">
        <v>5</v>
      </c>
      <c r="C424" s="65" t="s">
        <v>223</v>
      </c>
      <c r="D424" s="65" t="s">
        <v>224</v>
      </c>
      <c r="E424" s="65" t="s">
        <v>225</v>
      </c>
      <c r="F424" s="65" t="s">
        <v>226</v>
      </c>
      <c r="G424" s="65" t="s">
        <v>355</v>
      </c>
      <c r="H424" s="36" t="s">
        <v>356</v>
      </c>
      <c r="I424" s="36"/>
      <c r="J424" s="36">
        <v>1</v>
      </c>
      <c r="K424" s="36" t="s">
        <v>229</v>
      </c>
      <c r="L424" s="36" t="s">
        <v>356</v>
      </c>
      <c r="M424" s="3">
        <v>251</v>
      </c>
      <c r="N424" s="3">
        <f t="shared" si="69"/>
        <v>0.39840637450199201</v>
      </c>
      <c r="O424" s="65">
        <v>4828.6641929499074</v>
      </c>
      <c r="P424" s="8">
        <f t="shared" si="70"/>
        <v>19.237705948007598</v>
      </c>
      <c r="Q424" s="36">
        <v>4829.7642693441012</v>
      </c>
      <c r="R424" s="60">
        <f t="shared" si="71"/>
        <v>0.3983156294006901</v>
      </c>
      <c r="S424" s="36">
        <v>250</v>
      </c>
      <c r="T424" s="36">
        <v>250</v>
      </c>
      <c r="U424" s="3"/>
      <c r="V424" s="3"/>
      <c r="W424" s="3"/>
      <c r="X424" s="3"/>
      <c r="Y424" s="37">
        <f t="shared" si="73"/>
        <v>3.9831562940069011E-3</v>
      </c>
      <c r="Z424" s="37">
        <f t="shared" si="75"/>
        <v>-5.5256807352796242</v>
      </c>
      <c r="AA424" s="149">
        <f t="shared" si="74"/>
        <v>-2.2009649999401717E-2</v>
      </c>
      <c r="AB424" s="37"/>
      <c r="AC424" s="98"/>
      <c r="AD424" s="99"/>
      <c r="AE424" s="99"/>
    </row>
    <row r="425" spans="1:31" customFormat="1" ht="20.25" customHeight="1">
      <c r="A425" s="71">
        <v>42206</v>
      </c>
      <c r="B425" s="36">
        <v>5</v>
      </c>
      <c r="C425" s="3" t="s">
        <v>216</v>
      </c>
      <c r="D425" s="3" t="s">
        <v>217</v>
      </c>
      <c r="E425" s="3"/>
      <c r="F425" s="3"/>
      <c r="G425" s="3"/>
      <c r="H425" s="3" t="s">
        <v>219</v>
      </c>
      <c r="I425" s="3"/>
      <c r="J425" s="3">
        <v>6</v>
      </c>
      <c r="K425" s="36" t="s">
        <v>229</v>
      </c>
      <c r="L425" s="36" t="s">
        <v>219</v>
      </c>
      <c r="M425" s="3">
        <v>251</v>
      </c>
      <c r="N425" s="3">
        <f t="shared" si="69"/>
        <v>2.3904382470119523</v>
      </c>
      <c r="O425" s="65">
        <v>4828.6641929499074</v>
      </c>
      <c r="P425" s="8">
        <f t="shared" si="70"/>
        <v>115.42623568804559</v>
      </c>
      <c r="Q425" s="36">
        <v>4829.7642693441012</v>
      </c>
      <c r="R425" s="60">
        <f t="shared" si="71"/>
        <v>2.3898937764041408</v>
      </c>
      <c r="S425" s="3">
        <v>250</v>
      </c>
      <c r="T425" s="3">
        <v>250</v>
      </c>
      <c r="U425" s="3"/>
      <c r="V425" s="3"/>
      <c r="W425" s="3"/>
      <c r="X425" s="3"/>
      <c r="Y425" s="37">
        <f t="shared" si="73"/>
        <v>2.3898937764041409E-2</v>
      </c>
      <c r="Z425" s="37">
        <f t="shared" si="75"/>
        <v>-3.7339212660515693</v>
      </c>
      <c r="AA425" s="149">
        <f t="shared" si="74"/>
        <v>-8.9236751953197163E-2</v>
      </c>
      <c r="AB425" s="37"/>
      <c r="AC425" s="98"/>
      <c r="AD425" s="99"/>
      <c r="AE425" s="99"/>
    </row>
    <row r="426" spans="1:31" customFormat="1" ht="20.25" customHeight="1">
      <c r="A426" s="13">
        <v>42206</v>
      </c>
      <c r="B426" s="36">
        <v>5</v>
      </c>
      <c r="C426" s="36" t="s">
        <v>223</v>
      </c>
      <c r="D426" s="36" t="s">
        <v>224</v>
      </c>
      <c r="E426" s="36" t="s">
        <v>225</v>
      </c>
      <c r="F426" s="36" t="s">
        <v>226</v>
      </c>
      <c r="G426" s="36" t="s">
        <v>253</v>
      </c>
      <c r="H426" s="36" t="s">
        <v>256</v>
      </c>
      <c r="I426" s="3"/>
      <c r="J426" s="3">
        <v>121</v>
      </c>
      <c r="K426" s="3" t="s">
        <v>229</v>
      </c>
      <c r="L426" s="36" t="s">
        <v>256</v>
      </c>
      <c r="M426" s="3">
        <v>251</v>
      </c>
      <c r="N426" s="3">
        <f t="shared" si="69"/>
        <v>48.207171314741039</v>
      </c>
      <c r="O426" s="65">
        <v>4828.6641929499074</v>
      </c>
      <c r="P426" s="8">
        <f t="shared" si="70"/>
        <v>2327.7624197089194</v>
      </c>
      <c r="Q426" s="36">
        <v>4829.7642693441012</v>
      </c>
      <c r="R426" s="60">
        <f t="shared" si="71"/>
        <v>48.196191157483504</v>
      </c>
      <c r="S426" s="3">
        <v>250</v>
      </c>
      <c r="T426" s="3">
        <v>250</v>
      </c>
      <c r="U426" s="3"/>
      <c r="V426" s="3"/>
      <c r="W426" s="3"/>
      <c r="X426" s="3"/>
      <c r="Y426" s="37">
        <f t="shared" si="73"/>
        <v>0.48196191157483503</v>
      </c>
      <c r="Z426" s="37">
        <f t="shared" si="75"/>
        <v>-0.72989018968288311</v>
      </c>
      <c r="AA426" s="149">
        <f t="shared" si="74"/>
        <v>-0.35177927105928125</v>
      </c>
      <c r="AB426" s="37"/>
      <c r="AC426" s="98"/>
      <c r="AD426" s="99"/>
      <c r="AE426" s="99"/>
    </row>
    <row r="427" spans="1:31" customFormat="1" ht="20.25" customHeight="1">
      <c r="A427" s="13">
        <v>42206</v>
      </c>
      <c r="B427" s="36">
        <v>5</v>
      </c>
      <c r="C427" s="3" t="s">
        <v>223</v>
      </c>
      <c r="D427" s="3" t="s">
        <v>224</v>
      </c>
      <c r="E427" s="3" t="s">
        <v>225</v>
      </c>
      <c r="F427" s="3" t="s">
        <v>226</v>
      </c>
      <c r="G427" s="3" t="s">
        <v>239</v>
      </c>
      <c r="H427" s="3" t="s">
        <v>258</v>
      </c>
      <c r="I427" s="3" t="s">
        <v>259</v>
      </c>
      <c r="J427" s="3">
        <v>11</v>
      </c>
      <c r="K427" s="3" t="s">
        <v>247</v>
      </c>
      <c r="L427" s="36" t="s">
        <v>258</v>
      </c>
      <c r="M427" s="3">
        <v>251</v>
      </c>
      <c r="N427" s="3">
        <f t="shared" si="69"/>
        <v>4.3824701195219129</v>
      </c>
      <c r="O427" s="65">
        <v>4828.6641929499074</v>
      </c>
      <c r="P427" s="8">
        <f t="shared" si="70"/>
        <v>211.61476542808362</v>
      </c>
      <c r="Q427" s="36">
        <v>4829.7642693441012</v>
      </c>
      <c r="R427" s="60">
        <f t="shared" si="71"/>
        <v>4.3814719234075916</v>
      </c>
      <c r="S427" s="3">
        <v>250</v>
      </c>
      <c r="T427" s="3">
        <v>250</v>
      </c>
      <c r="U427" s="3"/>
      <c r="V427" s="3"/>
      <c r="W427" s="3"/>
      <c r="X427" s="3"/>
      <c r="Y427" s="37">
        <f t="shared" si="73"/>
        <v>4.3814719234075913E-2</v>
      </c>
      <c r="Z427" s="37">
        <f t="shared" si="75"/>
        <v>-3.1277854624812536</v>
      </c>
      <c r="AA427" s="149">
        <f t="shared" si="74"/>
        <v>-0.13704304186304039</v>
      </c>
      <c r="AB427" s="37"/>
      <c r="AC427" s="98"/>
      <c r="AD427" s="99"/>
      <c r="AE427" s="99"/>
    </row>
    <row r="428" spans="1:31" customFormat="1" ht="20.25" customHeight="1">
      <c r="A428" s="13">
        <v>42206</v>
      </c>
      <c r="B428" s="65">
        <v>5</v>
      </c>
      <c r="C428" s="36" t="s">
        <v>223</v>
      </c>
      <c r="D428" s="36" t="s">
        <v>224</v>
      </c>
      <c r="E428" s="36" t="s">
        <v>225</v>
      </c>
      <c r="F428" s="36" t="s">
        <v>226</v>
      </c>
      <c r="G428" s="36" t="s">
        <v>261</v>
      </c>
      <c r="H428" s="36" t="s">
        <v>262</v>
      </c>
      <c r="I428" s="3"/>
      <c r="J428" s="3">
        <v>13</v>
      </c>
      <c r="K428" s="3" t="s">
        <v>229</v>
      </c>
      <c r="L428" s="36" t="s">
        <v>264</v>
      </c>
      <c r="M428" s="3">
        <v>251</v>
      </c>
      <c r="N428" s="3">
        <f t="shared" si="69"/>
        <v>5.1792828685258963</v>
      </c>
      <c r="O428" s="65">
        <v>4828.6641929499074</v>
      </c>
      <c r="P428" s="8">
        <f t="shared" si="70"/>
        <v>250.09017732409876</v>
      </c>
      <c r="Q428" s="36">
        <v>4829.7642693441012</v>
      </c>
      <c r="R428" s="60">
        <f t="shared" si="71"/>
        <v>5.1781031822089707</v>
      </c>
      <c r="S428" s="3">
        <v>250</v>
      </c>
      <c r="T428" s="3">
        <v>250</v>
      </c>
      <c r="U428" s="3"/>
      <c r="V428" s="3"/>
      <c r="W428" s="3"/>
      <c r="X428" s="3"/>
      <c r="Y428" s="37">
        <f t="shared" si="73"/>
        <v>5.1781031822089707E-2</v>
      </c>
      <c r="Z428" s="37">
        <f t="shared" si="75"/>
        <v>-2.9607313778180875</v>
      </c>
      <c r="AA428" s="149">
        <f t="shared" si="74"/>
        <v>-0.1533097256914579</v>
      </c>
      <c r="AB428" s="37"/>
      <c r="AC428" s="98"/>
      <c r="AD428" s="99"/>
      <c r="AE428" s="99"/>
    </row>
    <row r="429" spans="1:31" customFormat="1" ht="20.25" customHeight="1">
      <c r="A429" s="35">
        <v>42206</v>
      </c>
      <c r="B429" s="36">
        <v>4</v>
      </c>
      <c r="C429" s="36" t="s">
        <v>223</v>
      </c>
      <c r="D429" s="36" t="s">
        <v>267</v>
      </c>
      <c r="E429" s="36" t="s">
        <v>278</v>
      </c>
      <c r="F429" s="36" t="s">
        <v>269</v>
      </c>
      <c r="G429" s="36" t="s">
        <v>333</v>
      </c>
      <c r="H429" s="36" t="s">
        <v>334</v>
      </c>
      <c r="I429" s="36"/>
      <c r="J429" s="36">
        <v>2</v>
      </c>
      <c r="K429" s="36" t="s">
        <v>229</v>
      </c>
      <c r="L429" s="36" t="s">
        <v>270</v>
      </c>
      <c r="M429" s="36">
        <v>249</v>
      </c>
      <c r="N429" s="36">
        <f t="shared" si="69"/>
        <v>0.80321285140562237</v>
      </c>
      <c r="O429" s="36">
        <v>28.533231474407945</v>
      </c>
      <c r="P429" s="40">
        <f t="shared" si="70"/>
        <v>0.22918258212375858</v>
      </c>
      <c r="Q429" s="36">
        <v>2128.8733675288295</v>
      </c>
      <c r="R429" s="40">
        <f t="shared" si="71"/>
        <v>1.076543986220237E-2</v>
      </c>
      <c r="S429" s="36">
        <v>1000</v>
      </c>
      <c r="T429" s="36">
        <v>1000</v>
      </c>
      <c r="U429" s="36"/>
      <c r="V429" s="36">
        <f>SUM(R429:R445)</f>
        <v>99.999999999999972</v>
      </c>
      <c r="W429" s="3"/>
      <c r="X429" s="3"/>
      <c r="Y429" s="37">
        <f t="shared" si="73"/>
        <v>1.0765439862202371E-4</v>
      </c>
      <c r="Z429" s="37">
        <f t="shared" si="75"/>
        <v>-9.1365844745890019</v>
      </c>
      <c r="AA429" s="149">
        <f t="shared" si="74"/>
        <v>-9.8359350707119737E-4</v>
      </c>
      <c r="AB429" s="37">
        <f>SUM(AA429:AA445)*-1</f>
        <v>1.8425928570154837</v>
      </c>
      <c r="AC429" s="98">
        <v>15</v>
      </c>
      <c r="AD429" s="98">
        <f t="shared" ref="AD429" si="78">LN(AC429)</f>
        <v>2.7080502011022101</v>
      </c>
      <c r="AE429" s="98">
        <f>(AB429/AD429)</f>
        <v>0.68041310913125819</v>
      </c>
    </row>
    <row r="430" spans="1:31" customFormat="1" ht="20.25" customHeight="1">
      <c r="A430" s="35">
        <v>42206</v>
      </c>
      <c r="B430" s="36">
        <v>4</v>
      </c>
      <c r="C430" s="65" t="s">
        <v>223</v>
      </c>
      <c r="D430" s="65" t="s">
        <v>267</v>
      </c>
      <c r="E430" s="65" t="s">
        <v>278</v>
      </c>
      <c r="F430" s="65" t="s">
        <v>269</v>
      </c>
      <c r="G430" s="65" t="s">
        <v>554</v>
      </c>
      <c r="H430" s="36" t="s">
        <v>552</v>
      </c>
      <c r="I430" s="36" t="s">
        <v>553</v>
      </c>
      <c r="J430" s="36">
        <v>1</v>
      </c>
      <c r="K430" s="36" t="s">
        <v>544</v>
      </c>
      <c r="L430" s="36" t="s">
        <v>270</v>
      </c>
      <c r="M430" s="36">
        <v>249</v>
      </c>
      <c r="N430" s="36">
        <f t="shared" si="69"/>
        <v>0.40160642570281119</v>
      </c>
      <c r="O430" s="36">
        <v>28.533231474407945</v>
      </c>
      <c r="P430" s="40">
        <f t="shared" si="70"/>
        <v>0.11459129106187929</v>
      </c>
      <c r="Q430" s="36">
        <v>2128.8733675288295</v>
      </c>
      <c r="R430" s="40">
        <f t="shared" si="71"/>
        <v>5.3827199311011851E-3</v>
      </c>
      <c r="S430" s="36">
        <v>1000</v>
      </c>
      <c r="T430" s="36">
        <v>1000</v>
      </c>
      <c r="U430" s="36"/>
      <c r="V430" s="36"/>
      <c r="W430" s="3"/>
      <c r="X430" s="3"/>
      <c r="Y430" s="37">
        <f t="shared" si="73"/>
        <v>5.3827199311011853E-5</v>
      </c>
      <c r="Z430" s="37">
        <f t="shared" si="75"/>
        <v>-9.8297316551489473</v>
      </c>
      <c r="AA430" s="149">
        <f t="shared" si="74"/>
        <v>-5.2910692497546482E-4</v>
      </c>
      <c r="AB430" s="37"/>
      <c r="AC430" s="98"/>
      <c r="AD430" s="99"/>
      <c r="AE430" s="99"/>
    </row>
    <row r="431" spans="1:31" customFormat="1" ht="20.25" customHeight="1">
      <c r="A431" s="35">
        <v>42206</v>
      </c>
      <c r="B431" s="36">
        <v>4</v>
      </c>
      <c r="C431" s="65" t="s">
        <v>223</v>
      </c>
      <c r="D431" s="65" t="s">
        <v>267</v>
      </c>
      <c r="E431" s="65"/>
      <c r="F431" s="65" t="s">
        <v>273</v>
      </c>
      <c r="G431" s="65" t="s">
        <v>274</v>
      </c>
      <c r="H431" s="36" t="s">
        <v>275</v>
      </c>
      <c r="I431" s="36" t="s">
        <v>276</v>
      </c>
      <c r="J431" s="36">
        <v>2</v>
      </c>
      <c r="K431" s="36" t="s">
        <v>247</v>
      </c>
      <c r="L431" s="36" t="s">
        <v>275</v>
      </c>
      <c r="M431" s="36">
        <v>249</v>
      </c>
      <c r="N431" s="36">
        <f t="shared" si="69"/>
        <v>0.80321285140562237</v>
      </c>
      <c r="O431" s="36">
        <v>28.533231474407945</v>
      </c>
      <c r="P431" s="40">
        <f t="shared" si="70"/>
        <v>0.22918258212375858</v>
      </c>
      <c r="Q431" s="36">
        <v>2128.8733675288295</v>
      </c>
      <c r="R431" s="40">
        <f t="shared" si="71"/>
        <v>1.076543986220237E-2</v>
      </c>
      <c r="S431" s="36">
        <v>1000</v>
      </c>
      <c r="T431" s="36">
        <v>1000</v>
      </c>
      <c r="U431" s="36" t="s">
        <v>550</v>
      </c>
      <c r="V431" s="36"/>
      <c r="W431" s="36"/>
      <c r="X431" s="3"/>
      <c r="Y431" s="37">
        <f t="shared" si="73"/>
        <v>1.0765439862202371E-4</v>
      </c>
      <c r="Z431" s="37">
        <f t="shared" si="75"/>
        <v>-9.1365844745890019</v>
      </c>
      <c r="AA431" s="149">
        <f t="shared" si="74"/>
        <v>-9.8359350707119737E-4</v>
      </c>
      <c r="AB431" s="37"/>
      <c r="AC431" s="98"/>
      <c r="AD431" s="99"/>
      <c r="AE431" s="99"/>
    </row>
    <row r="432" spans="1:31" customFormat="1" ht="20.25" customHeight="1">
      <c r="A432" s="35">
        <v>42206</v>
      </c>
      <c r="B432" s="36">
        <v>4</v>
      </c>
      <c r="C432" s="36" t="s">
        <v>223</v>
      </c>
      <c r="D432" s="36" t="s">
        <v>224</v>
      </c>
      <c r="E432" s="36" t="s">
        <v>225</v>
      </c>
      <c r="F432" s="36" t="s">
        <v>521</v>
      </c>
      <c r="G432" s="36" t="s">
        <v>522</v>
      </c>
      <c r="H432" s="36" t="s">
        <v>523</v>
      </c>
      <c r="I432" s="36" t="s">
        <v>551</v>
      </c>
      <c r="J432" s="36">
        <v>1</v>
      </c>
      <c r="K432" s="36" t="s">
        <v>247</v>
      </c>
      <c r="L432" s="36" t="s">
        <v>524</v>
      </c>
      <c r="M432" s="36">
        <v>249</v>
      </c>
      <c r="N432" s="36">
        <f t="shared" si="69"/>
        <v>0.40160642570281119</v>
      </c>
      <c r="O432" s="36">
        <v>28.533231474407945</v>
      </c>
      <c r="P432" s="40">
        <f t="shared" si="70"/>
        <v>0.11459129106187929</v>
      </c>
      <c r="Q432" s="36">
        <v>2128.8733675288295</v>
      </c>
      <c r="R432" s="40">
        <f t="shared" si="71"/>
        <v>5.3827199311011851E-3</v>
      </c>
      <c r="S432" s="36">
        <v>1000</v>
      </c>
      <c r="T432" s="36">
        <v>1000</v>
      </c>
      <c r="U432" s="36"/>
      <c r="V432" s="36"/>
      <c r="W432" s="3"/>
      <c r="X432" s="3"/>
      <c r="Y432" s="37">
        <f t="shared" si="73"/>
        <v>5.3827199311011853E-5</v>
      </c>
      <c r="Z432" s="37">
        <f t="shared" si="75"/>
        <v>-9.8297316551489473</v>
      </c>
      <c r="AA432" s="149">
        <f t="shared" si="74"/>
        <v>-5.2910692497546482E-4</v>
      </c>
      <c r="AB432" s="37"/>
      <c r="AC432" s="98"/>
      <c r="AD432" s="99"/>
      <c r="AE432" s="99"/>
    </row>
    <row r="433" spans="1:31" customFormat="1" ht="20.25" customHeight="1">
      <c r="A433" s="35">
        <v>42206</v>
      </c>
      <c r="B433" s="36">
        <v>4</v>
      </c>
      <c r="C433" s="36" t="s">
        <v>223</v>
      </c>
      <c r="D433" s="36" t="s">
        <v>267</v>
      </c>
      <c r="E433" s="36" t="s">
        <v>278</v>
      </c>
      <c r="F433" s="36" t="s">
        <v>279</v>
      </c>
      <c r="G433" s="36" t="s">
        <v>280</v>
      </c>
      <c r="H433" s="36" t="s">
        <v>284</v>
      </c>
      <c r="I433" s="36" t="s">
        <v>285</v>
      </c>
      <c r="J433" s="36">
        <v>100</v>
      </c>
      <c r="K433" s="36" t="s">
        <v>247</v>
      </c>
      <c r="L433" s="36" t="s">
        <v>283</v>
      </c>
      <c r="M433" s="36">
        <v>249</v>
      </c>
      <c r="N433" s="36">
        <f t="shared" si="69"/>
        <v>40.160642570281126</v>
      </c>
      <c r="O433" s="36">
        <v>28.533231474407945</v>
      </c>
      <c r="P433" s="40">
        <f t="shared" si="70"/>
        <v>11.45912910618793</v>
      </c>
      <c r="Q433" s="36">
        <v>2128.8733675288299</v>
      </c>
      <c r="R433" s="40">
        <f t="shared" si="71"/>
        <v>0.53827199311011842</v>
      </c>
      <c r="S433" s="36">
        <v>1000</v>
      </c>
      <c r="T433" s="36">
        <v>1000</v>
      </c>
      <c r="U433" s="36" t="s">
        <v>599</v>
      </c>
      <c r="V433" s="36"/>
      <c r="W433" s="3"/>
      <c r="X433" s="3"/>
      <c r="Y433" s="37">
        <f t="shared" si="73"/>
        <v>5.3827199311011842E-3</v>
      </c>
      <c r="Z433" s="37">
        <f t="shared" si="75"/>
        <v>-5.2245614691608564</v>
      </c>
      <c r="AA433" s="149">
        <f t="shared" si="74"/>
        <v>-2.8122351151315426E-2</v>
      </c>
      <c r="AB433" s="37"/>
      <c r="AC433" s="98"/>
      <c r="AD433" s="99"/>
      <c r="AE433" s="99"/>
    </row>
    <row r="434" spans="1:31" customFormat="1" ht="20.25" customHeight="1">
      <c r="A434" s="35">
        <v>42206</v>
      </c>
      <c r="B434" s="36">
        <v>4</v>
      </c>
      <c r="C434" s="36" t="s">
        <v>223</v>
      </c>
      <c r="D434" s="36" t="s">
        <v>267</v>
      </c>
      <c r="E434" s="36" t="s">
        <v>278</v>
      </c>
      <c r="F434" s="36" t="s">
        <v>279</v>
      </c>
      <c r="G434" s="36" t="s">
        <v>280</v>
      </c>
      <c r="H434" s="36" t="s">
        <v>284</v>
      </c>
      <c r="I434" s="36" t="s">
        <v>285</v>
      </c>
      <c r="J434" s="36">
        <v>143</v>
      </c>
      <c r="K434" s="36" t="s">
        <v>247</v>
      </c>
      <c r="L434" s="36" t="s">
        <v>283</v>
      </c>
      <c r="M434" s="36">
        <v>249</v>
      </c>
      <c r="N434" s="36">
        <f t="shared" si="69"/>
        <v>57.429718875502012</v>
      </c>
      <c r="O434" s="36">
        <v>28.533231474407945</v>
      </c>
      <c r="P434" s="40">
        <f t="shared" si="70"/>
        <v>16.386554621848742</v>
      </c>
      <c r="Q434" s="36">
        <v>2128.8733675288299</v>
      </c>
      <c r="R434" s="40">
        <f t="shared" si="71"/>
        <v>0.76972895014746945</v>
      </c>
      <c r="S434" s="65">
        <v>1000</v>
      </c>
      <c r="T434" s="65">
        <v>1000</v>
      </c>
      <c r="U434" s="65" t="s">
        <v>599</v>
      </c>
      <c r="V434" s="65"/>
      <c r="W434" s="51"/>
      <c r="X434" s="3"/>
      <c r="Y434" s="37">
        <f t="shared" si="73"/>
        <v>7.6972895014746946E-3</v>
      </c>
      <c r="Z434" s="37">
        <f t="shared" si="75"/>
        <v>-4.8668870248890403</v>
      </c>
      <c r="AA434" s="149">
        <f t="shared" si="74"/>
        <v>-3.7461838401541818E-2</v>
      </c>
      <c r="AB434" s="37"/>
      <c r="AC434" s="98"/>
      <c r="AD434" s="99"/>
      <c r="AE434" s="99"/>
    </row>
    <row r="435" spans="1:31" customFormat="1" ht="20.25" customHeight="1">
      <c r="A435" s="71">
        <v>42206</v>
      </c>
      <c r="B435" s="36">
        <v>4</v>
      </c>
      <c r="C435" s="3" t="s">
        <v>223</v>
      </c>
      <c r="D435" s="3" t="s">
        <v>224</v>
      </c>
      <c r="E435" s="3" t="s">
        <v>225</v>
      </c>
      <c r="F435" s="3" t="s">
        <v>226</v>
      </c>
      <c r="G435" s="3" t="s">
        <v>227</v>
      </c>
      <c r="H435" s="3" t="s">
        <v>228</v>
      </c>
      <c r="I435" s="3"/>
      <c r="J435" s="3">
        <v>53</v>
      </c>
      <c r="K435" s="3" t="s">
        <v>229</v>
      </c>
      <c r="L435" s="36" t="s">
        <v>228</v>
      </c>
      <c r="M435" s="3">
        <v>273</v>
      </c>
      <c r="N435" s="3">
        <f t="shared" si="69"/>
        <v>19.413919413919416</v>
      </c>
      <c r="O435" s="36">
        <v>2100.3401360544217</v>
      </c>
      <c r="P435" s="8">
        <f t="shared" si="70"/>
        <v>407.75834143181089</v>
      </c>
      <c r="Q435" s="36">
        <v>2128.8733675288299</v>
      </c>
      <c r="R435" s="40">
        <f t="shared" si="71"/>
        <v>19.153715183403875</v>
      </c>
      <c r="S435" s="51">
        <v>250</v>
      </c>
      <c r="T435" s="51">
        <v>250</v>
      </c>
      <c r="U435" s="51" t="s">
        <v>472</v>
      </c>
      <c r="V435" s="51"/>
      <c r="W435" s="51"/>
      <c r="X435" s="3"/>
      <c r="Y435" s="37">
        <f t="shared" si="73"/>
        <v>0.19153715183403874</v>
      </c>
      <c r="Z435" s="37">
        <f t="shared" si="75"/>
        <v>-1.6526734848225539</v>
      </c>
      <c r="AA435" s="149">
        <f t="shared" si="74"/>
        <v>-0.31654837219454746</v>
      </c>
      <c r="AB435" s="37"/>
      <c r="AC435" s="98"/>
      <c r="AD435" s="99"/>
      <c r="AE435" s="99"/>
    </row>
    <row r="436" spans="1:31" customFormat="1" ht="20.25" customHeight="1">
      <c r="A436" s="13">
        <v>42206</v>
      </c>
      <c r="B436" s="36">
        <v>4</v>
      </c>
      <c r="C436" s="51" t="s">
        <v>223</v>
      </c>
      <c r="D436" s="51" t="s">
        <v>303</v>
      </c>
      <c r="E436" s="51" t="s">
        <v>304</v>
      </c>
      <c r="F436" s="51" t="s">
        <v>305</v>
      </c>
      <c r="G436" s="51" t="s">
        <v>306</v>
      </c>
      <c r="H436" s="3" t="s">
        <v>307</v>
      </c>
      <c r="I436" s="3"/>
      <c r="J436" s="51">
        <v>25</v>
      </c>
      <c r="K436" s="51" t="s">
        <v>229</v>
      </c>
      <c r="L436" s="51" t="s">
        <v>307</v>
      </c>
      <c r="M436" s="3">
        <v>273</v>
      </c>
      <c r="N436" s="3">
        <f t="shared" si="69"/>
        <v>9.1575091575091569</v>
      </c>
      <c r="O436" s="36">
        <v>2100.3401360544217</v>
      </c>
      <c r="P436" s="8">
        <f t="shared" si="70"/>
        <v>192.33884029802394</v>
      </c>
      <c r="Q436" s="36">
        <v>2128.8733675288299</v>
      </c>
      <c r="R436" s="40">
        <f t="shared" si="71"/>
        <v>9.0347713129263525</v>
      </c>
      <c r="S436" s="65">
        <v>250</v>
      </c>
      <c r="T436" s="65">
        <v>250</v>
      </c>
      <c r="U436" s="65" t="s">
        <v>308</v>
      </c>
      <c r="V436" s="51"/>
      <c r="W436" s="65"/>
      <c r="X436" s="3"/>
      <c r="Y436" s="37">
        <f t="shared" si="73"/>
        <v>9.0347713129263527E-2</v>
      </c>
      <c r="Z436" s="37">
        <f t="shared" si="75"/>
        <v>-2.4040895735064756</v>
      </c>
      <c r="AA436" s="149">
        <f t="shared" si="74"/>
        <v>-0.21720399512421656</v>
      </c>
      <c r="AB436" s="37"/>
      <c r="AC436" s="98"/>
      <c r="AD436" s="99"/>
      <c r="AE436" s="99"/>
    </row>
    <row r="437" spans="1:31" customFormat="1" ht="20.25" customHeight="1">
      <c r="A437" s="35">
        <v>42206</v>
      </c>
      <c r="B437" s="36">
        <v>4</v>
      </c>
      <c r="C437" s="36" t="s">
        <v>223</v>
      </c>
      <c r="D437" s="36" t="s">
        <v>224</v>
      </c>
      <c r="E437" s="36" t="s">
        <v>225</v>
      </c>
      <c r="F437" s="36" t="s">
        <v>226</v>
      </c>
      <c r="G437" s="36" t="s">
        <v>232</v>
      </c>
      <c r="H437" s="36" t="s">
        <v>233</v>
      </c>
      <c r="I437" s="36"/>
      <c r="J437" s="36">
        <v>1</v>
      </c>
      <c r="K437" s="36" t="s">
        <v>229</v>
      </c>
      <c r="L437" s="36" t="s">
        <v>233</v>
      </c>
      <c r="M437" s="36">
        <v>273</v>
      </c>
      <c r="N437" s="36">
        <f t="shared" si="69"/>
        <v>0.36630036630036628</v>
      </c>
      <c r="O437" s="36">
        <v>2100.3401360544217</v>
      </c>
      <c r="P437" s="40">
        <f t="shared" si="70"/>
        <v>7.693553611920958</v>
      </c>
      <c r="Q437" s="36">
        <v>2128.8733675288299</v>
      </c>
      <c r="R437" s="60">
        <f t="shared" si="71"/>
        <v>0.36139085251705416</v>
      </c>
      <c r="S437" s="65">
        <v>250</v>
      </c>
      <c r="T437" s="65">
        <v>250</v>
      </c>
      <c r="U437" s="65" t="s">
        <v>475</v>
      </c>
      <c r="V437" s="65"/>
      <c r="W437" s="65"/>
      <c r="X437" s="3"/>
      <c r="Y437" s="37">
        <f t="shared" si="73"/>
        <v>3.6139085251705415E-3</v>
      </c>
      <c r="Z437" s="37">
        <f t="shared" si="75"/>
        <v>-5.6229653983746761</v>
      </c>
      <c r="AA437" s="149">
        <f t="shared" si="74"/>
        <v>-2.0320882589925211E-2</v>
      </c>
      <c r="AB437" s="37"/>
      <c r="AC437" s="98"/>
      <c r="AD437" s="99"/>
      <c r="AE437" s="99"/>
    </row>
    <row r="438" spans="1:31" ht="20.25" customHeight="1">
      <c r="A438" s="13">
        <v>42206</v>
      </c>
      <c r="B438" s="36">
        <v>4</v>
      </c>
      <c r="C438" s="3" t="s">
        <v>223</v>
      </c>
      <c r="D438" s="3" t="s">
        <v>224</v>
      </c>
      <c r="E438" s="3" t="s">
        <v>225</v>
      </c>
      <c r="F438" s="3" t="s">
        <v>226</v>
      </c>
      <c r="G438" s="51" t="s">
        <v>235</v>
      </c>
      <c r="H438" s="51" t="s">
        <v>236</v>
      </c>
      <c r="I438" s="3"/>
      <c r="J438" s="3">
        <v>38</v>
      </c>
      <c r="K438" s="3" t="s">
        <v>229</v>
      </c>
      <c r="L438" s="36" t="s">
        <v>236</v>
      </c>
      <c r="M438" s="3">
        <v>273</v>
      </c>
      <c r="N438" s="3">
        <f t="shared" si="69"/>
        <v>13.91941391941392</v>
      </c>
      <c r="O438" s="65">
        <v>2100.3401360544217</v>
      </c>
      <c r="P438" s="8">
        <f t="shared" si="70"/>
        <v>292.35503725299645</v>
      </c>
      <c r="Q438" s="36">
        <v>2128.8733675288299</v>
      </c>
      <c r="R438" s="40">
        <f t="shared" si="71"/>
        <v>13.732852395648059</v>
      </c>
      <c r="S438" s="51">
        <v>250</v>
      </c>
      <c r="T438" s="51">
        <v>250</v>
      </c>
      <c r="U438" s="51"/>
      <c r="V438" s="51"/>
      <c r="W438" s="51"/>
      <c r="X438" s="36"/>
      <c r="Y438" s="37">
        <f t="shared" si="73"/>
        <v>0.1373285239564806</v>
      </c>
      <c r="Z438" s="37">
        <f t="shared" si="75"/>
        <v>-1.9853792386482902</v>
      </c>
      <c r="AA438" s="149">
        <f t="shared" si="74"/>
        <v>-0.27264920033741091</v>
      </c>
      <c r="AB438" s="37"/>
      <c r="AC438" s="98"/>
    </row>
    <row r="439" spans="1:31" ht="20.25" customHeight="1">
      <c r="A439" s="13">
        <v>42206</v>
      </c>
      <c r="B439" s="36">
        <v>4</v>
      </c>
      <c r="C439" s="36" t="s">
        <v>223</v>
      </c>
      <c r="D439" s="36" t="s">
        <v>224</v>
      </c>
      <c r="E439" s="36" t="s">
        <v>225</v>
      </c>
      <c r="F439" s="36" t="s">
        <v>226</v>
      </c>
      <c r="G439" s="65" t="s">
        <v>239</v>
      </c>
      <c r="H439" s="65" t="s">
        <v>240</v>
      </c>
      <c r="I439" s="3"/>
      <c r="J439" s="3">
        <v>94</v>
      </c>
      <c r="K439" s="3" t="s">
        <v>229</v>
      </c>
      <c r="L439" s="36" t="s">
        <v>240</v>
      </c>
      <c r="M439" s="3">
        <v>273</v>
      </c>
      <c r="N439" s="3">
        <f t="shared" si="69"/>
        <v>34.432234432234431</v>
      </c>
      <c r="O439" s="65">
        <v>2100.3401360544217</v>
      </c>
      <c r="P439" s="8">
        <f t="shared" si="70"/>
        <v>723.19403952057007</v>
      </c>
      <c r="Q439" s="36">
        <v>2128.8733675288299</v>
      </c>
      <c r="R439" s="40">
        <f t="shared" si="71"/>
        <v>33.970740136603091</v>
      </c>
      <c r="S439" s="65">
        <v>250</v>
      </c>
      <c r="T439" s="65">
        <v>250</v>
      </c>
      <c r="U439" s="51"/>
      <c r="V439" s="51"/>
      <c r="W439" s="51"/>
      <c r="X439" s="36"/>
      <c r="Y439" s="37">
        <f t="shared" si="73"/>
        <v>0.33970740136603089</v>
      </c>
      <c r="Z439" s="37">
        <f t="shared" si="75"/>
        <v>-1.0796706161046723</v>
      </c>
      <c r="AA439" s="149">
        <f t="shared" si="74"/>
        <v>-0.36677209932817978</v>
      </c>
      <c r="AB439" s="37"/>
      <c r="AC439" s="98"/>
    </row>
    <row r="440" spans="1:31" ht="20.25" customHeight="1">
      <c r="A440" s="71">
        <v>42206</v>
      </c>
      <c r="B440" s="36">
        <v>4</v>
      </c>
      <c r="C440" s="34" t="s">
        <v>223</v>
      </c>
      <c r="D440" s="34" t="s">
        <v>224</v>
      </c>
      <c r="E440" s="34" t="s">
        <v>225</v>
      </c>
      <c r="F440" s="34" t="s">
        <v>248</v>
      </c>
      <c r="G440" s="34" t="s">
        <v>249</v>
      </c>
      <c r="H440" s="51" t="s">
        <v>250</v>
      </c>
      <c r="I440" s="3"/>
      <c r="J440" s="3">
        <v>2</v>
      </c>
      <c r="K440" s="3" t="s">
        <v>229</v>
      </c>
      <c r="L440" s="36" t="s">
        <v>250</v>
      </c>
      <c r="M440" s="3">
        <v>273</v>
      </c>
      <c r="N440" s="3">
        <f t="shared" si="69"/>
        <v>0.73260073260073255</v>
      </c>
      <c r="O440" s="65">
        <v>2100.3401360544217</v>
      </c>
      <c r="P440" s="8">
        <f t="shared" si="70"/>
        <v>15.387107223841916</v>
      </c>
      <c r="Q440" s="36">
        <v>2128.8733675288299</v>
      </c>
      <c r="R440" s="40">
        <f t="shared" si="71"/>
        <v>0.72278170503410832</v>
      </c>
      <c r="S440" s="51">
        <v>250</v>
      </c>
      <c r="T440" s="51">
        <v>250</v>
      </c>
      <c r="U440" s="51"/>
      <c r="V440" s="51"/>
      <c r="W440" s="51"/>
      <c r="X440" s="36"/>
      <c r="Y440" s="37">
        <f t="shared" si="73"/>
        <v>7.227817050341083E-3</v>
      </c>
      <c r="Z440" s="37">
        <f t="shared" si="75"/>
        <v>-4.9298182178147307</v>
      </c>
      <c r="AA440" s="149">
        <f t="shared" si="74"/>
        <v>-3.56318241698034E-2</v>
      </c>
      <c r="AB440" s="37"/>
      <c r="AC440" s="98"/>
    </row>
    <row r="441" spans="1:31" ht="20.25" customHeight="1">
      <c r="A441" s="71">
        <v>42206</v>
      </c>
      <c r="B441" s="36">
        <v>4</v>
      </c>
      <c r="C441" s="51" t="s">
        <v>223</v>
      </c>
      <c r="D441" s="51" t="s">
        <v>224</v>
      </c>
      <c r="E441" s="51" t="s">
        <v>225</v>
      </c>
      <c r="F441" s="51" t="s">
        <v>226</v>
      </c>
      <c r="G441" s="51" t="s">
        <v>355</v>
      </c>
      <c r="H441" s="3" t="s">
        <v>356</v>
      </c>
      <c r="I441" s="3"/>
      <c r="J441" s="3">
        <v>3</v>
      </c>
      <c r="K441" s="3" t="s">
        <v>229</v>
      </c>
      <c r="L441" s="36" t="s">
        <v>356</v>
      </c>
      <c r="M441" s="3">
        <v>273</v>
      </c>
      <c r="N441" s="3">
        <f t="shared" ref="N441:N504" si="79">J441/M441*100</f>
        <v>1.098901098901099</v>
      </c>
      <c r="O441" s="65">
        <v>2100.3401360544217</v>
      </c>
      <c r="P441" s="8">
        <f t="shared" ref="P441:P504" si="80">(N441/100)*O441</f>
        <v>23.080660835762878</v>
      </c>
      <c r="Q441" s="36">
        <v>2128.8733675288299</v>
      </c>
      <c r="R441" s="40">
        <f t="shared" ref="R441:R504" si="81">P441/Q441*100</f>
        <v>1.0841725575511627</v>
      </c>
      <c r="S441" s="51">
        <v>250</v>
      </c>
      <c r="T441" s="51">
        <v>250</v>
      </c>
      <c r="U441" s="51"/>
      <c r="V441" s="51"/>
      <c r="W441" s="51"/>
      <c r="X441" s="36"/>
      <c r="Y441" s="37">
        <f t="shared" si="73"/>
        <v>1.0841725575511628E-2</v>
      </c>
      <c r="Z441" s="37">
        <f t="shared" si="75"/>
        <v>-4.5243531097065661</v>
      </c>
      <c r="AA441" s="149">
        <f t="shared" si="74"/>
        <v>-4.9051794822151246E-2</v>
      </c>
      <c r="AB441" s="37"/>
      <c r="AC441" s="98"/>
    </row>
    <row r="442" spans="1:31" ht="20.25" customHeight="1">
      <c r="A442" s="71">
        <v>42206</v>
      </c>
      <c r="B442" s="36">
        <v>4</v>
      </c>
      <c r="C442" s="51" t="s">
        <v>216</v>
      </c>
      <c r="D442" s="51" t="s">
        <v>217</v>
      </c>
      <c r="E442" s="51"/>
      <c r="F442" s="51"/>
      <c r="G442" s="51"/>
      <c r="H442" s="3" t="s">
        <v>219</v>
      </c>
      <c r="I442" s="3"/>
      <c r="J442" s="3">
        <v>2</v>
      </c>
      <c r="K442" s="36" t="s">
        <v>229</v>
      </c>
      <c r="L442" s="36" t="s">
        <v>219</v>
      </c>
      <c r="M442" s="3">
        <v>273</v>
      </c>
      <c r="N442" s="3">
        <f t="shared" si="79"/>
        <v>0.73260073260073255</v>
      </c>
      <c r="O442" s="65">
        <v>2100.3401360544217</v>
      </c>
      <c r="P442" s="8">
        <f t="shared" si="80"/>
        <v>15.387107223841916</v>
      </c>
      <c r="Q442" s="36">
        <v>2128.8733675288299</v>
      </c>
      <c r="R442" s="60">
        <f t="shared" si="81"/>
        <v>0.72278170503410832</v>
      </c>
      <c r="S442" s="65">
        <v>250</v>
      </c>
      <c r="T442" s="65">
        <v>250</v>
      </c>
      <c r="U442" s="51"/>
      <c r="V442" s="51"/>
      <c r="W442" s="51"/>
      <c r="X442" s="36"/>
      <c r="Y442" s="37">
        <f t="shared" si="73"/>
        <v>7.227817050341083E-3</v>
      </c>
      <c r="Z442" s="37">
        <f t="shared" si="75"/>
        <v>-4.9298182178147307</v>
      </c>
      <c r="AA442" s="149">
        <f t="shared" si="74"/>
        <v>-3.56318241698034E-2</v>
      </c>
      <c r="AB442" s="37"/>
      <c r="AC442" s="98"/>
    </row>
    <row r="443" spans="1:31" ht="20.25" customHeight="1">
      <c r="A443" s="13">
        <v>42206</v>
      </c>
      <c r="B443" s="36">
        <v>4</v>
      </c>
      <c r="C443" s="36" t="s">
        <v>223</v>
      </c>
      <c r="D443" s="36" t="s">
        <v>224</v>
      </c>
      <c r="E443" s="36" t="s">
        <v>225</v>
      </c>
      <c r="F443" s="36" t="s">
        <v>226</v>
      </c>
      <c r="G443" s="65" t="s">
        <v>253</v>
      </c>
      <c r="H443" s="65" t="s">
        <v>256</v>
      </c>
      <c r="I443" s="3"/>
      <c r="J443" s="3">
        <v>41</v>
      </c>
      <c r="K443" s="3" t="s">
        <v>229</v>
      </c>
      <c r="L443" s="36" t="s">
        <v>256</v>
      </c>
      <c r="M443" s="3">
        <v>273</v>
      </c>
      <c r="N443" s="3">
        <f t="shared" si="79"/>
        <v>15.018315018315018</v>
      </c>
      <c r="O443" s="65">
        <v>2100.3401360544217</v>
      </c>
      <c r="P443" s="8">
        <f t="shared" si="80"/>
        <v>315.4356980887593</v>
      </c>
      <c r="Q443" s="36">
        <v>2128.8733675288299</v>
      </c>
      <c r="R443" s="40">
        <f t="shared" si="81"/>
        <v>14.817024953199221</v>
      </c>
      <c r="S443" s="51">
        <v>250</v>
      </c>
      <c r="T443" s="51">
        <v>250</v>
      </c>
      <c r="U443" s="51" t="s">
        <v>473</v>
      </c>
      <c r="V443" s="51"/>
      <c r="W443" s="65"/>
      <c r="X443" s="36"/>
      <c r="Y443" s="37">
        <f t="shared" si="73"/>
        <v>0.1481702495319922</v>
      </c>
      <c r="Z443" s="37">
        <f t="shared" si="75"/>
        <v>-1.9093933316703682</v>
      </c>
      <c r="AA443" s="149">
        <f t="shared" si="74"/>
        <v>-0.28291528640832042</v>
      </c>
      <c r="AB443" s="37"/>
      <c r="AC443" s="98"/>
    </row>
    <row r="444" spans="1:31" ht="20.25" customHeight="1">
      <c r="A444" s="13">
        <v>42206</v>
      </c>
      <c r="B444" s="36">
        <v>4</v>
      </c>
      <c r="C444" s="51" t="s">
        <v>223</v>
      </c>
      <c r="D444" s="51" t="s">
        <v>224</v>
      </c>
      <c r="E444" s="51" t="s">
        <v>225</v>
      </c>
      <c r="F444" s="51" t="s">
        <v>226</v>
      </c>
      <c r="G444" s="51" t="s">
        <v>239</v>
      </c>
      <c r="H444" s="51" t="s">
        <v>258</v>
      </c>
      <c r="I444" s="3" t="s">
        <v>259</v>
      </c>
      <c r="J444" s="3">
        <v>3</v>
      </c>
      <c r="K444" s="3" t="s">
        <v>247</v>
      </c>
      <c r="L444" s="36" t="s">
        <v>258</v>
      </c>
      <c r="M444" s="3">
        <v>273</v>
      </c>
      <c r="N444" s="3">
        <f t="shared" si="79"/>
        <v>1.098901098901099</v>
      </c>
      <c r="O444" s="65">
        <v>2100.3401360544217</v>
      </c>
      <c r="P444" s="8">
        <f t="shared" si="80"/>
        <v>23.080660835762878</v>
      </c>
      <c r="Q444" s="36">
        <v>2128.8733675288299</v>
      </c>
      <c r="R444" s="40">
        <f t="shared" si="81"/>
        <v>1.0841725575511627</v>
      </c>
      <c r="S444" s="65">
        <v>250</v>
      </c>
      <c r="T444" s="65">
        <v>250</v>
      </c>
      <c r="U444" s="51"/>
      <c r="V444" s="51"/>
      <c r="W444" s="51"/>
      <c r="X444" s="36"/>
      <c r="Y444" s="37">
        <f t="shared" si="73"/>
        <v>1.0841725575511628E-2</v>
      </c>
      <c r="Z444" s="37">
        <f t="shared" si="75"/>
        <v>-4.5243531097065661</v>
      </c>
      <c r="AA444" s="149">
        <f t="shared" si="74"/>
        <v>-4.9051794822151246E-2</v>
      </c>
      <c r="AB444" s="37"/>
      <c r="AC444" s="98"/>
    </row>
    <row r="445" spans="1:31" ht="20.25" customHeight="1">
      <c r="A445" s="13">
        <v>42206</v>
      </c>
      <c r="B445" s="65">
        <v>4</v>
      </c>
      <c r="C445" s="36" t="s">
        <v>223</v>
      </c>
      <c r="D445" s="36" t="s">
        <v>224</v>
      </c>
      <c r="E445" s="36" t="s">
        <v>225</v>
      </c>
      <c r="F445" s="36" t="s">
        <v>226</v>
      </c>
      <c r="G445" s="65" t="s">
        <v>261</v>
      </c>
      <c r="H445" s="65" t="s">
        <v>262</v>
      </c>
      <c r="I445" s="3"/>
      <c r="J445" s="3">
        <v>11</v>
      </c>
      <c r="K445" s="3" t="s">
        <v>229</v>
      </c>
      <c r="L445" s="36" t="s">
        <v>264</v>
      </c>
      <c r="M445" s="3">
        <v>273</v>
      </c>
      <c r="N445" s="3">
        <f t="shared" si="79"/>
        <v>4.0293040293040292</v>
      </c>
      <c r="O445" s="65">
        <v>2100.3401360544217</v>
      </c>
      <c r="P445" s="8">
        <f t="shared" si="80"/>
        <v>84.629089731130534</v>
      </c>
      <c r="Q445" s="36">
        <v>2128.8733675288299</v>
      </c>
      <c r="R445" s="40">
        <f t="shared" si="81"/>
        <v>3.9752993776875951</v>
      </c>
      <c r="S445" s="65">
        <v>250</v>
      </c>
      <c r="T445" s="65">
        <v>250</v>
      </c>
      <c r="U445" s="51"/>
      <c r="V445" s="51"/>
      <c r="W445" s="51"/>
      <c r="X445" s="36"/>
      <c r="Y445" s="37">
        <f t="shared" si="73"/>
        <v>3.9752993776875953E-2</v>
      </c>
      <c r="Z445" s="37">
        <f t="shared" si="75"/>
        <v>-3.2250701255763055</v>
      </c>
      <c r="AA445" s="149">
        <f t="shared" si="74"/>
        <v>-0.12820619263202343</v>
      </c>
      <c r="AB445" s="37"/>
      <c r="AC445" s="98"/>
    </row>
    <row r="446" spans="1:31" ht="20.25" customHeight="1">
      <c r="A446" s="35">
        <v>42206</v>
      </c>
      <c r="B446" s="76">
        <v>2</v>
      </c>
      <c r="C446" s="36" t="s">
        <v>223</v>
      </c>
      <c r="D446" s="36" t="s">
        <v>267</v>
      </c>
      <c r="E446" s="36" t="s">
        <v>278</v>
      </c>
      <c r="F446" s="36" t="s">
        <v>269</v>
      </c>
      <c r="G446" s="36" t="s">
        <v>333</v>
      </c>
      <c r="H446" s="36" t="s">
        <v>334</v>
      </c>
      <c r="I446" s="36"/>
      <c r="J446" s="36">
        <v>1</v>
      </c>
      <c r="K446" s="36" t="s">
        <v>229</v>
      </c>
      <c r="L446" s="36" t="s">
        <v>270</v>
      </c>
      <c r="M446" s="36">
        <v>3</v>
      </c>
      <c r="N446" s="36">
        <f t="shared" si="79"/>
        <v>33.333333333333329</v>
      </c>
      <c r="O446" s="36">
        <v>0.31978964947501198</v>
      </c>
      <c r="P446" s="53">
        <f t="shared" si="80"/>
        <v>0.10659654982500397</v>
      </c>
      <c r="Q446" s="65">
        <v>970.38781686035929</v>
      </c>
      <c r="R446" s="53">
        <f t="shared" si="81"/>
        <v>1.0984943130251956E-2</v>
      </c>
      <c r="S446" s="36">
        <v>1000</v>
      </c>
      <c r="T446" s="36">
        <v>1000</v>
      </c>
      <c r="U446" s="36">
        <f>SUM(R446:R455)</f>
        <v>100</v>
      </c>
      <c r="V446" s="36"/>
      <c r="W446" s="36"/>
      <c r="X446" s="36"/>
      <c r="Y446" s="37">
        <f t="shared" si="73"/>
        <v>1.0984943130251955E-4</v>
      </c>
      <c r="Z446" s="37">
        <f t="shared" si="75"/>
        <v>-9.1163999361837469</v>
      </c>
      <c r="AA446" s="149">
        <f t="shared" si="74"/>
        <v>-1.0014313485161102E-3</v>
      </c>
      <c r="AB446" s="37">
        <f>SUM(AA446:AA455)*-1</f>
        <v>0.94650092979915113</v>
      </c>
      <c r="AC446" s="98">
        <v>10</v>
      </c>
      <c r="AD446" s="98">
        <f t="shared" ref="AD446" si="82">LN(AC446)</f>
        <v>2.3025850929940459</v>
      </c>
      <c r="AE446" s="98">
        <f>(AB446/AD446)</f>
        <v>0.41106013092806842</v>
      </c>
    </row>
    <row r="447" spans="1:31" ht="20.25" customHeight="1">
      <c r="A447" s="35">
        <v>42206</v>
      </c>
      <c r="B447" s="76">
        <v>2</v>
      </c>
      <c r="C447" s="36" t="s">
        <v>223</v>
      </c>
      <c r="D447" s="36" t="s">
        <v>267</v>
      </c>
      <c r="E447" s="36"/>
      <c r="F447" s="36" t="s">
        <v>273</v>
      </c>
      <c r="G447" s="36"/>
      <c r="H447" s="36" t="s">
        <v>558</v>
      </c>
      <c r="I447" s="36" t="s">
        <v>559</v>
      </c>
      <c r="J447" s="36">
        <v>1</v>
      </c>
      <c r="K447" s="36" t="s">
        <v>247</v>
      </c>
      <c r="L447" s="36" t="s">
        <v>494</v>
      </c>
      <c r="M447" s="36">
        <v>3</v>
      </c>
      <c r="N447" s="36">
        <f t="shared" si="79"/>
        <v>33.333333333333329</v>
      </c>
      <c r="O447" s="36">
        <v>0.31978964947501198</v>
      </c>
      <c r="P447" s="53">
        <f t="shared" si="80"/>
        <v>0.10659654982500397</v>
      </c>
      <c r="Q447" s="65">
        <v>970.38781686035929</v>
      </c>
      <c r="R447" s="53">
        <f t="shared" si="81"/>
        <v>1.0984943130251956E-2</v>
      </c>
      <c r="S447" s="36">
        <v>1000</v>
      </c>
      <c r="T447" s="36">
        <v>1000</v>
      </c>
      <c r="U447" s="36"/>
      <c r="V447" s="36"/>
      <c r="W447" s="36"/>
      <c r="X447" s="36"/>
      <c r="Y447" s="37">
        <f t="shared" si="73"/>
        <v>1.0984943130251955E-4</v>
      </c>
      <c r="Z447" s="37">
        <f t="shared" si="75"/>
        <v>-9.1163999361837469</v>
      </c>
      <c r="AA447" s="149">
        <f t="shared" si="74"/>
        <v>-1.0014313485161102E-3</v>
      </c>
      <c r="AB447" s="37"/>
      <c r="AC447" s="98"/>
    </row>
    <row r="448" spans="1:31" ht="20.25" customHeight="1">
      <c r="A448" s="72">
        <v>42206</v>
      </c>
      <c r="B448" s="76">
        <v>2</v>
      </c>
      <c r="C448" s="36" t="s">
        <v>323</v>
      </c>
      <c r="D448" s="36" t="s">
        <v>324</v>
      </c>
      <c r="E448" s="36"/>
      <c r="F448" s="36" t="s">
        <v>325</v>
      </c>
      <c r="G448" s="36" t="s">
        <v>326</v>
      </c>
      <c r="H448" s="36" t="s">
        <v>327</v>
      </c>
      <c r="I448" s="36"/>
      <c r="J448" s="36">
        <v>1</v>
      </c>
      <c r="K448" s="36" t="s">
        <v>229</v>
      </c>
      <c r="L448" s="36" t="s">
        <v>327</v>
      </c>
      <c r="M448" s="36">
        <v>3</v>
      </c>
      <c r="N448" s="36">
        <f t="shared" si="79"/>
        <v>33.333333333333329</v>
      </c>
      <c r="O448" s="36">
        <v>0.31978964947501198</v>
      </c>
      <c r="P448" s="53">
        <f t="shared" si="80"/>
        <v>0.10659654982500397</v>
      </c>
      <c r="Q448" s="65">
        <v>970.38781686035929</v>
      </c>
      <c r="R448" s="53">
        <f t="shared" si="81"/>
        <v>1.0984943130251956E-2</v>
      </c>
      <c r="S448" s="36">
        <v>1000</v>
      </c>
      <c r="T448" s="36">
        <v>1000</v>
      </c>
      <c r="U448" s="36"/>
      <c r="V448" s="36"/>
      <c r="W448" s="36"/>
      <c r="X448" s="36"/>
      <c r="Y448" s="37">
        <f t="shared" si="73"/>
        <v>1.0984943130251955E-4</v>
      </c>
      <c r="Z448" s="37">
        <f t="shared" si="75"/>
        <v>-9.1163999361837469</v>
      </c>
      <c r="AA448" s="149">
        <f t="shared" si="74"/>
        <v>-1.0014313485161102E-3</v>
      </c>
      <c r="AB448" s="37"/>
      <c r="AC448" s="98"/>
    </row>
    <row r="449" spans="1:32" ht="20.25" customHeight="1">
      <c r="A449" s="72">
        <v>42206</v>
      </c>
      <c r="B449" s="65">
        <v>2</v>
      </c>
      <c r="C449" s="36" t="s">
        <v>223</v>
      </c>
      <c r="D449" s="36" t="s">
        <v>224</v>
      </c>
      <c r="E449" s="36" t="s">
        <v>225</v>
      </c>
      <c r="F449" s="36" t="s">
        <v>226</v>
      </c>
      <c r="G449" s="36" t="s">
        <v>227</v>
      </c>
      <c r="H449" s="36" t="s">
        <v>228</v>
      </c>
      <c r="I449" s="36"/>
      <c r="J449" s="36">
        <v>68</v>
      </c>
      <c r="K449" s="36" t="s">
        <v>229</v>
      </c>
      <c r="L449" s="36" t="s">
        <v>228</v>
      </c>
      <c r="M449" s="36">
        <v>337</v>
      </c>
      <c r="N449" s="36">
        <f t="shared" si="79"/>
        <v>20.178041543026705</v>
      </c>
      <c r="O449" s="36">
        <v>970.06802721088434</v>
      </c>
      <c r="P449" s="53">
        <f t="shared" si="80"/>
        <v>195.74072952623183</v>
      </c>
      <c r="Q449" s="65">
        <v>970.38781686035929</v>
      </c>
      <c r="R449" s="53">
        <f t="shared" si="81"/>
        <v>20.171391903861803</v>
      </c>
      <c r="S449" s="36">
        <v>250</v>
      </c>
      <c r="T449" s="36">
        <v>250</v>
      </c>
      <c r="U449" s="36"/>
      <c r="V449" s="36"/>
      <c r="W449" s="36"/>
      <c r="X449" s="36"/>
      <c r="Y449" s="37">
        <f t="shared" ref="Y449:Y512" si="83">(R449/100)</f>
        <v>0.20171391903861802</v>
      </c>
      <c r="Z449" s="37">
        <f t="shared" si="75"/>
        <v>-1.6009048277831346</v>
      </c>
      <c r="AA449" s="149">
        <f t="shared" ref="AA449:AA512" si="84">(Y449*Z449)</f>
        <v>-0.32292478681997994</v>
      </c>
      <c r="AB449" s="37"/>
      <c r="AC449" s="98"/>
    </row>
    <row r="450" spans="1:32" ht="20.25" customHeight="1">
      <c r="A450" s="35">
        <v>42206</v>
      </c>
      <c r="B450" s="65">
        <v>2</v>
      </c>
      <c r="C450" s="36" t="s">
        <v>223</v>
      </c>
      <c r="D450" s="36" t="s">
        <v>303</v>
      </c>
      <c r="E450" s="36" t="s">
        <v>304</v>
      </c>
      <c r="F450" s="36" t="s">
        <v>305</v>
      </c>
      <c r="G450" s="36" t="s">
        <v>306</v>
      </c>
      <c r="H450" s="36" t="s">
        <v>307</v>
      </c>
      <c r="I450" s="36"/>
      <c r="J450" s="36">
        <v>21</v>
      </c>
      <c r="K450" s="36" t="s">
        <v>229</v>
      </c>
      <c r="L450" s="36" t="s">
        <v>307</v>
      </c>
      <c r="M450" s="36">
        <v>337</v>
      </c>
      <c r="N450" s="36">
        <f t="shared" si="79"/>
        <v>6.2314540059347179</v>
      </c>
      <c r="O450" s="36">
        <v>970.06802721088434</v>
      </c>
      <c r="P450" s="53">
        <f t="shared" si="80"/>
        <v>60.449342941924542</v>
      </c>
      <c r="Q450" s="65">
        <v>970.38781686035929</v>
      </c>
      <c r="R450" s="53">
        <f t="shared" si="81"/>
        <v>6.2294004408984991</v>
      </c>
      <c r="S450" s="36">
        <v>250</v>
      </c>
      <c r="T450" s="36">
        <v>250</v>
      </c>
      <c r="U450" s="36" t="s">
        <v>308</v>
      </c>
      <c r="V450" s="36"/>
      <c r="W450" s="36"/>
      <c r="X450" s="36"/>
      <c r="Y450" s="37">
        <f t="shared" si="83"/>
        <v>6.2294004408984992E-2</v>
      </c>
      <c r="Z450" s="37">
        <f t="shared" si="75"/>
        <v>-2.7758900952358179</v>
      </c>
      <c r="AA450" s="149">
        <f t="shared" si="84"/>
        <v>-0.1729213098314778</v>
      </c>
      <c r="AB450" s="37"/>
      <c r="AC450" s="98"/>
    </row>
    <row r="451" spans="1:32" ht="20.25" customHeight="1">
      <c r="A451" s="72">
        <v>42206</v>
      </c>
      <c r="B451" s="65">
        <v>2</v>
      </c>
      <c r="C451" s="36" t="s">
        <v>223</v>
      </c>
      <c r="D451" s="36" t="s">
        <v>224</v>
      </c>
      <c r="E451" s="36" t="s">
        <v>225</v>
      </c>
      <c r="F451" s="36" t="s">
        <v>226</v>
      </c>
      <c r="G451" s="36" t="s">
        <v>235</v>
      </c>
      <c r="H451" s="36" t="s">
        <v>236</v>
      </c>
      <c r="I451" s="36"/>
      <c r="J451" s="36">
        <v>1</v>
      </c>
      <c r="K451" s="36" t="s">
        <v>229</v>
      </c>
      <c r="L451" s="36" t="s">
        <v>238</v>
      </c>
      <c r="M451" s="36">
        <v>337</v>
      </c>
      <c r="N451" s="36">
        <f t="shared" si="79"/>
        <v>0.29673590504451042</v>
      </c>
      <c r="O451" s="36">
        <v>970.06802721088434</v>
      </c>
      <c r="P451" s="53">
        <f t="shared" si="80"/>
        <v>2.878540140091645</v>
      </c>
      <c r="Q451" s="65">
        <v>970.38781686035929</v>
      </c>
      <c r="R451" s="53">
        <f t="shared" si="81"/>
        <v>0.29663811623326186</v>
      </c>
      <c r="S451" s="36">
        <v>250</v>
      </c>
      <c r="T451" s="36">
        <v>250</v>
      </c>
      <c r="U451" s="36"/>
      <c r="V451" s="36"/>
      <c r="W451" s="36"/>
      <c r="X451" s="36"/>
      <c r="Y451" s="37">
        <f t="shared" si="83"/>
        <v>2.9663811623326184E-3</v>
      </c>
      <c r="Z451" s="37">
        <f t="shared" ref="Z451:Z514" si="85">LN(Y451)</f>
        <v>-5.8204125329592413</v>
      </c>
      <c r="AA451" s="149">
        <f t="shared" si="84"/>
        <v>-1.7265562094774974E-2</v>
      </c>
      <c r="AB451" s="37"/>
      <c r="AC451" s="98"/>
    </row>
    <row r="452" spans="1:32" ht="20.25" customHeight="1">
      <c r="A452" s="35">
        <v>42206</v>
      </c>
      <c r="B452" s="65">
        <v>2</v>
      </c>
      <c r="C452" s="65" t="s">
        <v>223</v>
      </c>
      <c r="D452" s="36" t="s">
        <v>224</v>
      </c>
      <c r="E452" s="36" t="s">
        <v>225</v>
      </c>
      <c r="F452" s="65" t="s">
        <v>226</v>
      </c>
      <c r="G452" s="65" t="s">
        <v>239</v>
      </c>
      <c r="H452" s="65" t="s">
        <v>240</v>
      </c>
      <c r="I452" s="36"/>
      <c r="J452" s="36">
        <v>233</v>
      </c>
      <c r="K452" s="36" t="s">
        <v>229</v>
      </c>
      <c r="L452" s="36" t="s">
        <v>240</v>
      </c>
      <c r="M452" s="36">
        <v>337</v>
      </c>
      <c r="N452" s="36">
        <f t="shared" si="79"/>
        <v>69.139465875370917</v>
      </c>
      <c r="O452" s="36">
        <v>970.06802721088434</v>
      </c>
      <c r="P452" s="53">
        <f t="shared" si="80"/>
        <v>670.69985264135323</v>
      </c>
      <c r="Q452" s="65">
        <v>970.38781686035929</v>
      </c>
      <c r="R452" s="53">
        <f t="shared" si="81"/>
        <v>69.116681082350013</v>
      </c>
      <c r="S452" s="36">
        <v>250</v>
      </c>
      <c r="T452" s="36">
        <v>250</v>
      </c>
      <c r="U452" s="36"/>
      <c r="V452" s="36"/>
      <c r="W452" s="36"/>
      <c r="X452" s="36"/>
      <c r="Y452" s="37">
        <f t="shared" si="83"/>
        <v>0.69116681082350018</v>
      </c>
      <c r="Z452" s="37">
        <f t="shared" si="85"/>
        <v>-0.36937407939354044</v>
      </c>
      <c r="AA452" s="149">
        <f t="shared" si="84"/>
        <v>-0.25529910445529969</v>
      </c>
      <c r="AB452" s="37"/>
      <c r="AC452" s="98"/>
    </row>
    <row r="453" spans="1:32" ht="20.25" customHeight="1">
      <c r="A453" s="35">
        <v>42206</v>
      </c>
      <c r="B453" s="65">
        <v>2</v>
      </c>
      <c r="C453" s="65" t="s">
        <v>223</v>
      </c>
      <c r="D453" s="65" t="s">
        <v>224</v>
      </c>
      <c r="E453" s="65" t="s">
        <v>225</v>
      </c>
      <c r="F453" s="65" t="s">
        <v>226</v>
      </c>
      <c r="G453" s="65" t="s">
        <v>253</v>
      </c>
      <c r="H453" s="36" t="s">
        <v>256</v>
      </c>
      <c r="I453" s="36"/>
      <c r="J453" s="36">
        <v>7</v>
      </c>
      <c r="K453" s="36" t="s">
        <v>229</v>
      </c>
      <c r="L453" s="36" t="s">
        <v>256</v>
      </c>
      <c r="M453" s="36">
        <v>337</v>
      </c>
      <c r="N453" s="36">
        <f t="shared" si="79"/>
        <v>2.0771513353115725</v>
      </c>
      <c r="O453" s="36">
        <v>970.06802721088434</v>
      </c>
      <c r="P453" s="53">
        <f t="shared" si="80"/>
        <v>20.149780980641513</v>
      </c>
      <c r="Q453" s="65">
        <v>970.38781686035929</v>
      </c>
      <c r="R453" s="53">
        <f t="shared" si="81"/>
        <v>2.076466813632833</v>
      </c>
      <c r="S453" s="36">
        <v>250</v>
      </c>
      <c r="T453" s="36">
        <v>250</v>
      </c>
      <c r="U453" s="36" t="s">
        <v>471</v>
      </c>
      <c r="V453" s="36"/>
      <c r="W453" s="36"/>
      <c r="X453" s="36"/>
      <c r="Y453" s="37">
        <f t="shared" si="83"/>
        <v>2.0764668136328331E-2</v>
      </c>
      <c r="Z453" s="37">
        <f t="shared" si="85"/>
        <v>-3.8745023839039279</v>
      </c>
      <c r="AA453" s="149">
        <f t="shared" si="84"/>
        <v>-8.0452756195178055E-2</v>
      </c>
      <c r="AB453" s="37"/>
      <c r="AC453" s="98"/>
    </row>
    <row r="454" spans="1:32" ht="20.25" customHeight="1">
      <c r="A454" s="35">
        <v>42206</v>
      </c>
      <c r="B454" s="65">
        <v>2</v>
      </c>
      <c r="C454" s="36" t="s">
        <v>223</v>
      </c>
      <c r="D454" s="36" t="s">
        <v>224</v>
      </c>
      <c r="E454" s="36" t="s">
        <v>225</v>
      </c>
      <c r="F454" s="36" t="s">
        <v>226</v>
      </c>
      <c r="G454" s="36" t="s">
        <v>239</v>
      </c>
      <c r="H454" s="36" t="s">
        <v>258</v>
      </c>
      <c r="I454" s="36" t="s">
        <v>259</v>
      </c>
      <c r="J454" s="36">
        <v>3</v>
      </c>
      <c r="K454" s="36" t="s">
        <v>247</v>
      </c>
      <c r="L454" s="36" t="s">
        <v>258</v>
      </c>
      <c r="M454" s="36">
        <v>337</v>
      </c>
      <c r="N454" s="36">
        <f t="shared" si="79"/>
        <v>0.89020771513353114</v>
      </c>
      <c r="O454" s="36">
        <v>970.06802721088434</v>
      </c>
      <c r="P454" s="53">
        <f t="shared" si="80"/>
        <v>8.6356204202749343</v>
      </c>
      <c r="Q454" s="53">
        <v>970.38781686035929</v>
      </c>
      <c r="R454" s="53">
        <f t="shared" si="81"/>
        <v>0.88991434869978547</v>
      </c>
      <c r="S454" s="36">
        <v>250</v>
      </c>
      <c r="T454" s="36">
        <v>250</v>
      </c>
      <c r="U454" s="36"/>
      <c r="V454" s="36"/>
      <c r="W454" s="36"/>
      <c r="X454" s="36"/>
      <c r="Y454" s="37">
        <f t="shared" si="83"/>
        <v>8.8991434869978552E-3</v>
      </c>
      <c r="Z454" s="37">
        <f t="shared" si="85"/>
        <v>-4.7218002442911313</v>
      </c>
      <c r="AA454" s="149">
        <f t="shared" si="84"/>
        <v>-4.2019977890888301E-2</v>
      </c>
      <c r="AB454" s="37"/>
      <c r="AC454" s="98"/>
    </row>
    <row r="455" spans="1:32" ht="20.25" customHeight="1">
      <c r="A455" s="35">
        <v>42206</v>
      </c>
      <c r="B455" s="65">
        <v>2</v>
      </c>
      <c r="C455" s="65" t="s">
        <v>223</v>
      </c>
      <c r="D455" s="65" t="s">
        <v>224</v>
      </c>
      <c r="E455" s="65" t="s">
        <v>225</v>
      </c>
      <c r="F455" s="65" t="s">
        <v>226</v>
      </c>
      <c r="G455" s="65" t="s">
        <v>261</v>
      </c>
      <c r="H455" s="36" t="s">
        <v>262</v>
      </c>
      <c r="I455" s="36"/>
      <c r="J455" s="36">
        <v>4</v>
      </c>
      <c r="K455" s="36" t="s">
        <v>229</v>
      </c>
      <c r="L455" s="36" t="s">
        <v>264</v>
      </c>
      <c r="M455" s="36">
        <v>337</v>
      </c>
      <c r="N455" s="36">
        <f t="shared" si="79"/>
        <v>1.1869436201780417</v>
      </c>
      <c r="O455" s="36">
        <v>970.06802721088434</v>
      </c>
      <c r="P455" s="53">
        <f t="shared" si="80"/>
        <v>11.51416056036658</v>
      </c>
      <c r="Q455" s="53">
        <v>970.38781686035929</v>
      </c>
      <c r="R455" s="53">
        <f t="shared" si="81"/>
        <v>1.1865524649330474</v>
      </c>
      <c r="S455" s="36">
        <v>250</v>
      </c>
      <c r="T455" s="36">
        <v>250</v>
      </c>
      <c r="U455" s="36"/>
      <c r="V455" s="36"/>
      <c r="W455" s="36"/>
      <c r="X455" s="36"/>
      <c r="Y455" s="37">
        <f t="shared" si="83"/>
        <v>1.1865524649330474E-2</v>
      </c>
      <c r="Z455" s="37">
        <f t="shared" si="85"/>
        <v>-4.4341181718393505</v>
      </c>
      <c r="AA455" s="149">
        <f t="shared" si="84"/>
        <v>-5.2613138466003989E-2</v>
      </c>
      <c r="AB455" s="37"/>
      <c r="AC455" s="98"/>
    </row>
    <row r="456" spans="1:32" ht="20.25" customHeight="1">
      <c r="A456" s="13">
        <v>42263</v>
      </c>
      <c r="B456" s="65">
        <v>8</v>
      </c>
      <c r="C456" s="3" t="s">
        <v>223</v>
      </c>
      <c r="D456" s="3" t="s">
        <v>224</v>
      </c>
      <c r="E456" s="3" t="s">
        <v>225</v>
      </c>
      <c r="F456" s="3" t="s">
        <v>226</v>
      </c>
      <c r="G456" s="3" t="s">
        <v>227</v>
      </c>
      <c r="H456" s="3" t="s">
        <v>228</v>
      </c>
      <c r="I456" s="3"/>
      <c r="J456" s="36">
        <v>106</v>
      </c>
      <c r="K456" s="3" t="s">
        <v>229</v>
      </c>
      <c r="L456" s="3" t="s">
        <v>228</v>
      </c>
      <c r="M456" s="3">
        <v>244</v>
      </c>
      <c r="N456" s="3">
        <f t="shared" si="79"/>
        <v>43.442622950819668</v>
      </c>
      <c r="O456" s="36">
        <v>988.77551020408168</v>
      </c>
      <c r="P456" s="8">
        <f t="shared" si="80"/>
        <v>429.55001672800267</v>
      </c>
      <c r="Q456" s="53">
        <v>988.77551020408168</v>
      </c>
      <c r="R456" s="60">
        <f t="shared" si="81"/>
        <v>43.442622950819668</v>
      </c>
      <c r="S456" s="36">
        <v>250</v>
      </c>
      <c r="T456" s="36">
        <v>250</v>
      </c>
      <c r="U456" s="3" t="s">
        <v>615</v>
      </c>
      <c r="V456" s="3"/>
      <c r="W456" s="36"/>
      <c r="X456" s="36"/>
      <c r="Y456" s="37">
        <f t="shared" si="83"/>
        <v>0.4344262295081967</v>
      </c>
      <c r="Z456" s="37">
        <f t="shared" si="85"/>
        <v>-0.83372913118113479</v>
      </c>
      <c r="AA456" s="149">
        <f t="shared" si="84"/>
        <v>-0.36219380289016512</v>
      </c>
      <c r="AB456" s="37">
        <f>SUM(AA456:AA468)*-1</f>
        <v>1.6573057730360019</v>
      </c>
      <c r="AC456" s="98">
        <v>12</v>
      </c>
      <c r="AD456" s="98">
        <f t="shared" ref="AD456" si="86">LN(AC456)</f>
        <v>2.4849066497880004</v>
      </c>
      <c r="AE456" s="98">
        <f>(AB456/AD456)</f>
        <v>0.66694890658262551</v>
      </c>
      <c r="AF456" s="38" t="s">
        <v>686</v>
      </c>
    </row>
    <row r="457" spans="1:32" ht="20.25" customHeight="1">
      <c r="A457" s="13">
        <v>42263</v>
      </c>
      <c r="B457" s="65">
        <v>8</v>
      </c>
      <c r="C457" s="3" t="s">
        <v>223</v>
      </c>
      <c r="D457" s="3" t="s">
        <v>303</v>
      </c>
      <c r="E457" s="3" t="s">
        <v>304</v>
      </c>
      <c r="F457" s="3" t="s">
        <v>305</v>
      </c>
      <c r="G457" s="3" t="s">
        <v>306</v>
      </c>
      <c r="H457" s="3" t="s">
        <v>307</v>
      </c>
      <c r="I457" s="3"/>
      <c r="J457" s="3">
        <v>6</v>
      </c>
      <c r="K457" s="3" t="s">
        <v>229</v>
      </c>
      <c r="L457" s="3" t="s">
        <v>307</v>
      </c>
      <c r="M457" s="3">
        <v>244</v>
      </c>
      <c r="N457" s="3">
        <f t="shared" si="79"/>
        <v>2.459016393442623</v>
      </c>
      <c r="O457" s="36">
        <v>988.77551020408168</v>
      </c>
      <c r="P457" s="8">
        <f t="shared" si="80"/>
        <v>24.314151890264302</v>
      </c>
      <c r="Q457" s="53">
        <v>988.77551020408168</v>
      </c>
      <c r="R457" s="60">
        <f t="shared" si="81"/>
        <v>2.459016393442623</v>
      </c>
      <c r="S457" s="3">
        <v>250</v>
      </c>
      <c r="T457" s="3">
        <v>250</v>
      </c>
      <c r="U457" s="36" t="s">
        <v>308</v>
      </c>
      <c r="V457" s="3"/>
      <c r="W457" s="3"/>
      <c r="X457" s="36"/>
      <c r="Y457" s="37">
        <f t="shared" si="83"/>
        <v>2.4590163934426229E-2</v>
      </c>
      <c r="Z457" s="37">
        <f t="shared" si="85"/>
        <v>-3.7054087560651467</v>
      </c>
      <c r="AA457" s="149">
        <f t="shared" si="84"/>
        <v>-9.1116608755700323E-2</v>
      </c>
      <c r="AB457" s="37"/>
      <c r="AC457" s="98"/>
    </row>
    <row r="458" spans="1:32" ht="20.25" customHeight="1">
      <c r="A458" s="13">
        <v>42263</v>
      </c>
      <c r="B458" s="65">
        <v>8</v>
      </c>
      <c r="C458" s="3" t="s">
        <v>223</v>
      </c>
      <c r="D458" s="3" t="s">
        <v>303</v>
      </c>
      <c r="E458" s="3" t="s">
        <v>304</v>
      </c>
      <c r="F458" s="3" t="s">
        <v>305</v>
      </c>
      <c r="G458" s="3" t="s">
        <v>306</v>
      </c>
      <c r="H458" s="3" t="s">
        <v>307</v>
      </c>
      <c r="I458" s="3"/>
      <c r="J458" s="3">
        <v>2</v>
      </c>
      <c r="K458" s="3" t="s">
        <v>229</v>
      </c>
      <c r="L458" s="3" t="s">
        <v>307</v>
      </c>
      <c r="M458" s="3">
        <v>244</v>
      </c>
      <c r="N458" s="3">
        <f t="shared" si="79"/>
        <v>0.81967213114754101</v>
      </c>
      <c r="O458" s="36">
        <v>988.77551020408168</v>
      </c>
      <c r="P458" s="8">
        <f t="shared" si="80"/>
        <v>8.1047172967547692</v>
      </c>
      <c r="Q458" s="53">
        <v>988.77551020408168</v>
      </c>
      <c r="R458" s="60">
        <f t="shared" si="81"/>
        <v>0.81967213114754101</v>
      </c>
      <c r="S458" s="36">
        <v>250</v>
      </c>
      <c r="T458" s="36">
        <v>250</v>
      </c>
      <c r="U458" s="36" t="s">
        <v>620</v>
      </c>
      <c r="V458" s="3"/>
      <c r="W458" s="41"/>
      <c r="X458" s="36"/>
      <c r="Y458" s="37">
        <f t="shared" si="83"/>
        <v>8.1967213114754103E-3</v>
      </c>
      <c r="Z458" s="37">
        <f t="shared" si="85"/>
        <v>-4.8040210447332568</v>
      </c>
      <c r="AA458" s="149">
        <f t="shared" si="84"/>
        <v>-3.937722167814145E-2</v>
      </c>
      <c r="AB458" s="37"/>
      <c r="AC458" s="98"/>
    </row>
    <row r="459" spans="1:32" ht="20.25" customHeight="1">
      <c r="A459" s="13">
        <v>42263</v>
      </c>
      <c r="B459" s="65">
        <v>8</v>
      </c>
      <c r="C459" s="3" t="s">
        <v>223</v>
      </c>
      <c r="D459" s="3" t="s">
        <v>224</v>
      </c>
      <c r="E459" s="3" t="s">
        <v>225</v>
      </c>
      <c r="F459" s="3" t="s">
        <v>226</v>
      </c>
      <c r="G459" s="3" t="s">
        <v>235</v>
      </c>
      <c r="H459" s="3" t="s">
        <v>236</v>
      </c>
      <c r="I459" s="3"/>
      <c r="J459" s="3">
        <v>20</v>
      </c>
      <c r="K459" s="3" t="s">
        <v>229</v>
      </c>
      <c r="L459" s="3" t="s">
        <v>236</v>
      </c>
      <c r="M459" s="3">
        <v>244</v>
      </c>
      <c r="N459" s="3">
        <f t="shared" si="79"/>
        <v>8.1967213114754092</v>
      </c>
      <c r="O459" s="36">
        <v>988.77551020408168</v>
      </c>
      <c r="P459" s="8">
        <f t="shared" si="80"/>
        <v>81.047172967547667</v>
      </c>
      <c r="Q459" s="53">
        <v>988.77551020408168</v>
      </c>
      <c r="R459" s="60">
        <f t="shared" si="81"/>
        <v>8.1967213114754092</v>
      </c>
      <c r="S459" s="36">
        <v>250</v>
      </c>
      <c r="T459" s="36">
        <v>250</v>
      </c>
      <c r="U459" s="3"/>
      <c r="V459" s="3"/>
      <c r="W459" s="32"/>
      <c r="X459" s="36"/>
      <c r="Y459" s="37">
        <f t="shared" si="83"/>
        <v>8.1967213114754092E-2</v>
      </c>
      <c r="Z459" s="37">
        <f t="shared" si="85"/>
        <v>-2.5014359517392109</v>
      </c>
      <c r="AA459" s="149">
        <f t="shared" si="84"/>
        <v>-0.20503573374911563</v>
      </c>
      <c r="AB459" s="37"/>
      <c r="AC459" s="98"/>
    </row>
    <row r="460" spans="1:32" ht="20.25" customHeight="1">
      <c r="A460" s="13">
        <v>42263</v>
      </c>
      <c r="B460" s="65">
        <v>8</v>
      </c>
      <c r="C460" s="52" t="s">
        <v>223</v>
      </c>
      <c r="D460" s="52" t="s">
        <v>317</v>
      </c>
      <c r="E460" s="52" t="s">
        <v>314</v>
      </c>
      <c r="F460" s="52" t="s">
        <v>346</v>
      </c>
      <c r="G460" s="52" t="s">
        <v>315</v>
      </c>
      <c r="H460" s="51" t="s">
        <v>365</v>
      </c>
      <c r="I460" s="3" t="s">
        <v>366</v>
      </c>
      <c r="J460" s="3">
        <v>1</v>
      </c>
      <c r="K460" s="36" t="s">
        <v>247</v>
      </c>
      <c r="L460" s="3" t="s">
        <v>345</v>
      </c>
      <c r="M460" s="3">
        <v>244</v>
      </c>
      <c r="N460" s="3">
        <f t="shared" si="79"/>
        <v>0.4098360655737705</v>
      </c>
      <c r="O460" s="36">
        <v>988.77551020408168</v>
      </c>
      <c r="P460" s="8">
        <f t="shared" si="80"/>
        <v>4.0523586483773846</v>
      </c>
      <c r="Q460" s="53">
        <v>988.77551020408168</v>
      </c>
      <c r="R460" s="60">
        <f t="shared" si="81"/>
        <v>0.4098360655737705</v>
      </c>
      <c r="S460" s="36">
        <v>250</v>
      </c>
      <c r="T460" s="36">
        <v>250</v>
      </c>
      <c r="U460" s="3"/>
      <c r="V460" s="3"/>
      <c r="W460" s="3"/>
      <c r="X460" s="36"/>
      <c r="Y460" s="37">
        <f t="shared" si="83"/>
        <v>4.0983606557377051E-3</v>
      </c>
      <c r="Z460" s="37">
        <f t="shared" si="85"/>
        <v>-5.4971682252932021</v>
      </c>
      <c r="AA460" s="149">
        <f t="shared" si="84"/>
        <v>-2.2529377972513125E-2</v>
      </c>
      <c r="AB460" s="37"/>
      <c r="AC460" s="98"/>
    </row>
    <row r="461" spans="1:32" ht="20.25" customHeight="1">
      <c r="A461" s="13">
        <v>42263</v>
      </c>
      <c r="B461" s="65">
        <v>8</v>
      </c>
      <c r="C461" s="36" t="s">
        <v>223</v>
      </c>
      <c r="D461" s="36" t="s">
        <v>224</v>
      </c>
      <c r="E461" s="36" t="s">
        <v>225</v>
      </c>
      <c r="F461" s="36" t="s">
        <v>226</v>
      </c>
      <c r="G461" s="36" t="s">
        <v>239</v>
      </c>
      <c r="H461" s="36" t="s">
        <v>240</v>
      </c>
      <c r="I461" s="3"/>
      <c r="J461" s="3">
        <v>57</v>
      </c>
      <c r="K461" s="3" t="s">
        <v>229</v>
      </c>
      <c r="L461" s="3" t="s">
        <v>240</v>
      </c>
      <c r="M461" s="3">
        <v>244</v>
      </c>
      <c r="N461" s="3">
        <f t="shared" si="79"/>
        <v>23.360655737704921</v>
      </c>
      <c r="O461" s="36">
        <v>988.77551020408168</v>
      </c>
      <c r="P461" s="8">
        <f t="shared" si="80"/>
        <v>230.98444295751094</v>
      </c>
      <c r="Q461" s="53">
        <v>988.77551020408168</v>
      </c>
      <c r="R461" s="60">
        <f t="shared" si="81"/>
        <v>23.360655737704924</v>
      </c>
      <c r="S461" s="3">
        <v>250</v>
      </c>
      <c r="T461" s="3">
        <v>250</v>
      </c>
      <c r="U461" s="3"/>
      <c r="V461" s="3"/>
      <c r="W461" s="67"/>
      <c r="X461" s="36"/>
      <c r="Y461" s="37">
        <f t="shared" si="83"/>
        <v>0.23360655737704925</v>
      </c>
      <c r="Z461" s="37">
        <f t="shared" si="85"/>
        <v>-1.4541169574586514</v>
      </c>
      <c r="AA461" s="149">
        <f t="shared" si="84"/>
        <v>-0.33969125645550474</v>
      </c>
      <c r="AB461" s="37"/>
      <c r="AC461" s="98"/>
    </row>
    <row r="462" spans="1:32" ht="20.25" customHeight="1">
      <c r="A462" s="13">
        <v>42263</v>
      </c>
      <c r="B462" s="65">
        <v>8</v>
      </c>
      <c r="C462" s="3" t="s">
        <v>223</v>
      </c>
      <c r="D462" s="3" t="s">
        <v>224</v>
      </c>
      <c r="E462" s="3" t="s">
        <v>225</v>
      </c>
      <c r="F462" s="3" t="s">
        <v>248</v>
      </c>
      <c r="G462" s="3" t="s">
        <v>249</v>
      </c>
      <c r="H462" s="3" t="s">
        <v>250</v>
      </c>
      <c r="I462" s="3"/>
      <c r="J462" s="3">
        <v>4</v>
      </c>
      <c r="K462" s="3" t="s">
        <v>229</v>
      </c>
      <c r="L462" s="3" t="s">
        <v>250</v>
      </c>
      <c r="M462" s="3">
        <v>244</v>
      </c>
      <c r="N462" s="3">
        <f t="shared" si="79"/>
        <v>1.639344262295082</v>
      </c>
      <c r="O462" s="36">
        <v>988.77551020408168</v>
      </c>
      <c r="P462" s="8">
        <f t="shared" si="80"/>
        <v>16.209434593509538</v>
      </c>
      <c r="Q462" s="53">
        <v>988.77551020408168</v>
      </c>
      <c r="R462" s="60">
        <f t="shared" si="81"/>
        <v>1.639344262295082</v>
      </c>
      <c r="S462" s="36">
        <v>250</v>
      </c>
      <c r="T462" s="36">
        <v>250</v>
      </c>
      <c r="U462" s="3"/>
      <c r="V462" s="3"/>
      <c r="W462" s="3"/>
      <c r="X462" s="36"/>
      <c r="Y462" s="37">
        <f t="shared" si="83"/>
        <v>1.6393442622950821E-2</v>
      </c>
      <c r="Z462" s="37">
        <f t="shared" si="85"/>
        <v>-4.1108738641733114</v>
      </c>
      <c r="AA462" s="149">
        <f t="shared" si="84"/>
        <v>-6.7391374822513297E-2</v>
      </c>
      <c r="AB462" s="37"/>
      <c r="AC462" s="98"/>
    </row>
    <row r="463" spans="1:32" ht="20.25" customHeight="1">
      <c r="A463" s="13">
        <v>42263</v>
      </c>
      <c r="B463" s="65">
        <v>8</v>
      </c>
      <c r="C463" s="51" t="s">
        <v>216</v>
      </c>
      <c r="D463" s="3" t="s">
        <v>217</v>
      </c>
      <c r="E463" s="3"/>
      <c r="F463" s="51"/>
      <c r="G463" s="51"/>
      <c r="H463" s="51" t="s">
        <v>653</v>
      </c>
      <c r="I463" s="3"/>
      <c r="J463" s="3">
        <v>7</v>
      </c>
      <c r="K463" s="36" t="s">
        <v>229</v>
      </c>
      <c r="L463" s="3" t="s">
        <v>219</v>
      </c>
      <c r="M463" s="3">
        <v>244</v>
      </c>
      <c r="N463" s="3">
        <f t="shared" si="79"/>
        <v>2.8688524590163933</v>
      </c>
      <c r="O463" s="36">
        <v>988.77551020408168</v>
      </c>
      <c r="P463" s="8">
        <f t="shared" si="80"/>
        <v>28.366510538641684</v>
      </c>
      <c r="Q463" s="53">
        <v>988.77551020408168</v>
      </c>
      <c r="R463" s="60">
        <f t="shared" si="81"/>
        <v>2.8688524590163933</v>
      </c>
      <c r="S463" s="3">
        <v>250</v>
      </c>
      <c r="T463" s="3">
        <v>250</v>
      </c>
      <c r="U463" s="3"/>
      <c r="V463" s="3"/>
      <c r="W463" s="3"/>
      <c r="X463" s="36"/>
      <c r="Y463" s="37">
        <f t="shared" si="83"/>
        <v>2.8688524590163932E-2</v>
      </c>
      <c r="Z463" s="37">
        <f t="shared" si="85"/>
        <v>-3.5512580762378887</v>
      </c>
      <c r="AA463" s="149">
        <f t="shared" si="84"/>
        <v>-0.10188035464616893</v>
      </c>
      <c r="AB463" s="37"/>
      <c r="AC463" s="98"/>
    </row>
    <row r="464" spans="1:32" ht="20.25" customHeight="1">
      <c r="A464" s="13">
        <v>42263</v>
      </c>
      <c r="B464" s="65">
        <v>8</v>
      </c>
      <c r="C464" s="65" t="s">
        <v>223</v>
      </c>
      <c r="D464" s="65" t="s">
        <v>224</v>
      </c>
      <c r="E464" s="65" t="s">
        <v>225</v>
      </c>
      <c r="F464" s="65" t="s">
        <v>226</v>
      </c>
      <c r="G464" s="65" t="s">
        <v>253</v>
      </c>
      <c r="H464" s="36" t="s">
        <v>256</v>
      </c>
      <c r="I464" s="3"/>
      <c r="J464" s="3">
        <v>33</v>
      </c>
      <c r="K464" s="3" t="s">
        <v>229</v>
      </c>
      <c r="L464" s="3" t="s">
        <v>256</v>
      </c>
      <c r="M464" s="3">
        <v>244</v>
      </c>
      <c r="N464" s="3">
        <f t="shared" si="79"/>
        <v>13.524590163934427</v>
      </c>
      <c r="O464" s="36">
        <v>988.77551020408168</v>
      </c>
      <c r="P464" s="8">
        <f t="shared" si="80"/>
        <v>133.72783539645368</v>
      </c>
      <c r="Q464" s="53">
        <v>988.77551020408168</v>
      </c>
      <c r="R464" s="60">
        <f t="shared" si="81"/>
        <v>13.524590163934427</v>
      </c>
      <c r="S464" s="3">
        <v>250</v>
      </c>
      <c r="T464" s="3">
        <v>250</v>
      </c>
      <c r="U464" s="3"/>
      <c r="V464" s="3"/>
      <c r="W464" s="3"/>
      <c r="X464" s="36"/>
      <c r="Y464" s="37">
        <f t="shared" si="83"/>
        <v>0.13524590163934427</v>
      </c>
      <c r="Z464" s="37">
        <f t="shared" si="85"/>
        <v>-2.0006606638267215</v>
      </c>
      <c r="AA464" s="149">
        <f t="shared" si="84"/>
        <v>-0.27058115535361399</v>
      </c>
      <c r="AB464" s="37"/>
      <c r="AC464" s="98"/>
    </row>
    <row r="465" spans="1:31" ht="20.25" customHeight="1">
      <c r="A465" s="13">
        <v>42263</v>
      </c>
      <c r="B465" s="65">
        <v>8</v>
      </c>
      <c r="C465" s="36" t="s">
        <v>223</v>
      </c>
      <c r="D465" s="36" t="s">
        <v>224</v>
      </c>
      <c r="E465" s="36" t="s">
        <v>225</v>
      </c>
      <c r="F465" s="36" t="s">
        <v>226</v>
      </c>
      <c r="G465" s="54" t="s">
        <v>487</v>
      </c>
      <c r="H465" s="36" t="s">
        <v>486</v>
      </c>
      <c r="I465" s="3"/>
      <c r="J465" s="3">
        <v>2</v>
      </c>
      <c r="K465" s="3" t="s">
        <v>229</v>
      </c>
      <c r="L465" s="3" t="s">
        <v>488</v>
      </c>
      <c r="M465" s="3">
        <v>244</v>
      </c>
      <c r="N465" s="3">
        <f t="shared" si="79"/>
        <v>0.81967213114754101</v>
      </c>
      <c r="O465" s="36">
        <v>988.77551020408168</v>
      </c>
      <c r="P465" s="8">
        <f t="shared" si="80"/>
        <v>8.1047172967547692</v>
      </c>
      <c r="Q465" s="36">
        <v>988.77551020408168</v>
      </c>
      <c r="R465" s="60">
        <f t="shared" si="81"/>
        <v>0.81967213114754101</v>
      </c>
      <c r="S465" s="3">
        <v>250</v>
      </c>
      <c r="T465" s="3">
        <v>250</v>
      </c>
      <c r="U465" s="3" t="s">
        <v>493</v>
      </c>
      <c r="V465" s="3"/>
      <c r="W465" s="3"/>
      <c r="X465" s="36"/>
      <c r="Y465" s="37">
        <f t="shared" si="83"/>
        <v>8.1967213114754103E-3</v>
      </c>
      <c r="Z465" s="37">
        <f t="shared" si="85"/>
        <v>-4.8040210447332568</v>
      </c>
      <c r="AA465" s="149">
        <f t="shared" si="84"/>
        <v>-3.937722167814145E-2</v>
      </c>
      <c r="AB465" s="37"/>
      <c r="AC465" s="98"/>
    </row>
    <row r="466" spans="1:31" ht="20.25" customHeight="1">
      <c r="A466" s="13">
        <v>42263</v>
      </c>
      <c r="B466" s="65">
        <v>8</v>
      </c>
      <c r="C466" s="3" t="s">
        <v>223</v>
      </c>
      <c r="D466" s="3" t="s">
        <v>224</v>
      </c>
      <c r="E466" s="3" t="s">
        <v>225</v>
      </c>
      <c r="F466" s="3" t="s">
        <v>226</v>
      </c>
      <c r="G466" s="3" t="s">
        <v>239</v>
      </c>
      <c r="H466" s="3" t="s">
        <v>258</v>
      </c>
      <c r="I466" s="3" t="s">
        <v>259</v>
      </c>
      <c r="J466" s="3">
        <v>2</v>
      </c>
      <c r="K466" s="3" t="s">
        <v>247</v>
      </c>
      <c r="L466" s="3" t="s">
        <v>258</v>
      </c>
      <c r="M466" s="3">
        <v>244</v>
      </c>
      <c r="N466" s="3">
        <f t="shared" si="79"/>
        <v>0.81967213114754101</v>
      </c>
      <c r="O466" s="36">
        <v>988.77551020408168</v>
      </c>
      <c r="P466" s="8">
        <f t="shared" si="80"/>
        <v>8.1047172967547692</v>
      </c>
      <c r="Q466" s="36">
        <v>988.77551020408168</v>
      </c>
      <c r="R466" s="60">
        <f t="shared" si="81"/>
        <v>0.81967213114754101</v>
      </c>
      <c r="S466" s="3">
        <v>250</v>
      </c>
      <c r="T466" s="3">
        <v>250</v>
      </c>
      <c r="U466" s="3"/>
      <c r="V466" s="3"/>
      <c r="W466" s="3"/>
      <c r="X466" s="36"/>
      <c r="Y466" s="37">
        <f t="shared" si="83"/>
        <v>8.1967213114754103E-3</v>
      </c>
      <c r="Z466" s="37">
        <f t="shared" si="85"/>
        <v>-4.8040210447332568</v>
      </c>
      <c r="AA466" s="149">
        <f t="shared" si="84"/>
        <v>-3.937722167814145E-2</v>
      </c>
      <c r="AB466" s="37"/>
      <c r="AC466" s="98"/>
    </row>
    <row r="467" spans="1:31" ht="20.25" customHeight="1">
      <c r="A467" s="13">
        <v>42263</v>
      </c>
      <c r="B467" s="65">
        <v>8</v>
      </c>
      <c r="C467" s="36" t="s">
        <v>223</v>
      </c>
      <c r="D467" s="36" t="s">
        <v>224</v>
      </c>
      <c r="E467" s="36" t="s">
        <v>225</v>
      </c>
      <c r="F467" s="36" t="s">
        <v>226</v>
      </c>
      <c r="G467" s="36" t="s">
        <v>261</v>
      </c>
      <c r="H467" s="36" t="s">
        <v>262</v>
      </c>
      <c r="I467" s="3"/>
      <c r="J467" s="3">
        <v>2</v>
      </c>
      <c r="K467" s="3" t="s">
        <v>229</v>
      </c>
      <c r="L467" s="3" t="s">
        <v>264</v>
      </c>
      <c r="M467" s="3">
        <v>244</v>
      </c>
      <c r="N467" s="3">
        <f t="shared" si="79"/>
        <v>0.81967213114754101</v>
      </c>
      <c r="O467" s="36">
        <v>988.77551020408168</v>
      </c>
      <c r="P467" s="8">
        <f t="shared" si="80"/>
        <v>8.1047172967547692</v>
      </c>
      <c r="Q467" s="36">
        <v>988.77551020408168</v>
      </c>
      <c r="R467" s="60">
        <f t="shared" si="81"/>
        <v>0.81967213114754101</v>
      </c>
      <c r="S467" s="36">
        <v>250</v>
      </c>
      <c r="T467" s="36">
        <v>250</v>
      </c>
      <c r="U467" s="3"/>
      <c r="V467" s="3"/>
      <c r="W467" s="3"/>
      <c r="X467" s="36"/>
      <c r="Y467" s="37">
        <f t="shared" si="83"/>
        <v>8.1967213114754103E-3</v>
      </c>
      <c r="Z467" s="37">
        <f t="shared" si="85"/>
        <v>-4.8040210447332568</v>
      </c>
      <c r="AA467" s="149">
        <f t="shared" si="84"/>
        <v>-3.937722167814145E-2</v>
      </c>
      <c r="AB467" s="37"/>
      <c r="AC467" s="98"/>
    </row>
    <row r="468" spans="1:31" ht="20.25" customHeight="1">
      <c r="A468" s="71">
        <v>42263</v>
      </c>
      <c r="B468" s="65">
        <v>8</v>
      </c>
      <c r="C468" s="65" t="s">
        <v>223</v>
      </c>
      <c r="D468" s="65" t="s">
        <v>224</v>
      </c>
      <c r="E468" s="65" t="s">
        <v>225</v>
      </c>
      <c r="F468" s="65"/>
      <c r="G468" s="51"/>
      <c r="H468" s="3"/>
      <c r="I468" s="3"/>
      <c r="J468" s="3">
        <v>2</v>
      </c>
      <c r="K468" s="3" t="s">
        <v>328</v>
      </c>
      <c r="L468" s="3" t="s">
        <v>601</v>
      </c>
      <c r="M468" s="3">
        <v>244</v>
      </c>
      <c r="N468" s="3">
        <f t="shared" si="79"/>
        <v>0.81967213114754101</v>
      </c>
      <c r="O468" s="36">
        <v>988.77551020408168</v>
      </c>
      <c r="P468" s="8">
        <f t="shared" si="80"/>
        <v>8.1047172967547692</v>
      </c>
      <c r="Q468" s="36">
        <v>988.77551020408168</v>
      </c>
      <c r="R468" s="60">
        <f t="shared" si="81"/>
        <v>0.81967213114754101</v>
      </c>
      <c r="S468" s="3">
        <v>250</v>
      </c>
      <c r="T468" s="3">
        <v>250</v>
      </c>
      <c r="U468" s="3"/>
      <c r="V468" s="3"/>
      <c r="W468" s="3"/>
      <c r="X468" s="36"/>
      <c r="Y468" s="37">
        <f t="shared" si="83"/>
        <v>8.1967213114754103E-3</v>
      </c>
      <c r="Z468" s="37">
        <f t="shared" si="85"/>
        <v>-4.8040210447332568</v>
      </c>
      <c r="AA468" s="149">
        <f t="shared" si="84"/>
        <v>-3.937722167814145E-2</v>
      </c>
      <c r="AB468" s="37"/>
      <c r="AC468" s="98"/>
    </row>
    <row r="469" spans="1:31" ht="20.25" customHeight="1">
      <c r="A469" s="35">
        <v>42263</v>
      </c>
      <c r="B469" s="76">
        <v>5</v>
      </c>
      <c r="C469" s="36" t="s">
        <v>223</v>
      </c>
      <c r="D469" s="36" t="s">
        <v>267</v>
      </c>
      <c r="E469" s="36" t="s">
        <v>278</v>
      </c>
      <c r="F469" s="36" t="s">
        <v>269</v>
      </c>
      <c r="G469" s="36" t="s">
        <v>333</v>
      </c>
      <c r="H469" s="36" t="s">
        <v>334</v>
      </c>
      <c r="I469" s="36"/>
      <c r="J469" s="36">
        <v>1</v>
      </c>
      <c r="K469" s="36" t="s">
        <v>229</v>
      </c>
      <c r="L469" s="36" t="s">
        <v>270</v>
      </c>
      <c r="M469" s="36">
        <v>3</v>
      </c>
      <c r="N469" s="36">
        <f t="shared" si="79"/>
        <v>33.333333333333329</v>
      </c>
      <c r="O469" s="36">
        <v>0.2022199254033164</v>
      </c>
      <c r="P469" s="40">
        <f t="shared" si="80"/>
        <v>6.7406641801105449E-2</v>
      </c>
      <c r="Q469" s="36">
        <v>715.4155779959043</v>
      </c>
      <c r="R469" s="60">
        <f t="shared" si="81"/>
        <v>9.4220260047917694E-3</v>
      </c>
      <c r="S469" s="36">
        <v>1000</v>
      </c>
      <c r="T469" s="36">
        <v>1000</v>
      </c>
      <c r="U469" s="36"/>
      <c r="V469" s="36"/>
      <c r="W469" s="3"/>
      <c r="X469" s="36"/>
      <c r="Y469" s="37">
        <f t="shared" si="83"/>
        <v>9.4220260047917691E-5</v>
      </c>
      <c r="Z469" s="37">
        <f t="shared" si="85"/>
        <v>-9.2698753246885701</v>
      </c>
      <c r="AA469" s="149">
        <f t="shared" si="84"/>
        <v>-8.7341006370393257E-4</v>
      </c>
      <c r="AB469" s="37">
        <f>SUM(AA469:AA486)*-1</f>
        <v>1.7464355718229725</v>
      </c>
      <c r="AC469" s="98">
        <v>16</v>
      </c>
      <c r="AD469" s="98">
        <f t="shared" ref="AD469" si="87">LN(AC469)</f>
        <v>2.7725887222397811</v>
      </c>
      <c r="AE469" s="98">
        <f>(AB469/AD469)</f>
        <v>0.62989348467527084</v>
      </c>
    </row>
    <row r="470" spans="1:31" ht="20.25" customHeight="1">
      <c r="A470" s="35">
        <v>42263</v>
      </c>
      <c r="B470" s="76">
        <v>5</v>
      </c>
      <c r="C470" s="65" t="s">
        <v>209</v>
      </c>
      <c r="D470" s="65" t="s">
        <v>210</v>
      </c>
      <c r="E470" s="65"/>
      <c r="F470" s="65" t="s">
        <v>211</v>
      </c>
      <c r="G470" s="65" t="s">
        <v>212</v>
      </c>
      <c r="H470" s="36" t="s">
        <v>213</v>
      </c>
      <c r="I470" s="36" t="s">
        <v>214</v>
      </c>
      <c r="J470" s="36">
        <v>1</v>
      </c>
      <c r="K470" s="36" t="s">
        <v>247</v>
      </c>
      <c r="L470" s="36" t="s">
        <v>215</v>
      </c>
      <c r="M470" s="36">
        <v>3</v>
      </c>
      <c r="N470" s="36">
        <f t="shared" si="79"/>
        <v>33.333333333333329</v>
      </c>
      <c r="O470" s="36">
        <v>0.2022199254033164</v>
      </c>
      <c r="P470" s="40">
        <f t="shared" si="80"/>
        <v>6.7406641801105449E-2</v>
      </c>
      <c r="Q470" s="36">
        <v>715.4155779959043</v>
      </c>
      <c r="R470" s="60">
        <f t="shared" si="81"/>
        <v>9.4220260047917694E-3</v>
      </c>
      <c r="S470" s="36">
        <v>1000</v>
      </c>
      <c r="T470" s="36">
        <v>1000</v>
      </c>
      <c r="U470" s="36"/>
      <c r="V470" s="36"/>
      <c r="W470" s="3"/>
      <c r="X470" s="36"/>
      <c r="Y470" s="37">
        <f t="shared" si="83"/>
        <v>9.4220260047917691E-5</v>
      </c>
      <c r="Z470" s="37">
        <f t="shared" si="85"/>
        <v>-9.2698753246885701</v>
      </c>
      <c r="AA470" s="149">
        <f t="shared" si="84"/>
        <v>-8.7341006370393257E-4</v>
      </c>
      <c r="AB470" s="37"/>
      <c r="AC470" s="98"/>
    </row>
    <row r="471" spans="1:31" ht="20.25" customHeight="1">
      <c r="A471" s="35">
        <v>42263</v>
      </c>
      <c r="B471" s="76">
        <v>5</v>
      </c>
      <c r="C471" s="36" t="s">
        <v>223</v>
      </c>
      <c r="D471" s="36" t="s">
        <v>224</v>
      </c>
      <c r="E471" s="36" t="s">
        <v>225</v>
      </c>
      <c r="F471" s="36" t="s">
        <v>521</v>
      </c>
      <c r="G471" s="36" t="s">
        <v>522</v>
      </c>
      <c r="H471" s="36" t="s">
        <v>523</v>
      </c>
      <c r="I471" s="36" t="s">
        <v>551</v>
      </c>
      <c r="J471" s="36">
        <v>1</v>
      </c>
      <c r="K471" s="36" t="s">
        <v>544</v>
      </c>
      <c r="L471" s="36" t="s">
        <v>524</v>
      </c>
      <c r="M471" s="36">
        <v>3</v>
      </c>
      <c r="N471" s="36">
        <f t="shared" si="79"/>
        <v>33.333333333333329</v>
      </c>
      <c r="O471" s="36">
        <v>0.2022199254033164</v>
      </c>
      <c r="P471" s="40">
        <f t="shared" si="80"/>
        <v>6.7406641801105449E-2</v>
      </c>
      <c r="Q471" s="36">
        <v>715.4155779959043</v>
      </c>
      <c r="R471" s="60">
        <f t="shared" si="81"/>
        <v>9.4220260047917694E-3</v>
      </c>
      <c r="S471" s="36">
        <v>1000</v>
      </c>
      <c r="T471" s="36">
        <v>1000</v>
      </c>
      <c r="U471" s="36"/>
      <c r="V471" s="36"/>
      <c r="W471" s="3"/>
      <c r="X471" s="36"/>
      <c r="Y471" s="37">
        <f t="shared" si="83"/>
        <v>9.4220260047917691E-5</v>
      </c>
      <c r="Z471" s="37">
        <f t="shared" si="85"/>
        <v>-9.2698753246885701</v>
      </c>
      <c r="AA471" s="149">
        <f t="shared" si="84"/>
        <v>-8.7341006370393257E-4</v>
      </c>
      <c r="AB471" s="37"/>
      <c r="AC471" s="98"/>
    </row>
    <row r="472" spans="1:31" ht="20.25" customHeight="1">
      <c r="A472" s="13">
        <v>42263</v>
      </c>
      <c r="B472" s="36">
        <v>5</v>
      </c>
      <c r="C472" s="3" t="s">
        <v>223</v>
      </c>
      <c r="D472" s="3" t="s">
        <v>224</v>
      </c>
      <c r="E472" s="3" t="s">
        <v>225</v>
      </c>
      <c r="F472" s="3" t="s">
        <v>226</v>
      </c>
      <c r="G472" s="3" t="s">
        <v>227</v>
      </c>
      <c r="H472" s="3" t="s">
        <v>228</v>
      </c>
      <c r="I472" s="3"/>
      <c r="J472" s="36">
        <v>109</v>
      </c>
      <c r="K472" s="3" t="s">
        <v>229</v>
      </c>
      <c r="L472" s="3" t="s">
        <v>228</v>
      </c>
      <c r="M472" s="3">
        <v>222</v>
      </c>
      <c r="N472" s="3">
        <f t="shared" si="79"/>
        <v>49.099099099099099</v>
      </c>
      <c r="O472" s="36">
        <v>715.21335807050093</v>
      </c>
      <c r="P472" s="8">
        <f t="shared" si="80"/>
        <v>351.16331544902971</v>
      </c>
      <c r="Q472" s="36">
        <v>715.4155779959043</v>
      </c>
      <c r="R472" s="60">
        <f t="shared" si="81"/>
        <v>49.085220709443384</v>
      </c>
      <c r="S472" s="3">
        <v>250</v>
      </c>
      <c r="T472" s="3">
        <v>250</v>
      </c>
      <c r="U472" s="3" t="s">
        <v>485</v>
      </c>
      <c r="V472" s="3"/>
      <c r="W472" s="3"/>
      <c r="X472" s="36"/>
      <c r="Y472" s="37">
        <f t="shared" si="83"/>
        <v>0.49085220709443383</v>
      </c>
      <c r="Z472" s="37">
        <f t="shared" si="85"/>
        <v>-0.71161220037936757</v>
      </c>
      <c r="AA472" s="149">
        <f t="shared" si="84"/>
        <v>-0.34929641915153908</v>
      </c>
      <c r="AB472" s="37"/>
      <c r="AC472" s="98"/>
    </row>
    <row r="473" spans="1:31" ht="20.25" customHeight="1">
      <c r="A473" s="13">
        <v>42263</v>
      </c>
      <c r="B473" s="36">
        <v>5</v>
      </c>
      <c r="C473" s="3" t="s">
        <v>223</v>
      </c>
      <c r="D473" s="3" t="s">
        <v>303</v>
      </c>
      <c r="E473" s="3" t="s">
        <v>304</v>
      </c>
      <c r="F473" s="3" t="s">
        <v>305</v>
      </c>
      <c r="G473" s="3" t="s">
        <v>306</v>
      </c>
      <c r="H473" s="3" t="s">
        <v>307</v>
      </c>
      <c r="I473" s="3"/>
      <c r="J473" s="36">
        <v>10</v>
      </c>
      <c r="K473" s="3" t="s">
        <v>229</v>
      </c>
      <c r="L473" s="3" t="s">
        <v>307</v>
      </c>
      <c r="M473" s="3">
        <v>222</v>
      </c>
      <c r="N473" s="3">
        <f t="shared" si="79"/>
        <v>4.5045045045045047</v>
      </c>
      <c r="O473" s="36">
        <v>715.21335807050093</v>
      </c>
      <c r="P473" s="8">
        <f t="shared" si="80"/>
        <v>32.216817931103648</v>
      </c>
      <c r="Q473" s="36">
        <v>715.4155779959043</v>
      </c>
      <c r="R473" s="60">
        <f t="shared" si="81"/>
        <v>4.5032312577470996</v>
      </c>
      <c r="S473" s="36">
        <v>250</v>
      </c>
      <c r="T473" s="36">
        <v>250</v>
      </c>
      <c r="U473" s="36" t="s">
        <v>308</v>
      </c>
      <c r="V473" s="3"/>
      <c r="W473" s="3"/>
      <c r="X473" s="36"/>
      <c r="Y473" s="37">
        <f t="shared" si="83"/>
        <v>4.5032312577471E-2</v>
      </c>
      <c r="Z473" s="37">
        <f t="shared" si="85"/>
        <v>-3.1003749896144654</v>
      </c>
      <c r="AA473" s="149">
        <f t="shared" si="84"/>
        <v>-0.13961705563969201</v>
      </c>
      <c r="AB473" s="37"/>
      <c r="AC473" s="98"/>
    </row>
    <row r="474" spans="1:31" ht="20.25" customHeight="1">
      <c r="A474" s="13">
        <v>42263</v>
      </c>
      <c r="B474" s="36">
        <v>5</v>
      </c>
      <c r="C474" s="3" t="s">
        <v>223</v>
      </c>
      <c r="D474" s="3" t="s">
        <v>303</v>
      </c>
      <c r="E474" s="3" t="s">
        <v>304</v>
      </c>
      <c r="F474" s="3" t="s">
        <v>305</v>
      </c>
      <c r="G474" s="3" t="s">
        <v>306</v>
      </c>
      <c r="H474" s="3" t="s">
        <v>307</v>
      </c>
      <c r="I474" s="3"/>
      <c r="J474" s="36">
        <v>7</v>
      </c>
      <c r="K474" s="3" t="s">
        <v>229</v>
      </c>
      <c r="L474" s="3" t="s">
        <v>307</v>
      </c>
      <c r="M474" s="3">
        <v>222</v>
      </c>
      <c r="N474" s="3">
        <f t="shared" si="79"/>
        <v>3.1531531531531529</v>
      </c>
      <c r="O474" s="36">
        <v>715.21335807050093</v>
      </c>
      <c r="P474" s="8">
        <f t="shared" si="80"/>
        <v>22.551772551772551</v>
      </c>
      <c r="Q474" s="36">
        <v>715.4155779959043</v>
      </c>
      <c r="R474" s="60">
        <f t="shared" si="81"/>
        <v>3.1522618804229698</v>
      </c>
      <c r="S474" s="3">
        <v>250</v>
      </c>
      <c r="T474" s="3">
        <v>250</v>
      </c>
      <c r="U474" s="36" t="s">
        <v>620</v>
      </c>
      <c r="V474" s="3"/>
      <c r="W474" s="3"/>
      <c r="X474" s="36"/>
      <c r="Y474" s="37">
        <f t="shared" si="83"/>
        <v>3.1522618804229699E-2</v>
      </c>
      <c r="Z474" s="37">
        <f t="shared" si="85"/>
        <v>-3.4570499335531979</v>
      </c>
      <c r="AA474" s="149">
        <f t="shared" si="84"/>
        <v>-0.10897526724258506</v>
      </c>
      <c r="AB474" s="37"/>
      <c r="AC474" s="98"/>
    </row>
    <row r="475" spans="1:31" ht="20.25" customHeight="1">
      <c r="A475" s="35">
        <v>42263</v>
      </c>
      <c r="B475" s="36">
        <v>5</v>
      </c>
      <c r="C475" s="65" t="s">
        <v>295</v>
      </c>
      <c r="D475" s="36" t="s">
        <v>296</v>
      </c>
      <c r="E475" s="36"/>
      <c r="F475" s="65" t="s">
        <v>297</v>
      </c>
      <c r="G475" s="65" t="s">
        <v>298</v>
      </c>
      <c r="H475" s="65" t="s">
        <v>299</v>
      </c>
      <c r="I475" s="36"/>
      <c r="J475" s="36">
        <v>2</v>
      </c>
      <c r="K475" s="36" t="s">
        <v>229</v>
      </c>
      <c r="L475" s="36" t="s">
        <v>479</v>
      </c>
      <c r="M475" s="36">
        <v>222</v>
      </c>
      <c r="N475" s="36">
        <f t="shared" si="79"/>
        <v>0.90090090090090091</v>
      </c>
      <c r="O475" s="36">
        <v>715.21335807050093</v>
      </c>
      <c r="P475" s="8">
        <f t="shared" si="80"/>
        <v>6.4433635862207295</v>
      </c>
      <c r="Q475" s="65">
        <v>715.4155779959043</v>
      </c>
      <c r="R475" s="60">
        <f t="shared" si="81"/>
        <v>0.90064625154942013</v>
      </c>
      <c r="S475" s="36">
        <v>250</v>
      </c>
      <c r="T475" s="36">
        <v>250</v>
      </c>
      <c r="U475" s="36"/>
      <c r="V475" s="36"/>
      <c r="W475" s="3"/>
      <c r="X475" s="36"/>
      <c r="Y475" s="37">
        <f t="shared" si="83"/>
        <v>9.0064625154942009E-3</v>
      </c>
      <c r="Z475" s="37">
        <f t="shared" si="85"/>
        <v>-4.709812902048566</v>
      </c>
      <c r="AA475" s="149">
        <f t="shared" si="84"/>
        <v>-4.2418753357291367E-2</v>
      </c>
      <c r="AB475" s="37"/>
      <c r="AC475" s="98"/>
    </row>
    <row r="476" spans="1:31" ht="20.25" customHeight="1">
      <c r="A476" s="13">
        <v>42263</v>
      </c>
      <c r="B476" s="36">
        <v>5</v>
      </c>
      <c r="C476" s="51" t="s">
        <v>223</v>
      </c>
      <c r="D476" s="51" t="s">
        <v>224</v>
      </c>
      <c r="E476" s="51" t="s">
        <v>225</v>
      </c>
      <c r="F476" s="51" t="s">
        <v>226</v>
      </c>
      <c r="G476" s="51" t="s">
        <v>235</v>
      </c>
      <c r="H476" s="3" t="s">
        <v>236</v>
      </c>
      <c r="I476" s="3"/>
      <c r="J476" s="36">
        <v>6</v>
      </c>
      <c r="K476" s="3" t="s">
        <v>229</v>
      </c>
      <c r="L476" s="3" t="s">
        <v>236</v>
      </c>
      <c r="M476" s="3">
        <v>222</v>
      </c>
      <c r="N476" s="3">
        <f t="shared" si="79"/>
        <v>2.7027027027027026</v>
      </c>
      <c r="O476" s="36">
        <v>715.21335807050093</v>
      </c>
      <c r="P476" s="8">
        <f t="shared" si="80"/>
        <v>19.330090758662188</v>
      </c>
      <c r="Q476" s="65">
        <v>715.4155779959043</v>
      </c>
      <c r="R476" s="60">
        <f t="shared" si="81"/>
        <v>2.7019387546482601</v>
      </c>
      <c r="S476" s="3">
        <v>250</v>
      </c>
      <c r="T476" s="3">
        <v>250</v>
      </c>
      <c r="U476" s="3"/>
      <c r="V476" s="3"/>
      <c r="W476" s="3"/>
      <c r="X476" s="36"/>
      <c r="Y476" s="37">
        <f t="shared" si="83"/>
        <v>2.7019387546482601E-2</v>
      </c>
      <c r="Z476" s="37">
        <f t="shared" si="85"/>
        <v>-3.6112006133804559</v>
      </c>
      <c r="AA476" s="149">
        <f t="shared" si="84"/>
        <v>-9.7572428881022216E-2</v>
      </c>
      <c r="AB476" s="37"/>
      <c r="AC476" s="98"/>
    </row>
    <row r="477" spans="1:31" ht="20.25" customHeight="1">
      <c r="A477" s="35">
        <v>42263</v>
      </c>
      <c r="B477" s="36">
        <v>5</v>
      </c>
      <c r="C477" s="36" t="s">
        <v>209</v>
      </c>
      <c r="D477" s="36" t="s">
        <v>210</v>
      </c>
      <c r="E477" s="36"/>
      <c r="F477" s="36" t="s">
        <v>211</v>
      </c>
      <c r="G477" s="36" t="s">
        <v>212</v>
      </c>
      <c r="H477" s="36" t="s">
        <v>213</v>
      </c>
      <c r="I477" s="36" t="s">
        <v>214</v>
      </c>
      <c r="J477" s="36">
        <v>11</v>
      </c>
      <c r="K477" s="36" t="s">
        <v>247</v>
      </c>
      <c r="L477" s="36" t="s">
        <v>215</v>
      </c>
      <c r="M477" s="36">
        <v>222</v>
      </c>
      <c r="N477" s="3">
        <f t="shared" si="79"/>
        <v>4.954954954954955</v>
      </c>
      <c r="O477" s="36">
        <v>715.21335807050093</v>
      </c>
      <c r="P477" s="8">
        <f t="shared" si="80"/>
        <v>35.438499724214012</v>
      </c>
      <c r="Q477" s="65">
        <v>715.4155779959043</v>
      </c>
      <c r="R477" s="60">
        <f t="shared" si="81"/>
        <v>4.9535543835218094</v>
      </c>
      <c r="S477" s="3">
        <v>250</v>
      </c>
      <c r="T477" s="3">
        <v>250</v>
      </c>
      <c r="U477" s="36"/>
      <c r="V477" s="36"/>
      <c r="W477" s="3"/>
      <c r="X477" s="36"/>
      <c r="Y477" s="37">
        <f t="shared" si="83"/>
        <v>4.9535543835218097E-2</v>
      </c>
      <c r="Z477" s="37">
        <f t="shared" si="85"/>
        <v>-3.0050648098101407</v>
      </c>
      <c r="AA477" s="149">
        <f t="shared" si="84"/>
        <v>-0.14885751961402155</v>
      </c>
      <c r="AB477" s="37"/>
      <c r="AC477" s="98"/>
    </row>
    <row r="478" spans="1:31" ht="20.25" customHeight="1">
      <c r="A478" s="13">
        <v>42263</v>
      </c>
      <c r="B478" s="36">
        <v>5</v>
      </c>
      <c r="C478" s="51" t="s">
        <v>223</v>
      </c>
      <c r="D478" s="51" t="s">
        <v>317</v>
      </c>
      <c r="E478" s="51" t="s">
        <v>314</v>
      </c>
      <c r="F478" s="51" t="s">
        <v>346</v>
      </c>
      <c r="G478" s="51" t="s">
        <v>315</v>
      </c>
      <c r="H478" s="3" t="s">
        <v>347</v>
      </c>
      <c r="I478" s="3" t="s">
        <v>480</v>
      </c>
      <c r="J478" s="36">
        <v>1</v>
      </c>
      <c r="K478" s="36" t="s">
        <v>247</v>
      </c>
      <c r="L478" s="3" t="s">
        <v>345</v>
      </c>
      <c r="M478" s="3">
        <v>222</v>
      </c>
      <c r="N478" s="3">
        <f t="shared" si="79"/>
        <v>0.45045045045045046</v>
      </c>
      <c r="O478" s="36">
        <v>715.21335807050093</v>
      </c>
      <c r="P478" s="8">
        <f t="shared" si="80"/>
        <v>3.2216817931103647</v>
      </c>
      <c r="Q478" s="65">
        <v>715.4155779959043</v>
      </c>
      <c r="R478" s="60">
        <f t="shared" si="81"/>
        <v>0.45032312577471006</v>
      </c>
      <c r="S478" s="36">
        <v>250</v>
      </c>
      <c r="T478" s="36">
        <v>250</v>
      </c>
      <c r="U478" s="3"/>
      <c r="V478" s="3"/>
      <c r="W478" s="3"/>
      <c r="X478" s="36"/>
      <c r="Y478" s="37">
        <f t="shared" si="83"/>
        <v>4.5032312577471005E-3</v>
      </c>
      <c r="Z478" s="37">
        <f t="shared" si="85"/>
        <v>-5.4029600826085113</v>
      </c>
      <c r="AA478" s="149">
        <f t="shared" si="84"/>
        <v>-2.4330778728362503E-2</v>
      </c>
      <c r="AB478" s="37"/>
      <c r="AC478" s="98"/>
    </row>
    <row r="479" spans="1:31" ht="20.25" customHeight="1">
      <c r="A479" s="13">
        <v>42263</v>
      </c>
      <c r="B479" s="36">
        <v>5</v>
      </c>
      <c r="C479" s="65" t="s">
        <v>223</v>
      </c>
      <c r="D479" s="36" t="s">
        <v>310</v>
      </c>
      <c r="E479" s="36" t="s">
        <v>314</v>
      </c>
      <c r="F479" s="65" t="s">
        <v>311</v>
      </c>
      <c r="G479" s="65" t="s">
        <v>315</v>
      </c>
      <c r="H479" s="65" t="s">
        <v>316</v>
      </c>
      <c r="I479" s="36" t="s">
        <v>484</v>
      </c>
      <c r="J479" s="36">
        <v>6</v>
      </c>
      <c r="K479" s="36" t="s">
        <v>247</v>
      </c>
      <c r="L479" s="3" t="s">
        <v>345</v>
      </c>
      <c r="M479" s="3">
        <v>222</v>
      </c>
      <c r="N479" s="3">
        <f t="shared" si="79"/>
        <v>2.7027027027027026</v>
      </c>
      <c r="O479" s="36">
        <v>715.21335807050093</v>
      </c>
      <c r="P479" s="8">
        <f t="shared" si="80"/>
        <v>19.330090758662188</v>
      </c>
      <c r="Q479" s="65">
        <v>715.4155779959043</v>
      </c>
      <c r="R479" s="60">
        <f t="shared" si="81"/>
        <v>2.7019387546482601</v>
      </c>
      <c r="S479" s="3">
        <v>250</v>
      </c>
      <c r="T479" s="3">
        <v>250</v>
      </c>
      <c r="U479" s="3"/>
      <c r="V479" s="3"/>
      <c r="W479" s="3"/>
      <c r="X479" s="36"/>
      <c r="Y479" s="37">
        <f t="shared" si="83"/>
        <v>2.7019387546482601E-2</v>
      </c>
      <c r="Z479" s="37">
        <f t="shared" si="85"/>
        <v>-3.6112006133804559</v>
      </c>
      <c r="AA479" s="149">
        <f t="shared" si="84"/>
        <v>-9.7572428881022216E-2</v>
      </c>
      <c r="AB479" s="37"/>
      <c r="AC479" s="98"/>
    </row>
    <row r="480" spans="1:31" ht="20.25" customHeight="1">
      <c r="A480" s="71">
        <v>42263</v>
      </c>
      <c r="B480" s="36">
        <v>5</v>
      </c>
      <c r="C480" s="65" t="s">
        <v>223</v>
      </c>
      <c r="D480" s="65" t="s">
        <v>224</v>
      </c>
      <c r="E480" s="65" t="s">
        <v>225</v>
      </c>
      <c r="F480" s="65" t="s">
        <v>226</v>
      </c>
      <c r="G480" s="65" t="s">
        <v>239</v>
      </c>
      <c r="H480" s="36" t="s">
        <v>240</v>
      </c>
      <c r="I480" s="3"/>
      <c r="J480" s="36">
        <v>34</v>
      </c>
      <c r="K480" s="3" t="s">
        <v>229</v>
      </c>
      <c r="L480" s="3" t="s">
        <v>240</v>
      </c>
      <c r="M480" s="3">
        <v>222</v>
      </c>
      <c r="N480" s="3">
        <f t="shared" si="79"/>
        <v>15.315315315315313</v>
      </c>
      <c r="O480" s="36">
        <v>715.21335807050093</v>
      </c>
      <c r="P480" s="8">
        <f t="shared" si="80"/>
        <v>109.53718096575238</v>
      </c>
      <c r="Q480" s="65">
        <v>715.4155779959043</v>
      </c>
      <c r="R480" s="60">
        <f t="shared" si="81"/>
        <v>15.310986276340138</v>
      </c>
      <c r="S480" s="36">
        <v>250</v>
      </c>
      <c r="T480" s="36">
        <v>250</v>
      </c>
      <c r="U480" s="3"/>
      <c r="V480" s="3"/>
      <c r="W480" s="3"/>
      <c r="X480" s="36"/>
      <c r="Y480" s="37">
        <f t="shared" si="83"/>
        <v>0.15310986276340138</v>
      </c>
      <c r="Z480" s="37">
        <f t="shared" si="85"/>
        <v>-1.8765995579923498</v>
      </c>
      <c r="AA480" s="149">
        <f t="shared" si="84"/>
        <v>-0.28732590078606834</v>
      </c>
      <c r="AB480" s="37"/>
      <c r="AC480" s="98"/>
    </row>
    <row r="481" spans="1:31" ht="20.25" customHeight="1">
      <c r="A481" s="71">
        <v>42263</v>
      </c>
      <c r="B481" s="36">
        <v>5</v>
      </c>
      <c r="C481" s="3" t="s">
        <v>223</v>
      </c>
      <c r="D481" s="3" t="s">
        <v>224</v>
      </c>
      <c r="E481" s="3" t="s">
        <v>225</v>
      </c>
      <c r="F481" s="3" t="s">
        <v>248</v>
      </c>
      <c r="G481" s="3" t="s">
        <v>249</v>
      </c>
      <c r="H481" s="3" t="s">
        <v>250</v>
      </c>
      <c r="I481" s="3"/>
      <c r="J481" s="36">
        <v>3</v>
      </c>
      <c r="K481" s="3" t="s">
        <v>229</v>
      </c>
      <c r="L481" s="3" t="s">
        <v>250</v>
      </c>
      <c r="M481" s="3">
        <v>222</v>
      </c>
      <c r="N481" s="3">
        <f t="shared" si="79"/>
        <v>1.3513513513513513</v>
      </c>
      <c r="O481" s="36">
        <v>715.21335807050093</v>
      </c>
      <c r="P481" s="8">
        <f t="shared" si="80"/>
        <v>9.6650453793310938</v>
      </c>
      <c r="Q481" s="65">
        <v>715.4155779959043</v>
      </c>
      <c r="R481" s="60">
        <f t="shared" si="81"/>
        <v>1.35096937732413</v>
      </c>
      <c r="S481" s="36">
        <v>250</v>
      </c>
      <c r="T481" s="36">
        <v>250</v>
      </c>
      <c r="U481" s="3"/>
      <c r="V481" s="3"/>
      <c r="W481" s="3"/>
      <c r="X481" s="36"/>
      <c r="Y481" s="37">
        <f t="shared" si="83"/>
        <v>1.3509693773241301E-2</v>
      </c>
      <c r="Z481" s="37">
        <f t="shared" si="85"/>
        <v>-4.3043477939404013</v>
      </c>
      <c r="AA481" s="149">
        <f t="shared" si="84"/>
        <v>-5.8150420589661571E-2</v>
      </c>
      <c r="AB481" s="37"/>
      <c r="AC481" s="98"/>
    </row>
    <row r="482" spans="1:31" ht="20.25" customHeight="1">
      <c r="A482" s="71">
        <v>42263</v>
      </c>
      <c r="B482" s="36">
        <v>5</v>
      </c>
      <c r="C482" s="3" t="s">
        <v>216</v>
      </c>
      <c r="D482" s="3" t="s">
        <v>217</v>
      </c>
      <c r="E482" s="3"/>
      <c r="F482" s="3"/>
      <c r="G482" s="3"/>
      <c r="H482" s="3" t="s">
        <v>219</v>
      </c>
      <c r="I482" s="3"/>
      <c r="J482" s="36">
        <v>2</v>
      </c>
      <c r="K482" s="36" t="s">
        <v>229</v>
      </c>
      <c r="L482" s="3" t="s">
        <v>219</v>
      </c>
      <c r="M482" s="3">
        <v>222</v>
      </c>
      <c r="N482" s="3">
        <f t="shared" si="79"/>
        <v>0.90090090090090091</v>
      </c>
      <c r="O482" s="36">
        <v>715.21335807050093</v>
      </c>
      <c r="P482" s="8">
        <f t="shared" si="80"/>
        <v>6.4433635862207295</v>
      </c>
      <c r="Q482" s="65">
        <v>715.4155779959043</v>
      </c>
      <c r="R482" s="60">
        <f t="shared" si="81"/>
        <v>0.90064625154942013</v>
      </c>
      <c r="S482" s="36">
        <v>250</v>
      </c>
      <c r="T482" s="36">
        <v>250</v>
      </c>
      <c r="U482" s="3"/>
      <c r="V482" s="3"/>
      <c r="W482" s="3"/>
      <c r="X482" s="36"/>
      <c r="Y482" s="37">
        <f t="shared" si="83"/>
        <v>9.0064625154942009E-3</v>
      </c>
      <c r="Z482" s="37">
        <f t="shared" si="85"/>
        <v>-4.709812902048566</v>
      </c>
      <c r="AA482" s="149">
        <f t="shared" si="84"/>
        <v>-4.2418753357291367E-2</v>
      </c>
      <c r="AB482" s="37"/>
      <c r="AC482" s="98"/>
    </row>
    <row r="483" spans="1:31" ht="20.25" customHeight="1">
      <c r="A483" s="71">
        <v>42263</v>
      </c>
      <c r="B483" s="36">
        <v>5</v>
      </c>
      <c r="C483" s="65" t="s">
        <v>223</v>
      </c>
      <c r="D483" s="65" t="s">
        <v>224</v>
      </c>
      <c r="E483" s="65" t="s">
        <v>225</v>
      </c>
      <c r="F483" s="65" t="s">
        <v>226</v>
      </c>
      <c r="G483" s="65" t="s">
        <v>253</v>
      </c>
      <c r="H483" s="36" t="s">
        <v>256</v>
      </c>
      <c r="I483" s="3"/>
      <c r="J483" s="36">
        <v>27</v>
      </c>
      <c r="K483" s="3" t="s">
        <v>229</v>
      </c>
      <c r="L483" s="3" t="s">
        <v>256</v>
      </c>
      <c r="M483" s="3">
        <v>222</v>
      </c>
      <c r="N483" s="3">
        <f t="shared" si="79"/>
        <v>12.162162162162163</v>
      </c>
      <c r="O483" s="36">
        <v>715.21335807050093</v>
      </c>
      <c r="P483" s="8">
        <f t="shared" si="80"/>
        <v>86.985408413979854</v>
      </c>
      <c r="Q483" s="65">
        <v>715.4155779959043</v>
      </c>
      <c r="R483" s="60">
        <f t="shared" si="81"/>
        <v>12.15872439591717</v>
      </c>
      <c r="S483" s="3">
        <v>250</v>
      </c>
      <c r="T483" s="3">
        <v>250</v>
      </c>
      <c r="U483" s="3"/>
      <c r="V483" s="3"/>
      <c r="W483" s="3"/>
      <c r="X483" s="36"/>
      <c r="Y483" s="37">
        <f t="shared" si="83"/>
        <v>0.1215872439591717</v>
      </c>
      <c r="Z483" s="37">
        <f t="shared" si="85"/>
        <v>-2.1071232166041822</v>
      </c>
      <c r="AA483" s="149">
        <f t="shared" si="84"/>
        <v>-0.2561993045892873</v>
      </c>
      <c r="AB483" s="37"/>
      <c r="AC483" s="98"/>
    </row>
    <row r="484" spans="1:31" ht="20.25" customHeight="1">
      <c r="A484" s="71">
        <v>42263</v>
      </c>
      <c r="B484" s="36">
        <v>5</v>
      </c>
      <c r="C484" s="51" t="s">
        <v>223</v>
      </c>
      <c r="D484" s="3" t="s">
        <v>224</v>
      </c>
      <c r="E484" s="3" t="s">
        <v>225</v>
      </c>
      <c r="F484" s="51" t="s">
        <v>226</v>
      </c>
      <c r="G484" s="51" t="s">
        <v>239</v>
      </c>
      <c r="H484" s="51" t="s">
        <v>258</v>
      </c>
      <c r="I484" s="3" t="s">
        <v>259</v>
      </c>
      <c r="J484" s="36">
        <v>1</v>
      </c>
      <c r="K484" s="3" t="s">
        <v>247</v>
      </c>
      <c r="L484" s="3" t="s">
        <v>258</v>
      </c>
      <c r="M484" s="3">
        <v>222</v>
      </c>
      <c r="N484" s="3">
        <f t="shared" si="79"/>
        <v>0.45045045045045046</v>
      </c>
      <c r="O484" s="36">
        <v>715.21335807050093</v>
      </c>
      <c r="P484" s="8">
        <f t="shared" si="80"/>
        <v>3.2216817931103647</v>
      </c>
      <c r="Q484" s="65">
        <v>715.4155779959043</v>
      </c>
      <c r="R484" s="60">
        <f t="shared" si="81"/>
        <v>0.45032312577471006</v>
      </c>
      <c r="S484" s="3">
        <v>250</v>
      </c>
      <c r="T484" s="3">
        <v>250</v>
      </c>
      <c r="U484" s="3"/>
      <c r="V484" s="3"/>
      <c r="W484" s="3"/>
      <c r="X484" s="36"/>
      <c r="Y484" s="37">
        <f t="shared" si="83"/>
        <v>4.5032312577471005E-3</v>
      </c>
      <c r="Z484" s="37">
        <f t="shared" si="85"/>
        <v>-5.4029600826085113</v>
      </c>
      <c r="AA484" s="149">
        <f t="shared" si="84"/>
        <v>-2.4330778728362503E-2</v>
      </c>
      <c r="AB484" s="37"/>
      <c r="AC484" s="98"/>
    </row>
    <row r="485" spans="1:31" ht="20.25" customHeight="1">
      <c r="A485" s="71">
        <v>42263</v>
      </c>
      <c r="B485" s="65">
        <v>5</v>
      </c>
      <c r="C485" s="36" t="s">
        <v>223</v>
      </c>
      <c r="D485" s="36" t="s">
        <v>224</v>
      </c>
      <c r="E485" s="36" t="s">
        <v>225</v>
      </c>
      <c r="F485" s="36" t="s">
        <v>226</v>
      </c>
      <c r="G485" s="36" t="s">
        <v>261</v>
      </c>
      <c r="H485" s="36" t="s">
        <v>262</v>
      </c>
      <c r="I485" s="3"/>
      <c r="J485" s="36">
        <v>2</v>
      </c>
      <c r="K485" s="3" t="s">
        <v>229</v>
      </c>
      <c r="L485" s="3" t="s">
        <v>264</v>
      </c>
      <c r="M485" s="3">
        <v>222</v>
      </c>
      <c r="N485" s="3">
        <f t="shared" si="79"/>
        <v>0.90090090090090091</v>
      </c>
      <c r="O485" s="36">
        <v>715.21335807050093</v>
      </c>
      <c r="P485" s="8">
        <f t="shared" si="80"/>
        <v>6.4433635862207295</v>
      </c>
      <c r="Q485" s="65">
        <v>715.4155779959043</v>
      </c>
      <c r="R485" s="60">
        <f t="shared" si="81"/>
        <v>0.90064625154942013</v>
      </c>
      <c r="S485" s="36">
        <v>250</v>
      </c>
      <c r="T485" s="36">
        <v>250</v>
      </c>
      <c r="U485" s="3"/>
      <c r="V485" s="3"/>
      <c r="W485" s="3"/>
      <c r="X485" s="36"/>
      <c r="Y485" s="37">
        <f t="shared" si="83"/>
        <v>9.0064625154942009E-3</v>
      </c>
      <c r="Z485" s="37">
        <f t="shared" si="85"/>
        <v>-4.709812902048566</v>
      </c>
      <c r="AA485" s="149">
        <f t="shared" si="84"/>
        <v>-4.2418753357291367E-2</v>
      </c>
      <c r="AB485" s="37"/>
      <c r="AC485" s="98"/>
    </row>
    <row r="486" spans="1:31" ht="20.25" customHeight="1">
      <c r="A486" s="71">
        <v>42263</v>
      </c>
      <c r="B486" s="36">
        <v>5</v>
      </c>
      <c r="C486" s="65" t="s">
        <v>328</v>
      </c>
      <c r="D486" s="51"/>
      <c r="E486" s="51"/>
      <c r="F486" s="51"/>
      <c r="G486" s="51"/>
      <c r="H486" s="3"/>
      <c r="I486" s="3"/>
      <c r="J486" s="36">
        <v>1</v>
      </c>
      <c r="K486" s="3" t="s">
        <v>328</v>
      </c>
      <c r="L486" s="3" t="s">
        <v>370</v>
      </c>
      <c r="M486" s="3">
        <v>222</v>
      </c>
      <c r="N486" s="3">
        <f t="shared" si="79"/>
        <v>0.45045045045045046</v>
      </c>
      <c r="O486" s="36">
        <v>715.21335807050093</v>
      </c>
      <c r="P486" s="8">
        <f t="shared" si="80"/>
        <v>3.2216817931103647</v>
      </c>
      <c r="Q486" s="65">
        <v>715.4155779959043</v>
      </c>
      <c r="R486" s="60">
        <f t="shared" si="81"/>
        <v>0.45032312577471006</v>
      </c>
      <c r="S486" s="3">
        <v>250</v>
      </c>
      <c r="T486" s="3">
        <v>250</v>
      </c>
      <c r="U486" s="3"/>
      <c r="V486" s="3"/>
      <c r="W486" s="3"/>
      <c r="X486" s="36"/>
      <c r="Y486" s="37">
        <f t="shared" si="83"/>
        <v>4.5032312577471005E-3</v>
      </c>
      <c r="Z486" s="37">
        <f t="shared" si="85"/>
        <v>-5.4029600826085113</v>
      </c>
      <c r="AA486" s="149">
        <f t="shared" si="84"/>
        <v>-2.4330778728362503E-2</v>
      </c>
      <c r="AB486" s="37"/>
      <c r="AC486" s="98"/>
    </row>
    <row r="487" spans="1:31" ht="20.25" customHeight="1">
      <c r="A487" s="35">
        <v>42263</v>
      </c>
      <c r="B487" s="76">
        <v>4</v>
      </c>
      <c r="C487" s="65" t="s">
        <v>209</v>
      </c>
      <c r="D487" s="65" t="s">
        <v>210</v>
      </c>
      <c r="E487" s="65"/>
      <c r="F487" s="65" t="s">
        <v>211</v>
      </c>
      <c r="G487" s="65" t="s">
        <v>212</v>
      </c>
      <c r="H487" s="36" t="s">
        <v>213</v>
      </c>
      <c r="I487" s="36" t="s">
        <v>214</v>
      </c>
      <c r="J487" s="36">
        <v>2</v>
      </c>
      <c r="K487" s="36" t="s">
        <v>247</v>
      </c>
      <c r="L487" s="36" t="s">
        <v>215</v>
      </c>
      <c r="M487" s="36">
        <v>36</v>
      </c>
      <c r="N487" s="36">
        <f t="shared" si="79"/>
        <v>5.5555555555555554</v>
      </c>
      <c r="O487" s="65">
        <v>3.3675807985531878</v>
      </c>
      <c r="P487" s="40">
        <f t="shared" si="80"/>
        <v>0.18708782214184375</v>
      </c>
      <c r="Q487" s="36">
        <v>1933.8724143109055</v>
      </c>
      <c r="R487" s="60">
        <f t="shared" si="81"/>
        <v>9.6742587958424612E-3</v>
      </c>
      <c r="S487" s="36">
        <v>1000</v>
      </c>
      <c r="T487" s="36">
        <v>1000</v>
      </c>
      <c r="U487" s="36"/>
      <c r="V487" s="36"/>
      <c r="W487" s="3"/>
      <c r="X487" s="36"/>
      <c r="Y487" s="37">
        <f t="shared" si="83"/>
        <v>9.6742587958424612E-5</v>
      </c>
      <c r="Z487" s="37">
        <f t="shared" si="85"/>
        <v>-9.2434568392379397</v>
      </c>
      <c r="AA487" s="149">
        <f t="shared" si="84"/>
        <v>-8.9423593630987789E-4</v>
      </c>
      <c r="AB487" s="37">
        <f>SUM(AA487:AA499)*-1</f>
        <v>1.34236804309388</v>
      </c>
      <c r="AC487" s="98">
        <v>13</v>
      </c>
      <c r="AD487" s="98">
        <f t="shared" ref="AD487" si="88">LN(AC487)</f>
        <v>2.5649493574615367</v>
      </c>
      <c r="AE487" s="98">
        <f>(AB487/AD487)</f>
        <v>0.52335070054653499</v>
      </c>
    </row>
    <row r="488" spans="1:31" s="61" customFormat="1" ht="20.25" customHeight="1">
      <c r="A488" s="35">
        <v>42263</v>
      </c>
      <c r="B488" s="36">
        <v>4</v>
      </c>
      <c r="C488" s="65" t="s">
        <v>223</v>
      </c>
      <c r="D488" s="65" t="s">
        <v>267</v>
      </c>
      <c r="E488" s="65"/>
      <c r="F488" s="65" t="s">
        <v>273</v>
      </c>
      <c r="G488" s="65" t="s">
        <v>274</v>
      </c>
      <c r="H488" s="36" t="s">
        <v>275</v>
      </c>
      <c r="I488" s="36" t="s">
        <v>276</v>
      </c>
      <c r="J488" s="36">
        <v>5</v>
      </c>
      <c r="K488" s="36" t="s">
        <v>247</v>
      </c>
      <c r="L488" s="36" t="s">
        <v>519</v>
      </c>
      <c r="M488" s="36">
        <v>36</v>
      </c>
      <c r="N488" s="36">
        <f t="shared" si="79"/>
        <v>13.888888888888889</v>
      </c>
      <c r="O488" s="65">
        <v>3.3675807985531878</v>
      </c>
      <c r="P488" s="40">
        <f t="shared" si="80"/>
        <v>0.46771955535460946</v>
      </c>
      <c r="Q488" s="36">
        <v>1933.8724143109055</v>
      </c>
      <c r="R488" s="60">
        <f t="shared" si="81"/>
        <v>2.4185646989606159E-2</v>
      </c>
      <c r="S488" s="36">
        <v>1000</v>
      </c>
      <c r="T488" s="36">
        <v>1000</v>
      </c>
      <c r="U488" s="36"/>
      <c r="V488" s="36"/>
      <c r="W488" s="3"/>
      <c r="X488" s="57"/>
      <c r="Y488" s="37">
        <f t="shared" si="83"/>
        <v>2.4185646989606158E-4</v>
      </c>
      <c r="Z488" s="37">
        <f t="shared" si="85"/>
        <v>-8.3271661073637837</v>
      </c>
      <c r="AA488" s="149">
        <f t="shared" si="84"/>
        <v>-2.0139789989651333E-3</v>
      </c>
      <c r="AB488" s="37"/>
      <c r="AC488" s="98"/>
      <c r="AD488" s="99"/>
      <c r="AE488" s="99"/>
    </row>
    <row r="489" spans="1:31" ht="20.25" customHeight="1">
      <c r="A489" s="35">
        <v>42263</v>
      </c>
      <c r="B489" s="76">
        <v>4</v>
      </c>
      <c r="C489" s="65" t="s">
        <v>223</v>
      </c>
      <c r="D489" s="65" t="s">
        <v>267</v>
      </c>
      <c r="E489" s="65"/>
      <c r="F489" s="65" t="s">
        <v>273</v>
      </c>
      <c r="G489" s="65"/>
      <c r="H489" s="36" t="s">
        <v>537</v>
      </c>
      <c r="I489" s="36" t="s">
        <v>538</v>
      </c>
      <c r="J489" s="36">
        <v>1</v>
      </c>
      <c r="K489" s="36" t="s">
        <v>247</v>
      </c>
      <c r="L489" s="36" t="s">
        <v>539</v>
      </c>
      <c r="M489" s="36">
        <v>36</v>
      </c>
      <c r="N489" s="36">
        <f t="shared" si="79"/>
        <v>2.7777777777777777</v>
      </c>
      <c r="O489" s="65">
        <v>3.3675807985531878</v>
      </c>
      <c r="P489" s="40">
        <f t="shared" si="80"/>
        <v>9.3543911070921873E-2</v>
      </c>
      <c r="Q489" s="36">
        <v>1933.8724143109055</v>
      </c>
      <c r="R489" s="60">
        <f t="shared" si="81"/>
        <v>4.8371293979212306E-3</v>
      </c>
      <c r="S489" s="36">
        <v>1000</v>
      </c>
      <c r="T489" s="36">
        <v>1000</v>
      </c>
      <c r="U489" s="36"/>
      <c r="V489" s="36"/>
      <c r="W489" s="3"/>
      <c r="X489" s="36"/>
      <c r="Y489" s="37">
        <f t="shared" si="83"/>
        <v>4.8371293979212306E-5</v>
      </c>
      <c r="Z489" s="37">
        <f t="shared" si="85"/>
        <v>-9.9366040197978851</v>
      </c>
      <c r="AA489" s="149">
        <f t="shared" si="84"/>
        <v>-4.8064639419666624E-4</v>
      </c>
      <c r="AB489" s="37"/>
      <c r="AC489" s="98"/>
    </row>
    <row r="490" spans="1:31" ht="20.25" customHeight="1">
      <c r="A490" s="35">
        <v>42263</v>
      </c>
      <c r="B490" s="36">
        <v>4</v>
      </c>
      <c r="C490" s="36" t="s">
        <v>223</v>
      </c>
      <c r="D490" s="36" t="s">
        <v>267</v>
      </c>
      <c r="E490" s="36" t="s">
        <v>278</v>
      </c>
      <c r="F490" s="36" t="s">
        <v>279</v>
      </c>
      <c r="G490" s="36" t="s">
        <v>280</v>
      </c>
      <c r="H490" s="36" t="s">
        <v>284</v>
      </c>
      <c r="I490" s="36" t="s">
        <v>285</v>
      </c>
      <c r="J490" s="36">
        <v>27</v>
      </c>
      <c r="K490" s="36" t="s">
        <v>247</v>
      </c>
      <c r="L490" s="36" t="s">
        <v>283</v>
      </c>
      <c r="M490" s="36">
        <v>36</v>
      </c>
      <c r="N490" s="36">
        <f t="shared" si="79"/>
        <v>75</v>
      </c>
      <c r="O490" s="36">
        <v>3.3675807985531878</v>
      </c>
      <c r="P490" s="40">
        <f t="shared" si="80"/>
        <v>2.5256855989148908</v>
      </c>
      <c r="Q490" s="65">
        <v>1933.8724143109055</v>
      </c>
      <c r="R490" s="60">
        <f t="shared" si="81"/>
        <v>0.13060249374387323</v>
      </c>
      <c r="S490" s="36">
        <v>1000</v>
      </c>
      <c r="T490" s="36">
        <v>1000</v>
      </c>
      <c r="U490" s="36"/>
      <c r="V490" s="36"/>
      <c r="W490" s="3"/>
      <c r="X490" s="36"/>
      <c r="Y490" s="37">
        <f t="shared" si="83"/>
        <v>1.3060249374387324E-3</v>
      </c>
      <c r="Z490" s="37">
        <f t="shared" si="85"/>
        <v>-6.6407671537935551</v>
      </c>
      <c r="AA490" s="149">
        <f t="shared" si="84"/>
        <v>-8.6730075065784163E-3</v>
      </c>
      <c r="AB490" s="37"/>
      <c r="AC490" s="98"/>
    </row>
    <row r="491" spans="1:31" ht="20.25" customHeight="1">
      <c r="A491" s="35">
        <v>42263</v>
      </c>
      <c r="B491" s="76">
        <v>4</v>
      </c>
      <c r="C491" s="36" t="s">
        <v>223</v>
      </c>
      <c r="D491" s="36" t="s">
        <v>576</v>
      </c>
      <c r="E491" s="36"/>
      <c r="F491" s="36"/>
      <c r="G491" s="36"/>
      <c r="H491" s="36"/>
      <c r="I491" s="36"/>
      <c r="J491" s="36">
        <v>1</v>
      </c>
      <c r="K491" s="36" t="s">
        <v>221</v>
      </c>
      <c r="L491" s="36" t="s">
        <v>577</v>
      </c>
      <c r="M491" s="36">
        <v>36</v>
      </c>
      <c r="N491" s="36">
        <f t="shared" si="79"/>
        <v>2.7777777777777777</v>
      </c>
      <c r="O491" s="36">
        <v>3.3675807985531878</v>
      </c>
      <c r="P491" s="40">
        <f t="shared" si="80"/>
        <v>9.3543911070921873E-2</v>
      </c>
      <c r="Q491" s="36">
        <v>1933.8724143109055</v>
      </c>
      <c r="R491" s="60">
        <f t="shared" si="81"/>
        <v>4.8371293979212306E-3</v>
      </c>
      <c r="S491" s="36">
        <v>1000</v>
      </c>
      <c r="T491" s="36">
        <v>1000</v>
      </c>
      <c r="U491" s="36"/>
      <c r="V491" s="36"/>
      <c r="W491" s="3"/>
      <c r="X491" s="36"/>
      <c r="Y491" s="37">
        <f t="shared" si="83"/>
        <v>4.8371293979212306E-5</v>
      </c>
      <c r="Z491" s="37">
        <f t="shared" si="85"/>
        <v>-9.9366040197978851</v>
      </c>
      <c r="AA491" s="149">
        <f t="shared" si="84"/>
        <v>-4.8064639419666624E-4</v>
      </c>
      <c r="AB491" s="37"/>
      <c r="AC491" s="98"/>
    </row>
    <row r="492" spans="1:31" ht="20.25" customHeight="1">
      <c r="A492" s="13">
        <v>42263</v>
      </c>
      <c r="B492" s="36">
        <v>4</v>
      </c>
      <c r="C492" s="51" t="s">
        <v>223</v>
      </c>
      <c r="D492" s="51" t="s">
        <v>224</v>
      </c>
      <c r="E492" s="51" t="s">
        <v>225</v>
      </c>
      <c r="F492" s="51" t="s">
        <v>226</v>
      </c>
      <c r="G492" s="51" t="s">
        <v>227</v>
      </c>
      <c r="H492" s="3" t="s">
        <v>228</v>
      </c>
      <c r="I492" s="3"/>
      <c r="J492" s="3">
        <v>37</v>
      </c>
      <c r="K492" s="3" t="s">
        <v>229</v>
      </c>
      <c r="L492" s="36" t="s">
        <v>228</v>
      </c>
      <c r="M492" s="3">
        <v>161</v>
      </c>
      <c r="N492" s="3">
        <f t="shared" si="79"/>
        <v>22.981366459627328</v>
      </c>
      <c r="O492" s="65">
        <v>1930.5048335123522</v>
      </c>
      <c r="P492" s="8">
        <f t="shared" si="80"/>
        <v>443.65639031029212</v>
      </c>
      <c r="Q492" s="36">
        <v>1933.8724143109055</v>
      </c>
      <c r="R492" s="60">
        <f t="shared" si="81"/>
        <v>22.941347476037073</v>
      </c>
      <c r="S492" s="36">
        <v>250</v>
      </c>
      <c r="T492" s="36">
        <v>250</v>
      </c>
      <c r="U492" s="3"/>
      <c r="V492" s="3"/>
      <c r="W492" s="3"/>
      <c r="X492" s="36"/>
      <c r="Y492" s="37">
        <f t="shared" si="83"/>
        <v>0.22941347476037074</v>
      </c>
      <c r="Z492" s="37">
        <f t="shared" si="85"/>
        <v>-1.4722293368647295</v>
      </c>
      <c r="AA492" s="149">
        <f t="shared" si="84"/>
        <v>-0.337749247814294</v>
      </c>
      <c r="AB492" s="37"/>
      <c r="AC492" s="98"/>
    </row>
    <row r="493" spans="1:31" ht="20.25" customHeight="1">
      <c r="A493" s="13">
        <v>42263</v>
      </c>
      <c r="B493" s="36">
        <v>4</v>
      </c>
      <c r="C493" s="3" t="s">
        <v>223</v>
      </c>
      <c r="D493" s="3" t="s">
        <v>303</v>
      </c>
      <c r="E493" s="3" t="s">
        <v>304</v>
      </c>
      <c r="F493" s="3" t="s">
        <v>305</v>
      </c>
      <c r="G493" s="3" t="s">
        <v>306</v>
      </c>
      <c r="H493" s="3" t="s">
        <v>307</v>
      </c>
      <c r="I493" s="3"/>
      <c r="J493" s="3">
        <v>7</v>
      </c>
      <c r="K493" s="3" t="s">
        <v>229</v>
      </c>
      <c r="L493" s="3" t="s">
        <v>307</v>
      </c>
      <c r="M493" s="3">
        <v>161</v>
      </c>
      <c r="N493" s="3">
        <f t="shared" si="79"/>
        <v>4.3478260869565215</v>
      </c>
      <c r="O493" s="65">
        <v>1930.5048335123522</v>
      </c>
      <c r="P493" s="8">
        <f t="shared" si="80"/>
        <v>83.934992761406619</v>
      </c>
      <c r="Q493" s="36">
        <v>1933.8724143109055</v>
      </c>
      <c r="R493" s="60">
        <f t="shared" si="81"/>
        <v>4.340254927898906</v>
      </c>
      <c r="S493" s="36">
        <v>250</v>
      </c>
      <c r="T493" s="36">
        <v>250</v>
      </c>
      <c r="U493" s="36" t="s">
        <v>308</v>
      </c>
      <c r="V493" s="3"/>
      <c r="W493" s="3"/>
      <c r="X493" s="36"/>
      <c r="Y493" s="37">
        <f t="shared" si="83"/>
        <v>4.340254927898906E-2</v>
      </c>
      <c r="Z493" s="37">
        <f t="shared" si="85"/>
        <v>-3.1372371004536408</v>
      </c>
      <c r="AA493" s="149">
        <f t="shared" si="84"/>
        <v>-0.1361640878523119</v>
      </c>
      <c r="AB493" s="37"/>
      <c r="AC493" s="98"/>
    </row>
    <row r="494" spans="1:31" ht="20.25" customHeight="1">
      <c r="A494" s="13">
        <v>42263</v>
      </c>
      <c r="B494" s="36">
        <v>4</v>
      </c>
      <c r="C494" s="51" t="s">
        <v>223</v>
      </c>
      <c r="D494" s="51" t="s">
        <v>224</v>
      </c>
      <c r="E494" s="51" t="s">
        <v>225</v>
      </c>
      <c r="F494" s="51" t="s">
        <v>226</v>
      </c>
      <c r="G494" s="51" t="s">
        <v>235</v>
      </c>
      <c r="H494" s="3" t="s">
        <v>236</v>
      </c>
      <c r="I494" s="3"/>
      <c r="J494" s="3">
        <v>12</v>
      </c>
      <c r="K494" s="3" t="s">
        <v>229</v>
      </c>
      <c r="L494" s="36" t="s">
        <v>236</v>
      </c>
      <c r="M494" s="3">
        <v>161</v>
      </c>
      <c r="N494" s="3">
        <f t="shared" si="79"/>
        <v>7.4534161490683228</v>
      </c>
      <c r="O494" s="65">
        <v>1930.5048335123522</v>
      </c>
      <c r="P494" s="8">
        <f t="shared" si="80"/>
        <v>143.88855901955421</v>
      </c>
      <c r="Q494" s="36">
        <v>1933.8724143109055</v>
      </c>
      <c r="R494" s="60">
        <f t="shared" si="81"/>
        <v>7.4404370192552678</v>
      </c>
      <c r="S494" s="3">
        <v>250</v>
      </c>
      <c r="T494" s="3">
        <v>250</v>
      </c>
      <c r="U494" s="3"/>
      <c r="V494" s="3"/>
      <c r="W494" s="3"/>
      <c r="X494" s="36"/>
      <c r="Y494" s="37">
        <f t="shared" si="83"/>
        <v>7.440437019255268E-2</v>
      </c>
      <c r="Z494" s="37">
        <f t="shared" si="85"/>
        <v>-2.5982405997209534</v>
      </c>
      <c r="AA494" s="149">
        <f t="shared" si="84"/>
        <v>-0.19332045543095791</v>
      </c>
      <c r="AB494" s="37"/>
      <c r="AC494" s="98"/>
    </row>
    <row r="495" spans="1:31" ht="20.25" customHeight="1">
      <c r="A495" s="13">
        <v>42263</v>
      </c>
      <c r="B495" s="36">
        <v>4</v>
      </c>
      <c r="C495" s="36" t="s">
        <v>223</v>
      </c>
      <c r="D495" s="36" t="s">
        <v>224</v>
      </c>
      <c r="E495" s="36" t="s">
        <v>225</v>
      </c>
      <c r="F495" s="36" t="s">
        <v>226</v>
      </c>
      <c r="G495" s="36" t="s">
        <v>239</v>
      </c>
      <c r="H495" s="36" t="s">
        <v>240</v>
      </c>
      <c r="I495" s="3"/>
      <c r="J495" s="3">
        <v>87</v>
      </c>
      <c r="K495" s="3" t="s">
        <v>229</v>
      </c>
      <c r="L495" s="36" t="s">
        <v>240</v>
      </c>
      <c r="M495" s="3">
        <v>161</v>
      </c>
      <c r="N495" s="3">
        <f t="shared" si="79"/>
        <v>54.037267080745345</v>
      </c>
      <c r="O495" s="65">
        <v>1930.5048335123522</v>
      </c>
      <c r="P495" s="8">
        <f t="shared" si="80"/>
        <v>1043.1920528917681</v>
      </c>
      <c r="Q495" s="36">
        <v>1933.8724143109055</v>
      </c>
      <c r="R495" s="60">
        <f t="shared" si="81"/>
        <v>53.943168389600693</v>
      </c>
      <c r="S495" s="3">
        <v>250</v>
      </c>
      <c r="T495" s="3">
        <v>250</v>
      </c>
      <c r="U495" s="3"/>
      <c r="V495" s="3"/>
      <c r="W495" s="3"/>
      <c r="X495" s="36"/>
      <c r="Y495" s="37">
        <f t="shared" si="83"/>
        <v>0.53943168389600693</v>
      </c>
      <c r="Z495" s="37">
        <f t="shared" si="85"/>
        <v>-0.61723913085437021</v>
      </c>
      <c r="AA495" s="149">
        <f t="shared" si="84"/>
        <v>-0.3329583437232807</v>
      </c>
      <c r="AB495" s="37"/>
      <c r="AC495" s="98"/>
    </row>
    <row r="496" spans="1:31" ht="20.25" customHeight="1">
      <c r="A496" s="13">
        <v>42263</v>
      </c>
      <c r="B496" s="36">
        <v>4</v>
      </c>
      <c r="C496" s="3" t="s">
        <v>223</v>
      </c>
      <c r="D496" s="3" t="s">
        <v>224</v>
      </c>
      <c r="E496" s="3" t="s">
        <v>225</v>
      </c>
      <c r="F496" s="3" t="s">
        <v>248</v>
      </c>
      <c r="G496" s="3" t="s">
        <v>249</v>
      </c>
      <c r="H496" s="3" t="s">
        <v>250</v>
      </c>
      <c r="I496" s="3"/>
      <c r="J496" s="3">
        <v>2</v>
      </c>
      <c r="K496" s="3" t="s">
        <v>229</v>
      </c>
      <c r="L496" s="36" t="s">
        <v>250</v>
      </c>
      <c r="M496" s="3">
        <v>161</v>
      </c>
      <c r="N496" s="3">
        <f t="shared" si="79"/>
        <v>1.2422360248447204</v>
      </c>
      <c r="O496" s="65">
        <v>1930.5048335123522</v>
      </c>
      <c r="P496" s="8">
        <f t="shared" si="80"/>
        <v>23.981426503259033</v>
      </c>
      <c r="Q496" s="36">
        <v>1933.8724143109055</v>
      </c>
      <c r="R496" s="60">
        <f t="shared" si="81"/>
        <v>1.2400728365425444</v>
      </c>
      <c r="S496" s="3">
        <v>250</v>
      </c>
      <c r="T496" s="3">
        <v>250</v>
      </c>
      <c r="U496" s="3"/>
      <c r="V496" s="3"/>
      <c r="W496" s="41"/>
      <c r="X496" s="36"/>
      <c r="Y496" s="37">
        <f t="shared" si="83"/>
        <v>1.2400728365425445E-2</v>
      </c>
      <c r="Z496" s="37">
        <f t="shared" si="85"/>
        <v>-4.3900000689490088</v>
      </c>
      <c r="AA496" s="149">
        <f t="shared" si="84"/>
        <v>-5.443919837923563E-2</v>
      </c>
      <c r="AB496" s="37"/>
      <c r="AC496" s="98"/>
    </row>
    <row r="497" spans="1:31" ht="20.25" customHeight="1">
      <c r="A497" s="13">
        <v>42263</v>
      </c>
      <c r="B497" s="36">
        <v>4</v>
      </c>
      <c r="C497" s="3" t="s">
        <v>216</v>
      </c>
      <c r="D497" s="3" t="s">
        <v>217</v>
      </c>
      <c r="E497" s="3"/>
      <c r="F497" s="3"/>
      <c r="G497" s="3"/>
      <c r="H497" s="3" t="s">
        <v>219</v>
      </c>
      <c r="I497" s="3"/>
      <c r="J497" s="3">
        <v>1</v>
      </c>
      <c r="K497" s="36" t="s">
        <v>229</v>
      </c>
      <c r="L497" s="3" t="s">
        <v>219</v>
      </c>
      <c r="M497" s="3">
        <v>161</v>
      </c>
      <c r="N497" s="3">
        <f t="shared" si="79"/>
        <v>0.6211180124223602</v>
      </c>
      <c r="O497" s="65">
        <v>1930.5048335123522</v>
      </c>
      <c r="P497" s="8">
        <f t="shared" si="80"/>
        <v>11.990713251629517</v>
      </c>
      <c r="Q497" s="36">
        <v>1933.8724143109055</v>
      </c>
      <c r="R497" s="60">
        <f t="shared" si="81"/>
        <v>0.6200364182712722</v>
      </c>
      <c r="S497" s="3">
        <v>250</v>
      </c>
      <c r="T497" s="3">
        <v>250</v>
      </c>
      <c r="U497" s="3"/>
      <c r="V497" s="3"/>
      <c r="W497" s="41"/>
      <c r="X497" s="36"/>
      <c r="Y497" s="37">
        <f t="shared" si="83"/>
        <v>6.2003641827127224E-3</v>
      </c>
      <c r="Z497" s="37">
        <f t="shared" si="85"/>
        <v>-5.0831472495089542</v>
      </c>
      <c r="AA497" s="149">
        <f t="shared" si="84"/>
        <v>-3.1517364141310011E-2</v>
      </c>
      <c r="AB497" s="37"/>
      <c r="AC497" s="98"/>
    </row>
    <row r="498" spans="1:31" ht="20.25" customHeight="1">
      <c r="A498" s="13">
        <v>42263</v>
      </c>
      <c r="B498" s="36">
        <v>4</v>
      </c>
      <c r="C498" s="36" t="s">
        <v>223</v>
      </c>
      <c r="D498" s="36" t="s">
        <v>224</v>
      </c>
      <c r="E498" s="36" t="s">
        <v>225</v>
      </c>
      <c r="F498" s="36" t="s">
        <v>226</v>
      </c>
      <c r="G498" s="36" t="s">
        <v>253</v>
      </c>
      <c r="H498" s="36" t="s">
        <v>256</v>
      </c>
      <c r="I498" s="3"/>
      <c r="J498" s="3">
        <v>14</v>
      </c>
      <c r="K498" s="3" t="s">
        <v>229</v>
      </c>
      <c r="L498" s="36" t="s">
        <v>256</v>
      </c>
      <c r="M498" s="3">
        <v>161</v>
      </c>
      <c r="N498" s="3">
        <f t="shared" si="79"/>
        <v>8.695652173913043</v>
      </c>
      <c r="O498" s="65">
        <v>1930.5048335123522</v>
      </c>
      <c r="P498" s="8">
        <f t="shared" si="80"/>
        <v>167.86998552281324</v>
      </c>
      <c r="Q498" s="36">
        <v>1933.8724143109055</v>
      </c>
      <c r="R498" s="60">
        <f t="shared" si="81"/>
        <v>8.680509855797812</v>
      </c>
      <c r="S498" s="36">
        <v>250</v>
      </c>
      <c r="T498" s="36">
        <v>250</v>
      </c>
      <c r="U498" s="3"/>
      <c r="V498" s="3"/>
      <c r="W498" s="3"/>
      <c r="X498" s="36"/>
      <c r="Y498" s="37">
        <f t="shared" si="83"/>
        <v>8.6805098557978119E-2</v>
      </c>
      <c r="Z498" s="37">
        <f t="shared" si="85"/>
        <v>-2.4440899198936954</v>
      </c>
      <c r="AA498" s="149">
        <f t="shared" si="84"/>
        <v>-0.21215946638093308</v>
      </c>
      <c r="AB498" s="37"/>
      <c r="AC498" s="98"/>
    </row>
    <row r="499" spans="1:31" ht="20.25" customHeight="1">
      <c r="A499" s="13">
        <v>42263</v>
      </c>
      <c r="B499" s="65">
        <v>4</v>
      </c>
      <c r="C499" s="36" t="s">
        <v>223</v>
      </c>
      <c r="D499" s="36" t="s">
        <v>224</v>
      </c>
      <c r="E499" s="36" t="s">
        <v>225</v>
      </c>
      <c r="F499" s="36" t="s">
        <v>226</v>
      </c>
      <c r="G499" s="36" t="s">
        <v>261</v>
      </c>
      <c r="H499" s="36" t="s">
        <v>262</v>
      </c>
      <c r="I499" s="3"/>
      <c r="J499" s="3">
        <v>1</v>
      </c>
      <c r="K499" s="3" t="s">
        <v>229</v>
      </c>
      <c r="L499" s="36" t="s">
        <v>264</v>
      </c>
      <c r="M499" s="3">
        <v>161</v>
      </c>
      <c r="N499" s="3">
        <f t="shared" si="79"/>
        <v>0.6211180124223602</v>
      </c>
      <c r="O499" s="65">
        <v>1930.5048335123522</v>
      </c>
      <c r="P499" s="8">
        <f t="shared" si="80"/>
        <v>11.990713251629517</v>
      </c>
      <c r="Q499" s="36">
        <v>1933.8724143109055</v>
      </c>
      <c r="R499" s="60">
        <f t="shared" si="81"/>
        <v>0.6200364182712722</v>
      </c>
      <c r="S499" s="36">
        <v>250</v>
      </c>
      <c r="T499" s="36">
        <v>250</v>
      </c>
      <c r="U499" s="3"/>
      <c r="V499" s="3"/>
      <c r="W499" s="3"/>
      <c r="X499" s="36"/>
      <c r="Y499" s="37">
        <f t="shared" si="83"/>
        <v>6.2003641827127224E-3</v>
      </c>
      <c r="Z499" s="37">
        <f t="shared" si="85"/>
        <v>-5.0831472495089542</v>
      </c>
      <c r="AA499" s="149">
        <f t="shared" si="84"/>
        <v>-3.1517364141310011E-2</v>
      </c>
      <c r="AB499" s="37"/>
      <c r="AC499" s="98"/>
    </row>
    <row r="500" spans="1:31" ht="20.25" customHeight="1">
      <c r="A500" s="35">
        <v>42263</v>
      </c>
      <c r="B500" s="65">
        <v>2</v>
      </c>
      <c r="C500" s="36" t="s">
        <v>223</v>
      </c>
      <c r="D500" s="36" t="s">
        <v>267</v>
      </c>
      <c r="E500" s="36" t="s">
        <v>278</v>
      </c>
      <c r="F500" s="36" t="s">
        <v>269</v>
      </c>
      <c r="G500" s="36" t="s">
        <v>333</v>
      </c>
      <c r="H500" s="36" t="s">
        <v>334</v>
      </c>
      <c r="I500" s="36"/>
      <c r="J500" s="36">
        <v>2</v>
      </c>
      <c r="K500" s="36" t="s">
        <v>229</v>
      </c>
      <c r="L500" s="36" t="s">
        <v>270</v>
      </c>
      <c r="M500" s="36">
        <v>3</v>
      </c>
      <c r="N500" s="36">
        <f t="shared" si="79"/>
        <v>66.666666666666657</v>
      </c>
      <c r="O500" s="36">
        <v>0.36186723493225043</v>
      </c>
      <c r="P500" s="40">
        <f t="shared" si="80"/>
        <v>0.2412448232881669</v>
      </c>
      <c r="Q500" s="65">
        <v>2599.5654511075049</v>
      </c>
      <c r="R500" s="8">
        <f t="shared" si="81"/>
        <v>9.280198087929974E-3</v>
      </c>
      <c r="S500" s="36">
        <v>1000</v>
      </c>
      <c r="T500" s="36">
        <v>1000</v>
      </c>
      <c r="U500" s="36"/>
      <c r="V500" s="36"/>
      <c r="W500" s="3"/>
      <c r="X500" s="36"/>
      <c r="Y500" s="37">
        <f t="shared" si="83"/>
        <v>9.2801980879299734E-5</v>
      </c>
      <c r="Z500" s="37">
        <f t="shared" si="85"/>
        <v>-9.2850425727178258</v>
      </c>
      <c r="AA500" s="149">
        <f t="shared" si="84"/>
        <v>-8.6167034329684368E-4</v>
      </c>
      <c r="AB500" s="37">
        <f>SUM(AA500:AA504)*-1</f>
        <v>0.71729891214459518</v>
      </c>
      <c r="AC500" s="98">
        <v>5</v>
      </c>
      <c r="AD500" s="98">
        <f t="shared" ref="AD500" si="89">LN(AC500)</f>
        <v>1.6094379124341003</v>
      </c>
      <c r="AE500" s="98">
        <f>(AB500/AD500)</f>
        <v>0.44568287263704282</v>
      </c>
    </row>
    <row r="501" spans="1:31" ht="20.25" customHeight="1">
      <c r="A501" s="35">
        <v>42263</v>
      </c>
      <c r="B501" s="65">
        <v>2</v>
      </c>
      <c r="C501" s="36" t="s">
        <v>223</v>
      </c>
      <c r="D501" s="36" t="s">
        <v>267</v>
      </c>
      <c r="E501" s="36"/>
      <c r="F501" s="36" t="s">
        <v>273</v>
      </c>
      <c r="G501" s="36"/>
      <c r="H501" s="36" t="s">
        <v>558</v>
      </c>
      <c r="I501" s="36" t="s">
        <v>559</v>
      </c>
      <c r="J501" s="36">
        <v>1</v>
      </c>
      <c r="K501" s="36" t="s">
        <v>544</v>
      </c>
      <c r="L501" s="36" t="s">
        <v>494</v>
      </c>
      <c r="M501" s="36">
        <v>3</v>
      </c>
      <c r="N501" s="36">
        <f t="shared" si="79"/>
        <v>33.333333333333329</v>
      </c>
      <c r="O501" s="36">
        <v>0.36186723493225043</v>
      </c>
      <c r="P501" s="40">
        <f t="shared" si="80"/>
        <v>0.12062241164408345</v>
      </c>
      <c r="Q501" s="65">
        <v>2599.5654511075049</v>
      </c>
      <c r="R501" s="8">
        <f t="shared" si="81"/>
        <v>4.640099043964987E-3</v>
      </c>
      <c r="S501" s="36">
        <v>1000</v>
      </c>
      <c r="T501" s="36">
        <v>1000</v>
      </c>
      <c r="U501" s="36"/>
      <c r="V501" s="36"/>
      <c r="W501" s="3"/>
      <c r="X501" s="36"/>
      <c r="Y501" s="37">
        <f t="shared" si="83"/>
        <v>4.6400990439649867E-5</v>
      </c>
      <c r="Z501" s="37">
        <f t="shared" si="85"/>
        <v>-9.9781897532777712</v>
      </c>
      <c r="AA501" s="149">
        <f t="shared" si="84"/>
        <v>-4.6299788734685413E-4</v>
      </c>
      <c r="AB501" s="37"/>
      <c r="AC501" s="98"/>
    </row>
    <row r="502" spans="1:31" ht="20.25" customHeight="1">
      <c r="A502" s="13">
        <v>42263</v>
      </c>
      <c r="B502" s="65">
        <v>2</v>
      </c>
      <c r="C502" s="3" t="s">
        <v>223</v>
      </c>
      <c r="D502" s="3" t="s">
        <v>224</v>
      </c>
      <c r="E502" s="3" t="s">
        <v>225</v>
      </c>
      <c r="F502" s="3" t="s">
        <v>226</v>
      </c>
      <c r="G502" s="3" t="s">
        <v>227</v>
      </c>
      <c r="H502" s="3" t="s">
        <v>228</v>
      </c>
      <c r="I502" s="3"/>
      <c r="J502" s="3">
        <v>111</v>
      </c>
      <c r="K502" s="3" t="s">
        <v>229</v>
      </c>
      <c r="L502" s="36" t="s">
        <v>228</v>
      </c>
      <c r="M502" s="3">
        <v>203</v>
      </c>
      <c r="N502" s="3">
        <f t="shared" si="79"/>
        <v>54.679802955665025</v>
      </c>
      <c r="O502" s="36">
        <v>2599.2035838725728</v>
      </c>
      <c r="P502" s="8">
        <f t="shared" si="80"/>
        <v>1421.2393980781064</v>
      </c>
      <c r="Q502" s="65">
        <v>2599.5654511075049</v>
      </c>
      <c r="R502" s="8">
        <f t="shared" si="81"/>
        <v>54.672191364622471</v>
      </c>
      <c r="S502" s="36">
        <v>250</v>
      </c>
      <c r="T502" s="36">
        <v>250</v>
      </c>
      <c r="U502" s="3" t="s">
        <v>483</v>
      </c>
      <c r="V502" s="3"/>
      <c r="W502" s="3"/>
      <c r="X502" s="36"/>
      <c r="Y502" s="37">
        <f t="shared" si="83"/>
        <v>0.54672191364622469</v>
      </c>
      <c r="Z502" s="37">
        <f t="shared" si="85"/>
        <v>-0.60381499039040487</v>
      </c>
      <c r="AA502" s="149">
        <f t="shared" si="84"/>
        <v>-0.33011888703451892</v>
      </c>
      <c r="AB502" s="37"/>
      <c r="AC502" s="98"/>
    </row>
    <row r="503" spans="1:31" ht="20.25" customHeight="1">
      <c r="A503" s="13">
        <v>42263</v>
      </c>
      <c r="B503" s="65">
        <v>2</v>
      </c>
      <c r="C503" s="3" t="s">
        <v>223</v>
      </c>
      <c r="D503" s="3" t="s">
        <v>317</v>
      </c>
      <c r="E503" s="3" t="s">
        <v>314</v>
      </c>
      <c r="F503" s="3" t="s">
        <v>346</v>
      </c>
      <c r="G503" s="3" t="s">
        <v>315</v>
      </c>
      <c r="H503" s="3" t="s">
        <v>347</v>
      </c>
      <c r="I503" s="3" t="s">
        <v>480</v>
      </c>
      <c r="J503" s="3">
        <v>1</v>
      </c>
      <c r="K503" s="3" t="s">
        <v>247</v>
      </c>
      <c r="L503" s="36" t="s">
        <v>482</v>
      </c>
      <c r="M503" s="3">
        <v>203</v>
      </c>
      <c r="N503" s="3">
        <f t="shared" si="79"/>
        <v>0.49261083743842365</v>
      </c>
      <c r="O503" s="36">
        <v>2599.2035838725728</v>
      </c>
      <c r="P503" s="8">
        <f t="shared" si="80"/>
        <v>12.803958541244201</v>
      </c>
      <c r="Q503" s="65">
        <v>2599.5654511075049</v>
      </c>
      <c r="R503" s="60">
        <f t="shared" si="81"/>
        <v>0.49254226454614836</v>
      </c>
      <c r="S503" s="36">
        <v>250</v>
      </c>
      <c r="T503" s="36">
        <v>250</v>
      </c>
      <c r="U503" s="3"/>
      <c r="V503" s="3"/>
      <c r="W503" s="3"/>
      <c r="X503" s="36"/>
      <c r="Y503" s="37">
        <f t="shared" si="83"/>
        <v>4.9254226454614834E-3</v>
      </c>
      <c r="Z503" s="37">
        <f t="shared" si="85"/>
        <v>-5.313345191702739</v>
      </c>
      <c r="AA503" s="149">
        <f t="shared" si="84"/>
        <v>-2.6170470730366557E-2</v>
      </c>
      <c r="AB503" s="37"/>
      <c r="AC503" s="98"/>
    </row>
    <row r="504" spans="1:31" ht="20.25" customHeight="1">
      <c r="A504" s="13">
        <v>42263</v>
      </c>
      <c r="B504" s="65">
        <v>2</v>
      </c>
      <c r="C504" s="36" t="s">
        <v>223</v>
      </c>
      <c r="D504" s="36" t="s">
        <v>224</v>
      </c>
      <c r="E504" s="36" t="s">
        <v>225</v>
      </c>
      <c r="F504" s="36" t="s">
        <v>226</v>
      </c>
      <c r="G504" s="36" t="s">
        <v>239</v>
      </c>
      <c r="H504" s="36" t="s">
        <v>240</v>
      </c>
      <c r="I504" s="3"/>
      <c r="J504" s="3">
        <v>91</v>
      </c>
      <c r="K504" s="3" t="s">
        <v>229</v>
      </c>
      <c r="L504" s="36" t="s">
        <v>481</v>
      </c>
      <c r="M504" s="3">
        <v>203</v>
      </c>
      <c r="N504" s="3">
        <f t="shared" si="79"/>
        <v>44.827586206896555</v>
      </c>
      <c r="O504" s="36">
        <v>2599.2035838725728</v>
      </c>
      <c r="P504" s="8">
        <f t="shared" si="80"/>
        <v>1165.1602272532223</v>
      </c>
      <c r="Q504" s="65">
        <v>2599.5654511075049</v>
      </c>
      <c r="R504" s="60">
        <f t="shared" si="81"/>
        <v>44.821346073699495</v>
      </c>
      <c r="S504" s="3">
        <v>250</v>
      </c>
      <c r="T504" s="3">
        <v>250</v>
      </c>
      <c r="U504" s="3"/>
      <c r="V504" s="3"/>
      <c r="W504" s="3"/>
      <c r="X504" s="36"/>
      <c r="Y504" s="37">
        <f t="shared" si="83"/>
        <v>0.44821346073699497</v>
      </c>
      <c r="Z504" s="37">
        <f t="shared" si="85"/>
        <v>-0.80248568518588903</v>
      </c>
      <c r="AA504" s="149">
        <f t="shared" si="84"/>
        <v>-0.35968488614906596</v>
      </c>
      <c r="AB504" s="37"/>
      <c r="AC504" s="98"/>
    </row>
    <row r="505" spans="1:31" s="33" customFormat="1" ht="20.25" customHeight="1">
      <c r="A505" s="31">
        <v>42515</v>
      </c>
      <c r="B505" s="115">
        <v>8</v>
      </c>
      <c r="C505" s="32" t="s">
        <v>223</v>
      </c>
      <c r="D505" s="32" t="s">
        <v>267</v>
      </c>
      <c r="E505" s="32"/>
      <c r="F505" s="32" t="s">
        <v>273</v>
      </c>
      <c r="G505" s="32"/>
      <c r="H505" s="32"/>
      <c r="I505" s="32"/>
      <c r="J505" s="32">
        <v>1</v>
      </c>
      <c r="K505" s="32" t="s">
        <v>508</v>
      </c>
      <c r="L505" s="32" t="s">
        <v>494</v>
      </c>
      <c r="M505" s="32">
        <v>6</v>
      </c>
      <c r="N505" s="32">
        <f t="shared" ref="N505:N568" si="90">J505/M505*100</f>
        <v>16.666666666666664</v>
      </c>
      <c r="O505" s="117">
        <v>0.28352484386444365</v>
      </c>
      <c r="P505" s="8">
        <f t="shared" ref="P505:P568" si="91">(N505/100)*O505</f>
        <v>4.7254140644073933E-2</v>
      </c>
      <c r="Q505" s="32">
        <v>2329.5531274217378</v>
      </c>
      <c r="R505" s="60">
        <f t="shared" ref="R505:R568" si="92">P505/Q505*100</f>
        <v>2.0284637464513654E-3</v>
      </c>
      <c r="S505" s="32">
        <v>1000</v>
      </c>
      <c r="T505" s="32">
        <v>1000</v>
      </c>
      <c r="U505" s="32">
        <f>SUM(R505:R519)</f>
        <v>100.05258491687668</v>
      </c>
      <c r="V505" s="32"/>
      <c r="W505" s="32"/>
      <c r="X505" s="32"/>
      <c r="Y505" s="37">
        <f t="shared" si="83"/>
        <v>2.0284637464513654E-5</v>
      </c>
      <c r="Z505" s="37">
        <f t="shared" si="85"/>
        <v>-10.805646733562508</v>
      </c>
      <c r="AA505" s="149">
        <f t="shared" si="84"/>
        <v>-2.1918862655992164E-4</v>
      </c>
      <c r="AB505" s="37">
        <f>SUM(AA505:AA519)*-1</f>
        <v>1.8267362797408349</v>
      </c>
      <c r="AC505" s="98">
        <v>13</v>
      </c>
      <c r="AD505" s="98">
        <f t="shared" ref="AD505" si="93">LN(AC505)</f>
        <v>2.5649493574615367</v>
      </c>
      <c r="AE505" s="98">
        <f>(AB505/AD505)</f>
        <v>0.71219194812824993</v>
      </c>
    </row>
    <row r="506" spans="1:31" s="33" customFormat="1" ht="20.25" customHeight="1">
      <c r="A506" s="31">
        <v>42515</v>
      </c>
      <c r="B506" s="115">
        <v>8</v>
      </c>
      <c r="C506" s="117" t="s">
        <v>288</v>
      </c>
      <c r="D506" s="117" t="s">
        <v>289</v>
      </c>
      <c r="E506" s="117"/>
      <c r="F506" s="117"/>
      <c r="G506" s="117"/>
      <c r="H506" s="32"/>
      <c r="I506" s="32"/>
      <c r="J506" s="32">
        <v>3</v>
      </c>
      <c r="K506" s="32" t="s">
        <v>221</v>
      </c>
      <c r="L506" s="32" t="s">
        <v>294</v>
      </c>
      <c r="M506" s="32">
        <v>6</v>
      </c>
      <c r="N506" s="32">
        <f t="shared" si="90"/>
        <v>50</v>
      </c>
      <c r="O506" s="32">
        <v>0.28352484386444365</v>
      </c>
      <c r="P506" s="8">
        <f t="shared" si="91"/>
        <v>0.14176242193222183</v>
      </c>
      <c r="Q506" s="32">
        <v>2329.5531274217378</v>
      </c>
      <c r="R506" s="60">
        <f t="shared" si="92"/>
        <v>6.0853912393540981E-3</v>
      </c>
      <c r="S506" s="32">
        <v>1000</v>
      </c>
      <c r="T506" s="32">
        <v>1000</v>
      </c>
      <c r="U506" s="32"/>
      <c r="V506" s="32"/>
      <c r="W506" s="32"/>
      <c r="X506" s="32"/>
      <c r="Y506" s="37">
        <f t="shared" si="83"/>
        <v>6.0853912393540984E-5</v>
      </c>
      <c r="Z506" s="37">
        <f t="shared" si="85"/>
        <v>-9.707034444894397</v>
      </c>
      <c r="AA506" s="149">
        <f t="shared" si="84"/>
        <v>-5.9071102371068842E-4</v>
      </c>
      <c r="AB506" s="37"/>
      <c r="AC506" s="98"/>
      <c r="AD506" s="99"/>
      <c r="AE506" s="99"/>
    </row>
    <row r="507" spans="1:31" s="33" customFormat="1" ht="20.25" customHeight="1">
      <c r="A507" s="31">
        <v>42515</v>
      </c>
      <c r="B507" s="115">
        <v>8</v>
      </c>
      <c r="C507" s="32" t="s">
        <v>223</v>
      </c>
      <c r="D507" s="32" t="s">
        <v>267</v>
      </c>
      <c r="E507" s="32" t="s">
        <v>278</v>
      </c>
      <c r="F507" s="32" t="s">
        <v>279</v>
      </c>
      <c r="G507" s="32" t="s">
        <v>280</v>
      </c>
      <c r="H507" s="32" t="s">
        <v>284</v>
      </c>
      <c r="I507" s="32" t="s">
        <v>285</v>
      </c>
      <c r="J507" s="32">
        <v>2</v>
      </c>
      <c r="K507" s="32" t="s">
        <v>247</v>
      </c>
      <c r="L507" s="32" t="s">
        <v>283</v>
      </c>
      <c r="M507" s="32">
        <v>6</v>
      </c>
      <c r="N507" s="32">
        <f t="shared" si="90"/>
        <v>33.333333333333329</v>
      </c>
      <c r="O507" s="32">
        <v>0.28352484386444365</v>
      </c>
      <c r="P507" s="8">
        <f t="shared" si="91"/>
        <v>9.4508281288147866E-2</v>
      </c>
      <c r="Q507" s="117">
        <v>2329.5531274217378</v>
      </c>
      <c r="R507" s="60">
        <f t="shared" si="92"/>
        <v>4.0569274929027309E-3</v>
      </c>
      <c r="S507" s="32">
        <v>1000</v>
      </c>
      <c r="T507" s="32">
        <v>1000</v>
      </c>
      <c r="U507" s="32"/>
      <c r="V507" s="32"/>
      <c r="W507" s="32"/>
      <c r="X507" s="32"/>
      <c r="Y507" s="37">
        <f t="shared" si="83"/>
        <v>4.0569274929027309E-5</v>
      </c>
      <c r="Z507" s="37">
        <f t="shared" si="85"/>
        <v>-10.112499553002563</v>
      </c>
      <c r="AA507" s="149">
        <f t="shared" si="84"/>
        <v>-4.1025677458542673E-4</v>
      </c>
      <c r="AB507" s="37"/>
      <c r="AC507" s="98"/>
      <c r="AD507" s="99"/>
      <c r="AE507" s="99"/>
    </row>
    <row r="508" spans="1:31" s="33" customFormat="1" ht="20.25" customHeight="1">
      <c r="A508" s="31">
        <v>42515</v>
      </c>
      <c r="B508" s="117">
        <v>8</v>
      </c>
      <c r="C508" s="32" t="s">
        <v>223</v>
      </c>
      <c r="D508" s="32" t="s">
        <v>224</v>
      </c>
      <c r="E508" s="32" t="s">
        <v>225</v>
      </c>
      <c r="F508" s="32" t="s">
        <v>226</v>
      </c>
      <c r="G508" s="32" t="s">
        <v>227</v>
      </c>
      <c r="H508" s="32" t="s">
        <v>228</v>
      </c>
      <c r="I508" s="32"/>
      <c r="J508" s="32">
        <v>22</v>
      </c>
      <c r="K508" s="32" t="s">
        <v>229</v>
      </c>
      <c r="L508" s="32" t="s">
        <v>228</v>
      </c>
      <c r="M508" s="32">
        <v>252</v>
      </c>
      <c r="N508" s="32">
        <f t="shared" si="90"/>
        <v>8.7301587301587293</v>
      </c>
      <c r="O508" s="32">
        <v>2329.2696025778732</v>
      </c>
      <c r="P508" s="8">
        <f t="shared" si="91"/>
        <v>203.34893355838574</v>
      </c>
      <c r="Q508" s="32">
        <v>2329.5531274217378</v>
      </c>
      <c r="R508" s="60">
        <f t="shared" si="92"/>
        <v>8.7290962015296341</v>
      </c>
      <c r="S508" s="32">
        <v>250</v>
      </c>
      <c r="T508" s="32">
        <v>250</v>
      </c>
      <c r="U508" s="32"/>
      <c r="V508" s="32"/>
      <c r="W508" s="32"/>
      <c r="X508" s="32"/>
      <c r="Y508" s="37">
        <f t="shared" si="83"/>
        <v>8.7290962015296347E-2</v>
      </c>
      <c r="Z508" s="37">
        <f t="shared" si="85"/>
        <v>-2.4385083493848931</v>
      </c>
      <c r="AA508" s="149">
        <f t="shared" si="84"/>
        <v>-0.21285973970013969</v>
      </c>
      <c r="AB508" s="37"/>
      <c r="AC508" s="98"/>
      <c r="AD508" s="99"/>
      <c r="AE508" s="99"/>
    </row>
    <row r="509" spans="1:31" s="33" customFormat="1" ht="20.25" customHeight="1">
      <c r="A509" s="31">
        <v>42515</v>
      </c>
      <c r="B509" s="117">
        <v>8</v>
      </c>
      <c r="C509" s="32" t="s">
        <v>223</v>
      </c>
      <c r="D509" s="32" t="s">
        <v>303</v>
      </c>
      <c r="E509" s="32" t="s">
        <v>304</v>
      </c>
      <c r="F509" s="32" t="s">
        <v>305</v>
      </c>
      <c r="G509" s="32" t="s">
        <v>306</v>
      </c>
      <c r="H509" s="32" t="s">
        <v>307</v>
      </c>
      <c r="I509" s="32"/>
      <c r="J509" s="32">
        <v>9</v>
      </c>
      <c r="K509" s="32" t="s">
        <v>229</v>
      </c>
      <c r="L509" s="32" t="s">
        <v>307</v>
      </c>
      <c r="M509" s="32">
        <v>252</v>
      </c>
      <c r="N509" s="32">
        <f t="shared" si="90"/>
        <v>3.5714285714285712</v>
      </c>
      <c r="O509" s="32">
        <v>2329.2696025778732</v>
      </c>
      <c r="P509" s="8">
        <f t="shared" si="91"/>
        <v>83.188200092066893</v>
      </c>
      <c r="Q509" s="32">
        <v>2329.5531274217378</v>
      </c>
      <c r="R509" s="60">
        <f t="shared" si="92"/>
        <v>3.5709939006257603</v>
      </c>
      <c r="S509" s="32">
        <v>250</v>
      </c>
      <c r="T509" s="32">
        <v>250</v>
      </c>
      <c r="U509" s="32" t="s">
        <v>620</v>
      </c>
      <c r="V509" s="32"/>
      <c r="W509" s="32"/>
      <c r="X509" s="32"/>
      <c r="Y509" s="37">
        <f t="shared" si="83"/>
        <v>3.5709939006257602E-2</v>
      </c>
      <c r="Z509" s="37">
        <f t="shared" si="85"/>
        <v>-3.3323262254069892</v>
      </c>
      <c r="AA509" s="149">
        <f t="shared" si="84"/>
        <v>-0.1189971662582362</v>
      </c>
      <c r="AB509" s="37"/>
      <c r="AC509" s="98"/>
      <c r="AD509" s="99"/>
      <c r="AE509" s="99"/>
    </row>
    <row r="510" spans="1:31" s="33" customFormat="1" ht="20.25" customHeight="1">
      <c r="A510" s="118">
        <v>42515</v>
      </c>
      <c r="B510" s="117">
        <v>8</v>
      </c>
      <c r="C510" s="32" t="s">
        <v>223</v>
      </c>
      <c r="D510" s="32" t="s">
        <v>224</v>
      </c>
      <c r="E510" s="32" t="s">
        <v>225</v>
      </c>
      <c r="F510" s="32" t="s">
        <v>226</v>
      </c>
      <c r="G510" s="32" t="s">
        <v>235</v>
      </c>
      <c r="H510" s="32" t="s">
        <v>236</v>
      </c>
      <c r="I510" s="32"/>
      <c r="J510" s="32">
        <v>2</v>
      </c>
      <c r="K510" s="32" t="s">
        <v>229</v>
      </c>
      <c r="L510" s="32" t="s">
        <v>236</v>
      </c>
      <c r="M510" s="32">
        <v>252</v>
      </c>
      <c r="N510" s="32">
        <f t="shared" si="90"/>
        <v>0.79365079365079361</v>
      </c>
      <c r="O510" s="32">
        <v>2329.2696025778732</v>
      </c>
      <c r="P510" s="8">
        <f t="shared" si="91"/>
        <v>18.486266687125976</v>
      </c>
      <c r="Q510" s="32">
        <v>2329.5531274217378</v>
      </c>
      <c r="R510" s="60">
        <f t="shared" si="92"/>
        <v>0.79355420013905775</v>
      </c>
      <c r="S510" s="32">
        <v>250</v>
      </c>
      <c r="T510" s="32">
        <v>250</v>
      </c>
      <c r="U510" s="32"/>
      <c r="V510" s="32"/>
      <c r="W510" s="32"/>
      <c r="X510" s="32"/>
      <c r="Y510" s="37">
        <f t="shared" si="83"/>
        <v>7.9355420013905772E-3</v>
      </c>
      <c r="Z510" s="37">
        <f t="shared" si="85"/>
        <v>-4.8364036221832638</v>
      </c>
      <c r="AA510" s="149">
        <f t="shared" si="84"/>
        <v>-3.8379484079512811E-2</v>
      </c>
      <c r="AB510" s="37"/>
      <c r="AC510" s="98"/>
      <c r="AD510" s="99"/>
      <c r="AE510" s="99"/>
    </row>
    <row r="511" spans="1:31" s="33" customFormat="1" ht="20.25" customHeight="1">
      <c r="A511" s="31">
        <v>42515</v>
      </c>
      <c r="B511" s="117">
        <v>8</v>
      </c>
      <c r="C511" s="115" t="s">
        <v>223</v>
      </c>
      <c r="D511" s="115" t="s">
        <v>317</v>
      </c>
      <c r="E511" s="115" t="s">
        <v>314</v>
      </c>
      <c r="F511" s="115" t="s">
        <v>346</v>
      </c>
      <c r="G511" s="115" t="s">
        <v>315</v>
      </c>
      <c r="H511" s="32" t="s">
        <v>365</v>
      </c>
      <c r="I511" s="32" t="s">
        <v>366</v>
      </c>
      <c r="J511" s="32">
        <v>23</v>
      </c>
      <c r="K511" s="32" t="s">
        <v>247</v>
      </c>
      <c r="L511" s="32" t="s">
        <v>345</v>
      </c>
      <c r="M511" s="32">
        <v>252</v>
      </c>
      <c r="N511" s="32">
        <f t="shared" si="90"/>
        <v>9.1269841269841265</v>
      </c>
      <c r="O511" s="32">
        <v>2329.2696025778732</v>
      </c>
      <c r="P511" s="8">
        <f t="shared" si="91"/>
        <v>212.59206690194873</v>
      </c>
      <c r="Q511" s="32">
        <v>2329.5531274217378</v>
      </c>
      <c r="R511" s="60">
        <f t="shared" si="92"/>
        <v>9.1258733015991655</v>
      </c>
      <c r="S511" s="32">
        <v>250</v>
      </c>
      <c r="T511" s="32">
        <v>250</v>
      </c>
      <c r="U511" s="32"/>
      <c r="V511" s="32"/>
      <c r="W511" s="32"/>
      <c r="X511" s="32"/>
      <c r="Y511" s="37">
        <f t="shared" si="83"/>
        <v>9.1258733015991661E-2</v>
      </c>
      <c r="Z511" s="37">
        <f t="shared" si="85"/>
        <v>-2.3940565868140591</v>
      </c>
      <c r="AA511" s="149">
        <f t="shared" si="84"/>
        <v>-0.21847857088124048</v>
      </c>
      <c r="AB511" s="37"/>
      <c r="AC511" s="98"/>
      <c r="AD511" s="99"/>
      <c r="AE511" s="99"/>
    </row>
    <row r="512" spans="1:31" s="33" customFormat="1" ht="20.25" customHeight="1">
      <c r="A512" s="31">
        <v>42515</v>
      </c>
      <c r="B512" s="117">
        <v>8</v>
      </c>
      <c r="C512" s="117" t="s">
        <v>223</v>
      </c>
      <c r="D512" s="117" t="s">
        <v>317</v>
      </c>
      <c r="E512" s="117" t="s">
        <v>314</v>
      </c>
      <c r="F512" s="117" t="s">
        <v>346</v>
      </c>
      <c r="G512" s="117" t="s">
        <v>315</v>
      </c>
      <c r="H512" s="32" t="s">
        <v>347</v>
      </c>
      <c r="I512" s="32" t="s">
        <v>348</v>
      </c>
      <c r="J512" s="32">
        <v>2</v>
      </c>
      <c r="K512" s="32" t="s">
        <v>247</v>
      </c>
      <c r="L512" s="32" t="s">
        <v>345</v>
      </c>
      <c r="M512" s="32">
        <v>252</v>
      </c>
      <c r="N512" s="32">
        <f t="shared" si="90"/>
        <v>0.79365079365079361</v>
      </c>
      <c r="O512" s="32">
        <v>2329.2696025778732</v>
      </c>
      <c r="P512" s="8">
        <f t="shared" si="91"/>
        <v>18.486266687125976</v>
      </c>
      <c r="Q512" s="32">
        <v>2329.5531274217378</v>
      </c>
      <c r="R512" s="60">
        <f t="shared" si="92"/>
        <v>0.79355420013905775</v>
      </c>
      <c r="S512" s="32">
        <v>250</v>
      </c>
      <c r="T512" s="32">
        <v>250</v>
      </c>
      <c r="U512" s="32"/>
      <c r="V512" s="32"/>
      <c r="W512" s="32"/>
      <c r="X512" s="32"/>
      <c r="Y512" s="37">
        <f t="shared" si="83"/>
        <v>7.9355420013905772E-3</v>
      </c>
      <c r="Z512" s="37">
        <f t="shared" si="85"/>
        <v>-4.8364036221832638</v>
      </c>
      <c r="AA512" s="149">
        <f t="shared" si="84"/>
        <v>-3.8379484079512811E-2</v>
      </c>
      <c r="AB512" s="37"/>
      <c r="AC512" s="98"/>
      <c r="AD512" s="99"/>
      <c r="AE512" s="99"/>
    </row>
    <row r="513" spans="1:31" s="33" customFormat="1" ht="20.25" customHeight="1">
      <c r="A513" s="31">
        <v>42515</v>
      </c>
      <c r="B513" s="117">
        <v>8</v>
      </c>
      <c r="C513" s="117" t="s">
        <v>223</v>
      </c>
      <c r="D513" s="117" t="s">
        <v>317</v>
      </c>
      <c r="E513" s="117" t="s">
        <v>314</v>
      </c>
      <c r="F513" s="117" t="s">
        <v>346</v>
      </c>
      <c r="G513" s="117" t="s">
        <v>315</v>
      </c>
      <c r="H513" s="32" t="s">
        <v>347</v>
      </c>
      <c r="I513" s="32" t="s">
        <v>368</v>
      </c>
      <c r="J513" s="32">
        <v>11</v>
      </c>
      <c r="K513" s="32" t="s">
        <v>247</v>
      </c>
      <c r="L513" s="32" t="s">
        <v>345</v>
      </c>
      <c r="M513" s="32">
        <v>249</v>
      </c>
      <c r="N513" s="32">
        <f t="shared" si="90"/>
        <v>4.4176706827309236</v>
      </c>
      <c r="O513" s="32">
        <v>2329.2696025778732</v>
      </c>
      <c r="P513" s="8">
        <f t="shared" si="91"/>
        <v>102.89946035484581</v>
      </c>
      <c r="Q513" s="32">
        <v>2329.5531274217378</v>
      </c>
      <c r="R513" s="60">
        <f t="shared" si="92"/>
        <v>4.4171330176415031</v>
      </c>
      <c r="S513" s="32">
        <v>250</v>
      </c>
      <c r="T513" s="32">
        <v>250</v>
      </c>
      <c r="U513" s="32"/>
      <c r="V513" s="32"/>
      <c r="W513" s="32"/>
      <c r="X513" s="32"/>
      <c r="Y513" s="37">
        <f t="shared" ref="Y513:Y576" si="94">(R513/100)</f>
        <v>4.417133017641503E-2</v>
      </c>
      <c r="Z513" s="37">
        <f t="shared" si="85"/>
        <v>-3.1196793388981225</v>
      </c>
      <c r="AA513" s="149">
        <f t="shared" ref="AA513:AA576" si="95">(Y513*Z513)</f>
        <v>-0.13780038612300913</v>
      </c>
      <c r="AB513" s="37"/>
      <c r="AC513" s="98"/>
      <c r="AD513" s="99"/>
      <c r="AE513" s="99"/>
    </row>
    <row r="514" spans="1:31" s="33" customFormat="1" ht="20.25" customHeight="1">
      <c r="A514" s="31">
        <v>42515</v>
      </c>
      <c r="B514" s="117">
        <v>8</v>
      </c>
      <c r="C514" s="117" t="s">
        <v>223</v>
      </c>
      <c r="D514" s="117" t="s">
        <v>224</v>
      </c>
      <c r="E514" s="117" t="s">
        <v>225</v>
      </c>
      <c r="F514" s="117" t="s">
        <v>226</v>
      </c>
      <c r="G514" s="117" t="s">
        <v>239</v>
      </c>
      <c r="H514" s="32" t="s">
        <v>240</v>
      </c>
      <c r="I514" s="32"/>
      <c r="J514" s="32">
        <v>61</v>
      </c>
      <c r="K514" s="32" t="s">
        <v>229</v>
      </c>
      <c r="L514" s="32" t="s">
        <v>240</v>
      </c>
      <c r="M514" s="32">
        <v>252</v>
      </c>
      <c r="N514" s="32">
        <f t="shared" si="90"/>
        <v>24.206349206349206</v>
      </c>
      <c r="O514" s="32">
        <v>2329.2696025778732</v>
      </c>
      <c r="P514" s="8">
        <f t="shared" si="91"/>
        <v>563.83113395734233</v>
      </c>
      <c r="Q514" s="32">
        <v>2329.5531274217378</v>
      </c>
      <c r="R514" s="60">
        <f t="shared" si="92"/>
        <v>24.203403104241264</v>
      </c>
      <c r="S514" s="32">
        <v>250</v>
      </c>
      <c r="T514" s="32">
        <v>250</v>
      </c>
      <c r="U514" s="32"/>
      <c r="V514" s="32"/>
      <c r="W514" s="32"/>
      <c r="X514" s="32"/>
      <c r="Y514" s="37">
        <f t="shared" si="94"/>
        <v>0.24203403104241264</v>
      </c>
      <c r="Z514" s="37">
        <f t="shared" si="85"/>
        <v>-1.4186769385698974</v>
      </c>
      <c r="AA514" s="149">
        <f t="shared" si="95"/>
        <v>-0.34336809818898145</v>
      </c>
      <c r="AB514" s="37"/>
      <c r="AC514" s="98"/>
      <c r="AD514" s="99"/>
      <c r="AE514" s="99"/>
    </row>
    <row r="515" spans="1:31" s="33" customFormat="1" ht="20.25" customHeight="1">
      <c r="A515" s="31">
        <v>42515</v>
      </c>
      <c r="B515" s="117">
        <v>8</v>
      </c>
      <c r="C515" s="32" t="s">
        <v>323</v>
      </c>
      <c r="D515" s="32" t="s">
        <v>489</v>
      </c>
      <c r="E515" s="32"/>
      <c r="F515" s="32" t="s">
        <v>490</v>
      </c>
      <c r="G515" s="32" t="s">
        <v>491</v>
      </c>
      <c r="H515" s="32" t="s">
        <v>371</v>
      </c>
      <c r="I515" s="32" t="s">
        <v>372</v>
      </c>
      <c r="J515" s="32">
        <v>1</v>
      </c>
      <c r="K515" s="32" t="s">
        <v>247</v>
      </c>
      <c r="L515" s="32" t="s">
        <v>371</v>
      </c>
      <c r="M515" s="32">
        <v>252</v>
      </c>
      <c r="N515" s="32">
        <f t="shared" si="90"/>
        <v>0.3968253968253968</v>
      </c>
      <c r="O515" s="32">
        <v>2329.2696025778732</v>
      </c>
      <c r="P515" s="8">
        <f t="shared" si="91"/>
        <v>9.2431333435629881</v>
      </c>
      <c r="Q515" s="32">
        <v>2329.5531274217378</v>
      </c>
      <c r="R515" s="60">
        <f t="shared" si="92"/>
        <v>0.39677710006952888</v>
      </c>
      <c r="S515" s="32">
        <v>250</v>
      </c>
      <c r="T515" s="32">
        <v>250</v>
      </c>
      <c r="U515" s="32"/>
      <c r="V515" s="32"/>
      <c r="W515" s="32"/>
      <c r="X515" s="32"/>
      <c r="Y515" s="37">
        <f t="shared" si="94"/>
        <v>3.9677710006952886E-3</v>
      </c>
      <c r="Z515" s="37">
        <f t="shared" ref="Z515:Z578" si="96">LN(Y515)</f>
        <v>-5.5295508027432092</v>
      </c>
      <c r="AA515" s="149">
        <f t="shared" si="95"/>
        <v>-2.1939991321995859E-2</v>
      </c>
      <c r="AB515" s="37"/>
      <c r="AC515" s="98"/>
      <c r="AD515" s="99"/>
      <c r="AE515" s="99"/>
    </row>
    <row r="516" spans="1:31" s="33" customFormat="1" ht="20.25" customHeight="1">
      <c r="A516" s="31">
        <v>42515</v>
      </c>
      <c r="B516" s="117">
        <v>8</v>
      </c>
      <c r="C516" s="32" t="s">
        <v>223</v>
      </c>
      <c r="D516" s="32" t="s">
        <v>224</v>
      </c>
      <c r="E516" s="32" t="s">
        <v>225</v>
      </c>
      <c r="F516" s="32" t="s">
        <v>248</v>
      </c>
      <c r="G516" s="32" t="s">
        <v>249</v>
      </c>
      <c r="H516" s="32" t="s">
        <v>250</v>
      </c>
      <c r="I516" s="32"/>
      <c r="J516" s="32">
        <v>12</v>
      </c>
      <c r="K516" s="32" t="s">
        <v>229</v>
      </c>
      <c r="L516" s="32" t="s">
        <v>250</v>
      </c>
      <c r="M516" s="32">
        <v>252</v>
      </c>
      <c r="N516" s="32">
        <f t="shared" si="90"/>
        <v>4.7619047619047619</v>
      </c>
      <c r="O516" s="32">
        <v>2329.2696025778732</v>
      </c>
      <c r="P516" s="8">
        <f t="shared" si="91"/>
        <v>110.91760012275586</v>
      </c>
      <c r="Q516" s="32">
        <v>2329.5531274217378</v>
      </c>
      <c r="R516" s="60">
        <f t="shared" si="92"/>
        <v>4.7613252008343467</v>
      </c>
      <c r="S516" s="32">
        <v>250</v>
      </c>
      <c r="T516" s="32">
        <v>250</v>
      </c>
      <c r="U516" s="32"/>
      <c r="V516" s="32"/>
      <c r="W516" s="32"/>
      <c r="X516" s="32"/>
      <c r="Y516" s="37">
        <f t="shared" si="94"/>
        <v>4.7613252008343467E-2</v>
      </c>
      <c r="Z516" s="37">
        <f t="shared" si="96"/>
        <v>-3.0446441529552084</v>
      </c>
      <c r="AA516" s="149">
        <f t="shared" si="95"/>
        <v>-0.14496540933038576</v>
      </c>
      <c r="AB516" s="37"/>
      <c r="AC516" s="98"/>
      <c r="AD516" s="99"/>
      <c r="AE516" s="99"/>
    </row>
    <row r="517" spans="1:31" s="33" customFormat="1" ht="20.25" customHeight="1">
      <c r="A517" s="118">
        <v>42515</v>
      </c>
      <c r="B517" s="117">
        <v>8</v>
      </c>
      <c r="C517" s="117" t="s">
        <v>223</v>
      </c>
      <c r="D517" s="117" t="s">
        <v>224</v>
      </c>
      <c r="E517" s="117" t="s">
        <v>225</v>
      </c>
      <c r="F517" s="117" t="s">
        <v>226</v>
      </c>
      <c r="G517" s="117" t="s">
        <v>253</v>
      </c>
      <c r="H517" s="32" t="s">
        <v>256</v>
      </c>
      <c r="I517" s="32"/>
      <c r="J517" s="32">
        <v>94</v>
      </c>
      <c r="K517" s="32" t="s">
        <v>229</v>
      </c>
      <c r="L517" s="32" t="s">
        <v>256</v>
      </c>
      <c r="M517" s="32">
        <v>252</v>
      </c>
      <c r="N517" s="32">
        <f t="shared" si="90"/>
        <v>37.301587301587304</v>
      </c>
      <c r="O517" s="32">
        <v>2329.2696025778732</v>
      </c>
      <c r="P517" s="8">
        <f t="shared" si="91"/>
        <v>868.854534294921</v>
      </c>
      <c r="Q517" s="32">
        <v>2329.5531274217378</v>
      </c>
      <c r="R517" s="60">
        <f t="shared" si="92"/>
        <v>37.297047406535718</v>
      </c>
      <c r="S517" s="32">
        <v>250</v>
      </c>
      <c r="T517" s="32">
        <v>250</v>
      </c>
      <c r="U517" s="32" t="s">
        <v>364</v>
      </c>
      <c r="V517" s="32"/>
      <c r="W517" s="32"/>
      <c r="X517" s="32"/>
      <c r="Y517" s="37">
        <f t="shared" si="94"/>
        <v>0.37297047406535716</v>
      </c>
      <c r="Z517" s="37">
        <f t="shared" si="96"/>
        <v>-0.98625602047320493</v>
      </c>
      <c r="AA517" s="149">
        <f t="shared" si="95"/>
        <v>-0.36784437550570381</v>
      </c>
      <c r="AB517" s="37"/>
      <c r="AC517" s="98"/>
      <c r="AD517" s="99"/>
      <c r="AE517" s="99"/>
    </row>
    <row r="518" spans="1:31" s="33" customFormat="1" ht="20.25" customHeight="1">
      <c r="A518" s="118">
        <v>42515</v>
      </c>
      <c r="B518" s="117">
        <v>8</v>
      </c>
      <c r="C518" s="32" t="s">
        <v>223</v>
      </c>
      <c r="D518" s="32" t="s">
        <v>224</v>
      </c>
      <c r="E518" s="32" t="s">
        <v>225</v>
      </c>
      <c r="F518" s="32" t="s">
        <v>226</v>
      </c>
      <c r="G518" s="32" t="s">
        <v>239</v>
      </c>
      <c r="H518" s="32" t="s">
        <v>258</v>
      </c>
      <c r="I518" s="32" t="s">
        <v>259</v>
      </c>
      <c r="J518" s="32">
        <v>1</v>
      </c>
      <c r="K518" s="32" t="s">
        <v>247</v>
      </c>
      <c r="L518" s="32" t="s">
        <v>258</v>
      </c>
      <c r="M518" s="32">
        <v>252</v>
      </c>
      <c r="N518" s="32">
        <f t="shared" si="90"/>
        <v>0.3968253968253968</v>
      </c>
      <c r="O518" s="32">
        <v>2329.2696025778732</v>
      </c>
      <c r="P518" s="8">
        <f t="shared" si="91"/>
        <v>9.2431333435629881</v>
      </c>
      <c r="Q518" s="32">
        <v>2329.5531274217378</v>
      </c>
      <c r="R518" s="60">
        <f t="shared" si="92"/>
        <v>0.39677710006952888</v>
      </c>
      <c r="S518" s="32">
        <v>250</v>
      </c>
      <c r="T518" s="32">
        <v>250</v>
      </c>
      <c r="U518" s="32"/>
      <c r="V518" s="32"/>
      <c r="W518" s="32"/>
      <c r="X518" s="32"/>
      <c r="Y518" s="37">
        <f t="shared" si="94"/>
        <v>3.9677710006952886E-3</v>
      </c>
      <c r="Z518" s="37">
        <f t="shared" si="96"/>
        <v>-5.5295508027432092</v>
      </c>
      <c r="AA518" s="149">
        <f t="shared" si="95"/>
        <v>-2.1939991321995859E-2</v>
      </c>
      <c r="AB518" s="37"/>
      <c r="AC518" s="98"/>
      <c r="AD518" s="99"/>
      <c r="AE518" s="99"/>
    </row>
    <row r="519" spans="1:31" s="33" customFormat="1" ht="20.25" customHeight="1">
      <c r="A519" s="31">
        <v>42515</v>
      </c>
      <c r="B519" s="117">
        <v>8</v>
      </c>
      <c r="C519" s="117" t="s">
        <v>223</v>
      </c>
      <c r="D519" s="117" t="s">
        <v>224</v>
      </c>
      <c r="E519" s="117" t="s">
        <v>225</v>
      </c>
      <c r="F519" s="117" t="s">
        <v>226</v>
      </c>
      <c r="G519" s="117" t="s">
        <v>261</v>
      </c>
      <c r="H519" s="32" t="s">
        <v>262</v>
      </c>
      <c r="I519" s="32"/>
      <c r="J519" s="32">
        <v>14</v>
      </c>
      <c r="K519" s="32" t="s">
        <v>229</v>
      </c>
      <c r="L519" s="32" t="s">
        <v>264</v>
      </c>
      <c r="M519" s="32">
        <v>252</v>
      </c>
      <c r="N519" s="32">
        <f t="shared" si="90"/>
        <v>5.5555555555555554</v>
      </c>
      <c r="O519" s="32">
        <v>2329.2696025778732</v>
      </c>
      <c r="P519" s="8">
        <f t="shared" si="91"/>
        <v>129.40386680988183</v>
      </c>
      <c r="Q519" s="32">
        <v>2329.5531274217378</v>
      </c>
      <c r="R519" s="60">
        <f t="shared" si="92"/>
        <v>5.5548794009734035</v>
      </c>
      <c r="S519" s="32">
        <v>250</v>
      </c>
      <c r="T519" s="32">
        <v>250</v>
      </c>
      <c r="U519" s="32"/>
      <c r="V519" s="32"/>
      <c r="W519" s="32"/>
      <c r="X519" s="32"/>
      <c r="Y519" s="37">
        <f t="shared" si="94"/>
        <v>5.5548794009734032E-2</v>
      </c>
      <c r="Z519" s="37">
        <f t="shared" si="96"/>
        <v>-2.8904934731279504</v>
      </c>
      <c r="AA519" s="149">
        <f t="shared" si="95"/>
        <v>-0.1605634265252652</v>
      </c>
      <c r="AB519" s="37"/>
      <c r="AC519" s="98"/>
      <c r="AD519" s="99"/>
      <c r="AE519" s="99"/>
    </row>
    <row r="520" spans="1:31" ht="20.25" customHeight="1">
      <c r="A520" s="35">
        <v>42515</v>
      </c>
      <c r="B520" s="76">
        <v>5</v>
      </c>
      <c r="C520" s="36" t="s">
        <v>223</v>
      </c>
      <c r="D520" s="36" t="s">
        <v>267</v>
      </c>
      <c r="E520" s="36"/>
      <c r="F520" s="36" t="s">
        <v>273</v>
      </c>
      <c r="G520" s="36"/>
      <c r="H520" s="36" t="s">
        <v>558</v>
      </c>
      <c r="I520" s="36" t="s">
        <v>559</v>
      </c>
      <c r="J520" s="36">
        <v>1</v>
      </c>
      <c r="K520" s="36" t="s">
        <v>544</v>
      </c>
      <c r="L520" s="36" t="s">
        <v>494</v>
      </c>
      <c r="M520" s="36">
        <v>17</v>
      </c>
      <c r="N520" s="36">
        <f t="shared" si="90"/>
        <v>5.8823529411764701</v>
      </c>
      <c r="O520" s="36">
        <v>1.9005384859043395</v>
      </c>
      <c r="P520" s="40">
        <f t="shared" si="91"/>
        <v>0.11179638152378465</v>
      </c>
      <c r="Q520" s="36">
        <v>3941.3797784577546</v>
      </c>
      <c r="R520" s="8">
        <f t="shared" si="92"/>
        <v>2.8364782844532204E-3</v>
      </c>
      <c r="S520" s="36">
        <v>1000</v>
      </c>
      <c r="T520" s="36">
        <v>1000</v>
      </c>
      <c r="U520" s="36"/>
      <c r="V520" s="36"/>
      <c r="W520" s="3"/>
      <c r="X520" s="36"/>
      <c r="Y520" s="37">
        <f t="shared" si="94"/>
        <v>2.8364782844532205E-5</v>
      </c>
      <c r="Z520" s="37">
        <f t="shared" si="96"/>
        <v>-10.470362222969246</v>
      </c>
      <c r="AA520" s="149">
        <f t="shared" si="95"/>
        <v>-2.9698955075811614E-4</v>
      </c>
      <c r="AB520" s="37">
        <f>SUM(AA520:AA531)*-1</f>
        <v>1.0288635653648794</v>
      </c>
      <c r="AC520" s="98">
        <v>12</v>
      </c>
      <c r="AD520" s="98">
        <f t="shared" ref="AD520" si="97">LN(AC520)</f>
        <v>2.4849066497880004</v>
      </c>
      <c r="AE520" s="98">
        <f>(AB520/AD520)</f>
        <v>0.41404515757268262</v>
      </c>
    </row>
    <row r="521" spans="1:31" ht="20.25" customHeight="1">
      <c r="A521" s="35">
        <v>42515</v>
      </c>
      <c r="B521" s="76">
        <v>5</v>
      </c>
      <c r="C521" s="36" t="s">
        <v>323</v>
      </c>
      <c r="D521" s="36" t="s">
        <v>324</v>
      </c>
      <c r="E521" s="36"/>
      <c r="F521" s="36" t="s">
        <v>325</v>
      </c>
      <c r="G521" s="36" t="s">
        <v>326</v>
      </c>
      <c r="H521" s="36" t="s">
        <v>327</v>
      </c>
      <c r="I521" s="36"/>
      <c r="J521" s="36">
        <v>2</v>
      </c>
      <c r="K521" s="36" t="s">
        <v>229</v>
      </c>
      <c r="L521" s="36" t="s">
        <v>327</v>
      </c>
      <c r="M521" s="36">
        <v>17</v>
      </c>
      <c r="N521" s="36">
        <f t="shared" si="90"/>
        <v>11.76470588235294</v>
      </c>
      <c r="O521" s="36">
        <v>1.9005384859043395</v>
      </c>
      <c r="P521" s="40">
        <f t="shared" si="91"/>
        <v>0.22359276304756931</v>
      </c>
      <c r="Q521" s="36">
        <v>3941.3797784577546</v>
      </c>
      <c r="R521" s="8">
        <f t="shared" si="92"/>
        <v>5.6729565689064409E-3</v>
      </c>
      <c r="S521" s="36">
        <v>1000</v>
      </c>
      <c r="T521" s="36">
        <v>1000</v>
      </c>
      <c r="U521" s="36"/>
      <c r="V521" s="36"/>
      <c r="W521" s="3"/>
      <c r="X521" s="36"/>
      <c r="Y521" s="37">
        <f t="shared" si="94"/>
        <v>5.672956568906441E-5</v>
      </c>
      <c r="Z521" s="37">
        <f t="shared" si="96"/>
        <v>-9.7772150424093009</v>
      </c>
      <c r="AA521" s="149">
        <f t="shared" si="95"/>
        <v>-5.5465716300446709E-4</v>
      </c>
      <c r="AB521" s="37"/>
      <c r="AC521" s="98"/>
    </row>
    <row r="522" spans="1:31" ht="20.25" customHeight="1">
      <c r="A522" s="35">
        <v>42515</v>
      </c>
      <c r="B522" s="76">
        <v>5</v>
      </c>
      <c r="C522" s="36" t="s">
        <v>288</v>
      </c>
      <c r="D522" s="36" t="s">
        <v>289</v>
      </c>
      <c r="E522" s="36"/>
      <c r="F522" s="36"/>
      <c r="G522" s="36"/>
      <c r="H522" s="36"/>
      <c r="I522" s="36"/>
      <c r="J522" s="36">
        <v>14</v>
      </c>
      <c r="K522" s="36" t="s">
        <v>221</v>
      </c>
      <c r="L522" s="36" t="s">
        <v>294</v>
      </c>
      <c r="M522" s="36">
        <v>17</v>
      </c>
      <c r="N522" s="36">
        <f t="shared" si="90"/>
        <v>82.35294117647058</v>
      </c>
      <c r="O522" s="65">
        <v>1.9005384859043395</v>
      </c>
      <c r="P522" s="40">
        <f t="shared" si="91"/>
        <v>1.5651493413329853</v>
      </c>
      <c r="Q522" s="36">
        <v>3941.3797784577546</v>
      </c>
      <c r="R522" s="8">
        <f t="shared" si="92"/>
        <v>3.9710695982345091E-2</v>
      </c>
      <c r="S522" s="36">
        <v>1000</v>
      </c>
      <c r="T522" s="36">
        <v>1000</v>
      </c>
      <c r="U522" s="36" t="s">
        <v>568</v>
      </c>
      <c r="V522" s="36"/>
      <c r="W522" s="3"/>
      <c r="X522" s="36"/>
      <c r="Y522" s="37">
        <f t="shared" si="94"/>
        <v>3.9710695982345091E-4</v>
      </c>
      <c r="Z522" s="37">
        <f t="shared" si="96"/>
        <v>-7.8313048933539875</v>
      </c>
      <c r="AA522" s="149">
        <f t="shared" si="95"/>
        <v>-3.1098656776503164E-3</v>
      </c>
      <c r="AB522" s="37"/>
      <c r="AC522" s="98"/>
    </row>
    <row r="523" spans="1:31" ht="20.25" customHeight="1">
      <c r="A523" s="13">
        <v>42515</v>
      </c>
      <c r="B523" s="3">
        <v>5</v>
      </c>
      <c r="C523" s="3" t="s">
        <v>223</v>
      </c>
      <c r="D523" s="3" t="s">
        <v>224</v>
      </c>
      <c r="E523" s="3" t="s">
        <v>225</v>
      </c>
      <c r="F523" s="3" t="s">
        <v>226</v>
      </c>
      <c r="G523" s="3" t="s">
        <v>227</v>
      </c>
      <c r="H523" s="3" t="s">
        <v>228</v>
      </c>
      <c r="I523" s="3"/>
      <c r="J523" s="3">
        <v>2</v>
      </c>
      <c r="K523" s="3" t="s">
        <v>229</v>
      </c>
      <c r="L523" s="3" t="s">
        <v>228</v>
      </c>
      <c r="M523" s="3">
        <v>214</v>
      </c>
      <c r="N523" s="3">
        <f t="shared" si="90"/>
        <v>0.93457943925233633</v>
      </c>
      <c r="O523" s="65">
        <v>3939.4792399718503</v>
      </c>
      <c r="P523" s="8">
        <f t="shared" si="91"/>
        <v>36.817562990391124</v>
      </c>
      <c r="Q523" s="36">
        <v>3941.3797784577546</v>
      </c>
      <c r="R523" s="8">
        <f t="shared" si="92"/>
        <v>0.93412878382396536</v>
      </c>
      <c r="S523" s="3">
        <v>250</v>
      </c>
      <c r="T523" s="3">
        <v>250</v>
      </c>
      <c r="U523" s="3"/>
      <c r="V523" s="3"/>
      <c r="W523" s="3"/>
      <c r="X523" s="36"/>
      <c r="Y523" s="37">
        <f t="shared" si="94"/>
        <v>9.3412878382396532E-3</v>
      </c>
      <c r="Z523" s="37">
        <f t="shared" si="96"/>
        <v>-4.6733111520667014</v>
      </c>
      <c r="AA523" s="149">
        <f t="shared" si="95"/>
        <v>-4.3654744629110419E-2</v>
      </c>
      <c r="AB523" s="37"/>
      <c r="AC523" s="98"/>
    </row>
    <row r="524" spans="1:31" ht="20.25" customHeight="1">
      <c r="A524" s="13">
        <v>42515</v>
      </c>
      <c r="B524" s="3">
        <v>5</v>
      </c>
      <c r="C524" s="51" t="s">
        <v>223</v>
      </c>
      <c r="D524" s="51" t="s">
        <v>303</v>
      </c>
      <c r="E524" s="51" t="s">
        <v>304</v>
      </c>
      <c r="F524" s="51" t="s">
        <v>305</v>
      </c>
      <c r="G524" s="51" t="s">
        <v>306</v>
      </c>
      <c r="H524" s="3" t="s">
        <v>307</v>
      </c>
      <c r="I524" s="3"/>
      <c r="J524" s="3">
        <v>9</v>
      </c>
      <c r="K524" s="3" t="s">
        <v>229</v>
      </c>
      <c r="L524" s="3" t="s">
        <v>307</v>
      </c>
      <c r="M524" s="3">
        <v>214</v>
      </c>
      <c r="N524" s="3">
        <f t="shared" si="90"/>
        <v>4.2056074766355138</v>
      </c>
      <c r="O524" s="65">
        <v>3939.4792399718503</v>
      </c>
      <c r="P524" s="8">
        <f t="shared" si="91"/>
        <v>165.67903345676004</v>
      </c>
      <c r="Q524" s="36">
        <v>3941.3797784577546</v>
      </c>
      <c r="R524" s="8">
        <f t="shared" si="92"/>
        <v>4.203579527207844</v>
      </c>
      <c r="S524" s="3">
        <v>250</v>
      </c>
      <c r="T524" s="3">
        <v>250</v>
      </c>
      <c r="U524" s="36" t="s">
        <v>620</v>
      </c>
      <c r="V524" s="3"/>
      <c r="W524" s="3"/>
      <c r="X524" s="36"/>
      <c r="Y524" s="37">
        <f t="shared" si="94"/>
        <v>4.2035795272078437E-2</v>
      </c>
      <c r="Z524" s="37">
        <f t="shared" si="96"/>
        <v>-3.1692337552904273</v>
      </c>
      <c r="AA524" s="149">
        <f t="shared" si="95"/>
        <v>-0.13322126130674875</v>
      </c>
      <c r="AB524" s="37"/>
      <c r="AC524" s="98"/>
    </row>
    <row r="525" spans="1:31" ht="20.25" customHeight="1">
      <c r="A525" s="13">
        <v>42515</v>
      </c>
      <c r="B525" s="3">
        <v>5</v>
      </c>
      <c r="C525" s="3" t="s">
        <v>223</v>
      </c>
      <c r="D525" s="3" t="s">
        <v>317</v>
      </c>
      <c r="E525" s="3" t="s">
        <v>314</v>
      </c>
      <c r="F525" s="3" t="s">
        <v>346</v>
      </c>
      <c r="G525" s="3" t="s">
        <v>315</v>
      </c>
      <c r="H525" s="3" t="s">
        <v>347</v>
      </c>
      <c r="I525" s="3" t="s">
        <v>348</v>
      </c>
      <c r="J525" s="3">
        <v>2</v>
      </c>
      <c r="K525" s="3" t="s">
        <v>247</v>
      </c>
      <c r="L525" s="3" t="s">
        <v>345</v>
      </c>
      <c r="M525" s="3">
        <v>214</v>
      </c>
      <c r="N525" s="3">
        <f t="shared" si="90"/>
        <v>0.93457943925233633</v>
      </c>
      <c r="O525" s="65">
        <v>3939.4792399718503</v>
      </c>
      <c r="P525" s="8">
        <f t="shared" si="91"/>
        <v>36.817562990391124</v>
      </c>
      <c r="Q525" s="36">
        <v>3941.3797784577546</v>
      </c>
      <c r="R525" s="8">
        <f t="shared" si="92"/>
        <v>0.93412878382396536</v>
      </c>
      <c r="S525" s="36">
        <v>250</v>
      </c>
      <c r="T525" s="36">
        <v>250</v>
      </c>
      <c r="U525" s="3"/>
      <c r="V525" s="3"/>
      <c r="W525" s="3"/>
      <c r="X525" s="36"/>
      <c r="Y525" s="37">
        <f t="shared" si="94"/>
        <v>9.3412878382396532E-3</v>
      </c>
      <c r="Z525" s="37">
        <f t="shared" si="96"/>
        <v>-4.6733111520667014</v>
      </c>
      <c r="AA525" s="149">
        <f t="shared" si="95"/>
        <v>-4.3654744629110419E-2</v>
      </c>
      <c r="AB525" s="37"/>
      <c r="AC525" s="98"/>
    </row>
    <row r="526" spans="1:31" ht="20.25" customHeight="1">
      <c r="A526" s="13">
        <v>42515</v>
      </c>
      <c r="B526" s="3">
        <v>5</v>
      </c>
      <c r="C526" s="51" t="s">
        <v>223</v>
      </c>
      <c r="D526" s="51" t="s">
        <v>224</v>
      </c>
      <c r="E526" s="51" t="s">
        <v>225</v>
      </c>
      <c r="F526" s="51" t="s">
        <v>226</v>
      </c>
      <c r="G526" s="51" t="s">
        <v>239</v>
      </c>
      <c r="H526" s="3" t="s">
        <v>240</v>
      </c>
      <c r="I526" s="3"/>
      <c r="J526" s="3">
        <v>26</v>
      </c>
      <c r="K526" s="3" t="s">
        <v>229</v>
      </c>
      <c r="L526" s="3" t="s">
        <v>240</v>
      </c>
      <c r="M526" s="3">
        <v>214</v>
      </c>
      <c r="N526" s="3">
        <f t="shared" si="90"/>
        <v>12.149532710280374</v>
      </c>
      <c r="O526" s="65">
        <v>3939.4792399718503</v>
      </c>
      <c r="P526" s="8">
        <f t="shared" si="91"/>
        <v>478.62831887508463</v>
      </c>
      <c r="Q526" s="36">
        <v>3941.3797784577546</v>
      </c>
      <c r="R526" s="8">
        <f t="shared" si="92"/>
        <v>12.14367418971155</v>
      </c>
      <c r="S526" s="36">
        <v>250</v>
      </c>
      <c r="T526" s="36">
        <v>250</v>
      </c>
      <c r="U526" s="3"/>
      <c r="V526" s="3"/>
      <c r="W526" s="3"/>
      <c r="X526" s="36"/>
      <c r="Y526" s="37">
        <f t="shared" si="94"/>
        <v>0.12143674189711551</v>
      </c>
      <c r="Z526" s="37">
        <f t="shared" si="96"/>
        <v>-2.1083617946051643</v>
      </c>
      <c r="AA526" s="149">
        <f t="shared" si="95"/>
        <v>-0.25603258707720661</v>
      </c>
      <c r="AB526" s="37"/>
      <c r="AC526" s="98"/>
    </row>
    <row r="527" spans="1:31" ht="20.25" customHeight="1">
      <c r="A527" s="13">
        <v>42515</v>
      </c>
      <c r="B527" s="3">
        <v>5</v>
      </c>
      <c r="C527" s="51" t="s">
        <v>223</v>
      </c>
      <c r="D527" s="51" t="s">
        <v>224</v>
      </c>
      <c r="E527" s="51" t="s">
        <v>225</v>
      </c>
      <c r="F527" s="51" t="s">
        <v>248</v>
      </c>
      <c r="G527" s="51" t="s">
        <v>249</v>
      </c>
      <c r="H527" s="3" t="s">
        <v>250</v>
      </c>
      <c r="I527" s="3"/>
      <c r="J527" s="3">
        <v>7</v>
      </c>
      <c r="K527" s="3" t="s">
        <v>229</v>
      </c>
      <c r="L527" s="3" t="s">
        <v>250</v>
      </c>
      <c r="M527" s="3">
        <v>214</v>
      </c>
      <c r="N527" s="3">
        <f t="shared" si="90"/>
        <v>3.2710280373831773</v>
      </c>
      <c r="O527" s="65">
        <v>3939.4792399718503</v>
      </c>
      <c r="P527" s="8">
        <f t="shared" si="91"/>
        <v>128.86147046636893</v>
      </c>
      <c r="Q527" s="36">
        <v>3941.3797784577546</v>
      </c>
      <c r="R527" s="8">
        <f t="shared" si="92"/>
        <v>3.2694507433838789</v>
      </c>
      <c r="S527" s="3">
        <v>250</v>
      </c>
      <c r="T527" s="3">
        <v>250</v>
      </c>
      <c r="U527" s="3"/>
      <c r="V527" s="3"/>
      <c r="W527" s="41"/>
      <c r="X527" s="36"/>
      <c r="Y527" s="37">
        <f t="shared" si="94"/>
        <v>3.2694507433838789E-2</v>
      </c>
      <c r="Z527" s="37">
        <f t="shared" si="96"/>
        <v>-3.4205481835713329</v>
      </c>
      <c r="AA527" s="149">
        <f t="shared" si="95"/>
        <v>-0.11183313801557671</v>
      </c>
      <c r="AB527" s="37"/>
      <c r="AC527" s="98"/>
    </row>
    <row r="528" spans="1:31" ht="20.25" customHeight="1">
      <c r="A528" s="13">
        <v>42515</v>
      </c>
      <c r="B528" s="3">
        <v>5</v>
      </c>
      <c r="C528" s="3" t="s">
        <v>223</v>
      </c>
      <c r="D528" s="3" t="s">
        <v>224</v>
      </c>
      <c r="E528" s="3" t="s">
        <v>225</v>
      </c>
      <c r="F528" s="3" t="s">
        <v>226</v>
      </c>
      <c r="G528" s="3" t="s">
        <v>253</v>
      </c>
      <c r="H528" s="3" t="s">
        <v>254</v>
      </c>
      <c r="I528" s="3"/>
      <c r="J528" s="3">
        <v>1</v>
      </c>
      <c r="K528" s="3"/>
      <c r="L528" s="3" t="s">
        <v>254</v>
      </c>
      <c r="M528" s="3">
        <v>214</v>
      </c>
      <c r="N528" s="3">
        <f t="shared" si="90"/>
        <v>0.46728971962616817</v>
      </c>
      <c r="O528" s="65">
        <v>3939.4792399718503</v>
      </c>
      <c r="P528" s="8">
        <f t="shared" si="91"/>
        <v>18.408781495195562</v>
      </c>
      <c r="Q528" s="36">
        <v>3941.3797784577546</v>
      </c>
      <c r="R528" s="8">
        <f t="shared" si="92"/>
        <v>0.46706439191198268</v>
      </c>
      <c r="S528" s="36">
        <v>250</v>
      </c>
      <c r="T528" s="36">
        <v>250</v>
      </c>
      <c r="U528" s="3"/>
      <c r="V528" s="3"/>
      <c r="W528" s="41"/>
      <c r="X528" s="36"/>
      <c r="Y528" s="37">
        <f t="shared" si="94"/>
        <v>4.6706439191198266E-3</v>
      </c>
      <c r="Z528" s="37">
        <f t="shared" si="96"/>
        <v>-5.3664583326266468</v>
      </c>
      <c r="AA528" s="149">
        <f t="shared" si="95"/>
        <v>-2.5064815978492572E-2</v>
      </c>
      <c r="AB528" s="37"/>
      <c r="AC528" s="98"/>
    </row>
    <row r="529" spans="1:31" ht="20.25" customHeight="1">
      <c r="A529" s="13">
        <v>42515</v>
      </c>
      <c r="B529" s="3">
        <v>5</v>
      </c>
      <c r="C529" s="3" t="s">
        <v>223</v>
      </c>
      <c r="D529" s="3" t="s">
        <v>224</v>
      </c>
      <c r="E529" s="3" t="s">
        <v>225</v>
      </c>
      <c r="F529" s="3" t="s">
        <v>226</v>
      </c>
      <c r="G529" s="3" t="s">
        <v>253</v>
      </c>
      <c r="H529" s="3" t="s">
        <v>256</v>
      </c>
      <c r="I529" s="3"/>
      <c r="J529" s="3">
        <v>155</v>
      </c>
      <c r="K529" s="3" t="s">
        <v>229</v>
      </c>
      <c r="L529" s="3" t="s">
        <v>256</v>
      </c>
      <c r="M529" s="3">
        <v>214</v>
      </c>
      <c r="N529" s="3">
        <f t="shared" si="90"/>
        <v>72.429906542056074</v>
      </c>
      <c r="O529" s="65">
        <v>3939.4792399718503</v>
      </c>
      <c r="P529" s="8">
        <f t="shared" si="91"/>
        <v>2853.3611317553123</v>
      </c>
      <c r="Q529" s="36">
        <v>3941.3797784577546</v>
      </c>
      <c r="R529" s="8">
        <f t="shared" si="92"/>
        <v>72.394980746357319</v>
      </c>
      <c r="S529" s="3">
        <v>250</v>
      </c>
      <c r="T529" s="3">
        <v>250</v>
      </c>
      <c r="U529" s="3" t="s">
        <v>363</v>
      </c>
      <c r="V529" s="3"/>
      <c r="W529" s="41"/>
      <c r="X529" s="36"/>
      <c r="Y529" s="37">
        <f t="shared" si="94"/>
        <v>0.72394980746357318</v>
      </c>
      <c r="Z529" s="37">
        <f t="shared" si="96"/>
        <v>-0.32303321570739979</v>
      </c>
      <c r="AA529" s="149">
        <f t="shared" si="95"/>
        <v>-0.23385983431571097</v>
      </c>
      <c r="AB529" s="37"/>
      <c r="AC529" s="98"/>
    </row>
    <row r="530" spans="1:31" ht="20.25" customHeight="1">
      <c r="A530" s="13">
        <v>42515</v>
      </c>
      <c r="B530" s="3">
        <v>5</v>
      </c>
      <c r="C530" s="3" t="s">
        <v>223</v>
      </c>
      <c r="D530" s="3" t="s">
        <v>224</v>
      </c>
      <c r="E530" s="3" t="s">
        <v>225</v>
      </c>
      <c r="F530" s="3" t="s">
        <v>226</v>
      </c>
      <c r="G530" s="3" t="s">
        <v>239</v>
      </c>
      <c r="H530" s="3" t="s">
        <v>258</v>
      </c>
      <c r="I530" s="3" t="s">
        <v>259</v>
      </c>
      <c r="J530" s="3">
        <v>1</v>
      </c>
      <c r="K530" s="3" t="s">
        <v>247</v>
      </c>
      <c r="L530" s="3" t="s">
        <v>258</v>
      </c>
      <c r="M530" s="3">
        <v>214</v>
      </c>
      <c r="N530" s="3">
        <f t="shared" si="90"/>
        <v>0.46728971962616817</v>
      </c>
      <c r="O530" s="65">
        <v>3939.4792399718503</v>
      </c>
      <c r="P530" s="8">
        <f t="shared" si="91"/>
        <v>18.408781495195562</v>
      </c>
      <c r="Q530" s="36">
        <v>3941.3797784577546</v>
      </c>
      <c r="R530" s="8">
        <f t="shared" si="92"/>
        <v>0.46706439191198268</v>
      </c>
      <c r="S530" s="36">
        <v>250</v>
      </c>
      <c r="T530" s="36">
        <v>250</v>
      </c>
      <c r="U530" s="3"/>
      <c r="V530" s="3"/>
      <c r="W530" s="41"/>
      <c r="X530" s="36"/>
      <c r="Y530" s="37">
        <f t="shared" si="94"/>
        <v>4.6706439191198266E-3</v>
      </c>
      <c r="Z530" s="37">
        <f t="shared" si="96"/>
        <v>-5.3664583326266468</v>
      </c>
      <c r="AA530" s="149">
        <f t="shared" si="95"/>
        <v>-2.5064815978492572E-2</v>
      </c>
      <c r="AB530" s="37"/>
      <c r="AC530" s="98"/>
    </row>
    <row r="531" spans="1:31" ht="20.25" customHeight="1">
      <c r="A531" s="13">
        <v>42515</v>
      </c>
      <c r="B531" s="51">
        <v>5</v>
      </c>
      <c r="C531" s="51" t="s">
        <v>223</v>
      </c>
      <c r="D531" s="51" t="s">
        <v>224</v>
      </c>
      <c r="E531" s="51" t="s">
        <v>225</v>
      </c>
      <c r="F531" s="51" t="s">
        <v>226</v>
      </c>
      <c r="G531" s="51" t="s">
        <v>261</v>
      </c>
      <c r="H531" s="3" t="s">
        <v>262</v>
      </c>
      <c r="I531" s="3"/>
      <c r="J531" s="3">
        <v>11</v>
      </c>
      <c r="K531" s="3" t="s">
        <v>229</v>
      </c>
      <c r="L531" s="3" t="s">
        <v>264</v>
      </c>
      <c r="M531" s="3">
        <v>214</v>
      </c>
      <c r="N531" s="3">
        <f t="shared" si="90"/>
        <v>5.1401869158878499</v>
      </c>
      <c r="O531" s="65">
        <v>3939.4792399718503</v>
      </c>
      <c r="P531" s="8">
        <f t="shared" si="91"/>
        <v>202.49659644715115</v>
      </c>
      <c r="Q531" s="36">
        <v>3941.3797784577546</v>
      </c>
      <c r="R531" s="8">
        <f t="shared" si="92"/>
        <v>5.1377083110318083</v>
      </c>
      <c r="S531" s="3">
        <v>250</v>
      </c>
      <c r="T531" s="3">
        <v>250</v>
      </c>
      <c r="U531" s="3"/>
      <c r="V531" s="3"/>
      <c r="W531" s="41"/>
      <c r="X531" s="36"/>
      <c r="Y531" s="37">
        <f t="shared" si="94"/>
        <v>5.1377083110318085E-2</v>
      </c>
      <c r="Z531" s="37">
        <f t="shared" si="96"/>
        <v>-2.9685630598282762</v>
      </c>
      <c r="AA531" s="149">
        <f t="shared" si="95"/>
        <v>-0.15251611104301752</v>
      </c>
      <c r="AB531" s="37"/>
      <c r="AC531" s="98"/>
    </row>
    <row r="532" spans="1:31" ht="20.25" customHeight="1">
      <c r="A532" s="35">
        <v>42515</v>
      </c>
      <c r="B532" s="76">
        <v>4</v>
      </c>
      <c r="C532" s="36" t="s">
        <v>223</v>
      </c>
      <c r="D532" s="36" t="s">
        <v>267</v>
      </c>
      <c r="E532" s="36" t="s">
        <v>278</v>
      </c>
      <c r="F532" s="36" t="s">
        <v>269</v>
      </c>
      <c r="G532" s="36"/>
      <c r="H532" s="36"/>
      <c r="I532" s="36"/>
      <c r="J532" s="36">
        <v>1</v>
      </c>
      <c r="K532" s="36" t="s">
        <v>508</v>
      </c>
      <c r="L532" s="36" t="s">
        <v>270</v>
      </c>
      <c r="M532" s="36">
        <v>17</v>
      </c>
      <c r="N532" s="36">
        <f t="shared" si="90"/>
        <v>5.8823529411764701</v>
      </c>
      <c r="O532" s="36">
        <v>2.5974025974025974</v>
      </c>
      <c r="P532" s="40">
        <f t="shared" si="91"/>
        <v>0.15278838808250572</v>
      </c>
      <c r="Q532" s="36">
        <v>3279.7912801484231</v>
      </c>
      <c r="R532" s="8">
        <f t="shared" si="92"/>
        <v>4.6584790016147449E-3</v>
      </c>
      <c r="S532" s="65">
        <v>1000</v>
      </c>
      <c r="T532" s="65">
        <v>1000</v>
      </c>
      <c r="U532" s="65"/>
      <c r="V532" s="65"/>
      <c r="W532" s="51"/>
      <c r="X532" s="36"/>
      <c r="Y532" s="37">
        <f t="shared" si="94"/>
        <v>4.6584790016147451E-5</v>
      </c>
      <c r="Z532" s="37">
        <f t="shared" si="96"/>
        <v>-9.9742364646142274</v>
      </c>
      <c r="AA532" s="149">
        <f t="shared" si="95"/>
        <v>-4.6464771127545471E-4</v>
      </c>
      <c r="AB532" s="37">
        <f>SUM(AA532:AA549)*-1</f>
        <v>1.1426031675078956</v>
      </c>
      <c r="AC532" s="98">
        <v>15</v>
      </c>
      <c r="AD532" s="98">
        <f t="shared" ref="AD532" si="98">LN(AC532)</f>
        <v>2.7080502011022101</v>
      </c>
      <c r="AE532" s="98">
        <f>(AB532/AD532)</f>
        <v>0.42192835533212858</v>
      </c>
    </row>
    <row r="533" spans="1:31" ht="20.25" customHeight="1">
      <c r="A533" s="35">
        <v>42515</v>
      </c>
      <c r="B533" s="76">
        <v>4</v>
      </c>
      <c r="C533" s="65" t="s">
        <v>223</v>
      </c>
      <c r="D533" s="65" t="s">
        <v>267</v>
      </c>
      <c r="E533" s="65"/>
      <c r="F533" s="65" t="s">
        <v>273</v>
      </c>
      <c r="G533" s="65"/>
      <c r="H533" s="65"/>
      <c r="I533" s="36"/>
      <c r="J533" s="36">
        <v>3</v>
      </c>
      <c r="K533" s="36" t="s">
        <v>508</v>
      </c>
      <c r="L533" s="36" t="s">
        <v>335</v>
      </c>
      <c r="M533" s="36">
        <v>17</v>
      </c>
      <c r="N533" s="36">
        <f t="shared" si="90"/>
        <v>17.647058823529413</v>
      </c>
      <c r="O533" s="36">
        <v>2.5974025974025974</v>
      </c>
      <c r="P533" s="40">
        <f t="shared" si="91"/>
        <v>0.45836516424751722</v>
      </c>
      <c r="Q533" s="36">
        <v>3279.7912801484231</v>
      </c>
      <c r="R533" s="8">
        <f t="shared" si="92"/>
        <v>1.3975437004844236E-2</v>
      </c>
      <c r="S533" s="65">
        <v>1000</v>
      </c>
      <c r="T533" s="65">
        <v>1000</v>
      </c>
      <c r="U533" s="65"/>
      <c r="V533" s="65"/>
      <c r="W533" s="51"/>
      <c r="X533" s="36"/>
      <c r="Y533" s="37">
        <f t="shared" si="94"/>
        <v>1.3975437004844237E-4</v>
      </c>
      <c r="Z533" s="37">
        <f t="shared" si="96"/>
        <v>-8.8756241759461165</v>
      </c>
      <c r="AA533" s="149">
        <f t="shared" si="95"/>
        <v>-1.240407265496075E-3</v>
      </c>
      <c r="AB533" s="37"/>
      <c r="AC533" s="98"/>
    </row>
    <row r="534" spans="1:31" ht="20.25" customHeight="1">
      <c r="A534" s="35">
        <v>42515</v>
      </c>
      <c r="B534" s="76">
        <v>4</v>
      </c>
      <c r="C534" s="36" t="s">
        <v>288</v>
      </c>
      <c r="D534" s="36" t="s">
        <v>289</v>
      </c>
      <c r="E534" s="36"/>
      <c r="F534" s="36"/>
      <c r="G534" s="65"/>
      <c r="H534" s="65"/>
      <c r="I534" s="36"/>
      <c r="J534" s="36">
        <v>1</v>
      </c>
      <c r="K534" s="36" t="s">
        <v>221</v>
      </c>
      <c r="L534" s="36" t="s">
        <v>294</v>
      </c>
      <c r="M534" s="36">
        <v>17</v>
      </c>
      <c r="N534" s="36">
        <f t="shared" si="90"/>
        <v>5.8823529411764701</v>
      </c>
      <c r="O534" s="36">
        <v>2.5974025974025974</v>
      </c>
      <c r="P534" s="40">
        <f t="shared" si="91"/>
        <v>0.15278838808250572</v>
      </c>
      <c r="Q534" s="65">
        <v>3279.7912801484231</v>
      </c>
      <c r="R534" s="8">
        <f t="shared" si="92"/>
        <v>4.6584790016147449E-3</v>
      </c>
      <c r="S534" s="65">
        <v>1000</v>
      </c>
      <c r="T534" s="65">
        <v>1000</v>
      </c>
      <c r="U534" s="65"/>
      <c r="V534" s="65"/>
      <c r="W534" s="51"/>
      <c r="X534" s="36"/>
      <c r="Y534" s="37">
        <f t="shared" si="94"/>
        <v>4.6584790016147451E-5</v>
      </c>
      <c r="Z534" s="37">
        <f t="shared" si="96"/>
        <v>-9.9742364646142274</v>
      </c>
      <c r="AA534" s="149">
        <f t="shared" si="95"/>
        <v>-4.6464771127545471E-4</v>
      </c>
      <c r="AB534" s="37"/>
      <c r="AC534" s="98"/>
    </row>
    <row r="535" spans="1:31" s="42" customFormat="1" ht="20.25" customHeight="1">
      <c r="A535" s="35">
        <v>42515</v>
      </c>
      <c r="B535" s="76">
        <v>4</v>
      </c>
      <c r="C535" s="36" t="s">
        <v>223</v>
      </c>
      <c r="D535" s="36" t="s">
        <v>267</v>
      </c>
      <c r="E535" s="36" t="s">
        <v>278</v>
      </c>
      <c r="F535" s="36" t="s">
        <v>279</v>
      </c>
      <c r="G535" s="65" t="s">
        <v>280</v>
      </c>
      <c r="H535" s="65" t="s">
        <v>284</v>
      </c>
      <c r="I535" s="36" t="s">
        <v>285</v>
      </c>
      <c r="J535" s="36">
        <v>12</v>
      </c>
      <c r="K535" s="36" t="s">
        <v>247</v>
      </c>
      <c r="L535" s="36" t="s">
        <v>283</v>
      </c>
      <c r="M535" s="36">
        <v>17</v>
      </c>
      <c r="N535" s="36">
        <f t="shared" si="90"/>
        <v>70.588235294117652</v>
      </c>
      <c r="O535" s="36">
        <v>2.5974025974025974</v>
      </c>
      <c r="P535" s="40">
        <f t="shared" si="91"/>
        <v>1.8334606569900689</v>
      </c>
      <c r="Q535" s="65">
        <v>3279.7912801484231</v>
      </c>
      <c r="R535" s="8">
        <f t="shared" si="92"/>
        <v>5.5901748019376946E-2</v>
      </c>
      <c r="S535" s="65">
        <v>1000</v>
      </c>
      <c r="T535" s="65">
        <v>1000</v>
      </c>
      <c r="U535" s="65"/>
      <c r="V535" s="65"/>
      <c r="W535" s="51"/>
      <c r="X535" s="41"/>
      <c r="Y535" s="37">
        <f t="shared" si="94"/>
        <v>5.5901748019376949E-4</v>
      </c>
      <c r="Z535" s="37">
        <f t="shared" si="96"/>
        <v>-7.4893298148262266</v>
      </c>
      <c r="AA535" s="149">
        <f t="shared" si="95"/>
        <v>-4.1866662814242271E-3</v>
      </c>
      <c r="AB535" s="37"/>
      <c r="AC535" s="98"/>
      <c r="AD535" s="99"/>
      <c r="AE535" s="99"/>
    </row>
    <row r="536" spans="1:31" s="42" customFormat="1" ht="20.25" customHeight="1">
      <c r="A536" s="13">
        <v>42515</v>
      </c>
      <c r="B536" s="3">
        <v>4</v>
      </c>
      <c r="C536" s="3" t="s">
        <v>223</v>
      </c>
      <c r="D536" s="3" t="s">
        <v>224</v>
      </c>
      <c r="E536" s="3" t="s">
        <v>225</v>
      </c>
      <c r="F536" s="3" t="s">
        <v>226</v>
      </c>
      <c r="G536" s="3" t="s">
        <v>227</v>
      </c>
      <c r="H536" s="3" t="s">
        <v>228</v>
      </c>
      <c r="I536" s="3"/>
      <c r="J536" s="3">
        <v>14</v>
      </c>
      <c r="K536" s="3" t="s">
        <v>229</v>
      </c>
      <c r="L536" s="3" t="s">
        <v>228</v>
      </c>
      <c r="M536" s="3">
        <v>217</v>
      </c>
      <c r="N536" s="3">
        <f t="shared" si="90"/>
        <v>6.4516129032258061</v>
      </c>
      <c r="O536" s="36">
        <v>3277.1938775510207</v>
      </c>
      <c r="P536" s="8">
        <f t="shared" si="91"/>
        <v>211.43186306780777</v>
      </c>
      <c r="Q536" s="36">
        <v>3279.7912801484231</v>
      </c>
      <c r="R536" s="8">
        <f t="shared" si="92"/>
        <v>6.446503603675648</v>
      </c>
      <c r="S536" s="51">
        <v>250</v>
      </c>
      <c r="T536" s="51">
        <v>250</v>
      </c>
      <c r="U536" s="51"/>
      <c r="V536" s="51"/>
      <c r="W536" s="106"/>
      <c r="X536" s="41"/>
      <c r="Y536" s="37">
        <f t="shared" si="94"/>
        <v>6.4465036036756476E-2</v>
      </c>
      <c r="Z536" s="37">
        <f t="shared" si="96"/>
        <v>-2.7416322791067493</v>
      </c>
      <c r="AA536" s="149">
        <f t="shared" si="95"/>
        <v>-0.1767394236721514</v>
      </c>
      <c r="AB536" s="37"/>
      <c r="AC536" s="98"/>
      <c r="AD536" s="99"/>
      <c r="AE536" s="99"/>
    </row>
    <row r="537" spans="1:31" s="42" customFormat="1" ht="20.25" customHeight="1">
      <c r="A537" s="13">
        <v>42515</v>
      </c>
      <c r="B537" s="3">
        <v>4</v>
      </c>
      <c r="C537" s="3" t="s">
        <v>223</v>
      </c>
      <c r="D537" s="3" t="s">
        <v>303</v>
      </c>
      <c r="E537" s="3" t="s">
        <v>304</v>
      </c>
      <c r="F537" s="3" t="s">
        <v>305</v>
      </c>
      <c r="G537" s="3" t="s">
        <v>306</v>
      </c>
      <c r="H537" s="3" t="s">
        <v>307</v>
      </c>
      <c r="I537" s="3"/>
      <c r="J537" s="3">
        <v>1</v>
      </c>
      <c r="K537" s="3" t="s">
        <v>229</v>
      </c>
      <c r="L537" s="3" t="s">
        <v>307</v>
      </c>
      <c r="M537" s="3">
        <v>217</v>
      </c>
      <c r="N537" s="3">
        <f t="shared" si="90"/>
        <v>0.46082949308755761</v>
      </c>
      <c r="O537" s="36">
        <v>3277.1938775510207</v>
      </c>
      <c r="P537" s="8">
        <f t="shared" si="91"/>
        <v>15.102275933414841</v>
      </c>
      <c r="Q537" s="36">
        <v>3279.7912801484231</v>
      </c>
      <c r="R537" s="8">
        <f t="shared" si="92"/>
        <v>0.46046454311968915</v>
      </c>
      <c r="S537" s="36">
        <v>250</v>
      </c>
      <c r="T537" s="36">
        <v>250</v>
      </c>
      <c r="U537" s="36" t="s">
        <v>308</v>
      </c>
      <c r="V537" s="3"/>
      <c r="W537" s="3"/>
      <c r="X537" s="41"/>
      <c r="Y537" s="37">
        <f t="shared" si="94"/>
        <v>4.6046454311968917E-3</v>
      </c>
      <c r="Z537" s="37">
        <f t="shared" si="96"/>
        <v>-5.3806896087220082</v>
      </c>
      <c r="AA537" s="149">
        <f t="shared" si="95"/>
        <v>-2.4776167823490385E-2</v>
      </c>
      <c r="AB537" s="37"/>
      <c r="AC537" s="98"/>
      <c r="AD537" s="99"/>
      <c r="AE537" s="99"/>
    </row>
    <row r="538" spans="1:31" s="42" customFormat="1" ht="20.25" customHeight="1">
      <c r="A538" s="71">
        <v>42515</v>
      </c>
      <c r="B538" s="3">
        <v>4</v>
      </c>
      <c r="C538" s="51" t="s">
        <v>223</v>
      </c>
      <c r="D538" s="51" t="s">
        <v>303</v>
      </c>
      <c r="E538" s="51" t="s">
        <v>304</v>
      </c>
      <c r="F538" s="51" t="s">
        <v>305</v>
      </c>
      <c r="G538" s="51" t="s">
        <v>306</v>
      </c>
      <c r="H538" s="3" t="s">
        <v>307</v>
      </c>
      <c r="I538" s="3"/>
      <c r="J538" s="3">
        <v>2</v>
      </c>
      <c r="K538" s="3" t="s">
        <v>229</v>
      </c>
      <c r="L538" s="3" t="s">
        <v>307</v>
      </c>
      <c r="M538" s="3">
        <v>217</v>
      </c>
      <c r="N538" s="3">
        <f t="shared" si="90"/>
        <v>0.92165898617511521</v>
      </c>
      <c r="O538" s="36">
        <v>3277.1938775510207</v>
      </c>
      <c r="P538" s="8">
        <f t="shared" si="91"/>
        <v>30.204551866829682</v>
      </c>
      <c r="Q538" s="36">
        <v>3279.7912801484231</v>
      </c>
      <c r="R538" s="8">
        <f t="shared" si="92"/>
        <v>0.9209290862393783</v>
      </c>
      <c r="S538" s="3">
        <v>250</v>
      </c>
      <c r="T538" s="3">
        <v>250</v>
      </c>
      <c r="U538" s="36" t="s">
        <v>620</v>
      </c>
      <c r="V538" s="3"/>
      <c r="W538" s="3"/>
      <c r="X538" s="41"/>
      <c r="Y538" s="37">
        <f t="shared" si="94"/>
        <v>9.2092908623937833E-3</v>
      </c>
      <c r="Z538" s="37">
        <f t="shared" si="96"/>
        <v>-4.6875424281620628</v>
      </c>
      <c r="AA538" s="149">
        <f t="shared" si="95"/>
        <v>-4.3168941650756056E-2</v>
      </c>
      <c r="AB538" s="37"/>
      <c r="AC538" s="98"/>
      <c r="AD538" s="99"/>
      <c r="AE538" s="99"/>
    </row>
    <row r="539" spans="1:31" s="42" customFormat="1" ht="20.25" customHeight="1">
      <c r="A539" s="13">
        <v>42515</v>
      </c>
      <c r="B539" s="3">
        <v>4</v>
      </c>
      <c r="C539" s="3" t="s">
        <v>223</v>
      </c>
      <c r="D539" s="3" t="s">
        <v>224</v>
      </c>
      <c r="E539" s="3" t="s">
        <v>225</v>
      </c>
      <c r="F539" s="3" t="s">
        <v>226</v>
      </c>
      <c r="G539" s="3" t="s">
        <v>232</v>
      </c>
      <c r="H539" s="3" t="s">
        <v>233</v>
      </c>
      <c r="I539" s="3" t="s">
        <v>234</v>
      </c>
      <c r="J539" s="3">
        <v>1</v>
      </c>
      <c r="K539" s="3" t="s">
        <v>247</v>
      </c>
      <c r="L539" s="3" t="s">
        <v>233</v>
      </c>
      <c r="M539" s="3">
        <v>217</v>
      </c>
      <c r="N539" s="3">
        <f t="shared" si="90"/>
        <v>0.46082949308755761</v>
      </c>
      <c r="O539" s="36">
        <v>3277.1938775510207</v>
      </c>
      <c r="P539" s="8">
        <f t="shared" si="91"/>
        <v>15.102275933414841</v>
      </c>
      <c r="Q539" s="36">
        <v>3279.7912801484231</v>
      </c>
      <c r="R539" s="8">
        <f t="shared" si="92"/>
        <v>0.46046454311968915</v>
      </c>
      <c r="S539" s="36">
        <v>250</v>
      </c>
      <c r="T539" s="36">
        <v>250</v>
      </c>
      <c r="U539" s="3"/>
      <c r="V539" s="3"/>
      <c r="W539" s="3"/>
      <c r="X539" s="41"/>
      <c r="Y539" s="37">
        <f t="shared" si="94"/>
        <v>4.6046454311968917E-3</v>
      </c>
      <c r="Z539" s="37">
        <f t="shared" si="96"/>
        <v>-5.3806896087220082</v>
      </c>
      <c r="AA539" s="149">
        <f t="shared" si="95"/>
        <v>-2.4776167823490385E-2</v>
      </c>
      <c r="AB539" s="37"/>
      <c r="AC539" s="98"/>
      <c r="AD539" s="99"/>
      <c r="AE539" s="99"/>
    </row>
    <row r="540" spans="1:31" s="42" customFormat="1" ht="20.25" customHeight="1">
      <c r="A540" s="71">
        <v>42515</v>
      </c>
      <c r="B540" s="3">
        <v>4</v>
      </c>
      <c r="C540" s="3" t="s">
        <v>223</v>
      </c>
      <c r="D540" s="3" t="s">
        <v>224</v>
      </c>
      <c r="E540" s="3" t="s">
        <v>225</v>
      </c>
      <c r="F540" s="3" t="s">
        <v>226</v>
      </c>
      <c r="G540" s="3" t="s">
        <v>235</v>
      </c>
      <c r="H540" s="3" t="s">
        <v>236</v>
      </c>
      <c r="I540" s="3"/>
      <c r="J540" s="3">
        <v>2</v>
      </c>
      <c r="K540" s="3" t="s">
        <v>229</v>
      </c>
      <c r="L540" s="3" t="s">
        <v>236</v>
      </c>
      <c r="M540" s="3">
        <v>217</v>
      </c>
      <c r="N540" s="3">
        <f t="shared" si="90"/>
        <v>0.92165898617511521</v>
      </c>
      <c r="O540" s="36">
        <v>3277.1938775510207</v>
      </c>
      <c r="P540" s="8">
        <f t="shared" si="91"/>
        <v>30.204551866829682</v>
      </c>
      <c r="Q540" s="36">
        <v>3279.7912801484231</v>
      </c>
      <c r="R540" s="8">
        <f t="shared" si="92"/>
        <v>0.9209290862393783</v>
      </c>
      <c r="S540" s="3">
        <v>250</v>
      </c>
      <c r="T540" s="3">
        <v>250</v>
      </c>
      <c r="U540" s="3"/>
      <c r="V540" s="3"/>
      <c r="W540" s="3"/>
      <c r="X540" s="41"/>
      <c r="Y540" s="37">
        <f t="shared" si="94"/>
        <v>9.2092908623937833E-3</v>
      </c>
      <c r="Z540" s="37">
        <f t="shared" si="96"/>
        <v>-4.6875424281620628</v>
      </c>
      <c r="AA540" s="149">
        <f t="shared" si="95"/>
        <v>-4.3168941650756056E-2</v>
      </c>
      <c r="AB540" s="37"/>
      <c r="AC540" s="98"/>
      <c r="AD540" s="99"/>
      <c r="AE540" s="99"/>
    </row>
    <row r="541" spans="1:31" s="42" customFormat="1" ht="20.25" customHeight="1">
      <c r="A541" s="13">
        <v>42515</v>
      </c>
      <c r="B541" s="3">
        <v>4</v>
      </c>
      <c r="C541" s="3" t="s">
        <v>223</v>
      </c>
      <c r="D541" s="3" t="s">
        <v>317</v>
      </c>
      <c r="E541" s="3" t="s">
        <v>314</v>
      </c>
      <c r="F541" s="3" t="s">
        <v>346</v>
      </c>
      <c r="G541" s="3" t="s">
        <v>315</v>
      </c>
      <c r="H541" s="3" t="s">
        <v>365</v>
      </c>
      <c r="I541" s="3" t="s">
        <v>366</v>
      </c>
      <c r="J541" s="3">
        <v>1</v>
      </c>
      <c r="K541" s="3" t="s">
        <v>247</v>
      </c>
      <c r="L541" s="3" t="s">
        <v>345</v>
      </c>
      <c r="M541" s="3">
        <v>217</v>
      </c>
      <c r="N541" s="3">
        <f t="shared" si="90"/>
        <v>0.46082949308755761</v>
      </c>
      <c r="O541" s="36">
        <v>3277.1938775510207</v>
      </c>
      <c r="P541" s="8">
        <f t="shared" si="91"/>
        <v>15.102275933414841</v>
      </c>
      <c r="Q541" s="36">
        <v>3279.7912801484231</v>
      </c>
      <c r="R541" s="8">
        <f t="shared" si="92"/>
        <v>0.46046454311968915</v>
      </c>
      <c r="S541" s="3">
        <v>250</v>
      </c>
      <c r="T541" s="3">
        <v>250</v>
      </c>
      <c r="U541" s="3"/>
      <c r="V541" s="3"/>
      <c r="W541" s="3"/>
      <c r="X541" s="41"/>
      <c r="Y541" s="37">
        <f t="shared" si="94"/>
        <v>4.6046454311968917E-3</v>
      </c>
      <c r="Z541" s="37">
        <f t="shared" si="96"/>
        <v>-5.3806896087220082</v>
      </c>
      <c r="AA541" s="149">
        <f t="shared" si="95"/>
        <v>-2.4776167823490385E-2</v>
      </c>
      <c r="AB541" s="37"/>
      <c r="AC541" s="98"/>
      <c r="AD541" s="99"/>
      <c r="AE541" s="99"/>
    </row>
    <row r="542" spans="1:31" s="42" customFormat="1" ht="20.25" customHeight="1">
      <c r="A542" s="13">
        <v>42515</v>
      </c>
      <c r="B542" s="3">
        <v>4</v>
      </c>
      <c r="C542" s="3" t="s">
        <v>223</v>
      </c>
      <c r="D542" s="3" t="s">
        <v>317</v>
      </c>
      <c r="E542" s="3" t="s">
        <v>314</v>
      </c>
      <c r="F542" s="3" t="s">
        <v>346</v>
      </c>
      <c r="G542" s="3" t="s">
        <v>315</v>
      </c>
      <c r="H542" s="3" t="s">
        <v>347</v>
      </c>
      <c r="I542" s="3"/>
      <c r="J542" s="3">
        <v>2</v>
      </c>
      <c r="K542" s="3" t="s">
        <v>229</v>
      </c>
      <c r="L542" s="3" t="s">
        <v>345</v>
      </c>
      <c r="M542" s="3">
        <v>217</v>
      </c>
      <c r="N542" s="3">
        <f t="shared" si="90"/>
        <v>0.92165898617511521</v>
      </c>
      <c r="O542" s="36">
        <v>3277.1938775510207</v>
      </c>
      <c r="P542" s="8">
        <f t="shared" si="91"/>
        <v>30.204551866829682</v>
      </c>
      <c r="Q542" s="36">
        <v>3279.7912801484231</v>
      </c>
      <c r="R542" s="8">
        <f t="shared" si="92"/>
        <v>0.9209290862393783</v>
      </c>
      <c r="S542" s="3">
        <v>250</v>
      </c>
      <c r="T542" s="3">
        <v>250</v>
      </c>
      <c r="U542" s="3"/>
      <c r="V542" s="3"/>
      <c r="W542" s="3"/>
      <c r="X542" s="41"/>
      <c r="Y542" s="37">
        <f t="shared" si="94"/>
        <v>9.2092908623937833E-3</v>
      </c>
      <c r="Z542" s="37">
        <f t="shared" si="96"/>
        <v>-4.6875424281620628</v>
      </c>
      <c r="AA542" s="149">
        <f t="shared" si="95"/>
        <v>-4.3168941650756056E-2</v>
      </c>
      <c r="AB542" s="37"/>
      <c r="AC542" s="98"/>
      <c r="AD542" s="99"/>
      <c r="AE542" s="99"/>
    </row>
    <row r="543" spans="1:31" s="42" customFormat="1" ht="20.25" customHeight="1">
      <c r="A543" s="13">
        <v>42515</v>
      </c>
      <c r="B543" s="3">
        <v>4</v>
      </c>
      <c r="C543" s="3" t="s">
        <v>223</v>
      </c>
      <c r="D543" s="3" t="s">
        <v>224</v>
      </c>
      <c r="E543" s="3" t="s">
        <v>225</v>
      </c>
      <c r="F543" s="3" t="s">
        <v>226</v>
      </c>
      <c r="G543" s="3" t="s">
        <v>239</v>
      </c>
      <c r="H543" s="3" t="s">
        <v>240</v>
      </c>
      <c r="I543" s="3"/>
      <c r="J543" s="3">
        <v>154</v>
      </c>
      <c r="K543" s="3" t="s">
        <v>229</v>
      </c>
      <c r="L543" s="3" t="s">
        <v>240</v>
      </c>
      <c r="M543" s="3">
        <v>217</v>
      </c>
      <c r="N543" s="3">
        <f t="shared" si="90"/>
        <v>70.967741935483872</v>
      </c>
      <c r="O543" s="36">
        <v>3277.1938775510207</v>
      </c>
      <c r="P543" s="8">
        <f t="shared" si="91"/>
        <v>2325.7504937458857</v>
      </c>
      <c r="Q543" s="36">
        <v>3279.7912801484231</v>
      </c>
      <c r="R543" s="8">
        <f t="shared" si="92"/>
        <v>70.911539640432139</v>
      </c>
      <c r="S543" s="36">
        <v>250</v>
      </c>
      <c r="T543" s="36">
        <v>250</v>
      </c>
      <c r="U543" s="3"/>
      <c r="V543" s="3"/>
      <c r="W543" s="3"/>
      <c r="X543" s="41"/>
      <c r="Y543" s="37">
        <f t="shared" si="94"/>
        <v>0.70911539640432142</v>
      </c>
      <c r="Z543" s="37">
        <f t="shared" si="96"/>
        <v>-0.34373700630837861</v>
      </c>
      <c r="AA543" s="149">
        <f t="shared" si="95"/>
        <v>-0.24374920348720064</v>
      </c>
      <c r="AB543" s="37"/>
      <c r="AC543" s="98"/>
      <c r="AD543" s="99"/>
      <c r="AE543" s="99"/>
    </row>
    <row r="544" spans="1:31" s="61" customFormat="1" ht="20.25" customHeight="1">
      <c r="A544" s="13">
        <v>42515</v>
      </c>
      <c r="B544" s="3">
        <v>4</v>
      </c>
      <c r="C544" s="3" t="s">
        <v>223</v>
      </c>
      <c r="D544" s="3" t="s">
        <v>224</v>
      </c>
      <c r="E544" s="3" t="s">
        <v>225</v>
      </c>
      <c r="F544" s="3" t="s">
        <v>248</v>
      </c>
      <c r="G544" s="3" t="s">
        <v>359</v>
      </c>
      <c r="H544" s="3" t="s">
        <v>360</v>
      </c>
      <c r="I544" s="3" t="s">
        <v>361</v>
      </c>
      <c r="J544" s="3">
        <v>2</v>
      </c>
      <c r="K544" s="3" t="s">
        <v>247</v>
      </c>
      <c r="L544" s="3" t="s">
        <v>362</v>
      </c>
      <c r="M544" s="3">
        <v>217</v>
      </c>
      <c r="N544" s="3">
        <f t="shared" si="90"/>
        <v>0.92165898617511521</v>
      </c>
      <c r="O544" s="36">
        <v>3277.1938775510207</v>
      </c>
      <c r="P544" s="8">
        <f t="shared" si="91"/>
        <v>30.204551866829682</v>
      </c>
      <c r="Q544" s="65">
        <v>3279.7912801484231</v>
      </c>
      <c r="R544" s="8">
        <f t="shared" si="92"/>
        <v>0.9209290862393783</v>
      </c>
      <c r="S544" s="3">
        <v>250</v>
      </c>
      <c r="T544" s="3">
        <v>250</v>
      </c>
      <c r="U544" s="3"/>
      <c r="V544" s="3"/>
      <c r="W544" s="3"/>
      <c r="X544" s="57"/>
      <c r="Y544" s="37">
        <f t="shared" si="94"/>
        <v>9.2092908623937833E-3</v>
      </c>
      <c r="Z544" s="37">
        <f t="shared" si="96"/>
        <v>-4.6875424281620628</v>
      </c>
      <c r="AA544" s="149">
        <f t="shared" si="95"/>
        <v>-4.3168941650756056E-2</v>
      </c>
      <c r="AB544" s="37"/>
      <c r="AC544" s="98"/>
      <c r="AD544" s="99"/>
      <c r="AE544" s="99"/>
    </row>
    <row r="545" spans="1:31" s="42" customFormat="1" ht="20.25" customHeight="1">
      <c r="A545" s="13">
        <v>42515</v>
      </c>
      <c r="B545" s="3">
        <v>4</v>
      </c>
      <c r="C545" s="3" t="s">
        <v>223</v>
      </c>
      <c r="D545" s="3" t="s">
        <v>224</v>
      </c>
      <c r="E545" s="3" t="s">
        <v>225</v>
      </c>
      <c r="F545" s="3" t="s">
        <v>248</v>
      </c>
      <c r="G545" s="3" t="s">
        <v>249</v>
      </c>
      <c r="H545" s="3" t="s">
        <v>250</v>
      </c>
      <c r="I545" s="3"/>
      <c r="J545" s="3">
        <v>2</v>
      </c>
      <c r="K545" s="3" t="s">
        <v>229</v>
      </c>
      <c r="L545" s="3" t="s">
        <v>250</v>
      </c>
      <c r="M545" s="3">
        <v>217</v>
      </c>
      <c r="N545" s="3">
        <f t="shared" si="90"/>
        <v>0.92165898617511521</v>
      </c>
      <c r="O545" s="36">
        <v>3277.1938775510207</v>
      </c>
      <c r="P545" s="8">
        <f t="shared" si="91"/>
        <v>30.204551866829682</v>
      </c>
      <c r="Q545" s="36">
        <v>3279.7912801484231</v>
      </c>
      <c r="R545" s="8">
        <f t="shared" si="92"/>
        <v>0.9209290862393783</v>
      </c>
      <c r="S545" s="36">
        <v>250</v>
      </c>
      <c r="T545" s="36">
        <v>250</v>
      </c>
      <c r="U545" s="3"/>
      <c r="V545" s="3"/>
      <c r="W545" s="67"/>
      <c r="X545" s="41"/>
      <c r="Y545" s="37">
        <f t="shared" si="94"/>
        <v>9.2092908623937833E-3</v>
      </c>
      <c r="Z545" s="37">
        <f t="shared" si="96"/>
        <v>-4.6875424281620628</v>
      </c>
      <c r="AA545" s="149">
        <f t="shared" si="95"/>
        <v>-4.3168941650756056E-2</v>
      </c>
      <c r="AB545" s="37"/>
      <c r="AC545" s="98"/>
      <c r="AD545" s="99"/>
      <c r="AE545" s="99"/>
    </row>
    <row r="546" spans="1:31" s="42" customFormat="1" ht="20.25" customHeight="1">
      <c r="A546" s="35">
        <v>42515</v>
      </c>
      <c r="B546" s="36">
        <v>4</v>
      </c>
      <c r="C546" s="36" t="s">
        <v>216</v>
      </c>
      <c r="D546" s="36" t="s">
        <v>217</v>
      </c>
      <c r="E546" s="36"/>
      <c r="F546" s="36"/>
      <c r="G546" s="36"/>
      <c r="H546" s="36" t="s">
        <v>219</v>
      </c>
      <c r="I546" s="36"/>
      <c r="J546" s="36">
        <v>3</v>
      </c>
      <c r="K546" s="36" t="s">
        <v>229</v>
      </c>
      <c r="L546" s="36" t="s">
        <v>619</v>
      </c>
      <c r="M546" s="36">
        <v>217</v>
      </c>
      <c r="N546" s="36">
        <f t="shared" si="90"/>
        <v>1.3824884792626728</v>
      </c>
      <c r="O546" s="36">
        <v>3277.1938775510207</v>
      </c>
      <c r="P546" s="40">
        <f t="shared" si="91"/>
        <v>45.306827800244527</v>
      </c>
      <c r="Q546" s="36">
        <v>3279.7912801484231</v>
      </c>
      <c r="R546" s="40">
        <f t="shared" si="92"/>
        <v>1.3813936293590676</v>
      </c>
      <c r="S546" s="36">
        <v>250</v>
      </c>
      <c r="T546" s="36">
        <v>250</v>
      </c>
      <c r="U546" s="36" t="s">
        <v>222</v>
      </c>
      <c r="V546" s="36"/>
      <c r="W546" s="3"/>
      <c r="X546" s="41"/>
      <c r="Y546" s="37">
        <f t="shared" si="94"/>
        <v>1.3813936293590677E-2</v>
      </c>
      <c r="Z546" s="37">
        <f t="shared" si="96"/>
        <v>-4.2820773200538982</v>
      </c>
      <c r="AA546" s="149">
        <f t="shared" si="95"/>
        <v>-5.9152343303454043E-2</v>
      </c>
      <c r="AB546" s="37"/>
      <c r="AC546" s="98"/>
      <c r="AD546" s="99"/>
      <c r="AE546" s="99"/>
    </row>
    <row r="547" spans="1:31" s="42" customFormat="1" ht="20.25" customHeight="1">
      <c r="A547" s="13">
        <v>42515</v>
      </c>
      <c r="B547" s="3">
        <v>4</v>
      </c>
      <c r="C547" s="51" t="s">
        <v>223</v>
      </c>
      <c r="D547" s="51" t="s">
        <v>224</v>
      </c>
      <c r="E547" s="51" t="s">
        <v>225</v>
      </c>
      <c r="F547" s="51" t="s">
        <v>226</v>
      </c>
      <c r="G547" s="51" t="s">
        <v>253</v>
      </c>
      <c r="H547" s="3" t="s">
        <v>256</v>
      </c>
      <c r="I547" s="3"/>
      <c r="J547" s="3">
        <v>28</v>
      </c>
      <c r="K547" s="3" t="s">
        <v>229</v>
      </c>
      <c r="L547" s="3" t="s">
        <v>256</v>
      </c>
      <c r="M547" s="3">
        <v>217</v>
      </c>
      <c r="N547" s="3">
        <f t="shared" si="90"/>
        <v>12.903225806451612</v>
      </c>
      <c r="O547" s="36">
        <v>3277.1938775510207</v>
      </c>
      <c r="P547" s="8">
        <f t="shared" si="91"/>
        <v>422.86372613561554</v>
      </c>
      <c r="Q547" s="36">
        <v>3279.7912801484231</v>
      </c>
      <c r="R547" s="8">
        <f t="shared" si="92"/>
        <v>12.893007207351296</v>
      </c>
      <c r="S547" s="3">
        <v>250</v>
      </c>
      <c r="T547" s="3">
        <v>250</v>
      </c>
      <c r="U547" s="3"/>
      <c r="V547" s="3"/>
      <c r="W547" s="3"/>
      <c r="X547" s="41"/>
      <c r="Y547" s="37">
        <f t="shared" si="94"/>
        <v>0.12893007207351295</v>
      </c>
      <c r="Z547" s="37">
        <f t="shared" si="96"/>
        <v>-2.0484850985468039</v>
      </c>
      <c r="AA547" s="149">
        <f t="shared" si="95"/>
        <v>-0.2641113313971567</v>
      </c>
      <c r="AB547" s="37"/>
      <c r="AC547" s="98"/>
      <c r="AD547" s="99"/>
      <c r="AE547" s="99"/>
    </row>
    <row r="548" spans="1:31" ht="20.25" customHeight="1">
      <c r="A548" s="13">
        <v>42515</v>
      </c>
      <c r="B548" s="51">
        <v>4</v>
      </c>
      <c r="C548" s="51" t="s">
        <v>223</v>
      </c>
      <c r="D548" s="51" t="s">
        <v>224</v>
      </c>
      <c r="E548" s="51" t="s">
        <v>225</v>
      </c>
      <c r="F548" s="51" t="s">
        <v>226</v>
      </c>
      <c r="G548" s="51" t="s">
        <v>261</v>
      </c>
      <c r="H548" s="3" t="s">
        <v>262</v>
      </c>
      <c r="I548" s="3"/>
      <c r="J548" s="3">
        <v>3</v>
      </c>
      <c r="K548" s="3" t="s">
        <v>229</v>
      </c>
      <c r="L548" s="3" t="s">
        <v>264</v>
      </c>
      <c r="M548" s="3">
        <v>217</v>
      </c>
      <c r="N548" s="3">
        <f t="shared" si="90"/>
        <v>1.3824884792626728</v>
      </c>
      <c r="O548" s="36">
        <v>3277.1938775510207</v>
      </c>
      <c r="P548" s="8">
        <f t="shared" si="91"/>
        <v>45.306827800244527</v>
      </c>
      <c r="Q548" s="36">
        <v>3279.7912801484231</v>
      </c>
      <c r="R548" s="8">
        <f t="shared" si="92"/>
        <v>1.3813936293590676</v>
      </c>
      <c r="S548" s="36">
        <v>250</v>
      </c>
      <c r="T548" s="36">
        <v>250</v>
      </c>
      <c r="U548" s="3"/>
      <c r="V548" s="3"/>
      <c r="W548" s="3"/>
      <c r="X548" s="36"/>
      <c r="Y548" s="37">
        <f t="shared" si="94"/>
        <v>1.3813936293590677E-2</v>
      </c>
      <c r="Z548" s="37">
        <f t="shared" si="96"/>
        <v>-4.2820773200538982</v>
      </c>
      <c r="AA548" s="149">
        <f t="shared" si="95"/>
        <v>-5.9152343303454043E-2</v>
      </c>
      <c r="AB548" s="37"/>
      <c r="AC548" s="98"/>
    </row>
    <row r="549" spans="1:31" ht="20.25" customHeight="1">
      <c r="A549" s="66">
        <v>42515</v>
      </c>
      <c r="B549" s="69">
        <v>4</v>
      </c>
      <c r="C549" s="67" t="s">
        <v>370</v>
      </c>
      <c r="D549" s="67"/>
      <c r="E549" s="67"/>
      <c r="F549" s="67"/>
      <c r="G549" s="67"/>
      <c r="H549" s="67"/>
      <c r="I549" s="67"/>
      <c r="J549" s="67">
        <v>2</v>
      </c>
      <c r="K549" s="67" t="s">
        <v>328</v>
      </c>
      <c r="L549" s="67" t="s">
        <v>328</v>
      </c>
      <c r="M549" s="67">
        <v>217</v>
      </c>
      <c r="N549" s="67">
        <f t="shared" si="90"/>
        <v>0.92165898617511521</v>
      </c>
      <c r="O549" s="36">
        <v>3277.1938775510207</v>
      </c>
      <c r="P549" s="8">
        <f t="shared" si="91"/>
        <v>30.204551866829682</v>
      </c>
      <c r="Q549" s="36">
        <v>3279.7912801484231</v>
      </c>
      <c r="R549" s="8">
        <f t="shared" si="92"/>
        <v>0.9209290862393783</v>
      </c>
      <c r="S549" s="67">
        <v>250</v>
      </c>
      <c r="T549" s="67">
        <v>250</v>
      </c>
      <c r="U549" s="67"/>
      <c r="V549" s="67"/>
      <c r="W549" s="3"/>
      <c r="X549" s="36"/>
      <c r="Y549" s="37">
        <f t="shared" si="94"/>
        <v>9.2092908623937833E-3</v>
      </c>
      <c r="Z549" s="37">
        <f t="shared" si="96"/>
        <v>-4.6875424281620628</v>
      </c>
      <c r="AA549" s="149">
        <f t="shared" si="95"/>
        <v>-4.3168941650756056E-2</v>
      </c>
      <c r="AB549" s="37"/>
      <c r="AC549" s="98"/>
    </row>
    <row r="550" spans="1:31" ht="20.25" customHeight="1">
      <c r="A550" s="35">
        <v>42515</v>
      </c>
      <c r="B550" s="76">
        <v>2</v>
      </c>
      <c r="C550" s="36" t="s">
        <v>323</v>
      </c>
      <c r="D550" s="36" t="s">
        <v>324</v>
      </c>
      <c r="E550" s="36"/>
      <c r="F550" s="36" t="s">
        <v>325</v>
      </c>
      <c r="G550" s="36" t="s">
        <v>326</v>
      </c>
      <c r="H550" s="36" t="s">
        <v>327</v>
      </c>
      <c r="I550" s="36"/>
      <c r="J550" s="36">
        <v>13</v>
      </c>
      <c r="K550" s="36" t="s">
        <v>229</v>
      </c>
      <c r="L550" s="36" t="s">
        <v>327</v>
      </c>
      <c r="M550" s="36">
        <v>13</v>
      </c>
      <c r="N550" s="36">
        <f t="shared" si="90"/>
        <v>100</v>
      </c>
      <c r="O550" s="36">
        <v>1.805680950065977</v>
      </c>
      <c r="P550" s="40">
        <f t="shared" si="91"/>
        <v>1.805680950065977</v>
      </c>
      <c r="Q550" s="36">
        <v>3605.4791503378206</v>
      </c>
      <c r="R550" s="40">
        <f t="shared" si="92"/>
        <v>5.008158069356166E-2</v>
      </c>
      <c r="S550" s="65">
        <v>1000</v>
      </c>
      <c r="T550" s="65">
        <v>1000</v>
      </c>
      <c r="U550" s="65"/>
      <c r="V550" s="65"/>
      <c r="W550" s="51"/>
      <c r="X550" s="36"/>
      <c r="Y550" s="37">
        <f t="shared" si="94"/>
        <v>5.0081580693561657E-4</v>
      </c>
      <c r="Z550" s="37">
        <f t="shared" si="96"/>
        <v>-7.5992721753066563</v>
      </c>
      <c r="AA550" s="149">
        <f t="shared" si="95"/>
        <v>-3.8058356265995813E-3</v>
      </c>
      <c r="AB550" s="37">
        <f>SUM(AA550:AA557)*-1</f>
        <v>0.50621114573552484</v>
      </c>
      <c r="AC550" s="98">
        <v>8</v>
      </c>
      <c r="AD550" s="98">
        <f t="shared" ref="AD550" si="99">LN(AC550)</f>
        <v>2.0794415416798357</v>
      </c>
      <c r="AE550" s="98">
        <f>(AB550/AD550)</f>
        <v>0.24343610319845402</v>
      </c>
    </row>
    <row r="551" spans="1:31" ht="20.25" customHeight="1">
      <c r="A551" s="35">
        <v>42515</v>
      </c>
      <c r="B551" s="65">
        <v>2</v>
      </c>
      <c r="C551" s="65" t="s">
        <v>223</v>
      </c>
      <c r="D551" s="65" t="s">
        <v>224</v>
      </c>
      <c r="E551" s="65" t="s">
        <v>225</v>
      </c>
      <c r="F551" s="65" t="s">
        <v>226</v>
      </c>
      <c r="G551" s="65" t="s">
        <v>227</v>
      </c>
      <c r="H551" s="36" t="s">
        <v>228</v>
      </c>
      <c r="I551" s="36"/>
      <c r="J551" s="36">
        <v>3</v>
      </c>
      <c r="K551" s="3" t="s">
        <v>229</v>
      </c>
      <c r="L551" s="36" t="s">
        <v>228</v>
      </c>
      <c r="M551" s="36">
        <v>194</v>
      </c>
      <c r="N551" s="36">
        <f t="shared" si="90"/>
        <v>1.5463917525773196</v>
      </c>
      <c r="O551" s="36">
        <v>3603.6734693877547</v>
      </c>
      <c r="P551" s="40">
        <f t="shared" si="91"/>
        <v>55.726909320429201</v>
      </c>
      <c r="Q551" s="36">
        <v>3605.4791503378206</v>
      </c>
      <c r="R551" s="40">
        <f t="shared" si="92"/>
        <v>1.5456172951439142</v>
      </c>
      <c r="S551" s="65">
        <v>250</v>
      </c>
      <c r="T551" s="65">
        <v>250</v>
      </c>
      <c r="U551" s="65"/>
      <c r="V551" s="65"/>
      <c r="W551" s="51"/>
      <c r="X551" s="36"/>
      <c r="Y551" s="37">
        <f t="shared" si="94"/>
        <v>1.5456172951439142E-2</v>
      </c>
      <c r="Z551" s="37">
        <f t="shared" si="96"/>
        <v>-4.1697468116522769</v>
      </c>
      <c r="AA551" s="149">
        <f t="shared" si="95"/>
        <v>-6.4448327884609524E-2</v>
      </c>
      <c r="AB551" s="37"/>
      <c r="AC551" s="98"/>
    </row>
    <row r="552" spans="1:31" ht="20.25" customHeight="1">
      <c r="A552" s="13">
        <v>42515</v>
      </c>
      <c r="B552" s="51">
        <v>2</v>
      </c>
      <c r="C552" s="51" t="s">
        <v>223</v>
      </c>
      <c r="D552" s="51" t="s">
        <v>303</v>
      </c>
      <c r="E552" s="51" t="s">
        <v>304</v>
      </c>
      <c r="F552" s="51" t="s">
        <v>305</v>
      </c>
      <c r="G552" s="51" t="s">
        <v>306</v>
      </c>
      <c r="H552" s="3" t="s">
        <v>307</v>
      </c>
      <c r="I552" s="3"/>
      <c r="J552" s="51">
        <v>1</v>
      </c>
      <c r="K552" s="51" t="s">
        <v>229</v>
      </c>
      <c r="L552" s="51" t="s">
        <v>307</v>
      </c>
      <c r="M552" s="3">
        <v>194</v>
      </c>
      <c r="N552" s="3">
        <f t="shared" si="90"/>
        <v>0.51546391752577314</v>
      </c>
      <c r="O552" s="36">
        <v>3603.6734693877547</v>
      </c>
      <c r="P552" s="8">
        <f t="shared" si="91"/>
        <v>18.575636440143061</v>
      </c>
      <c r="Q552" s="36">
        <v>3605.4791503378206</v>
      </c>
      <c r="R552" s="8">
        <f t="shared" si="92"/>
        <v>0.51520576504797122</v>
      </c>
      <c r="S552" s="51">
        <v>250</v>
      </c>
      <c r="T552" s="51">
        <v>250</v>
      </c>
      <c r="U552" s="65" t="s">
        <v>620</v>
      </c>
      <c r="V552" s="51"/>
      <c r="W552" s="51"/>
      <c r="X552" s="36"/>
      <c r="Y552" s="37">
        <f t="shared" si="94"/>
        <v>5.1520576504797124E-3</v>
      </c>
      <c r="Z552" s="37">
        <f t="shared" si="96"/>
        <v>-5.2683591003203869</v>
      </c>
      <c r="AA552" s="149">
        <f t="shared" si="95"/>
        <v>-2.7142889808280064E-2</v>
      </c>
      <c r="AB552" s="37"/>
      <c r="AC552" s="98"/>
    </row>
    <row r="553" spans="1:31" ht="20.25" customHeight="1">
      <c r="A553" s="13">
        <v>42515</v>
      </c>
      <c r="B553" s="51">
        <v>2</v>
      </c>
      <c r="C553" s="51" t="s">
        <v>223</v>
      </c>
      <c r="D553" s="51" t="s">
        <v>317</v>
      </c>
      <c r="E553" s="51" t="s">
        <v>314</v>
      </c>
      <c r="F553" s="51" t="s">
        <v>346</v>
      </c>
      <c r="G553" s="51" t="s">
        <v>315</v>
      </c>
      <c r="H553" s="3" t="s">
        <v>365</v>
      </c>
      <c r="I553" s="3" t="s">
        <v>366</v>
      </c>
      <c r="J553" s="3">
        <v>1</v>
      </c>
      <c r="K553" s="3" t="s">
        <v>247</v>
      </c>
      <c r="L553" s="3" t="s">
        <v>345</v>
      </c>
      <c r="M553" s="36">
        <v>194</v>
      </c>
      <c r="N553" s="3">
        <f t="shared" si="90"/>
        <v>0.51546391752577314</v>
      </c>
      <c r="O553" s="36">
        <v>3603.6734693877547</v>
      </c>
      <c r="P553" s="8">
        <f t="shared" si="91"/>
        <v>18.575636440143061</v>
      </c>
      <c r="Q553" s="36">
        <v>3605.4791503378206</v>
      </c>
      <c r="R553" s="8">
        <f t="shared" si="92"/>
        <v>0.51520576504797122</v>
      </c>
      <c r="S553" s="65">
        <v>250</v>
      </c>
      <c r="T553" s="65">
        <v>250</v>
      </c>
      <c r="U553" s="51" t="s">
        <v>367</v>
      </c>
      <c r="V553" s="51"/>
      <c r="W553" s="51"/>
      <c r="X553" s="36"/>
      <c r="Y553" s="37">
        <f t="shared" si="94"/>
        <v>5.1520576504797124E-3</v>
      </c>
      <c r="Z553" s="37">
        <f t="shared" si="96"/>
        <v>-5.2683591003203869</v>
      </c>
      <c r="AA553" s="149">
        <f t="shared" si="95"/>
        <v>-2.7142889808280064E-2</v>
      </c>
      <c r="AB553" s="37"/>
      <c r="AC553" s="98"/>
    </row>
    <row r="554" spans="1:31" ht="20.25" customHeight="1">
      <c r="A554" s="13">
        <v>42515</v>
      </c>
      <c r="B554" s="51">
        <v>2</v>
      </c>
      <c r="C554" s="3" t="s">
        <v>223</v>
      </c>
      <c r="D554" s="3" t="s">
        <v>224</v>
      </c>
      <c r="E554" s="3" t="s">
        <v>225</v>
      </c>
      <c r="F554" s="3" t="s">
        <v>226</v>
      </c>
      <c r="G554" s="51" t="s">
        <v>239</v>
      </c>
      <c r="H554" s="51" t="s">
        <v>240</v>
      </c>
      <c r="I554" s="3"/>
      <c r="J554" s="3">
        <v>170</v>
      </c>
      <c r="K554" s="3" t="s">
        <v>229</v>
      </c>
      <c r="L554" s="3" t="s">
        <v>240</v>
      </c>
      <c r="M554" s="3">
        <v>194</v>
      </c>
      <c r="N554" s="3">
        <f t="shared" si="90"/>
        <v>87.628865979381445</v>
      </c>
      <c r="O554" s="36">
        <v>3603.6734693877547</v>
      </c>
      <c r="P554" s="8">
        <f t="shared" si="91"/>
        <v>3157.8581948243213</v>
      </c>
      <c r="Q554" s="36">
        <v>3605.4791503378206</v>
      </c>
      <c r="R554" s="8">
        <f t="shared" si="92"/>
        <v>87.584980058155139</v>
      </c>
      <c r="S554" s="51">
        <v>250</v>
      </c>
      <c r="T554" s="51">
        <v>250</v>
      </c>
      <c r="U554" s="51" t="s">
        <v>358</v>
      </c>
      <c r="V554" s="51"/>
      <c r="W554" s="51"/>
      <c r="X554" s="36"/>
      <c r="Y554" s="37">
        <f t="shared" si="94"/>
        <v>0.87584980058155137</v>
      </c>
      <c r="Z554" s="37">
        <f t="shared" si="96"/>
        <v>-0.13256066327012478</v>
      </c>
      <c r="AA554" s="149">
        <f t="shared" si="95"/>
        <v>-0.11610323049009696</v>
      </c>
      <c r="AB554" s="37"/>
      <c r="AC554" s="98"/>
    </row>
    <row r="555" spans="1:31" ht="20.25" customHeight="1">
      <c r="A555" s="13">
        <v>42515</v>
      </c>
      <c r="B555" s="51">
        <v>2</v>
      </c>
      <c r="C555" s="3" t="s">
        <v>223</v>
      </c>
      <c r="D555" s="3" t="s">
        <v>224</v>
      </c>
      <c r="E555" s="3" t="s">
        <v>225</v>
      </c>
      <c r="F555" s="3" t="s">
        <v>248</v>
      </c>
      <c r="G555" s="51" t="s">
        <v>249</v>
      </c>
      <c r="H555" s="51" t="s">
        <v>250</v>
      </c>
      <c r="I555" s="3"/>
      <c r="J555" s="3">
        <v>1</v>
      </c>
      <c r="K555" s="3" t="s">
        <v>229</v>
      </c>
      <c r="L555" s="3" t="s">
        <v>250</v>
      </c>
      <c r="M555" s="36">
        <v>194</v>
      </c>
      <c r="N555" s="3">
        <f t="shared" si="90"/>
        <v>0.51546391752577314</v>
      </c>
      <c r="O555" s="36">
        <v>3603.6734693877547</v>
      </c>
      <c r="P555" s="8">
        <f t="shared" si="91"/>
        <v>18.575636440143061</v>
      </c>
      <c r="Q555" s="36">
        <v>3605.4791503378206</v>
      </c>
      <c r="R555" s="8">
        <f t="shared" si="92"/>
        <v>0.51520576504797122</v>
      </c>
      <c r="S555" s="65">
        <v>250</v>
      </c>
      <c r="T555" s="65">
        <v>250</v>
      </c>
      <c r="U555" s="51"/>
      <c r="V555" s="51"/>
      <c r="W555" s="51"/>
      <c r="X555" s="36"/>
      <c r="Y555" s="37">
        <f t="shared" si="94"/>
        <v>5.1520576504797124E-3</v>
      </c>
      <c r="Z555" s="37">
        <f t="shared" si="96"/>
        <v>-5.2683591003203869</v>
      </c>
      <c r="AA555" s="149">
        <f t="shared" si="95"/>
        <v>-2.7142889808280064E-2</v>
      </c>
      <c r="AB555" s="37"/>
      <c r="AC555" s="98"/>
    </row>
    <row r="556" spans="1:31" ht="20.25" customHeight="1">
      <c r="A556" s="13">
        <v>42515</v>
      </c>
      <c r="B556" s="51">
        <v>2</v>
      </c>
      <c r="C556" s="3" t="s">
        <v>223</v>
      </c>
      <c r="D556" s="3" t="s">
        <v>224</v>
      </c>
      <c r="E556" s="3" t="s">
        <v>225</v>
      </c>
      <c r="F556" s="3" t="s">
        <v>226</v>
      </c>
      <c r="G556" s="51" t="s">
        <v>253</v>
      </c>
      <c r="H556" s="51" t="s">
        <v>256</v>
      </c>
      <c r="I556" s="3"/>
      <c r="J556" s="3">
        <v>17</v>
      </c>
      <c r="K556" s="3" t="s">
        <v>229</v>
      </c>
      <c r="L556" s="3" t="s">
        <v>256</v>
      </c>
      <c r="M556" s="3">
        <v>194</v>
      </c>
      <c r="N556" s="3">
        <f t="shared" si="90"/>
        <v>8.7628865979381434</v>
      </c>
      <c r="O556" s="36">
        <v>3603.6734693877547</v>
      </c>
      <c r="P556" s="8">
        <f t="shared" si="91"/>
        <v>315.78581948243209</v>
      </c>
      <c r="Q556" s="36">
        <v>3605.4791503378206</v>
      </c>
      <c r="R556" s="8">
        <f t="shared" si="92"/>
        <v>8.7584980058155129</v>
      </c>
      <c r="S556" s="51">
        <v>250</v>
      </c>
      <c r="T556" s="51">
        <v>250</v>
      </c>
      <c r="U556" s="51"/>
      <c r="V556" s="51"/>
      <c r="W556" s="51"/>
      <c r="X556" s="36"/>
      <c r="Y556" s="37">
        <f t="shared" si="94"/>
        <v>8.7584980058155126E-2</v>
      </c>
      <c r="Z556" s="37">
        <f t="shared" si="96"/>
        <v>-2.4351457562641707</v>
      </c>
      <c r="AA556" s="149">
        <f t="shared" si="95"/>
        <v>-0.21328219250109848</v>
      </c>
      <c r="AB556" s="37"/>
      <c r="AC556" s="98"/>
    </row>
    <row r="557" spans="1:31" ht="20.25" customHeight="1">
      <c r="A557" s="13">
        <v>42515</v>
      </c>
      <c r="B557" s="51">
        <v>2</v>
      </c>
      <c r="C557" s="3" t="s">
        <v>223</v>
      </c>
      <c r="D557" s="3" t="s">
        <v>224</v>
      </c>
      <c r="E557" s="3" t="s">
        <v>225</v>
      </c>
      <c r="F557" s="3" t="s">
        <v>226</v>
      </c>
      <c r="G557" s="3" t="s">
        <v>261</v>
      </c>
      <c r="H557" s="3" t="s">
        <v>262</v>
      </c>
      <c r="I557" s="3"/>
      <c r="J557" s="3">
        <v>1</v>
      </c>
      <c r="K557" s="3" t="s">
        <v>229</v>
      </c>
      <c r="L557" s="3" t="s">
        <v>264</v>
      </c>
      <c r="M557" s="36">
        <v>194</v>
      </c>
      <c r="N557" s="3">
        <f t="shared" si="90"/>
        <v>0.51546391752577314</v>
      </c>
      <c r="O557" s="36">
        <v>3603.6734693877547</v>
      </c>
      <c r="P557" s="8">
        <f t="shared" si="91"/>
        <v>18.575636440143061</v>
      </c>
      <c r="Q557" s="36">
        <v>3605.4791503378206</v>
      </c>
      <c r="R557" s="8">
        <f t="shared" si="92"/>
        <v>0.51520576504797122</v>
      </c>
      <c r="S557" s="65">
        <v>250</v>
      </c>
      <c r="T557" s="65">
        <v>250</v>
      </c>
      <c r="U557" s="51"/>
      <c r="V557" s="51"/>
      <c r="W557" s="51"/>
      <c r="X557" s="36"/>
      <c r="Y557" s="37">
        <f t="shared" si="94"/>
        <v>5.1520576504797124E-3</v>
      </c>
      <c r="Z557" s="37">
        <f t="shared" si="96"/>
        <v>-5.2683591003203869</v>
      </c>
      <c r="AA557" s="149">
        <f t="shared" si="95"/>
        <v>-2.7142889808280064E-2</v>
      </c>
      <c r="AB557" s="37"/>
      <c r="AC557" s="98"/>
    </row>
    <row r="558" spans="1:31" ht="20.25" customHeight="1">
      <c r="A558" s="35">
        <v>42571</v>
      </c>
      <c r="B558" s="65">
        <v>8</v>
      </c>
      <c r="C558" s="36" t="s">
        <v>209</v>
      </c>
      <c r="D558" s="36" t="s">
        <v>210</v>
      </c>
      <c r="E558" s="36"/>
      <c r="F558" s="36" t="s">
        <v>211</v>
      </c>
      <c r="G558" s="36" t="s">
        <v>212</v>
      </c>
      <c r="H558" s="36" t="s">
        <v>213</v>
      </c>
      <c r="I558" s="36" t="s">
        <v>214</v>
      </c>
      <c r="J558" s="36">
        <v>1</v>
      </c>
      <c r="K558" s="36" t="s">
        <v>247</v>
      </c>
      <c r="L558" s="36" t="s">
        <v>215</v>
      </c>
      <c r="M558" s="36">
        <v>3</v>
      </c>
      <c r="N558" s="36">
        <f t="shared" si="90"/>
        <v>33.333333333333329</v>
      </c>
      <c r="O558" s="36">
        <v>0.37164743047095994</v>
      </c>
      <c r="P558" s="40">
        <f t="shared" si="91"/>
        <v>0.12388247682365329</v>
      </c>
      <c r="Q558" s="36">
        <v>2673.1168745535783</v>
      </c>
      <c r="R558" s="40">
        <f t="shared" si="92"/>
        <v>4.6343831054653072E-3</v>
      </c>
      <c r="S558" s="36">
        <v>1000</v>
      </c>
      <c r="T558" s="36">
        <v>1000</v>
      </c>
      <c r="U558" s="36"/>
      <c r="V558" s="36"/>
      <c r="W558" s="36"/>
      <c r="X558" s="36"/>
      <c r="Y558" s="37">
        <f t="shared" si="94"/>
        <v>4.6343831054653073E-5</v>
      </c>
      <c r="Z558" s="37">
        <f t="shared" si="96"/>
        <v>-9.9794223696398046</v>
      </c>
      <c r="AA558" s="149">
        <f t="shared" si="95"/>
        <v>-4.6248466432161273E-4</v>
      </c>
      <c r="AB558" s="37">
        <f>SUM(AA558:AA571)*-1</f>
        <v>1.450362929887087</v>
      </c>
      <c r="AC558" s="98">
        <v>14</v>
      </c>
      <c r="AD558" s="98">
        <f t="shared" ref="AD558" si="100">LN(AC558)</f>
        <v>2.6390573296152584</v>
      </c>
      <c r="AE558" s="98">
        <f>(AB558/AD558)</f>
        <v>0.54957613599797461</v>
      </c>
    </row>
    <row r="559" spans="1:31" ht="20.25" customHeight="1">
      <c r="A559" s="35">
        <v>42571</v>
      </c>
      <c r="B559" s="65">
        <v>8</v>
      </c>
      <c r="C559" s="36" t="s">
        <v>223</v>
      </c>
      <c r="D559" s="36" t="s">
        <v>224</v>
      </c>
      <c r="E559" s="36" t="s">
        <v>225</v>
      </c>
      <c r="F559" s="36" t="s">
        <v>555</v>
      </c>
      <c r="G559" s="36" t="s">
        <v>556</v>
      </c>
      <c r="H559" s="36" t="s">
        <v>557</v>
      </c>
      <c r="I559" s="36"/>
      <c r="J559" s="36">
        <v>1</v>
      </c>
      <c r="K559" s="36" t="s">
        <v>229</v>
      </c>
      <c r="L559" s="36" t="s">
        <v>557</v>
      </c>
      <c r="M559" s="36">
        <v>3</v>
      </c>
      <c r="N559" s="36">
        <f t="shared" si="90"/>
        <v>33.333333333333329</v>
      </c>
      <c r="O559" s="36">
        <v>0.37164743047095994</v>
      </c>
      <c r="P559" s="40">
        <f t="shared" si="91"/>
        <v>0.12388247682365329</v>
      </c>
      <c r="Q559" s="36">
        <v>2673.1168745535783</v>
      </c>
      <c r="R559" s="40">
        <f t="shared" si="92"/>
        <v>4.6343831054653072E-3</v>
      </c>
      <c r="S559" s="36">
        <v>1000</v>
      </c>
      <c r="T559" s="36">
        <v>1000</v>
      </c>
      <c r="U559" s="36"/>
      <c r="V559" s="36"/>
      <c r="W559" s="36"/>
      <c r="X559" s="36"/>
      <c r="Y559" s="37">
        <f t="shared" si="94"/>
        <v>4.6343831054653073E-5</v>
      </c>
      <c r="Z559" s="37">
        <f t="shared" si="96"/>
        <v>-9.9794223696398046</v>
      </c>
      <c r="AA559" s="149">
        <f t="shared" si="95"/>
        <v>-4.6248466432161273E-4</v>
      </c>
      <c r="AB559" s="37"/>
      <c r="AC559" s="98" t="s">
        <v>681</v>
      </c>
    </row>
    <row r="560" spans="1:31" ht="20.25" customHeight="1">
      <c r="A560" s="35">
        <v>42571</v>
      </c>
      <c r="B560" s="65">
        <v>8</v>
      </c>
      <c r="C560" s="36" t="s">
        <v>223</v>
      </c>
      <c r="D560" s="36" t="s">
        <v>224</v>
      </c>
      <c r="E560" s="36" t="s">
        <v>225</v>
      </c>
      <c r="F560" s="36" t="s">
        <v>521</v>
      </c>
      <c r="G560" s="36" t="s">
        <v>522</v>
      </c>
      <c r="H560" s="36" t="s">
        <v>523</v>
      </c>
      <c r="I560" s="36" t="s">
        <v>551</v>
      </c>
      <c r="J560" s="36">
        <v>1</v>
      </c>
      <c r="K560" s="36" t="s">
        <v>544</v>
      </c>
      <c r="L560" s="36" t="s">
        <v>524</v>
      </c>
      <c r="M560" s="36">
        <v>3</v>
      </c>
      <c r="N560" s="36">
        <f t="shared" si="90"/>
        <v>33.333333333333329</v>
      </c>
      <c r="O560" s="36">
        <v>0.37164743047095994</v>
      </c>
      <c r="P560" s="40">
        <f t="shared" si="91"/>
        <v>0.12388247682365329</v>
      </c>
      <c r="Q560" s="36">
        <v>2673.1168745535783</v>
      </c>
      <c r="R560" s="40">
        <f t="shared" si="92"/>
        <v>4.6343831054653072E-3</v>
      </c>
      <c r="S560" s="36">
        <v>1000</v>
      </c>
      <c r="T560" s="36">
        <v>1000</v>
      </c>
      <c r="U560" s="36"/>
      <c r="V560" s="36"/>
      <c r="W560" s="36"/>
      <c r="X560" s="36"/>
      <c r="Y560" s="37">
        <f t="shared" si="94"/>
        <v>4.6343831054653073E-5</v>
      </c>
      <c r="Z560" s="37">
        <f t="shared" si="96"/>
        <v>-9.9794223696398046</v>
      </c>
      <c r="AA560" s="149">
        <f t="shared" si="95"/>
        <v>-4.6248466432161273E-4</v>
      </c>
      <c r="AB560" s="37"/>
      <c r="AC560" s="98"/>
    </row>
    <row r="561" spans="1:31" ht="20.25" customHeight="1">
      <c r="A561" s="72">
        <v>42571</v>
      </c>
      <c r="B561" s="65">
        <v>8</v>
      </c>
      <c r="C561" s="3" t="s">
        <v>223</v>
      </c>
      <c r="D561" s="3" t="s">
        <v>224</v>
      </c>
      <c r="E561" s="3" t="s">
        <v>225</v>
      </c>
      <c r="F561" s="3" t="s">
        <v>226</v>
      </c>
      <c r="G561" s="3" t="s">
        <v>227</v>
      </c>
      <c r="H561" s="3" t="s">
        <v>228</v>
      </c>
      <c r="I561" s="3"/>
      <c r="J561" s="36">
        <v>118</v>
      </c>
      <c r="K561" s="3" t="s">
        <v>229</v>
      </c>
      <c r="L561" s="36" t="s">
        <v>228</v>
      </c>
      <c r="M561" s="3">
        <v>237</v>
      </c>
      <c r="N561" s="3">
        <f t="shared" si="90"/>
        <v>49.789029535864984</v>
      </c>
      <c r="O561" s="36">
        <v>2672.7452271231073</v>
      </c>
      <c r="P561" s="8">
        <f t="shared" si="91"/>
        <v>1330.7339105507453</v>
      </c>
      <c r="Q561" s="36">
        <v>2673.1168745535783</v>
      </c>
      <c r="R561" s="40">
        <f t="shared" si="92"/>
        <v>49.782107292745422</v>
      </c>
      <c r="S561" s="36">
        <v>250</v>
      </c>
      <c r="T561" s="36">
        <v>250</v>
      </c>
      <c r="U561" s="3"/>
      <c r="V561" s="3"/>
      <c r="W561" s="36"/>
      <c r="X561" s="36"/>
      <c r="Y561" s="37">
        <f t="shared" si="94"/>
        <v>0.4978210729274542</v>
      </c>
      <c r="Z561" s="37">
        <f t="shared" si="96"/>
        <v>-0.69751455782840444</v>
      </c>
      <c r="AA561" s="149">
        <f t="shared" si="95"/>
        <v>-0.34723744556065511</v>
      </c>
      <c r="AB561" s="37"/>
      <c r="AC561" s="98"/>
    </row>
    <row r="562" spans="1:31" s="61" customFormat="1" ht="20.25" customHeight="1">
      <c r="A562" s="72">
        <v>42571</v>
      </c>
      <c r="B562" s="65">
        <v>8</v>
      </c>
      <c r="C562" s="51" t="s">
        <v>223</v>
      </c>
      <c r="D562" s="3" t="s">
        <v>303</v>
      </c>
      <c r="E562" s="3" t="s">
        <v>304</v>
      </c>
      <c r="F562" s="51" t="s">
        <v>305</v>
      </c>
      <c r="G562" s="51" t="s">
        <v>306</v>
      </c>
      <c r="H562" s="51" t="s">
        <v>307</v>
      </c>
      <c r="I562" s="51"/>
      <c r="J562" s="65">
        <v>1</v>
      </c>
      <c r="K562" s="51" t="s">
        <v>229</v>
      </c>
      <c r="L562" s="51" t="s">
        <v>307</v>
      </c>
      <c r="M562" s="3">
        <v>237</v>
      </c>
      <c r="N562" s="3">
        <f t="shared" si="90"/>
        <v>0.42194092827004215</v>
      </c>
      <c r="O562" s="36">
        <v>2672.7452271231073</v>
      </c>
      <c r="P562" s="8">
        <f t="shared" si="91"/>
        <v>11.277406021616486</v>
      </c>
      <c r="Q562" s="36">
        <v>2673.1168745535783</v>
      </c>
      <c r="R562" s="40">
        <f t="shared" si="92"/>
        <v>0.42188226519275773</v>
      </c>
      <c r="S562" s="36">
        <v>250</v>
      </c>
      <c r="T562" s="36">
        <v>250</v>
      </c>
      <c r="U562" s="36" t="s">
        <v>620</v>
      </c>
      <c r="V562" s="3"/>
      <c r="W562" s="36"/>
      <c r="X562" s="57"/>
      <c r="Y562" s="37">
        <f t="shared" si="94"/>
        <v>4.2188226519275776E-3</v>
      </c>
      <c r="Z562" s="37">
        <f t="shared" si="96"/>
        <v>-5.468199182294069</v>
      </c>
      <c r="AA562" s="149">
        <f t="shared" si="95"/>
        <v>-2.3069362575514077E-2</v>
      </c>
      <c r="AB562" s="37"/>
      <c r="AC562" s="98"/>
      <c r="AD562" s="99"/>
      <c r="AE562" s="99"/>
    </row>
    <row r="563" spans="1:31" ht="20.25" customHeight="1">
      <c r="A563" s="72">
        <v>42571</v>
      </c>
      <c r="B563" s="65">
        <v>8</v>
      </c>
      <c r="C563" s="36" t="s">
        <v>300</v>
      </c>
      <c r="D563" s="36" t="s">
        <v>320</v>
      </c>
      <c r="E563" s="36"/>
      <c r="F563" s="36"/>
      <c r="G563" s="36"/>
      <c r="H563" s="36"/>
      <c r="I563" s="36"/>
      <c r="J563" s="36">
        <v>3</v>
      </c>
      <c r="K563" s="36" t="s">
        <v>221</v>
      </c>
      <c r="L563" s="36" t="s">
        <v>322</v>
      </c>
      <c r="M563" s="36">
        <v>237</v>
      </c>
      <c r="N563" s="36">
        <f t="shared" si="90"/>
        <v>1.2658227848101267</v>
      </c>
      <c r="O563" s="36">
        <v>2672.7452271231073</v>
      </c>
      <c r="P563" s="40">
        <f t="shared" si="91"/>
        <v>33.832218064849464</v>
      </c>
      <c r="Q563" s="36">
        <v>2673.1168745535783</v>
      </c>
      <c r="R563" s="40">
        <f t="shared" si="92"/>
        <v>1.2656467955782735</v>
      </c>
      <c r="S563" s="36">
        <v>250</v>
      </c>
      <c r="T563" s="36">
        <v>250</v>
      </c>
      <c r="U563" s="36"/>
      <c r="V563" s="36"/>
      <c r="W563" s="36"/>
      <c r="X563" s="36"/>
      <c r="Y563" s="37">
        <f t="shared" si="94"/>
        <v>1.2656467955782735E-2</v>
      </c>
      <c r="Z563" s="37">
        <f t="shared" si="96"/>
        <v>-4.369586893625959</v>
      </c>
      <c r="AA563" s="149">
        <f t="shared" si="95"/>
        <v>-5.5303536499185173E-2</v>
      </c>
      <c r="AB563" s="37"/>
      <c r="AC563" s="98"/>
    </row>
    <row r="564" spans="1:31" ht="20.25" customHeight="1">
      <c r="A564" s="72">
        <v>42571</v>
      </c>
      <c r="B564" s="65">
        <v>8</v>
      </c>
      <c r="C564" s="76" t="s">
        <v>295</v>
      </c>
      <c r="D564" s="38" t="s">
        <v>296</v>
      </c>
      <c r="F564" s="76" t="s">
        <v>297</v>
      </c>
      <c r="G564" s="76" t="s">
        <v>298</v>
      </c>
      <c r="H564" s="76" t="s">
        <v>299</v>
      </c>
      <c r="I564" s="36"/>
      <c r="J564" s="36">
        <v>1</v>
      </c>
      <c r="K564" s="36" t="s">
        <v>229</v>
      </c>
      <c r="L564" s="36" t="s">
        <v>369</v>
      </c>
      <c r="M564" s="36">
        <v>237</v>
      </c>
      <c r="N564" s="36">
        <f t="shared" si="90"/>
        <v>0.42194092827004215</v>
      </c>
      <c r="O564" s="36">
        <v>2672.7452271231073</v>
      </c>
      <c r="P564" s="53">
        <f t="shared" si="91"/>
        <v>11.277406021616486</v>
      </c>
      <c r="Q564" s="36">
        <v>2673.1168745535783</v>
      </c>
      <c r="R564" s="53">
        <f t="shared" si="92"/>
        <v>0.42188226519275773</v>
      </c>
      <c r="S564" s="36">
        <v>250</v>
      </c>
      <c r="T564" s="36">
        <v>250</v>
      </c>
      <c r="U564" s="36"/>
      <c r="V564" s="36"/>
      <c r="W564" s="36"/>
      <c r="X564" s="36"/>
      <c r="Y564" s="37">
        <f t="shared" si="94"/>
        <v>4.2188226519275776E-3</v>
      </c>
      <c r="Z564" s="37">
        <f t="shared" si="96"/>
        <v>-5.468199182294069</v>
      </c>
      <c r="AA564" s="149">
        <f t="shared" si="95"/>
        <v>-2.3069362575514077E-2</v>
      </c>
      <c r="AB564" s="37"/>
      <c r="AC564" s="98"/>
    </row>
    <row r="565" spans="1:31" ht="20.25" customHeight="1">
      <c r="A565" s="72">
        <v>42571</v>
      </c>
      <c r="B565" s="65">
        <v>8</v>
      </c>
      <c r="C565" s="3" t="s">
        <v>223</v>
      </c>
      <c r="D565" s="3" t="s">
        <v>224</v>
      </c>
      <c r="E565" s="3" t="s">
        <v>225</v>
      </c>
      <c r="F565" s="3" t="s">
        <v>226</v>
      </c>
      <c r="G565" s="3" t="s">
        <v>235</v>
      </c>
      <c r="H565" s="3" t="s">
        <v>236</v>
      </c>
      <c r="I565" s="3"/>
      <c r="J565" s="36">
        <v>8</v>
      </c>
      <c r="K565" s="3" t="s">
        <v>229</v>
      </c>
      <c r="L565" s="36" t="s">
        <v>236</v>
      </c>
      <c r="M565" s="3">
        <v>237</v>
      </c>
      <c r="N565" s="3">
        <f t="shared" si="90"/>
        <v>3.3755274261603372</v>
      </c>
      <c r="O565" s="36">
        <v>2672.7452271231073</v>
      </c>
      <c r="P565" s="8">
        <f t="shared" si="91"/>
        <v>90.219248172931884</v>
      </c>
      <c r="Q565" s="36">
        <v>2673.1168745535783</v>
      </c>
      <c r="R565" s="40">
        <f t="shared" si="92"/>
        <v>3.3750581215420619</v>
      </c>
      <c r="S565" s="36">
        <v>250</v>
      </c>
      <c r="T565" s="36">
        <v>250</v>
      </c>
      <c r="U565" s="3"/>
      <c r="V565" s="3"/>
      <c r="W565" s="3"/>
      <c r="X565" s="36"/>
      <c r="Y565" s="37">
        <f t="shared" si="94"/>
        <v>3.3750581215420621E-2</v>
      </c>
      <c r="Z565" s="37">
        <f t="shared" si="96"/>
        <v>-3.3887576406142332</v>
      </c>
      <c r="AA565" s="149">
        <f t="shared" si="95"/>
        <v>-0.11437253996892784</v>
      </c>
      <c r="AB565" s="37"/>
      <c r="AC565" s="98"/>
    </row>
    <row r="566" spans="1:31" ht="20.25" customHeight="1">
      <c r="A566" s="35">
        <v>42571</v>
      </c>
      <c r="B566" s="65">
        <v>8</v>
      </c>
      <c r="C566" s="51" t="s">
        <v>223</v>
      </c>
      <c r="D566" s="51" t="s">
        <v>317</v>
      </c>
      <c r="E566" s="51" t="s">
        <v>314</v>
      </c>
      <c r="F566" s="51" t="s">
        <v>346</v>
      </c>
      <c r="G566" s="51" t="s">
        <v>315</v>
      </c>
      <c r="H566" s="3" t="s">
        <v>347</v>
      </c>
      <c r="I566" s="3"/>
      <c r="J566" s="36">
        <v>1</v>
      </c>
      <c r="K566" s="36" t="s">
        <v>229</v>
      </c>
      <c r="L566" s="36" t="s">
        <v>345</v>
      </c>
      <c r="M566" s="3">
        <v>237</v>
      </c>
      <c r="N566" s="3">
        <f t="shared" si="90"/>
        <v>0.42194092827004215</v>
      </c>
      <c r="O566" s="36">
        <v>2672.7452271231073</v>
      </c>
      <c r="P566" s="8">
        <f t="shared" si="91"/>
        <v>11.277406021616486</v>
      </c>
      <c r="Q566" s="36">
        <v>2673.1168745535783</v>
      </c>
      <c r="R566" s="40">
        <f t="shared" si="92"/>
        <v>0.42188226519275773</v>
      </c>
      <c r="S566" s="3">
        <v>250</v>
      </c>
      <c r="T566" s="3">
        <v>250</v>
      </c>
      <c r="U566" s="3"/>
      <c r="V566" s="3"/>
      <c r="W566" s="3"/>
      <c r="X566" s="36"/>
      <c r="Y566" s="37">
        <f t="shared" si="94"/>
        <v>4.2188226519275776E-3</v>
      </c>
      <c r="Z566" s="37">
        <f t="shared" si="96"/>
        <v>-5.468199182294069</v>
      </c>
      <c r="AA566" s="149">
        <f t="shared" si="95"/>
        <v>-2.3069362575514077E-2</v>
      </c>
      <c r="AB566" s="37"/>
      <c r="AC566" s="98"/>
    </row>
    <row r="567" spans="1:31" ht="20.25" customHeight="1">
      <c r="A567" s="35">
        <v>42571</v>
      </c>
      <c r="B567" s="65">
        <v>8</v>
      </c>
      <c r="C567" s="36" t="s">
        <v>223</v>
      </c>
      <c r="D567" s="36" t="s">
        <v>224</v>
      </c>
      <c r="E567" s="36" t="s">
        <v>225</v>
      </c>
      <c r="F567" s="36" t="s">
        <v>226</v>
      </c>
      <c r="G567" s="36" t="s">
        <v>239</v>
      </c>
      <c r="H567" s="36" t="s">
        <v>240</v>
      </c>
      <c r="I567" s="3"/>
      <c r="J567" s="36">
        <v>37</v>
      </c>
      <c r="K567" s="3" t="s">
        <v>229</v>
      </c>
      <c r="L567" s="36" t="s">
        <v>240</v>
      </c>
      <c r="M567" s="3">
        <v>237</v>
      </c>
      <c r="N567" s="3">
        <f t="shared" si="90"/>
        <v>15.611814345991561</v>
      </c>
      <c r="O567" s="36">
        <v>2672.7452271231073</v>
      </c>
      <c r="P567" s="8">
        <f t="shared" si="91"/>
        <v>417.26402279980999</v>
      </c>
      <c r="Q567" s="36">
        <v>2673.1168745535783</v>
      </c>
      <c r="R567" s="40">
        <f t="shared" si="92"/>
        <v>15.609643812132038</v>
      </c>
      <c r="S567" s="3">
        <v>250</v>
      </c>
      <c r="T567" s="3">
        <v>250</v>
      </c>
      <c r="U567" s="3"/>
      <c r="V567" s="3"/>
      <c r="W567" s="3"/>
      <c r="X567" s="36"/>
      <c r="Y567" s="37">
        <f t="shared" si="94"/>
        <v>0.15609643812132037</v>
      </c>
      <c r="Z567" s="37">
        <f t="shared" si="96"/>
        <v>-1.8572812696498449</v>
      </c>
      <c r="AA567" s="149">
        <f t="shared" si="95"/>
        <v>-0.28991499078178434</v>
      </c>
      <c r="AB567" s="37"/>
      <c r="AC567" s="98"/>
    </row>
    <row r="568" spans="1:31" ht="20.25" customHeight="1">
      <c r="A568" s="72">
        <v>42571</v>
      </c>
      <c r="B568" s="65">
        <v>8</v>
      </c>
      <c r="C568" s="3" t="s">
        <v>216</v>
      </c>
      <c r="D568" s="3" t="s">
        <v>217</v>
      </c>
      <c r="E568" s="3"/>
      <c r="F568" s="3"/>
      <c r="G568" s="3"/>
      <c r="H568" s="3" t="s">
        <v>219</v>
      </c>
      <c r="I568" s="3"/>
      <c r="J568" s="36">
        <v>1</v>
      </c>
      <c r="K568" s="36" t="s">
        <v>229</v>
      </c>
      <c r="L568" s="36" t="s">
        <v>219</v>
      </c>
      <c r="M568" s="3">
        <v>237</v>
      </c>
      <c r="N568" s="3">
        <f t="shared" si="90"/>
        <v>0.42194092827004215</v>
      </c>
      <c r="O568" s="36">
        <v>2672.7452271231073</v>
      </c>
      <c r="P568" s="8">
        <f t="shared" si="91"/>
        <v>11.277406021616486</v>
      </c>
      <c r="Q568" s="36">
        <v>2673.1168745535783</v>
      </c>
      <c r="R568" s="40">
        <f t="shared" si="92"/>
        <v>0.42188226519275773</v>
      </c>
      <c r="S568" s="3">
        <v>250</v>
      </c>
      <c r="T568" s="3">
        <v>250</v>
      </c>
      <c r="U568" s="3"/>
      <c r="V568" s="3"/>
      <c r="W568" s="3"/>
      <c r="X568" s="36"/>
      <c r="Y568" s="37">
        <f t="shared" si="94"/>
        <v>4.2188226519275776E-3</v>
      </c>
      <c r="Z568" s="37">
        <f t="shared" si="96"/>
        <v>-5.468199182294069</v>
      </c>
      <c r="AA568" s="149">
        <f t="shared" si="95"/>
        <v>-2.3069362575514077E-2</v>
      </c>
      <c r="AB568" s="37"/>
      <c r="AC568" s="98"/>
    </row>
    <row r="569" spans="1:31" ht="20" customHeight="1">
      <c r="A569" s="72">
        <v>42571</v>
      </c>
      <c r="B569" s="65">
        <v>8</v>
      </c>
      <c r="C569" s="36" t="s">
        <v>223</v>
      </c>
      <c r="D569" s="36" t="s">
        <v>224</v>
      </c>
      <c r="E569" s="36" t="s">
        <v>225</v>
      </c>
      <c r="F569" s="36" t="s">
        <v>226</v>
      </c>
      <c r="G569" s="36" t="s">
        <v>253</v>
      </c>
      <c r="H569" s="36" t="s">
        <v>256</v>
      </c>
      <c r="I569" s="3"/>
      <c r="J569" s="36">
        <v>46</v>
      </c>
      <c r="K569" s="3" t="s">
        <v>229</v>
      </c>
      <c r="L569" s="36" t="s">
        <v>256</v>
      </c>
      <c r="M569" s="3">
        <v>237</v>
      </c>
      <c r="N569" s="3">
        <f t="shared" ref="N569:N632" si="101">J569/M569*100</f>
        <v>19.40928270042194</v>
      </c>
      <c r="O569" s="36">
        <v>2672.7452271231073</v>
      </c>
      <c r="P569" s="8">
        <f t="shared" ref="P569:P632" si="102">(N569/100)*O569</f>
        <v>518.76067699435839</v>
      </c>
      <c r="Q569" s="36">
        <v>2673.1168745535783</v>
      </c>
      <c r="R569" s="40">
        <f t="shared" ref="R569:R632" si="103">P569/Q569*100</f>
        <v>19.406584198866859</v>
      </c>
      <c r="S569" s="36">
        <v>250</v>
      </c>
      <c r="T569" s="36">
        <v>250</v>
      </c>
      <c r="U569" s="3"/>
      <c r="V569" s="3"/>
      <c r="W569" s="3"/>
      <c r="X569" s="36"/>
      <c r="Y569" s="37">
        <f t="shared" si="94"/>
        <v>0.19406584198866861</v>
      </c>
      <c r="Z569" s="37">
        <f t="shared" si="96"/>
        <v>-1.6395577858049741</v>
      </c>
      <c r="AA569" s="149">
        <f t="shared" si="95"/>
        <v>-0.31818216219131951</v>
      </c>
      <c r="AB569" s="37"/>
      <c r="AC569" s="98"/>
    </row>
    <row r="570" spans="1:31" ht="20.25" customHeight="1">
      <c r="A570" s="35">
        <v>42571</v>
      </c>
      <c r="B570" s="65">
        <v>8</v>
      </c>
      <c r="C570" s="36" t="s">
        <v>223</v>
      </c>
      <c r="D570" s="36" t="s">
        <v>224</v>
      </c>
      <c r="E570" s="36" t="s">
        <v>225</v>
      </c>
      <c r="F570" s="36" t="s">
        <v>226</v>
      </c>
      <c r="G570" s="36" t="s">
        <v>261</v>
      </c>
      <c r="H570" s="36" t="s">
        <v>262</v>
      </c>
      <c r="I570" s="36"/>
      <c r="J570" s="36">
        <v>20</v>
      </c>
      <c r="K570" s="36" t="s">
        <v>229</v>
      </c>
      <c r="L570" s="36" t="s">
        <v>264</v>
      </c>
      <c r="M570" s="3">
        <v>237</v>
      </c>
      <c r="N570" s="3">
        <f t="shared" si="101"/>
        <v>8.4388185654008439</v>
      </c>
      <c r="O570" s="36">
        <v>2672.7452271231073</v>
      </c>
      <c r="P570" s="8">
        <f t="shared" si="102"/>
        <v>225.54812043232971</v>
      </c>
      <c r="Q570" s="36">
        <v>2673.1168745535783</v>
      </c>
      <c r="R570" s="40">
        <f t="shared" si="103"/>
        <v>8.437645303855156</v>
      </c>
      <c r="S570" s="3">
        <v>250</v>
      </c>
      <c r="T570" s="3">
        <v>250</v>
      </c>
      <c r="U570" s="3"/>
      <c r="V570" s="3"/>
      <c r="W570" s="3"/>
      <c r="X570" s="36"/>
      <c r="Y570" s="37">
        <f t="shared" si="94"/>
        <v>8.4376453038551555E-2</v>
      </c>
      <c r="Z570" s="37">
        <f t="shared" si="96"/>
        <v>-2.4724669087400781</v>
      </c>
      <c r="AA570" s="149">
        <f t="shared" si="95"/>
        <v>-0.20861798801467993</v>
      </c>
      <c r="AB570" s="37"/>
      <c r="AC570" s="98"/>
    </row>
    <row r="571" spans="1:31" ht="20.25" customHeight="1">
      <c r="A571" s="72">
        <v>42571</v>
      </c>
      <c r="B571" s="65">
        <v>8</v>
      </c>
      <c r="C571" s="65" t="s">
        <v>328</v>
      </c>
      <c r="D571" s="65"/>
      <c r="E571" s="65"/>
      <c r="F571" s="65"/>
      <c r="G571" s="65"/>
      <c r="H571" s="36"/>
      <c r="I571" s="36"/>
      <c r="J571" s="36">
        <v>1</v>
      </c>
      <c r="K571" s="36" t="s">
        <v>328</v>
      </c>
      <c r="L571" s="67" t="s">
        <v>370</v>
      </c>
      <c r="M571" s="67">
        <v>237</v>
      </c>
      <c r="N571" s="67">
        <f t="shared" si="101"/>
        <v>0.42194092827004215</v>
      </c>
      <c r="O571" s="36">
        <v>2672.7452271231073</v>
      </c>
      <c r="P571" s="8">
        <f t="shared" si="102"/>
        <v>11.277406021616486</v>
      </c>
      <c r="Q571" s="36">
        <v>2673.1168745535783</v>
      </c>
      <c r="R571" s="40">
        <f t="shared" si="103"/>
        <v>0.42188226519275773</v>
      </c>
      <c r="S571" s="67">
        <v>250</v>
      </c>
      <c r="T571" s="67">
        <v>250</v>
      </c>
      <c r="U571" s="67"/>
      <c r="V571" s="67"/>
      <c r="W571" s="67"/>
      <c r="X571" s="36"/>
      <c r="Y571" s="37">
        <f t="shared" si="94"/>
        <v>4.2188226519275776E-3</v>
      </c>
      <c r="Z571" s="37">
        <f t="shared" si="96"/>
        <v>-5.468199182294069</v>
      </c>
      <c r="AA571" s="149">
        <f t="shared" si="95"/>
        <v>-2.3069362575514077E-2</v>
      </c>
      <c r="AB571" s="37"/>
      <c r="AC571" s="98"/>
    </row>
    <row r="572" spans="1:31" ht="20.25" customHeight="1">
      <c r="A572" s="86">
        <v>42571</v>
      </c>
      <c r="B572" s="76">
        <v>5</v>
      </c>
      <c r="C572" s="36" t="s">
        <v>288</v>
      </c>
      <c r="D572" s="36" t="s">
        <v>289</v>
      </c>
      <c r="E572" s="36"/>
      <c r="F572" s="36" t="s">
        <v>567</v>
      </c>
      <c r="G572" s="36" t="s">
        <v>340</v>
      </c>
      <c r="H572" s="36" t="s">
        <v>565</v>
      </c>
      <c r="I572" s="36" t="s">
        <v>566</v>
      </c>
      <c r="J572" s="36">
        <v>1</v>
      </c>
      <c r="K572" s="36" t="s">
        <v>247</v>
      </c>
      <c r="L572" s="36" t="s">
        <v>294</v>
      </c>
      <c r="M572" s="36">
        <v>2</v>
      </c>
      <c r="N572" s="36">
        <f t="shared" si="101"/>
        <v>50</v>
      </c>
      <c r="O572" s="65">
        <v>0.27779706924091951</v>
      </c>
      <c r="P572" s="40">
        <f t="shared" si="102"/>
        <v>0.13889853462045976</v>
      </c>
      <c r="Q572" s="36">
        <v>2917.1984893968047</v>
      </c>
      <c r="R572" s="40">
        <f t="shared" si="103"/>
        <v>4.7613672886955352E-3</v>
      </c>
      <c r="S572" s="36">
        <v>1000</v>
      </c>
      <c r="T572" s="36">
        <v>1000</v>
      </c>
      <c r="U572" s="36"/>
      <c r="V572" s="36"/>
      <c r="W572" s="3"/>
      <c r="X572" s="36"/>
      <c r="Y572" s="37">
        <f t="shared" si="94"/>
        <v>4.7613672886955349E-5</v>
      </c>
      <c r="Z572" s="37">
        <f t="shared" si="96"/>
        <v>-9.9523905924497242</v>
      </c>
      <c r="AA572" s="149">
        <f t="shared" si="95"/>
        <v>-4.7386987011211292E-4</v>
      </c>
      <c r="AB572" s="37">
        <f>SUM(AA572:AA580)*-1</f>
        <v>1.338469193167442</v>
      </c>
      <c r="AC572" s="98">
        <v>9</v>
      </c>
      <c r="AD572" s="98">
        <f t="shared" ref="AD572" si="104">LN(AC572)</f>
        <v>2.1972245773362196</v>
      </c>
      <c r="AE572" s="98">
        <f>(AB572/AD572)</f>
        <v>0.6091635816262897</v>
      </c>
    </row>
    <row r="573" spans="1:31" ht="20.25" customHeight="1">
      <c r="A573" s="86">
        <v>42571</v>
      </c>
      <c r="B573" s="76">
        <v>5</v>
      </c>
      <c r="C573" s="36" t="s">
        <v>223</v>
      </c>
      <c r="D573" s="36" t="s">
        <v>267</v>
      </c>
      <c r="E573" s="36" t="s">
        <v>278</v>
      </c>
      <c r="F573" s="36" t="s">
        <v>279</v>
      </c>
      <c r="G573" s="36" t="s">
        <v>280</v>
      </c>
      <c r="H573" s="36" t="s">
        <v>284</v>
      </c>
      <c r="I573" s="36" t="s">
        <v>285</v>
      </c>
      <c r="J573" s="36">
        <v>1</v>
      </c>
      <c r="K573" s="36" t="s">
        <v>247</v>
      </c>
      <c r="L573" s="36" t="s">
        <v>283</v>
      </c>
      <c r="M573" s="36">
        <v>2</v>
      </c>
      <c r="N573" s="36">
        <f t="shared" si="101"/>
        <v>50</v>
      </c>
      <c r="O573" s="65">
        <v>0.27779706924091951</v>
      </c>
      <c r="P573" s="40">
        <f t="shared" si="102"/>
        <v>0.13889853462045976</v>
      </c>
      <c r="Q573" s="65">
        <v>2917.1984893968047</v>
      </c>
      <c r="R573" s="40">
        <f t="shared" si="103"/>
        <v>4.7613672886955352E-3</v>
      </c>
      <c r="S573" s="36">
        <v>1000</v>
      </c>
      <c r="T573" s="36">
        <v>1000</v>
      </c>
      <c r="U573" s="36"/>
      <c r="V573" s="36"/>
      <c r="W573" s="3"/>
      <c r="X573" s="36"/>
      <c r="Y573" s="37">
        <f t="shared" si="94"/>
        <v>4.7613672886955349E-5</v>
      </c>
      <c r="Z573" s="37">
        <f t="shared" si="96"/>
        <v>-9.9523905924497242</v>
      </c>
      <c r="AA573" s="149">
        <f t="shared" si="95"/>
        <v>-4.7386987011211292E-4</v>
      </c>
      <c r="AB573" s="37"/>
      <c r="AC573" s="98" t="s">
        <v>681</v>
      </c>
    </row>
    <row r="574" spans="1:31" ht="20.25" customHeight="1">
      <c r="A574" s="72">
        <v>42571</v>
      </c>
      <c r="B574" s="65">
        <v>5</v>
      </c>
      <c r="C574" s="36" t="s">
        <v>223</v>
      </c>
      <c r="D574" s="36" t="s">
        <v>224</v>
      </c>
      <c r="E574" s="36" t="s">
        <v>225</v>
      </c>
      <c r="F574" s="36" t="s">
        <v>226</v>
      </c>
      <c r="G574" s="36" t="s">
        <v>227</v>
      </c>
      <c r="H574" s="36" t="s">
        <v>228</v>
      </c>
      <c r="I574" s="36"/>
      <c r="J574" s="36">
        <v>104</v>
      </c>
      <c r="K574" s="36" t="s">
        <v>229</v>
      </c>
      <c r="L574" s="36" t="s">
        <v>228</v>
      </c>
      <c r="M574" s="3">
        <v>211</v>
      </c>
      <c r="N574" s="3">
        <f t="shared" si="101"/>
        <v>49.289099526066352</v>
      </c>
      <c r="O574" s="65">
        <v>2916.9206923275638</v>
      </c>
      <c r="P574" s="8">
        <f t="shared" si="102"/>
        <v>1437.7239431377566</v>
      </c>
      <c r="Q574" s="36">
        <v>2917.1984893968047</v>
      </c>
      <c r="R574" s="40">
        <f t="shared" si="103"/>
        <v>49.2844058559429</v>
      </c>
      <c r="S574" s="3">
        <v>250</v>
      </c>
      <c r="T574" s="3">
        <v>250</v>
      </c>
      <c r="U574" s="3"/>
      <c r="V574" s="3"/>
      <c r="W574" s="3"/>
      <c r="X574" s="36"/>
      <c r="Y574" s="37">
        <f t="shared" si="94"/>
        <v>0.49284405855942898</v>
      </c>
      <c r="Z574" s="37">
        <f t="shared" si="96"/>
        <v>-0.70756246621487928</v>
      </c>
      <c r="AA574" s="149">
        <f t="shared" si="95"/>
        <v>-0.34871795753365997</v>
      </c>
      <c r="AB574" s="37"/>
      <c r="AC574" s="98"/>
    </row>
    <row r="575" spans="1:31" ht="20.25" customHeight="1">
      <c r="A575" s="72">
        <v>42571</v>
      </c>
      <c r="B575" s="65">
        <v>5</v>
      </c>
      <c r="C575" s="36" t="s">
        <v>223</v>
      </c>
      <c r="D575" s="36" t="s">
        <v>224</v>
      </c>
      <c r="E575" s="36" t="s">
        <v>225</v>
      </c>
      <c r="F575" s="36" t="s">
        <v>226</v>
      </c>
      <c r="G575" s="36" t="s">
        <v>235</v>
      </c>
      <c r="H575" s="36" t="s">
        <v>236</v>
      </c>
      <c r="I575" s="36"/>
      <c r="J575" s="36">
        <v>6</v>
      </c>
      <c r="K575" s="36" t="s">
        <v>229</v>
      </c>
      <c r="L575" s="36" t="s">
        <v>236</v>
      </c>
      <c r="M575" s="3">
        <v>211</v>
      </c>
      <c r="N575" s="3">
        <f t="shared" si="101"/>
        <v>2.8436018957345972</v>
      </c>
      <c r="O575" s="65">
        <v>2916.9206923275638</v>
      </c>
      <c r="P575" s="8">
        <f t="shared" si="102"/>
        <v>82.945612104101343</v>
      </c>
      <c r="Q575" s="36">
        <v>2917.1984893968047</v>
      </c>
      <c r="R575" s="40">
        <f t="shared" si="103"/>
        <v>2.8433311070736287</v>
      </c>
      <c r="S575" s="36">
        <v>250</v>
      </c>
      <c r="T575" s="36">
        <v>250</v>
      </c>
      <c r="U575" s="3"/>
      <c r="V575" s="3"/>
      <c r="W575" s="3"/>
      <c r="X575" s="36"/>
      <c r="Y575" s="37">
        <f t="shared" si="94"/>
        <v>2.8433311070736288E-2</v>
      </c>
      <c r="Z575" s="37">
        <f t="shared" si="96"/>
        <v>-3.5601938961281969</v>
      </c>
      <c r="AA575" s="149">
        <f t="shared" si="95"/>
        <v>-0.10122810052074963</v>
      </c>
      <c r="AB575" s="37"/>
      <c r="AC575" s="98"/>
    </row>
    <row r="576" spans="1:31" ht="20.25" customHeight="1">
      <c r="A576" s="35">
        <v>42571</v>
      </c>
      <c r="B576" s="65">
        <v>5</v>
      </c>
      <c r="C576" s="36" t="s">
        <v>223</v>
      </c>
      <c r="D576" s="36" t="s">
        <v>224</v>
      </c>
      <c r="E576" s="36" t="s">
        <v>225</v>
      </c>
      <c r="F576" s="36" t="s">
        <v>226</v>
      </c>
      <c r="G576" s="36" t="s">
        <v>239</v>
      </c>
      <c r="H576" s="36" t="s">
        <v>240</v>
      </c>
      <c r="I576" s="36"/>
      <c r="J576" s="36">
        <v>53</v>
      </c>
      <c r="K576" s="36" t="s">
        <v>229</v>
      </c>
      <c r="L576" s="36" t="s">
        <v>240</v>
      </c>
      <c r="M576" s="3">
        <v>211</v>
      </c>
      <c r="N576" s="3">
        <f t="shared" si="101"/>
        <v>25.118483412322274</v>
      </c>
      <c r="O576" s="65">
        <v>2916.9206923275638</v>
      </c>
      <c r="P576" s="8">
        <f t="shared" si="102"/>
        <v>732.68624025289512</v>
      </c>
      <c r="Q576" s="36">
        <v>2917.1984893968047</v>
      </c>
      <c r="R576" s="40">
        <f t="shared" si="103"/>
        <v>25.116091445817052</v>
      </c>
      <c r="S576" s="36">
        <v>250</v>
      </c>
      <c r="T576" s="36">
        <v>250</v>
      </c>
      <c r="U576" s="3"/>
      <c r="V576" s="3"/>
      <c r="W576" s="3"/>
      <c r="X576" s="36"/>
      <c r="Y576" s="37">
        <f t="shared" si="94"/>
        <v>0.25116091445817051</v>
      </c>
      <c r="Z576" s="37">
        <f t="shared" si="96"/>
        <v>-1.3816614518041301</v>
      </c>
      <c r="AA576" s="149">
        <f t="shared" si="95"/>
        <v>-0.34701935370672882</v>
      </c>
      <c r="AB576" s="37"/>
      <c r="AC576" s="98"/>
    </row>
    <row r="577" spans="1:31" ht="20.25" customHeight="1">
      <c r="A577" s="72">
        <v>42571</v>
      </c>
      <c r="B577" s="65">
        <v>5</v>
      </c>
      <c r="C577" s="65" t="s">
        <v>223</v>
      </c>
      <c r="D577" s="65" t="s">
        <v>224</v>
      </c>
      <c r="E577" s="65" t="s">
        <v>225</v>
      </c>
      <c r="F577" s="65" t="s">
        <v>248</v>
      </c>
      <c r="G577" s="65" t="s">
        <v>249</v>
      </c>
      <c r="H577" s="36" t="s">
        <v>250</v>
      </c>
      <c r="I577" s="36"/>
      <c r="J577" s="36">
        <v>4</v>
      </c>
      <c r="K577" s="36" t="s">
        <v>229</v>
      </c>
      <c r="L577" s="36" t="s">
        <v>250</v>
      </c>
      <c r="M577" s="3">
        <v>211</v>
      </c>
      <c r="N577" s="3">
        <f t="shared" si="101"/>
        <v>1.8957345971563981</v>
      </c>
      <c r="O577" s="65">
        <v>2916.9206923275638</v>
      </c>
      <c r="P577" s="8">
        <f t="shared" si="102"/>
        <v>55.297074736067565</v>
      </c>
      <c r="Q577" s="36">
        <v>2917.1984893968047</v>
      </c>
      <c r="R577" s="40">
        <f t="shared" si="103"/>
        <v>1.8955540713824195</v>
      </c>
      <c r="S577" s="3">
        <v>250</v>
      </c>
      <c r="T577" s="3">
        <v>250</v>
      </c>
      <c r="U577" s="3"/>
      <c r="V577" s="3"/>
      <c r="W577" s="3"/>
      <c r="X577" s="36"/>
      <c r="Y577" s="37">
        <f t="shared" ref="Y577:Y640" si="105">(R577/100)</f>
        <v>1.8955540713824194E-2</v>
      </c>
      <c r="Z577" s="37">
        <f t="shared" si="96"/>
        <v>-3.9656590042363611</v>
      </c>
      <c r="AA577" s="149">
        <f t="shared" ref="AA577:AA640" si="106">(Y577*Z577)</f>
        <v>-7.5171210711945852E-2</v>
      </c>
      <c r="AB577" s="37"/>
      <c r="AC577" s="98"/>
    </row>
    <row r="578" spans="1:31" ht="20.25" customHeight="1">
      <c r="A578" s="72">
        <v>42571</v>
      </c>
      <c r="B578" s="65">
        <v>5</v>
      </c>
      <c r="C578" s="65" t="s">
        <v>223</v>
      </c>
      <c r="D578" s="65" t="s">
        <v>224</v>
      </c>
      <c r="E578" s="65" t="s">
        <v>225</v>
      </c>
      <c r="F578" s="65" t="s">
        <v>226</v>
      </c>
      <c r="G578" s="65" t="s">
        <v>253</v>
      </c>
      <c r="H578" s="36" t="s">
        <v>256</v>
      </c>
      <c r="I578" s="36"/>
      <c r="J578" s="36">
        <v>32</v>
      </c>
      <c r="K578" s="36" t="s">
        <v>229</v>
      </c>
      <c r="L578" s="36" t="s">
        <v>256</v>
      </c>
      <c r="M578" s="3">
        <v>211</v>
      </c>
      <c r="N578" s="3">
        <f t="shared" si="101"/>
        <v>15.165876777251185</v>
      </c>
      <c r="O578" s="65">
        <v>2916.9206923275638</v>
      </c>
      <c r="P578" s="8">
        <f t="shared" si="102"/>
        <v>442.37659788854052</v>
      </c>
      <c r="Q578" s="36">
        <v>2917.1984893968047</v>
      </c>
      <c r="R578" s="40">
        <f t="shared" si="103"/>
        <v>15.164432571059356</v>
      </c>
      <c r="S578" s="36">
        <v>250</v>
      </c>
      <c r="T578" s="36">
        <v>250</v>
      </c>
      <c r="U578" s="3"/>
      <c r="V578" s="3"/>
      <c r="W578" s="3"/>
      <c r="X578" s="36"/>
      <c r="Y578" s="37">
        <f t="shared" si="105"/>
        <v>0.15164432571059355</v>
      </c>
      <c r="Z578" s="37">
        <f t="shared" si="96"/>
        <v>-1.8862174625565253</v>
      </c>
      <c r="AA578" s="149">
        <f t="shared" si="106"/>
        <v>-0.28603417525293101</v>
      </c>
      <c r="AB578" s="37"/>
      <c r="AC578" s="98"/>
    </row>
    <row r="579" spans="1:31" ht="20.25" customHeight="1">
      <c r="A579" s="72">
        <v>42571</v>
      </c>
      <c r="B579" s="65">
        <v>5</v>
      </c>
      <c r="C579" s="36" t="s">
        <v>223</v>
      </c>
      <c r="D579" s="36" t="s">
        <v>224</v>
      </c>
      <c r="E579" s="36" t="s">
        <v>225</v>
      </c>
      <c r="F579" s="36" t="s">
        <v>226</v>
      </c>
      <c r="G579" s="36" t="s">
        <v>261</v>
      </c>
      <c r="H579" s="36" t="s">
        <v>262</v>
      </c>
      <c r="I579" s="36"/>
      <c r="J579" s="36">
        <v>11</v>
      </c>
      <c r="K579" s="36" t="s">
        <v>229</v>
      </c>
      <c r="L579" s="36" t="s">
        <v>264</v>
      </c>
      <c r="M579" s="3">
        <v>211</v>
      </c>
      <c r="N579" s="3">
        <f t="shared" si="101"/>
        <v>5.2132701421800949</v>
      </c>
      <c r="O579" s="65">
        <v>2916.9206923275638</v>
      </c>
      <c r="P579" s="8">
        <f t="shared" si="102"/>
        <v>152.0669555241858</v>
      </c>
      <c r="Q579" s="36">
        <v>2917.1984893968047</v>
      </c>
      <c r="R579" s="40">
        <f t="shared" si="103"/>
        <v>5.2127736963016531</v>
      </c>
      <c r="S579" s="3">
        <v>250</v>
      </c>
      <c r="T579" s="3">
        <v>250</v>
      </c>
      <c r="U579" s="3"/>
      <c r="V579" s="3"/>
      <c r="W579" s="36"/>
      <c r="X579" s="36"/>
      <c r="Y579" s="37">
        <f t="shared" si="105"/>
        <v>5.2127736963016529E-2</v>
      </c>
      <c r="Z579" s="37">
        <f t="shared" ref="Z579:Z642" si="107">LN(Y579)</f>
        <v>-2.9540580925578812</v>
      </c>
      <c r="AA579" s="149">
        <f t="shared" si="106"/>
        <v>-0.15398836322232756</v>
      </c>
      <c r="AB579" s="37"/>
      <c r="AC579" s="98"/>
    </row>
    <row r="580" spans="1:31" ht="20.25" customHeight="1">
      <c r="A580" s="72">
        <v>42571</v>
      </c>
      <c r="B580" s="65">
        <v>5</v>
      </c>
      <c r="C580" s="65" t="s">
        <v>370</v>
      </c>
      <c r="D580" s="65"/>
      <c r="E580" s="65"/>
      <c r="F580" s="65"/>
      <c r="G580" s="65"/>
      <c r="H580" s="36"/>
      <c r="I580" s="36"/>
      <c r="J580" s="36">
        <v>1</v>
      </c>
      <c r="K580" s="36" t="s">
        <v>328</v>
      </c>
      <c r="L580" s="67" t="s">
        <v>328</v>
      </c>
      <c r="M580" s="67">
        <v>211</v>
      </c>
      <c r="N580" s="67">
        <f t="shared" si="101"/>
        <v>0.47393364928909953</v>
      </c>
      <c r="O580" s="65">
        <v>2916.9206923275638</v>
      </c>
      <c r="P580" s="8">
        <f t="shared" si="102"/>
        <v>13.824268684016891</v>
      </c>
      <c r="Q580" s="36">
        <v>2917.1984893968047</v>
      </c>
      <c r="R580" s="40">
        <f t="shared" si="103"/>
        <v>0.47388851784560487</v>
      </c>
      <c r="S580" s="67">
        <v>250</v>
      </c>
      <c r="T580" s="67">
        <v>250</v>
      </c>
      <c r="U580" s="67"/>
      <c r="V580" s="67"/>
      <c r="W580" s="36"/>
      <c r="X580" s="36"/>
      <c r="Y580" s="37">
        <f t="shared" si="105"/>
        <v>4.7388851784560485E-3</v>
      </c>
      <c r="Z580" s="37">
        <f t="shared" si="107"/>
        <v>-5.3519533653562519</v>
      </c>
      <c r="AA580" s="149">
        <f t="shared" si="106"/>
        <v>-2.5362292478874712E-2</v>
      </c>
      <c r="AB580" s="37"/>
      <c r="AC580" s="98"/>
    </row>
    <row r="581" spans="1:31" ht="20.25" customHeight="1">
      <c r="A581" s="35">
        <v>42571</v>
      </c>
      <c r="B581" s="36">
        <v>4</v>
      </c>
      <c r="C581" s="36" t="s">
        <v>223</v>
      </c>
      <c r="D581" s="36" t="s">
        <v>267</v>
      </c>
      <c r="E581" s="36"/>
      <c r="F581" s="36" t="s">
        <v>273</v>
      </c>
      <c r="G581" s="36" t="s">
        <v>274</v>
      </c>
      <c r="H581" s="36" t="s">
        <v>275</v>
      </c>
      <c r="I581" s="36" t="s">
        <v>276</v>
      </c>
      <c r="J581" s="36">
        <v>2</v>
      </c>
      <c r="K581" s="36" t="s">
        <v>247</v>
      </c>
      <c r="L581" s="36" t="s">
        <v>275</v>
      </c>
      <c r="M581" s="36">
        <v>13</v>
      </c>
      <c r="N581" s="36">
        <f t="shared" si="101"/>
        <v>15.384615384615385</v>
      </c>
      <c r="O581" s="36">
        <v>1.9221764952315239</v>
      </c>
      <c r="P581" s="40">
        <f t="shared" si="102"/>
        <v>0.29571946080484984</v>
      </c>
      <c r="Q581" s="36">
        <v>4908.2078907809455</v>
      </c>
      <c r="R581" s="40">
        <f t="shared" si="103"/>
        <v>6.024998683537789E-3</v>
      </c>
      <c r="S581" s="36">
        <v>1000</v>
      </c>
      <c r="T581" s="36">
        <v>1000</v>
      </c>
      <c r="U581" s="36"/>
      <c r="V581" s="36"/>
      <c r="W581" s="88"/>
      <c r="X581" s="36"/>
      <c r="Y581" s="37">
        <f t="shared" si="105"/>
        <v>6.0249986835377892E-5</v>
      </c>
      <c r="Z581" s="37">
        <f t="shared" si="107"/>
        <v>-9.7170082040934851</v>
      </c>
      <c r="AA581" s="149">
        <f t="shared" si="106"/>
        <v>-5.8544961637589145E-4</v>
      </c>
      <c r="AB581" s="37">
        <f>SUM(AA581:AA591)*-1</f>
        <v>1.0062311729452977</v>
      </c>
      <c r="AC581" s="98">
        <v>11</v>
      </c>
      <c r="AD581" s="98">
        <f t="shared" ref="AD581" si="108">LN(AC581)</f>
        <v>2.3978952727983707</v>
      </c>
      <c r="AE581" s="98">
        <f>(AB581/AD581)</f>
        <v>0.41963099237900187</v>
      </c>
    </row>
    <row r="582" spans="1:31" ht="20.25" customHeight="1">
      <c r="A582" s="35">
        <v>42571</v>
      </c>
      <c r="B582" s="36">
        <v>4</v>
      </c>
      <c r="C582" s="65" t="s">
        <v>223</v>
      </c>
      <c r="D582" s="65" t="s">
        <v>267</v>
      </c>
      <c r="E582" s="65"/>
      <c r="F582" s="65" t="s">
        <v>273</v>
      </c>
      <c r="G582" s="65"/>
      <c r="H582" s="36" t="s">
        <v>537</v>
      </c>
      <c r="I582" s="36" t="s">
        <v>538</v>
      </c>
      <c r="J582" s="36">
        <v>2</v>
      </c>
      <c r="K582" s="36" t="s">
        <v>247</v>
      </c>
      <c r="L582" s="36" t="s">
        <v>539</v>
      </c>
      <c r="M582" s="36">
        <v>13</v>
      </c>
      <c r="N582" s="36">
        <f t="shared" si="101"/>
        <v>15.384615384615385</v>
      </c>
      <c r="O582" s="36">
        <v>1.9221764952315239</v>
      </c>
      <c r="P582" s="40">
        <f t="shared" si="102"/>
        <v>0.29571946080484984</v>
      </c>
      <c r="Q582" s="36">
        <v>4908.2078907809455</v>
      </c>
      <c r="R582" s="40">
        <f t="shared" si="103"/>
        <v>6.024998683537789E-3</v>
      </c>
      <c r="S582" s="36">
        <v>1000</v>
      </c>
      <c r="T582" s="36">
        <v>1000</v>
      </c>
      <c r="U582" s="36"/>
      <c r="V582" s="36"/>
      <c r="W582" s="88"/>
      <c r="X582" s="36"/>
      <c r="Y582" s="37">
        <f t="shared" si="105"/>
        <v>6.0249986835377892E-5</v>
      </c>
      <c r="Z582" s="37">
        <f t="shared" si="107"/>
        <v>-9.7170082040934851</v>
      </c>
      <c r="AA582" s="149">
        <f t="shared" si="106"/>
        <v>-5.8544961637589145E-4</v>
      </c>
      <c r="AB582" s="37"/>
      <c r="AC582" s="98"/>
    </row>
    <row r="583" spans="1:31" ht="20.25" customHeight="1">
      <c r="A583" s="35">
        <v>42571</v>
      </c>
      <c r="B583" s="36">
        <v>4</v>
      </c>
      <c r="C583" s="36" t="s">
        <v>223</v>
      </c>
      <c r="D583" s="36" t="s">
        <v>267</v>
      </c>
      <c r="E583" s="36" t="s">
        <v>278</v>
      </c>
      <c r="F583" s="36" t="s">
        <v>279</v>
      </c>
      <c r="G583" s="36" t="s">
        <v>280</v>
      </c>
      <c r="H583" s="36" t="s">
        <v>284</v>
      </c>
      <c r="I583" s="36" t="s">
        <v>285</v>
      </c>
      <c r="J583" s="36">
        <v>9</v>
      </c>
      <c r="K583" s="36" t="s">
        <v>247</v>
      </c>
      <c r="L583" s="36" t="s">
        <v>24</v>
      </c>
      <c r="M583" s="36">
        <v>13</v>
      </c>
      <c r="N583" s="36">
        <f t="shared" si="101"/>
        <v>69.230769230769226</v>
      </c>
      <c r="O583" s="36">
        <v>1.9221764952315239</v>
      </c>
      <c r="P583" s="40">
        <f t="shared" si="102"/>
        <v>1.3307375736218241</v>
      </c>
      <c r="Q583" s="65">
        <v>4908.2078907809455</v>
      </c>
      <c r="R583" s="40">
        <f t="shared" si="103"/>
        <v>2.7112494075920045E-2</v>
      </c>
      <c r="S583" s="36">
        <v>1000</v>
      </c>
      <c r="T583" s="36">
        <v>1000</v>
      </c>
      <c r="U583" s="36"/>
      <c r="V583" s="36"/>
      <c r="W583" s="88"/>
      <c r="X583" s="36"/>
      <c r="Y583" s="37">
        <f t="shared" si="105"/>
        <v>2.7112494075920044E-4</v>
      </c>
      <c r="Z583" s="37">
        <f t="shared" si="107"/>
        <v>-8.2129308073172123</v>
      </c>
      <c r="AA583" s="149">
        <f t="shared" si="106"/>
        <v>-2.2267303785932914E-3</v>
      </c>
      <c r="AB583" s="37"/>
      <c r="AC583" s="98"/>
    </row>
    <row r="584" spans="1:31" ht="20.25" customHeight="1">
      <c r="A584" s="35">
        <v>42571</v>
      </c>
      <c r="B584" s="65">
        <v>4</v>
      </c>
      <c r="C584" s="3" t="s">
        <v>223</v>
      </c>
      <c r="D584" s="3" t="s">
        <v>224</v>
      </c>
      <c r="E584" s="3" t="s">
        <v>225</v>
      </c>
      <c r="F584" s="3" t="s">
        <v>226</v>
      </c>
      <c r="G584" s="3" t="s">
        <v>227</v>
      </c>
      <c r="H584" s="3" t="s">
        <v>228</v>
      </c>
      <c r="I584" s="3"/>
      <c r="J584" s="36">
        <v>132</v>
      </c>
      <c r="K584" s="3" t="s">
        <v>229</v>
      </c>
      <c r="L584" s="36" t="s">
        <v>228</v>
      </c>
      <c r="M584" s="3">
        <v>223</v>
      </c>
      <c r="N584" s="3">
        <f t="shared" si="101"/>
        <v>59.192825112107627</v>
      </c>
      <c r="O584" s="36">
        <v>4906.2857142857138</v>
      </c>
      <c r="P584" s="8">
        <f t="shared" si="102"/>
        <v>2904.169122357463</v>
      </c>
      <c r="Q584" s="36">
        <v>4908.2078907809455</v>
      </c>
      <c r="R584" s="40">
        <f t="shared" si="103"/>
        <v>59.169643727038221</v>
      </c>
      <c r="S584" s="36">
        <v>250</v>
      </c>
      <c r="T584" s="36">
        <v>250</v>
      </c>
      <c r="U584" s="3"/>
      <c r="V584" s="3"/>
      <c r="W584" s="88"/>
      <c r="X584" s="36"/>
      <c r="Y584" s="37">
        <f t="shared" si="105"/>
        <v>0.59169643727038224</v>
      </c>
      <c r="Z584" s="37">
        <f t="shared" si="107"/>
        <v>-0.5247615504932418</v>
      </c>
      <c r="AA584" s="149">
        <f t="shared" si="106"/>
        <v>-0.31049953984333295</v>
      </c>
      <c r="AB584" s="37"/>
      <c r="AC584" s="98"/>
    </row>
    <row r="585" spans="1:31" ht="20.25" customHeight="1">
      <c r="A585" s="35">
        <v>42571</v>
      </c>
      <c r="B585" s="65">
        <v>4</v>
      </c>
      <c r="C585" s="36" t="s">
        <v>223</v>
      </c>
      <c r="D585" s="36" t="s">
        <v>224</v>
      </c>
      <c r="E585" s="36" t="s">
        <v>225</v>
      </c>
      <c r="F585" s="36" t="s">
        <v>226</v>
      </c>
      <c r="G585" s="3"/>
      <c r="H585" s="3"/>
      <c r="I585" s="3"/>
      <c r="J585" s="36">
        <v>1</v>
      </c>
      <c r="K585" s="3" t="s">
        <v>508</v>
      </c>
      <c r="L585" s="36" t="s">
        <v>600</v>
      </c>
      <c r="M585" s="3">
        <v>223</v>
      </c>
      <c r="N585" s="3">
        <f t="shared" si="101"/>
        <v>0.44843049327354262</v>
      </c>
      <c r="O585" s="36">
        <v>4906.2857142857138</v>
      </c>
      <c r="P585" s="8">
        <f t="shared" si="102"/>
        <v>22.00128122998078</v>
      </c>
      <c r="Q585" s="36">
        <v>4908.2078907809455</v>
      </c>
      <c r="R585" s="40">
        <f t="shared" si="103"/>
        <v>0.44825487671998654</v>
      </c>
      <c r="S585" s="36">
        <v>250</v>
      </c>
      <c r="T585" s="36">
        <v>250</v>
      </c>
      <c r="U585" s="3"/>
      <c r="V585" s="3"/>
      <c r="W585" s="88"/>
      <c r="X585" s="36"/>
      <c r="Y585" s="37">
        <f t="shared" si="105"/>
        <v>4.4825487671998655E-3</v>
      </c>
      <c r="Z585" s="37">
        <f t="shared" si="107"/>
        <v>-5.4075634730796125</v>
      </c>
      <c r="AA585" s="149">
        <f t="shared" si="106"/>
        <v>-2.423966697980804E-2</v>
      </c>
      <c r="AB585" s="37"/>
      <c r="AC585" s="98"/>
    </row>
    <row r="586" spans="1:31" ht="20.25" customHeight="1">
      <c r="A586" s="72">
        <v>42571</v>
      </c>
      <c r="B586" s="65">
        <v>4</v>
      </c>
      <c r="C586" s="51" t="s">
        <v>223</v>
      </c>
      <c r="D586" s="51" t="s">
        <v>224</v>
      </c>
      <c r="E586" s="51" t="s">
        <v>225</v>
      </c>
      <c r="F586" s="51" t="s">
        <v>226</v>
      </c>
      <c r="G586" s="51" t="s">
        <v>235</v>
      </c>
      <c r="H586" s="3" t="s">
        <v>236</v>
      </c>
      <c r="I586" s="3"/>
      <c r="J586" s="36">
        <v>1</v>
      </c>
      <c r="K586" s="3" t="s">
        <v>229</v>
      </c>
      <c r="L586" s="36" t="s">
        <v>236</v>
      </c>
      <c r="M586" s="3">
        <v>223</v>
      </c>
      <c r="N586" s="3">
        <f t="shared" si="101"/>
        <v>0.44843049327354262</v>
      </c>
      <c r="O586" s="36">
        <v>4906.2857142857138</v>
      </c>
      <c r="P586" s="8">
        <f t="shared" si="102"/>
        <v>22.00128122998078</v>
      </c>
      <c r="Q586" s="36">
        <v>4908.2078907809455</v>
      </c>
      <c r="R586" s="40">
        <f t="shared" si="103"/>
        <v>0.44825487671998654</v>
      </c>
      <c r="S586" s="3">
        <v>250</v>
      </c>
      <c r="T586" s="3">
        <v>250</v>
      </c>
      <c r="U586" s="3"/>
      <c r="V586" s="3"/>
      <c r="W586" s="88"/>
      <c r="X586" s="36"/>
      <c r="Y586" s="37">
        <f t="shared" si="105"/>
        <v>4.4825487671998655E-3</v>
      </c>
      <c r="Z586" s="37">
        <f t="shared" si="107"/>
        <v>-5.4075634730796125</v>
      </c>
      <c r="AA586" s="149">
        <f t="shared" si="106"/>
        <v>-2.423966697980804E-2</v>
      </c>
      <c r="AB586" s="37"/>
      <c r="AC586" s="98"/>
    </row>
    <row r="587" spans="1:31" ht="20.25" customHeight="1">
      <c r="A587" s="35">
        <v>42571</v>
      </c>
      <c r="B587" s="65">
        <v>4</v>
      </c>
      <c r="C587" s="36" t="s">
        <v>223</v>
      </c>
      <c r="D587" s="36" t="s">
        <v>224</v>
      </c>
      <c r="E587" s="36" t="s">
        <v>225</v>
      </c>
      <c r="F587" s="36" t="s">
        <v>226</v>
      </c>
      <c r="G587" s="36" t="s">
        <v>239</v>
      </c>
      <c r="H587" s="36" t="s">
        <v>240</v>
      </c>
      <c r="I587" s="3"/>
      <c r="J587" s="36">
        <v>70</v>
      </c>
      <c r="K587" s="3" t="s">
        <v>229</v>
      </c>
      <c r="L587" s="36" t="s">
        <v>240</v>
      </c>
      <c r="M587" s="3">
        <v>223</v>
      </c>
      <c r="N587" s="3">
        <f t="shared" si="101"/>
        <v>31.390134529147986</v>
      </c>
      <c r="O587" s="36">
        <v>4906.2857142857138</v>
      </c>
      <c r="P587" s="8">
        <f t="shared" si="102"/>
        <v>1540.0896860986547</v>
      </c>
      <c r="Q587" s="36">
        <v>4908.2078907809455</v>
      </c>
      <c r="R587" s="40">
        <f t="shared" si="103"/>
        <v>31.377841370399061</v>
      </c>
      <c r="S587" s="3">
        <v>250</v>
      </c>
      <c r="T587" s="3">
        <v>250</v>
      </c>
      <c r="U587" s="3"/>
      <c r="V587" s="3"/>
      <c r="W587" s="88"/>
      <c r="X587" s="36"/>
      <c r="Y587" s="37">
        <f t="shared" si="105"/>
        <v>0.31377841370399062</v>
      </c>
      <c r="Z587" s="37">
        <f t="shared" si="107"/>
        <v>-1.1590682310302536</v>
      </c>
      <c r="AA587" s="149">
        <f t="shared" si="106"/>
        <v>-0.3636905909073635</v>
      </c>
      <c r="AB587" s="37"/>
      <c r="AC587" s="98"/>
    </row>
    <row r="588" spans="1:31" ht="20.25" customHeight="1">
      <c r="A588" s="72">
        <v>42571</v>
      </c>
      <c r="B588" s="65">
        <v>4</v>
      </c>
      <c r="C588" s="51" t="s">
        <v>223</v>
      </c>
      <c r="D588" s="51" t="s">
        <v>224</v>
      </c>
      <c r="E588" s="51" t="s">
        <v>225</v>
      </c>
      <c r="F588" s="51" t="s">
        <v>248</v>
      </c>
      <c r="G588" s="51" t="s">
        <v>249</v>
      </c>
      <c r="H588" s="3" t="s">
        <v>250</v>
      </c>
      <c r="I588" s="3"/>
      <c r="J588" s="36">
        <v>1</v>
      </c>
      <c r="K588" s="3" t="s">
        <v>229</v>
      </c>
      <c r="L588" s="36" t="s">
        <v>250</v>
      </c>
      <c r="M588" s="3">
        <v>223</v>
      </c>
      <c r="N588" s="3">
        <f t="shared" si="101"/>
        <v>0.44843049327354262</v>
      </c>
      <c r="O588" s="36">
        <v>4906.2857142857138</v>
      </c>
      <c r="P588" s="8">
        <f t="shared" si="102"/>
        <v>22.00128122998078</v>
      </c>
      <c r="Q588" s="36">
        <v>4908.2078907809455</v>
      </c>
      <c r="R588" s="40">
        <f t="shared" si="103"/>
        <v>0.44825487671998654</v>
      </c>
      <c r="S588" s="36">
        <v>250</v>
      </c>
      <c r="T588" s="36">
        <v>250</v>
      </c>
      <c r="U588" s="3"/>
      <c r="V588" s="3"/>
      <c r="W588" s="88"/>
      <c r="X588" s="36"/>
      <c r="Y588" s="37">
        <f t="shared" si="105"/>
        <v>4.4825487671998655E-3</v>
      </c>
      <c r="Z588" s="37">
        <f t="shared" si="107"/>
        <v>-5.4075634730796125</v>
      </c>
      <c r="AA588" s="149">
        <f t="shared" si="106"/>
        <v>-2.423966697980804E-2</v>
      </c>
      <c r="AB588" s="37"/>
      <c r="AC588" s="98"/>
    </row>
    <row r="589" spans="1:31" ht="20.25" customHeight="1">
      <c r="A589" s="72">
        <v>42571</v>
      </c>
      <c r="B589" s="65">
        <v>4</v>
      </c>
      <c r="C589" s="3" t="s">
        <v>216</v>
      </c>
      <c r="D589" s="3" t="s">
        <v>217</v>
      </c>
      <c r="E589" s="3"/>
      <c r="F589" s="3"/>
      <c r="G589" s="3"/>
      <c r="H589" s="3" t="s">
        <v>219</v>
      </c>
      <c r="I589" s="3"/>
      <c r="J589" s="36">
        <v>1</v>
      </c>
      <c r="K589" s="36" t="s">
        <v>229</v>
      </c>
      <c r="L589" s="36" t="s">
        <v>219</v>
      </c>
      <c r="M589" s="3">
        <v>223</v>
      </c>
      <c r="N589" s="3">
        <f t="shared" si="101"/>
        <v>0.44843049327354262</v>
      </c>
      <c r="O589" s="36">
        <v>4906.2857142857138</v>
      </c>
      <c r="P589" s="8">
        <f t="shared" si="102"/>
        <v>22.00128122998078</v>
      </c>
      <c r="Q589" s="36">
        <v>4908.2078907809455</v>
      </c>
      <c r="R589" s="40">
        <f t="shared" si="103"/>
        <v>0.44825487671998654</v>
      </c>
      <c r="S589" s="36">
        <v>250</v>
      </c>
      <c r="T589" s="36">
        <v>250</v>
      </c>
      <c r="U589" s="3"/>
      <c r="V589" s="3"/>
      <c r="W589" s="88"/>
      <c r="X589" s="36"/>
      <c r="Y589" s="37">
        <f t="shared" si="105"/>
        <v>4.4825487671998655E-3</v>
      </c>
      <c r="Z589" s="37">
        <f t="shared" si="107"/>
        <v>-5.4075634730796125</v>
      </c>
      <c r="AA589" s="149">
        <f t="shared" si="106"/>
        <v>-2.423966697980804E-2</v>
      </c>
      <c r="AB589" s="37"/>
      <c r="AC589" s="98"/>
    </row>
    <row r="590" spans="1:31" ht="20.25" customHeight="1">
      <c r="A590" s="72">
        <v>42571</v>
      </c>
      <c r="B590" s="65">
        <v>4</v>
      </c>
      <c r="C590" s="65" t="s">
        <v>223</v>
      </c>
      <c r="D590" s="65" t="s">
        <v>224</v>
      </c>
      <c r="E590" s="65" t="s">
        <v>225</v>
      </c>
      <c r="F590" s="65" t="s">
        <v>226</v>
      </c>
      <c r="G590" s="65" t="s">
        <v>253</v>
      </c>
      <c r="H590" s="36" t="s">
        <v>256</v>
      </c>
      <c r="I590" s="3"/>
      <c r="J590" s="36">
        <v>14</v>
      </c>
      <c r="K590" s="3" t="s">
        <v>229</v>
      </c>
      <c r="L590" s="36" t="s">
        <v>256</v>
      </c>
      <c r="M590" s="3">
        <v>223</v>
      </c>
      <c r="N590" s="3">
        <f t="shared" si="101"/>
        <v>6.2780269058295968</v>
      </c>
      <c r="O590" s="36">
        <v>4906.2857142857138</v>
      </c>
      <c r="P590" s="8">
        <f t="shared" si="102"/>
        <v>308.01793721973092</v>
      </c>
      <c r="Q590" s="36">
        <v>4908.2078907809455</v>
      </c>
      <c r="R590" s="40">
        <f t="shared" si="103"/>
        <v>6.2755682740798129</v>
      </c>
      <c r="S590" s="3">
        <v>250</v>
      </c>
      <c r="T590" s="3">
        <v>250</v>
      </c>
      <c r="U590" s="3"/>
      <c r="V590" s="3"/>
      <c r="W590" s="88"/>
      <c r="X590" s="36"/>
      <c r="Y590" s="37">
        <f t="shared" si="105"/>
        <v>6.2755682740798124E-2</v>
      </c>
      <c r="Z590" s="37">
        <f t="shared" si="107"/>
        <v>-2.7685061434643541</v>
      </c>
      <c r="AA590" s="149">
        <f t="shared" si="106"/>
        <v>-0.17373949320519955</v>
      </c>
      <c r="AB590" s="37"/>
      <c r="AC590" s="98"/>
    </row>
    <row r="591" spans="1:31" ht="20.25" customHeight="1">
      <c r="A591" s="35">
        <v>42571</v>
      </c>
      <c r="B591" s="65">
        <v>4</v>
      </c>
      <c r="C591" s="65" t="s">
        <v>223</v>
      </c>
      <c r="D591" s="65" t="s">
        <v>224</v>
      </c>
      <c r="E591" s="65" t="s">
        <v>225</v>
      </c>
      <c r="F591" s="65" t="s">
        <v>226</v>
      </c>
      <c r="G591" s="65" t="s">
        <v>261</v>
      </c>
      <c r="H591" s="36" t="s">
        <v>262</v>
      </c>
      <c r="I591" s="3"/>
      <c r="J591" s="36">
        <v>3</v>
      </c>
      <c r="K591" s="3" t="s">
        <v>229</v>
      </c>
      <c r="L591" s="36" t="s">
        <v>264</v>
      </c>
      <c r="M591" s="3">
        <v>223</v>
      </c>
      <c r="N591" s="3">
        <f t="shared" si="101"/>
        <v>1.3452914798206279</v>
      </c>
      <c r="O591" s="36">
        <v>4906.2857142857138</v>
      </c>
      <c r="P591" s="8">
        <f t="shared" si="102"/>
        <v>66.003843689942343</v>
      </c>
      <c r="Q591" s="36">
        <v>4908.2078907809455</v>
      </c>
      <c r="R591" s="40">
        <f t="shared" si="103"/>
        <v>1.3447646301599598</v>
      </c>
      <c r="S591" s="36">
        <v>250</v>
      </c>
      <c r="T591" s="36">
        <v>250</v>
      </c>
      <c r="U591" s="3"/>
      <c r="V591" s="3"/>
      <c r="W591" s="3"/>
      <c r="X591" s="36"/>
      <c r="Y591" s="37">
        <f t="shared" si="105"/>
        <v>1.3447646301599598E-2</v>
      </c>
      <c r="Z591" s="37">
        <f t="shared" si="107"/>
        <v>-4.3089511844115025</v>
      </c>
      <c r="AA591" s="149">
        <f t="shared" si="106"/>
        <v>-5.7945251458824551E-2</v>
      </c>
      <c r="AB591" s="37"/>
      <c r="AC591" s="98"/>
    </row>
    <row r="592" spans="1:31" ht="20.25" customHeight="1">
      <c r="A592" s="35">
        <v>42571</v>
      </c>
      <c r="B592" s="65">
        <v>2</v>
      </c>
      <c r="C592" s="36" t="s">
        <v>223</v>
      </c>
      <c r="D592" s="36" t="s">
        <v>267</v>
      </c>
      <c r="E592" s="36"/>
      <c r="F592" s="36" t="s">
        <v>273</v>
      </c>
      <c r="G592" s="36"/>
      <c r="H592" s="36"/>
      <c r="I592" s="36"/>
      <c r="J592" s="36">
        <v>2</v>
      </c>
      <c r="K592" s="36" t="s">
        <v>508</v>
      </c>
      <c r="L592" s="36" t="s">
        <v>335</v>
      </c>
      <c r="M592" s="36">
        <v>5</v>
      </c>
      <c r="N592" s="36">
        <f t="shared" si="101"/>
        <v>40</v>
      </c>
      <c r="O592" s="36">
        <v>0.73929865201212464</v>
      </c>
      <c r="P592" s="40">
        <f t="shared" si="102"/>
        <v>0.29571946080484984</v>
      </c>
      <c r="Q592" s="36">
        <v>7506.7006305531932</v>
      </c>
      <c r="R592" s="40">
        <f t="shared" si="103"/>
        <v>3.9394066096260097E-3</v>
      </c>
      <c r="S592" s="36">
        <v>1000</v>
      </c>
      <c r="T592" s="36">
        <v>1000</v>
      </c>
      <c r="U592" s="36" t="s">
        <v>564</v>
      </c>
      <c r="V592" s="36"/>
      <c r="W592" s="41"/>
      <c r="X592" s="36"/>
      <c r="Y592" s="37">
        <f t="shared" si="105"/>
        <v>3.93940660962601E-5</v>
      </c>
      <c r="Z592" s="37">
        <f t="shared" si="107"/>
        <v>-10.141895359696619</v>
      </c>
      <c r="AA592" s="149">
        <f t="shared" si="106"/>
        <v>-3.9953049614124223E-4</v>
      </c>
      <c r="AB592" s="37">
        <f>SUM(AA592:AA599)*-1</f>
        <v>0.67643162895363984</v>
      </c>
      <c r="AC592" s="98">
        <v>8</v>
      </c>
      <c r="AD592" s="98">
        <f t="shared" ref="AD592" si="109">LN(AC592)</f>
        <v>2.0794415416798357</v>
      </c>
      <c r="AE592" s="98">
        <f>(AB592/AD592)</f>
        <v>0.32529485219728654</v>
      </c>
    </row>
    <row r="593" spans="1:31" ht="20.25" customHeight="1">
      <c r="A593" s="72">
        <v>42571</v>
      </c>
      <c r="B593" s="65">
        <v>2</v>
      </c>
      <c r="C593" s="36" t="s">
        <v>323</v>
      </c>
      <c r="D593" s="36" t="s">
        <v>324</v>
      </c>
      <c r="E593" s="36"/>
      <c r="F593" s="36" t="s">
        <v>325</v>
      </c>
      <c r="G593" s="36" t="s">
        <v>326</v>
      </c>
      <c r="H593" s="36" t="s">
        <v>327</v>
      </c>
      <c r="I593" s="36"/>
      <c r="J593" s="36">
        <v>2</v>
      </c>
      <c r="K593" s="36" t="s">
        <v>229</v>
      </c>
      <c r="L593" s="36" t="s">
        <v>327</v>
      </c>
      <c r="M593" s="36">
        <v>5</v>
      </c>
      <c r="N593" s="36">
        <f t="shared" si="101"/>
        <v>40</v>
      </c>
      <c r="O593" s="36">
        <v>0.73929865201212464</v>
      </c>
      <c r="P593" s="40">
        <f t="shared" si="102"/>
        <v>0.29571946080484984</v>
      </c>
      <c r="Q593" s="36">
        <v>7506.7006305531932</v>
      </c>
      <c r="R593" s="40">
        <f t="shared" si="103"/>
        <v>3.9394066096260097E-3</v>
      </c>
      <c r="S593" s="36">
        <v>1000</v>
      </c>
      <c r="T593" s="36">
        <v>1000</v>
      </c>
      <c r="U593" s="36"/>
      <c r="V593" s="36"/>
      <c r="W593" s="41"/>
      <c r="X593" s="36"/>
      <c r="Y593" s="37">
        <f t="shared" si="105"/>
        <v>3.93940660962601E-5</v>
      </c>
      <c r="Z593" s="37">
        <f t="shared" si="107"/>
        <v>-10.141895359696619</v>
      </c>
      <c r="AA593" s="149">
        <f t="shared" si="106"/>
        <v>-3.9953049614124223E-4</v>
      </c>
      <c r="AB593" s="37"/>
      <c r="AC593" s="98"/>
    </row>
    <row r="594" spans="1:31" ht="20.25" customHeight="1">
      <c r="A594" s="35">
        <v>42571</v>
      </c>
      <c r="B594" s="65">
        <v>2</v>
      </c>
      <c r="C594" s="36" t="s">
        <v>323</v>
      </c>
      <c r="D594" s="36" t="s">
        <v>324</v>
      </c>
      <c r="E594" s="36"/>
      <c r="F594" s="36" t="s">
        <v>560</v>
      </c>
      <c r="G594" s="36" t="s">
        <v>561</v>
      </c>
      <c r="H594" s="36" t="s">
        <v>562</v>
      </c>
      <c r="I594" s="36"/>
      <c r="J594" s="36">
        <v>1</v>
      </c>
      <c r="K594" s="36" t="s">
        <v>229</v>
      </c>
      <c r="L594" s="36" t="s">
        <v>563</v>
      </c>
      <c r="M594" s="36">
        <v>5</v>
      </c>
      <c r="N594" s="36">
        <f t="shared" si="101"/>
        <v>20</v>
      </c>
      <c r="O594" s="36">
        <v>0.73929865201212464</v>
      </c>
      <c r="P594" s="40">
        <f t="shared" si="102"/>
        <v>0.14785973040242492</v>
      </c>
      <c r="Q594" s="36">
        <v>7506.7006305531932</v>
      </c>
      <c r="R594" s="40">
        <f t="shared" si="103"/>
        <v>1.9697033048130049E-3</v>
      </c>
      <c r="S594" s="36">
        <v>1000</v>
      </c>
      <c r="T594" s="36">
        <v>1000</v>
      </c>
      <c r="U594" s="36"/>
      <c r="V594" s="36"/>
      <c r="W594" s="41"/>
      <c r="X594" s="36"/>
      <c r="Y594" s="37">
        <f t="shared" si="105"/>
        <v>1.969703304813005E-5</v>
      </c>
      <c r="Z594" s="37">
        <f t="shared" si="107"/>
        <v>-10.835042540256564</v>
      </c>
      <c r="AA594" s="149">
        <f t="shared" si="106"/>
        <v>-2.1341819099332852E-4</v>
      </c>
      <c r="AB594" s="37"/>
      <c r="AC594" s="98"/>
    </row>
    <row r="595" spans="1:31" ht="20.25" customHeight="1">
      <c r="A595" s="35">
        <v>42571</v>
      </c>
      <c r="B595" s="65">
        <v>2</v>
      </c>
      <c r="C595" s="36" t="s">
        <v>223</v>
      </c>
      <c r="D595" s="36" t="s">
        <v>224</v>
      </c>
      <c r="E595" s="36" t="s">
        <v>225</v>
      </c>
      <c r="F595" s="36" t="s">
        <v>226</v>
      </c>
      <c r="G595" s="36" t="s">
        <v>227</v>
      </c>
      <c r="H595" s="36" t="s">
        <v>228</v>
      </c>
      <c r="I595" s="36"/>
      <c r="J595" s="36">
        <v>132</v>
      </c>
      <c r="K595" s="3" t="s">
        <v>229</v>
      </c>
      <c r="L595" s="36" t="s">
        <v>228</v>
      </c>
      <c r="M595" s="36">
        <v>179</v>
      </c>
      <c r="N595" s="36">
        <f t="shared" si="101"/>
        <v>73.743016759776538</v>
      </c>
      <c r="O595" s="36">
        <v>7505.9613319011814</v>
      </c>
      <c r="P595" s="40">
        <f t="shared" si="102"/>
        <v>5535.1223229662346</v>
      </c>
      <c r="Q595" s="36">
        <v>7506.7006305531932</v>
      </c>
      <c r="R595" s="40">
        <f t="shared" si="103"/>
        <v>73.735754166585608</v>
      </c>
      <c r="S595" s="3">
        <v>250</v>
      </c>
      <c r="T595" s="3">
        <v>250</v>
      </c>
      <c r="U595" s="36"/>
      <c r="V595" s="36"/>
      <c r="W595" s="41"/>
      <c r="X595" s="36"/>
      <c r="Y595" s="37">
        <f t="shared" si="105"/>
        <v>0.7373575416658561</v>
      </c>
      <c r="Z595" s="37">
        <f t="shared" si="107"/>
        <v>-0.30468237326960707</v>
      </c>
      <c r="AA595" s="149">
        <f t="shared" si="106"/>
        <v>-0.22465984574299622</v>
      </c>
      <c r="AB595" s="37"/>
      <c r="AC595" s="98"/>
    </row>
    <row r="596" spans="1:31" ht="20" customHeight="1">
      <c r="A596" s="35">
        <v>42571</v>
      </c>
      <c r="B596" s="65">
        <v>2</v>
      </c>
      <c r="C596" s="36" t="s">
        <v>223</v>
      </c>
      <c r="D596" s="36" t="s">
        <v>310</v>
      </c>
      <c r="E596" s="36" t="s">
        <v>314</v>
      </c>
      <c r="F596" s="36" t="s">
        <v>311</v>
      </c>
      <c r="G596" s="36" t="s">
        <v>315</v>
      </c>
      <c r="H596" s="36" t="s">
        <v>316</v>
      </c>
      <c r="I596" s="36"/>
      <c r="J596" s="36">
        <v>2</v>
      </c>
      <c r="K596" s="36" t="s">
        <v>229</v>
      </c>
      <c r="L596" s="36" t="s">
        <v>345</v>
      </c>
      <c r="M596" s="36">
        <v>179</v>
      </c>
      <c r="N596" s="3">
        <f t="shared" si="101"/>
        <v>1.1173184357541899</v>
      </c>
      <c r="O596" s="36">
        <v>7505.9613319011814</v>
      </c>
      <c r="P596" s="8">
        <f t="shared" si="102"/>
        <v>83.865489741912626</v>
      </c>
      <c r="Q596" s="36">
        <v>7506.7006305531932</v>
      </c>
      <c r="R596" s="40">
        <f t="shared" si="103"/>
        <v>1.1172083964634181</v>
      </c>
      <c r="S596" s="3">
        <v>250</v>
      </c>
      <c r="T596" s="3">
        <v>250</v>
      </c>
      <c r="U596" s="3"/>
      <c r="V596" s="3"/>
      <c r="W596" s="41"/>
      <c r="X596" s="36"/>
      <c r="Y596" s="37">
        <f t="shared" si="105"/>
        <v>1.1172083964634181E-2</v>
      </c>
      <c r="Z596" s="37">
        <f t="shared" si="107"/>
        <v>-4.494337115296033</v>
      </c>
      <c r="AA596" s="149">
        <f t="shared" si="106"/>
        <v>-5.0211111617459052E-2</v>
      </c>
      <c r="AB596" s="37"/>
      <c r="AC596" s="98"/>
    </row>
    <row r="597" spans="1:31" ht="20" customHeight="1">
      <c r="A597" s="72">
        <v>42571</v>
      </c>
      <c r="B597" s="65">
        <v>2</v>
      </c>
      <c r="C597" s="36" t="s">
        <v>223</v>
      </c>
      <c r="D597" s="36" t="s">
        <v>224</v>
      </c>
      <c r="E597" s="36" t="s">
        <v>225</v>
      </c>
      <c r="F597" s="36" t="s">
        <v>226</v>
      </c>
      <c r="G597" s="36" t="s">
        <v>239</v>
      </c>
      <c r="H597" s="36" t="s">
        <v>240</v>
      </c>
      <c r="I597" s="36"/>
      <c r="J597" s="36">
        <v>43</v>
      </c>
      <c r="K597" s="3" t="s">
        <v>229</v>
      </c>
      <c r="L597" s="36" t="s">
        <v>240</v>
      </c>
      <c r="M597" s="36">
        <v>179</v>
      </c>
      <c r="N597" s="3">
        <f t="shared" si="101"/>
        <v>24.022346368715084</v>
      </c>
      <c r="O597" s="36">
        <v>7505.9613319011814</v>
      </c>
      <c r="P597" s="8">
        <f t="shared" si="102"/>
        <v>1803.1080294511219</v>
      </c>
      <c r="Q597" s="36">
        <v>7506.7006305531932</v>
      </c>
      <c r="R597" s="40">
        <f t="shared" si="103"/>
        <v>24.019980523963493</v>
      </c>
      <c r="S597" s="36">
        <v>250</v>
      </c>
      <c r="T597" s="36">
        <v>250</v>
      </c>
      <c r="U597" s="3"/>
      <c r="V597" s="3"/>
      <c r="W597" s="41"/>
      <c r="X597" s="36"/>
      <c r="Y597" s="37">
        <f t="shared" si="105"/>
        <v>0.24019980523963494</v>
      </c>
      <c r="Z597" s="37">
        <f t="shared" si="107"/>
        <v>-1.4262841801624155</v>
      </c>
      <c r="AA597" s="149">
        <f t="shared" si="106"/>
        <v>-0.34259318229138458</v>
      </c>
      <c r="AB597" s="37"/>
      <c r="AC597" s="98"/>
    </row>
    <row r="598" spans="1:31" ht="20" customHeight="1">
      <c r="A598" s="35">
        <v>42571</v>
      </c>
      <c r="B598" s="65">
        <v>2</v>
      </c>
      <c r="C598" s="36" t="s">
        <v>223</v>
      </c>
      <c r="D598" s="36" t="s">
        <v>224</v>
      </c>
      <c r="E598" s="36" t="s">
        <v>225</v>
      </c>
      <c r="F598" s="36" t="s">
        <v>226</v>
      </c>
      <c r="G598" s="36" t="s">
        <v>253</v>
      </c>
      <c r="H598" s="36" t="s">
        <v>256</v>
      </c>
      <c r="I598" s="36"/>
      <c r="J598" s="36">
        <v>1</v>
      </c>
      <c r="K598" s="3" t="s">
        <v>229</v>
      </c>
      <c r="L598" s="36" t="s">
        <v>256</v>
      </c>
      <c r="M598" s="36">
        <v>179</v>
      </c>
      <c r="N598" s="3">
        <f t="shared" si="101"/>
        <v>0.55865921787709494</v>
      </c>
      <c r="O598" s="36">
        <v>7505.9613319011814</v>
      </c>
      <c r="P598" s="8">
        <f t="shared" si="102"/>
        <v>41.932744870956313</v>
      </c>
      <c r="Q598" s="36">
        <v>7506.7006305531932</v>
      </c>
      <c r="R598" s="40">
        <f t="shared" si="103"/>
        <v>0.55860419823170904</v>
      </c>
      <c r="S598" s="36">
        <v>250</v>
      </c>
      <c r="T598" s="36">
        <v>250</v>
      </c>
      <c r="U598" s="3"/>
      <c r="V598" s="3"/>
      <c r="W598" s="41"/>
      <c r="X598" s="36"/>
      <c r="Y598" s="37">
        <f t="shared" si="105"/>
        <v>5.5860419823170904E-3</v>
      </c>
      <c r="Z598" s="37">
        <f t="shared" si="107"/>
        <v>-5.1874842958559784</v>
      </c>
      <c r="AA598" s="149">
        <f t="shared" si="106"/>
        <v>-2.8977505059262106E-2</v>
      </c>
      <c r="AB598" s="37"/>
      <c r="AC598" s="98"/>
    </row>
    <row r="599" spans="1:31" ht="20.25" customHeight="1">
      <c r="A599" s="35">
        <v>42571</v>
      </c>
      <c r="B599" s="65">
        <v>2</v>
      </c>
      <c r="C599" s="65" t="s">
        <v>223</v>
      </c>
      <c r="D599" s="65" t="s">
        <v>224</v>
      </c>
      <c r="E599" s="65" t="s">
        <v>225</v>
      </c>
      <c r="F599" s="65" t="s">
        <v>226</v>
      </c>
      <c r="G599" s="65" t="s">
        <v>261</v>
      </c>
      <c r="H599" s="36" t="s">
        <v>262</v>
      </c>
      <c r="I599" s="36"/>
      <c r="J599" s="36">
        <v>1</v>
      </c>
      <c r="K599" s="3" t="s">
        <v>229</v>
      </c>
      <c r="L599" s="36" t="s">
        <v>264</v>
      </c>
      <c r="M599" s="36">
        <v>179</v>
      </c>
      <c r="N599" s="3">
        <f t="shared" si="101"/>
        <v>0.55865921787709494</v>
      </c>
      <c r="O599" s="36">
        <v>7505.9613319011814</v>
      </c>
      <c r="P599" s="8">
        <f t="shared" si="102"/>
        <v>41.932744870956313</v>
      </c>
      <c r="Q599" s="36">
        <v>7506.7006305531932</v>
      </c>
      <c r="R599" s="40">
        <f t="shared" si="103"/>
        <v>0.55860419823170904</v>
      </c>
      <c r="S599" s="3">
        <v>250</v>
      </c>
      <c r="T599" s="3">
        <v>250</v>
      </c>
      <c r="U599" s="3"/>
      <c r="V599" s="3"/>
      <c r="W599" s="88"/>
      <c r="X599" s="36"/>
      <c r="Y599" s="37">
        <f t="shared" si="105"/>
        <v>5.5860419823170904E-3</v>
      </c>
      <c r="Z599" s="37">
        <f t="shared" si="107"/>
        <v>-5.1874842958559784</v>
      </c>
      <c r="AA599" s="149">
        <f t="shared" si="106"/>
        <v>-2.8977505059262106E-2</v>
      </c>
      <c r="AB599" s="37"/>
      <c r="AC599" s="98"/>
    </row>
    <row r="600" spans="1:31" ht="20.25" customHeight="1">
      <c r="A600" s="35">
        <v>42634</v>
      </c>
      <c r="B600" s="65">
        <v>8</v>
      </c>
      <c r="C600" s="36" t="s">
        <v>209</v>
      </c>
      <c r="D600" s="36" t="s">
        <v>210</v>
      </c>
      <c r="E600" s="36"/>
      <c r="F600" s="36" t="s">
        <v>211</v>
      </c>
      <c r="G600" s="36" t="s">
        <v>212</v>
      </c>
      <c r="H600" s="36" t="s">
        <v>213</v>
      </c>
      <c r="I600" s="36" t="s">
        <v>214</v>
      </c>
      <c r="J600" s="36">
        <v>1</v>
      </c>
      <c r="K600" s="36" t="s">
        <v>247</v>
      </c>
      <c r="L600" s="36" t="s">
        <v>215</v>
      </c>
      <c r="M600" s="36">
        <v>3658</v>
      </c>
      <c r="N600" s="36">
        <f t="shared" si="101"/>
        <v>2.7337342810278838E-2</v>
      </c>
      <c r="O600" s="36">
        <v>291.09371021134621</v>
      </c>
      <c r="P600" s="40">
        <f t="shared" si="102"/>
        <v>7.9577285459635369E-2</v>
      </c>
      <c r="Q600" s="36">
        <v>4503.0821705168528</v>
      </c>
      <c r="R600" s="40">
        <f t="shared" si="103"/>
        <v>1.7671737367053572E-3</v>
      </c>
      <c r="S600" s="36">
        <v>1000</v>
      </c>
      <c r="T600" s="36">
        <v>1000</v>
      </c>
      <c r="U600" s="36"/>
      <c r="V600" s="36"/>
      <c r="W600" s="3"/>
      <c r="X600" s="36"/>
      <c r="Y600" s="37">
        <f t="shared" si="105"/>
        <v>1.7671737367053573E-5</v>
      </c>
      <c r="Z600" s="37">
        <f t="shared" si="107"/>
        <v>-10.943543953486227</v>
      </c>
      <c r="AA600" s="149">
        <f t="shared" si="106"/>
        <v>-1.9339143461081574E-4</v>
      </c>
      <c r="AB600" s="37">
        <f>SUM(AA600:AA616)*-1</f>
        <v>1.3502355270309769</v>
      </c>
      <c r="AC600" s="98">
        <v>17</v>
      </c>
      <c r="AD600" s="98">
        <f t="shared" ref="AD600" si="110">LN(AC600)</f>
        <v>2.8332133440562162</v>
      </c>
      <c r="AE600" s="98">
        <f>(AB600/AD600)</f>
        <v>0.47657389792534655</v>
      </c>
    </row>
    <row r="601" spans="1:31" ht="20.25" customHeight="1">
      <c r="A601" s="35">
        <v>42634</v>
      </c>
      <c r="B601" s="65">
        <v>8</v>
      </c>
      <c r="C601" s="65" t="s">
        <v>300</v>
      </c>
      <c r="D601" s="65" t="s">
        <v>320</v>
      </c>
      <c r="E601" s="65"/>
      <c r="F601" s="65"/>
      <c r="G601" s="65"/>
      <c r="H601" s="36"/>
      <c r="I601" s="36"/>
      <c r="J601" s="36">
        <v>3</v>
      </c>
      <c r="K601" s="36" t="s">
        <v>221</v>
      </c>
      <c r="L601" s="36" t="s">
        <v>322</v>
      </c>
      <c r="M601" s="36">
        <v>3658</v>
      </c>
      <c r="N601" s="36">
        <f t="shared" si="101"/>
        <v>8.201202843083652E-2</v>
      </c>
      <c r="O601" s="36">
        <v>291.09371021134621</v>
      </c>
      <c r="P601" s="40">
        <f t="shared" si="102"/>
        <v>0.23873185637890612</v>
      </c>
      <c r="Q601" s="36">
        <v>4503.0821705168528</v>
      </c>
      <c r="R601" s="40">
        <f t="shared" si="103"/>
        <v>5.3015212101160721E-3</v>
      </c>
      <c r="S601" s="36">
        <v>1000</v>
      </c>
      <c r="T601" s="36">
        <v>1000</v>
      </c>
      <c r="U601" s="36"/>
      <c r="V601" s="36"/>
      <c r="W601" s="3"/>
      <c r="X601" s="36"/>
      <c r="Y601" s="37">
        <f t="shared" si="105"/>
        <v>5.3015212101160724E-5</v>
      </c>
      <c r="Z601" s="37">
        <f t="shared" si="107"/>
        <v>-9.8449316648181178</v>
      </c>
      <c r="AA601" s="149">
        <f t="shared" si="106"/>
        <v>-5.2193114033176585E-4</v>
      </c>
      <c r="AB601" s="37"/>
      <c r="AC601" s="98"/>
    </row>
    <row r="602" spans="1:31" ht="20.25" customHeight="1">
      <c r="A602" s="72">
        <v>42634</v>
      </c>
      <c r="B602" s="65">
        <v>8</v>
      </c>
      <c r="C602" s="36" t="s">
        <v>223</v>
      </c>
      <c r="D602" s="36" t="s">
        <v>267</v>
      </c>
      <c r="E602" s="36"/>
      <c r="F602" s="36" t="s">
        <v>273</v>
      </c>
      <c r="G602" s="36"/>
      <c r="H602" s="36"/>
      <c r="I602" s="36"/>
      <c r="J602" s="36">
        <v>2</v>
      </c>
      <c r="K602" s="36" t="s">
        <v>508</v>
      </c>
      <c r="L602" s="36" t="s">
        <v>520</v>
      </c>
      <c r="M602" s="36">
        <v>3658</v>
      </c>
      <c r="N602" s="36">
        <f t="shared" si="101"/>
        <v>5.4674685620557675E-2</v>
      </c>
      <c r="O602" s="36">
        <v>291.09371021134621</v>
      </c>
      <c r="P602" s="40">
        <f t="shared" si="102"/>
        <v>0.15915457091927074</v>
      </c>
      <c r="Q602" s="36">
        <v>4503.0821705168528</v>
      </c>
      <c r="R602" s="40">
        <f t="shared" si="103"/>
        <v>3.5343474734107145E-3</v>
      </c>
      <c r="S602" s="36">
        <v>1000</v>
      </c>
      <c r="T602" s="36">
        <v>1000</v>
      </c>
      <c r="U602" s="36"/>
      <c r="V602" s="36"/>
      <c r="W602" s="36"/>
      <c r="X602" s="36"/>
      <c r="Y602" s="37">
        <f t="shared" si="105"/>
        <v>3.5343474734107145E-5</v>
      </c>
      <c r="Z602" s="37">
        <f t="shared" si="107"/>
        <v>-10.250396772926283</v>
      </c>
      <c r="AA602" s="149">
        <f t="shared" si="106"/>
        <v>-3.6228463935849349E-4</v>
      </c>
      <c r="AB602" s="37"/>
      <c r="AC602" s="98"/>
    </row>
    <row r="603" spans="1:31" ht="20.25" customHeight="1">
      <c r="A603" s="72">
        <v>42634</v>
      </c>
      <c r="B603" s="65">
        <v>8</v>
      </c>
      <c r="C603" s="36" t="s">
        <v>223</v>
      </c>
      <c r="D603" s="36" t="s">
        <v>267</v>
      </c>
      <c r="E603" s="36"/>
      <c r="F603" s="36" t="s">
        <v>273</v>
      </c>
      <c r="G603" s="36" t="s">
        <v>274</v>
      </c>
      <c r="H603" s="36" t="s">
        <v>275</v>
      </c>
      <c r="I603" s="36" t="s">
        <v>276</v>
      </c>
      <c r="J603" s="36">
        <v>47</v>
      </c>
      <c r="K603" s="36" t="s">
        <v>247</v>
      </c>
      <c r="L603" s="36" t="s">
        <v>519</v>
      </c>
      <c r="M603" s="36">
        <v>3658</v>
      </c>
      <c r="N603" s="36">
        <f t="shared" si="101"/>
        <v>1.2848551120831055</v>
      </c>
      <c r="O603" s="36">
        <v>291.09371021134621</v>
      </c>
      <c r="P603" s="40">
        <f t="shared" si="102"/>
        <v>3.7401324166028624</v>
      </c>
      <c r="Q603" s="36">
        <v>4503.0821705168528</v>
      </c>
      <c r="R603" s="40">
        <f t="shared" si="103"/>
        <v>8.305716562515178E-2</v>
      </c>
      <c r="S603" s="36">
        <v>1000</v>
      </c>
      <c r="T603" s="36">
        <v>1000</v>
      </c>
      <c r="U603" s="36"/>
      <c r="V603" s="36"/>
      <c r="W603" s="36"/>
      <c r="X603" s="36"/>
      <c r="Y603" s="37">
        <f t="shared" si="105"/>
        <v>8.3057165625151775E-4</v>
      </c>
      <c r="Z603" s="37">
        <f t="shared" si="107"/>
        <v>-7.0933963517761693</v>
      </c>
      <c r="AA603" s="149">
        <f t="shared" si="106"/>
        <v>-5.8915739563432067E-3</v>
      </c>
      <c r="AB603" s="37"/>
      <c r="AC603" s="98"/>
    </row>
    <row r="604" spans="1:31" ht="20.25" customHeight="1">
      <c r="A604" s="72">
        <v>42634</v>
      </c>
      <c r="B604" s="65">
        <v>8</v>
      </c>
      <c r="C604" s="36" t="s">
        <v>223</v>
      </c>
      <c r="D604" s="36" t="s">
        <v>267</v>
      </c>
      <c r="E604" s="36"/>
      <c r="F604" s="36" t="s">
        <v>273</v>
      </c>
      <c r="G604" s="36"/>
      <c r="H604" s="36"/>
      <c r="I604" s="36"/>
      <c r="J604" s="36">
        <v>1</v>
      </c>
      <c r="K604" s="36" t="s">
        <v>508</v>
      </c>
      <c r="L604" s="36" t="s">
        <v>335</v>
      </c>
      <c r="M604" s="36">
        <v>3658</v>
      </c>
      <c r="N604" s="36">
        <f t="shared" si="101"/>
        <v>2.7337342810278838E-2</v>
      </c>
      <c r="O604" s="36">
        <v>291.09371021134621</v>
      </c>
      <c r="P604" s="40">
        <f t="shared" si="102"/>
        <v>7.9577285459635369E-2</v>
      </c>
      <c r="Q604" s="36">
        <v>4503.0821705168528</v>
      </c>
      <c r="R604" s="40">
        <f t="shared" si="103"/>
        <v>1.7671737367053572E-3</v>
      </c>
      <c r="S604" s="36">
        <v>1000</v>
      </c>
      <c r="T604" s="36">
        <v>1000</v>
      </c>
      <c r="U604" s="36"/>
      <c r="V604" s="36"/>
      <c r="W604" s="36"/>
      <c r="X604" s="36"/>
      <c r="Y604" s="37">
        <f t="shared" si="105"/>
        <v>1.7671737367053573E-5</v>
      </c>
      <c r="Z604" s="37">
        <f t="shared" si="107"/>
        <v>-10.943543953486227</v>
      </c>
      <c r="AA604" s="149">
        <f t="shared" si="106"/>
        <v>-1.9339143461081574E-4</v>
      </c>
      <c r="AB604" s="37"/>
      <c r="AC604" s="98"/>
    </row>
    <row r="605" spans="1:31" ht="20.25" customHeight="1">
      <c r="A605" s="64">
        <v>42634</v>
      </c>
      <c r="B605" s="53">
        <v>8</v>
      </c>
      <c r="C605" s="36" t="s">
        <v>288</v>
      </c>
      <c r="D605" s="36" t="s">
        <v>289</v>
      </c>
      <c r="E605" s="36"/>
      <c r="F605" s="36"/>
      <c r="G605" s="36"/>
      <c r="H605" s="36"/>
      <c r="I605" s="36"/>
      <c r="J605" s="36">
        <v>2</v>
      </c>
      <c r="K605" s="36" t="s">
        <v>221</v>
      </c>
      <c r="L605" s="36" t="s">
        <v>499</v>
      </c>
      <c r="M605" s="36">
        <v>3658</v>
      </c>
      <c r="N605" s="36">
        <f t="shared" si="101"/>
        <v>5.4674685620557675E-2</v>
      </c>
      <c r="O605" s="36">
        <v>291.09371021134621</v>
      </c>
      <c r="P605" s="40">
        <f t="shared" si="102"/>
        <v>0.15915457091927074</v>
      </c>
      <c r="Q605" s="36">
        <v>4503.0821705168528</v>
      </c>
      <c r="R605" s="40">
        <f t="shared" si="103"/>
        <v>3.5343474734107145E-3</v>
      </c>
      <c r="S605" s="36">
        <v>1000</v>
      </c>
      <c r="T605" s="36">
        <v>1000</v>
      </c>
      <c r="U605" s="36"/>
      <c r="V605" s="36"/>
      <c r="W605" s="36"/>
      <c r="X605" s="36"/>
      <c r="Y605" s="37">
        <f t="shared" si="105"/>
        <v>3.5343474734107145E-5</v>
      </c>
      <c r="Z605" s="37">
        <f t="shared" si="107"/>
        <v>-10.250396772926283</v>
      </c>
      <c r="AA605" s="149">
        <f t="shared" si="106"/>
        <v>-3.6228463935849349E-4</v>
      </c>
      <c r="AB605" s="37"/>
      <c r="AC605" s="98"/>
    </row>
    <row r="606" spans="1:31" ht="20.25" customHeight="1">
      <c r="A606" s="64">
        <v>42634</v>
      </c>
      <c r="B606" s="53">
        <v>8</v>
      </c>
      <c r="C606" s="36" t="s">
        <v>223</v>
      </c>
      <c r="D606" s="36" t="s">
        <v>224</v>
      </c>
      <c r="E606" s="36" t="s">
        <v>225</v>
      </c>
      <c r="F606" s="36" t="s">
        <v>521</v>
      </c>
      <c r="G606" s="36" t="s">
        <v>522</v>
      </c>
      <c r="H606" s="36" t="s">
        <v>523</v>
      </c>
      <c r="I606" s="36" t="s">
        <v>551</v>
      </c>
      <c r="J606" s="36">
        <v>1</v>
      </c>
      <c r="K606" s="36" t="s">
        <v>544</v>
      </c>
      <c r="L606" s="36" t="s">
        <v>524</v>
      </c>
      <c r="M606" s="36">
        <v>3658</v>
      </c>
      <c r="N606" s="36">
        <f t="shared" si="101"/>
        <v>2.7337342810278838E-2</v>
      </c>
      <c r="O606" s="36">
        <v>291.09371021134621</v>
      </c>
      <c r="P606" s="40">
        <f t="shared" si="102"/>
        <v>7.9577285459635369E-2</v>
      </c>
      <c r="Q606" s="36">
        <v>4503.0821705168528</v>
      </c>
      <c r="R606" s="40">
        <f t="shared" si="103"/>
        <v>1.7671737367053572E-3</v>
      </c>
      <c r="S606" s="36">
        <v>1000</v>
      </c>
      <c r="T606" s="36">
        <v>1000</v>
      </c>
      <c r="U606" s="36" t="s">
        <v>525</v>
      </c>
      <c r="V606" s="36"/>
      <c r="W606" s="36"/>
      <c r="X606" s="36"/>
      <c r="Y606" s="37">
        <f t="shared" si="105"/>
        <v>1.7671737367053573E-5</v>
      </c>
      <c r="Z606" s="37">
        <f t="shared" si="107"/>
        <v>-10.943543953486227</v>
      </c>
      <c r="AA606" s="149">
        <f t="shared" si="106"/>
        <v>-1.9339143461081574E-4</v>
      </c>
      <c r="AB606" s="37"/>
      <c r="AC606" s="98"/>
    </row>
    <row r="607" spans="1:31" ht="20.25" customHeight="1">
      <c r="A607" s="35">
        <v>42634</v>
      </c>
      <c r="B607" s="53">
        <v>8</v>
      </c>
      <c r="C607" s="36" t="s">
        <v>223</v>
      </c>
      <c r="D607" s="36" t="s">
        <v>267</v>
      </c>
      <c r="E607" s="36" t="s">
        <v>278</v>
      </c>
      <c r="F607" s="36" t="s">
        <v>279</v>
      </c>
      <c r="G607" s="36" t="s">
        <v>280</v>
      </c>
      <c r="H607" s="36" t="s">
        <v>284</v>
      </c>
      <c r="I607" s="36" t="s">
        <v>285</v>
      </c>
      <c r="J607" s="36">
        <v>3601</v>
      </c>
      <c r="K607" s="36" t="s">
        <v>247</v>
      </c>
      <c r="L607" s="36" t="s">
        <v>283</v>
      </c>
      <c r="M607" s="36">
        <v>3658</v>
      </c>
      <c r="N607" s="36">
        <f t="shared" si="101"/>
        <v>98.441771459814106</v>
      </c>
      <c r="O607" s="36">
        <v>291.09371021134621</v>
      </c>
      <c r="P607" s="40">
        <f t="shared" si="102"/>
        <v>286.55780494014698</v>
      </c>
      <c r="Q607" s="65">
        <v>4503.0821705168528</v>
      </c>
      <c r="R607" s="40">
        <f t="shared" si="103"/>
        <v>6.3635926258759916</v>
      </c>
      <c r="S607" s="36">
        <v>1000</v>
      </c>
      <c r="T607" s="36">
        <v>1000</v>
      </c>
      <c r="U607" s="36"/>
      <c r="V607" s="36"/>
      <c r="W607" s="36"/>
      <c r="X607" s="36"/>
      <c r="Y607" s="37">
        <f t="shared" si="105"/>
        <v>6.3635926258759912E-2</v>
      </c>
      <c r="Z607" s="37">
        <f t="shared" si="107"/>
        <v>-2.7545770898373525</v>
      </c>
      <c r="AA607" s="149">
        <f t="shared" si="106"/>
        <v>-0.17529006456295923</v>
      </c>
      <c r="AB607" s="37"/>
      <c r="AC607" s="98"/>
    </row>
    <row r="608" spans="1:31" ht="20.25" customHeight="1">
      <c r="A608" s="35">
        <v>42634</v>
      </c>
      <c r="B608" s="53">
        <v>8</v>
      </c>
      <c r="C608" s="36" t="s">
        <v>223</v>
      </c>
      <c r="D608" s="36" t="s">
        <v>224</v>
      </c>
      <c r="E608" s="36" t="s">
        <v>225</v>
      </c>
      <c r="F608" s="36" t="s">
        <v>226</v>
      </c>
      <c r="G608" s="36" t="s">
        <v>227</v>
      </c>
      <c r="H608" s="36" t="s">
        <v>228</v>
      </c>
      <c r="I608" s="36"/>
      <c r="J608" s="36">
        <v>201</v>
      </c>
      <c r="K608" s="3" t="s">
        <v>229</v>
      </c>
      <c r="L608" s="36" t="s">
        <v>228</v>
      </c>
      <c r="M608" s="36">
        <v>294</v>
      </c>
      <c r="N608" s="3">
        <f t="shared" si="101"/>
        <v>68.367346938775512</v>
      </c>
      <c r="O608" s="36">
        <v>4211.988460305507</v>
      </c>
      <c r="P608" s="8">
        <f t="shared" si="102"/>
        <v>2879.6247636782546</v>
      </c>
      <c r="Q608" s="36">
        <v>4503.0821705168528</v>
      </c>
      <c r="R608" s="40">
        <f t="shared" si="103"/>
        <v>63.947861811896232</v>
      </c>
      <c r="S608" s="3">
        <v>250</v>
      </c>
      <c r="T608" s="3">
        <v>250</v>
      </c>
      <c r="U608" s="55"/>
      <c r="V608" s="55"/>
      <c r="W608" s="3"/>
      <c r="X608" s="36"/>
      <c r="Y608" s="37">
        <f t="shared" si="105"/>
        <v>0.63947861811896234</v>
      </c>
      <c r="Z608" s="37">
        <f t="shared" si="107"/>
        <v>-0.44710209383266974</v>
      </c>
      <c r="AA608" s="149">
        <f t="shared" si="106"/>
        <v>-0.28591222912221026</v>
      </c>
      <c r="AB608" s="37"/>
      <c r="AC608" s="98"/>
    </row>
    <row r="609" spans="1:31" ht="20.25" customHeight="1">
      <c r="A609" s="72">
        <v>42634</v>
      </c>
      <c r="B609" s="53">
        <v>8</v>
      </c>
      <c r="C609" s="36" t="s">
        <v>223</v>
      </c>
      <c r="D609" s="36" t="s">
        <v>303</v>
      </c>
      <c r="E609" s="36" t="s">
        <v>304</v>
      </c>
      <c r="F609" s="36" t="s">
        <v>305</v>
      </c>
      <c r="G609" s="36" t="s">
        <v>306</v>
      </c>
      <c r="H609" s="36" t="s">
        <v>307</v>
      </c>
      <c r="I609" s="36"/>
      <c r="J609" s="36">
        <v>1</v>
      </c>
      <c r="K609" s="3" t="s">
        <v>229</v>
      </c>
      <c r="L609" s="3" t="s">
        <v>307</v>
      </c>
      <c r="M609" s="36">
        <v>294</v>
      </c>
      <c r="N609" s="36">
        <f t="shared" si="101"/>
        <v>0.3401360544217687</v>
      </c>
      <c r="O609" s="36">
        <v>4211.988460305507</v>
      </c>
      <c r="P609" s="8">
        <f t="shared" si="102"/>
        <v>14.326491361583356</v>
      </c>
      <c r="Q609" s="36">
        <v>4503.0821705168528</v>
      </c>
      <c r="R609" s="40">
        <f t="shared" si="103"/>
        <v>0.31814856622833948</v>
      </c>
      <c r="S609" s="36">
        <v>250</v>
      </c>
      <c r="T609" s="36">
        <v>250</v>
      </c>
      <c r="U609" s="36" t="s">
        <v>308</v>
      </c>
      <c r="V609" s="36"/>
      <c r="W609" s="3"/>
      <c r="X609" s="36"/>
      <c r="Y609" s="37">
        <f t="shared" si="105"/>
        <v>3.1814856622833947E-3</v>
      </c>
      <c r="Z609" s="37">
        <f t="shared" si="107"/>
        <v>-5.7504070018917455</v>
      </c>
      <c r="AA609" s="149">
        <f t="shared" si="106"/>
        <v>-1.8294837428812629E-2</v>
      </c>
      <c r="AB609" s="37"/>
      <c r="AC609" s="98"/>
    </row>
    <row r="610" spans="1:31" ht="20.25" customHeight="1">
      <c r="A610" s="72">
        <v>42634</v>
      </c>
      <c r="B610" s="53">
        <v>8</v>
      </c>
      <c r="C610" s="36" t="s">
        <v>223</v>
      </c>
      <c r="D610" s="36" t="s">
        <v>224</v>
      </c>
      <c r="E610" s="36" t="s">
        <v>225</v>
      </c>
      <c r="F610" s="36" t="s">
        <v>226</v>
      </c>
      <c r="G610" s="36" t="s">
        <v>235</v>
      </c>
      <c r="H610" s="36" t="s">
        <v>236</v>
      </c>
      <c r="I610" s="36"/>
      <c r="J610" s="36">
        <v>22</v>
      </c>
      <c r="K610" s="3" t="s">
        <v>229</v>
      </c>
      <c r="L610" s="36" t="s">
        <v>236</v>
      </c>
      <c r="M610" s="36">
        <v>294</v>
      </c>
      <c r="N610" s="36">
        <f t="shared" si="101"/>
        <v>7.4829931972789119</v>
      </c>
      <c r="O610" s="36">
        <v>4211.988460305507</v>
      </c>
      <c r="P610" s="8">
        <f t="shared" si="102"/>
        <v>315.18280995483389</v>
      </c>
      <c r="Q610" s="36">
        <v>4503.0821705168528</v>
      </c>
      <c r="R610" s="40">
        <f t="shared" si="103"/>
        <v>6.9992684570234696</v>
      </c>
      <c r="S610" s="36">
        <v>250</v>
      </c>
      <c r="T610" s="36">
        <v>250</v>
      </c>
      <c r="U610" s="36"/>
      <c r="V610" s="36"/>
      <c r="W610" s="3"/>
      <c r="X610" s="36"/>
      <c r="Y610" s="37">
        <f t="shared" si="105"/>
        <v>6.9992684570234692E-2</v>
      </c>
      <c r="Z610" s="37">
        <f t="shared" si="107"/>
        <v>-2.6593645485334294</v>
      </c>
      <c r="AA610" s="149">
        <f t="shared" si="106"/>
        <v>-0.18613606400276492</v>
      </c>
      <c r="AB610" s="37"/>
      <c r="AC610" s="98"/>
    </row>
    <row r="611" spans="1:31" ht="20.25" customHeight="1">
      <c r="A611" s="35">
        <v>42634</v>
      </c>
      <c r="B611" s="53">
        <v>8</v>
      </c>
      <c r="C611" s="36" t="s">
        <v>223</v>
      </c>
      <c r="D611" s="36" t="s">
        <v>224</v>
      </c>
      <c r="E611" s="36" t="s">
        <v>225</v>
      </c>
      <c r="F611" s="36" t="s">
        <v>226</v>
      </c>
      <c r="G611" s="36" t="s">
        <v>239</v>
      </c>
      <c r="H611" s="36" t="s">
        <v>240</v>
      </c>
      <c r="I611" s="36"/>
      <c r="J611" s="36">
        <v>27</v>
      </c>
      <c r="K611" s="3" t="s">
        <v>229</v>
      </c>
      <c r="L611" s="36" t="s">
        <v>240</v>
      </c>
      <c r="M611" s="36">
        <v>294</v>
      </c>
      <c r="N611" s="3">
        <f t="shared" si="101"/>
        <v>9.183673469387756</v>
      </c>
      <c r="O611" s="36">
        <v>4211.988460305507</v>
      </c>
      <c r="P611" s="8">
        <f t="shared" si="102"/>
        <v>386.81526676275064</v>
      </c>
      <c r="Q611" s="36">
        <v>4503.0821705168528</v>
      </c>
      <c r="R611" s="40">
        <f t="shared" si="103"/>
        <v>8.5900112881651669</v>
      </c>
      <c r="S611" s="36">
        <v>250</v>
      </c>
      <c r="T611" s="36">
        <v>250</v>
      </c>
      <c r="U611" s="55"/>
      <c r="V611" s="55"/>
      <c r="W611" s="3"/>
      <c r="X611" s="36"/>
      <c r="Y611" s="37">
        <f t="shared" si="105"/>
        <v>8.5900112881651669E-2</v>
      </c>
      <c r="Z611" s="37">
        <f t="shared" si="107"/>
        <v>-2.4545701358874163</v>
      </c>
      <c r="AA611" s="149">
        <f t="shared" si="106"/>
        <v>-0.21084785174866014</v>
      </c>
      <c r="AB611" s="37"/>
      <c r="AC611" s="98"/>
    </row>
    <row r="612" spans="1:31" ht="20.25" customHeight="1">
      <c r="A612" s="35">
        <v>42634</v>
      </c>
      <c r="B612" s="53">
        <v>8</v>
      </c>
      <c r="C612" s="36" t="s">
        <v>323</v>
      </c>
      <c r="D612" s="36" t="s">
        <v>489</v>
      </c>
      <c r="E612" s="36"/>
      <c r="F612" s="36" t="s">
        <v>490</v>
      </c>
      <c r="G612" s="36" t="s">
        <v>491</v>
      </c>
      <c r="H612" s="36" t="s">
        <v>371</v>
      </c>
      <c r="I612" s="36" t="s">
        <v>372</v>
      </c>
      <c r="J612" s="36">
        <v>9</v>
      </c>
      <c r="K612" s="3" t="s">
        <v>247</v>
      </c>
      <c r="L612" s="36" t="s">
        <v>371</v>
      </c>
      <c r="M612" s="36">
        <v>294</v>
      </c>
      <c r="N612" s="36">
        <f t="shared" si="101"/>
        <v>3.0612244897959182</v>
      </c>
      <c r="O612" s="36">
        <v>4211.988460305507</v>
      </c>
      <c r="P612" s="8">
        <f t="shared" si="102"/>
        <v>128.93842225425021</v>
      </c>
      <c r="Q612" s="36">
        <v>4503.0821705168528</v>
      </c>
      <c r="R612" s="40">
        <f t="shared" si="103"/>
        <v>2.8633370960550555</v>
      </c>
      <c r="S612" s="3">
        <v>250</v>
      </c>
      <c r="T612" s="3">
        <v>250</v>
      </c>
      <c r="U612" s="36"/>
      <c r="V612" s="36"/>
      <c r="W612" s="3"/>
      <c r="X612" s="36"/>
      <c r="Y612" s="37">
        <f t="shared" si="105"/>
        <v>2.8633370960550554E-2</v>
      </c>
      <c r="Z612" s="37">
        <f t="shared" si="107"/>
        <v>-3.5531824245555259</v>
      </c>
      <c r="AA612" s="149">
        <f t="shared" si="106"/>
        <v>-0.10173959045280681</v>
      </c>
      <c r="AB612" s="37"/>
      <c r="AC612" s="98"/>
    </row>
    <row r="613" spans="1:31" ht="20.25" customHeight="1">
      <c r="A613" s="35">
        <v>42634</v>
      </c>
      <c r="B613" s="53">
        <v>8</v>
      </c>
      <c r="C613" s="36" t="s">
        <v>223</v>
      </c>
      <c r="D613" s="36" t="s">
        <v>224</v>
      </c>
      <c r="E613" s="36" t="s">
        <v>225</v>
      </c>
      <c r="F613" s="36" t="s">
        <v>248</v>
      </c>
      <c r="G613" s="36" t="s">
        <v>249</v>
      </c>
      <c r="H613" s="36" t="s">
        <v>250</v>
      </c>
      <c r="I613" s="36"/>
      <c r="J613" s="36">
        <v>1</v>
      </c>
      <c r="K613" s="3" t="s">
        <v>229</v>
      </c>
      <c r="L613" s="36" t="s">
        <v>250</v>
      </c>
      <c r="M613" s="36">
        <v>294</v>
      </c>
      <c r="N613" s="36">
        <f t="shared" si="101"/>
        <v>0.3401360544217687</v>
      </c>
      <c r="O613" s="36">
        <v>4211.988460305507</v>
      </c>
      <c r="P613" s="8">
        <f t="shared" si="102"/>
        <v>14.326491361583356</v>
      </c>
      <c r="Q613" s="36">
        <v>4503.0821705168528</v>
      </c>
      <c r="R613" s="40">
        <f t="shared" si="103"/>
        <v>0.31814856622833948</v>
      </c>
      <c r="S613" s="3">
        <v>250</v>
      </c>
      <c r="T613" s="3">
        <v>250</v>
      </c>
      <c r="U613" s="36"/>
      <c r="V613" s="36"/>
      <c r="W613" s="3"/>
      <c r="X613" s="36"/>
      <c r="Y613" s="37">
        <f t="shared" si="105"/>
        <v>3.1814856622833947E-3</v>
      </c>
      <c r="Z613" s="37">
        <f t="shared" si="107"/>
        <v>-5.7504070018917455</v>
      </c>
      <c r="AA613" s="149">
        <f t="shared" si="106"/>
        <v>-1.8294837428812629E-2</v>
      </c>
      <c r="AB613" s="37"/>
      <c r="AC613" s="98"/>
    </row>
    <row r="614" spans="1:31" s="61" customFormat="1" ht="20.25" customHeight="1">
      <c r="A614" s="35">
        <v>42634</v>
      </c>
      <c r="B614" s="53">
        <v>8</v>
      </c>
      <c r="C614" s="36" t="s">
        <v>216</v>
      </c>
      <c r="D614" s="36" t="s">
        <v>217</v>
      </c>
      <c r="E614" s="36"/>
      <c r="F614" s="36"/>
      <c r="G614" s="36"/>
      <c r="H614" s="3" t="s">
        <v>653</v>
      </c>
      <c r="I614" s="36"/>
      <c r="J614" s="36">
        <v>16</v>
      </c>
      <c r="K614" s="36" t="s">
        <v>229</v>
      </c>
      <c r="L614" s="36" t="s">
        <v>219</v>
      </c>
      <c r="M614" s="36">
        <v>294</v>
      </c>
      <c r="N614" s="36">
        <f t="shared" si="101"/>
        <v>5.4421768707482991</v>
      </c>
      <c r="O614" s="36">
        <v>4211.988460305507</v>
      </c>
      <c r="P614" s="8">
        <f t="shared" si="102"/>
        <v>229.2238617853337</v>
      </c>
      <c r="Q614" s="36">
        <v>4503.0821705168528</v>
      </c>
      <c r="R614" s="40">
        <f t="shared" si="103"/>
        <v>5.0903770596534317</v>
      </c>
      <c r="S614" s="3">
        <v>250</v>
      </c>
      <c r="T614" s="3">
        <v>250</v>
      </c>
      <c r="U614" s="36" t="s">
        <v>492</v>
      </c>
      <c r="V614" s="36"/>
      <c r="W614" s="3"/>
      <c r="X614" s="57"/>
      <c r="Y614" s="37">
        <f t="shared" si="105"/>
        <v>5.0903770596534316E-2</v>
      </c>
      <c r="Z614" s="37">
        <f t="shared" si="107"/>
        <v>-2.9778182796519643</v>
      </c>
      <c r="AA614" s="149">
        <f t="shared" si="106"/>
        <v>-0.15158217858557008</v>
      </c>
      <c r="AB614" s="37"/>
      <c r="AC614" s="98"/>
      <c r="AD614" s="99"/>
      <c r="AE614" s="99"/>
    </row>
    <row r="615" spans="1:31" s="61" customFormat="1" ht="20.25" customHeight="1">
      <c r="A615" s="35">
        <v>42634</v>
      </c>
      <c r="B615" s="53">
        <v>8</v>
      </c>
      <c r="C615" s="65" t="s">
        <v>223</v>
      </c>
      <c r="D615" s="65" t="s">
        <v>224</v>
      </c>
      <c r="E615" s="65" t="s">
        <v>225</v>
      </c>
      <c r="F615" s="65" t="s">
        <v>226</v>
      </c>
      <c r="G615" s="65" t="s">
        <v>253</v>
      </c>
      <c r="H615" s="36" t="s">
        <v>256</v>
      </c>
      <c r="I615" s="36"/>
      <c r="J615" s="36">
        <v>10</v>
      </c>
      <c r="K615" s="3" t="s">
        <v>229</v>
      </c>
      <c r="L615" s="36" t="s">
        <v>256</v>
      </c>
      <c r="M615" s="36">
        <v>294</v>
      </c>
      <c r="N615" s="36">
        <f t="shared" si="101"/>
        <v>3.4013605442176873</v>
      </c>
      <c r="O615" s="36">
        <v>4211.988460305507</v>
      </c>
      <c r="P615" s="8">
        <f t="shared" si="102"/>
        <v>143.26491361583359</v>
      </c>
      <c r="Q615" s="36">
        <v>4503.0821705168528</v>
      </c>
      <c r="R615" s="40">
        <f t="shared" si="103"/>
        <v>3.1814856622833956</v>
      </c>
      <c r="S615" s="36">
        <v>250</v>
      </c>
      <c r="T615" s="36">
        <v>250</v>
      </c>
      <c r="U615" s="36"/>
      <c r="V615" s="36"/>
      <c r="W615" s="3"/>
      <c r="X615" s="57"/>
      <c r="Y615" s="37">
        <f t="shared" si="105"/>
        <v>3.1814856622833954E-2</v>
      </c>
      <c r="Z615" s="37">
        <f t="shared" si="107"/>
        <v>-3.4478219088976996</v>
      </c>
      <c r="AA615" s="149">
        <f t="shared" si="106"/>
        <v>-0.10969195969264599</v>
      </c>
      <c r="AB615" s="37"/>
      <c r="AC615" s="98"/>
      <c r="AD615" s="99"/>
      <c r="AE615" s="99"/>
    </row>
    <row r="616" spans="1:31" ht="20.25" customHeight="1">
      <c r="A616" s="35">
        <v>42634</v>
      </c>
      <c r="B616" s="53">
        <v>8</v>
      </c>
      <c r="C616" s="36" t="s">
        <v>223</v>
      </c>
      <c r="D616" s="36" t="s">
        <v>224</v>
      </c>
      <c r="E616" s="36" t="s">
        <v>225</v>
      </c>
      <c r="F616" s="36" t="s">
        <v>226</v>
      </c>
      <c r="G616" s="54" t="s">
        <v>487</v>
      </c>
      <c r="H616" s="36" t="s">
        <v>486</v>
      </c>
      <c r="I616" s="36"/>
      <c r="J616" s="36">
        <v>7</v>
      </c>
      <c r="K616" s="36" t="s">
        <v>229</v>
      </c>
      <c r="L616" s="36" t="s">
        <v>488</v>
      </c>
      <c r="M616" s="36">
        <v>294</v>
      </c>
      <c r="N616" s="36">
        <f t="shared" si="101"/>
        <v>2.3809523809523809</v>
      </c>
      <c r="O616" s="36">
        <v>4211.988460305507</v>
      </c>
      <c r="P616" s="53">
        <f t="shared" si="102"/>
        <v>100.2854395310835</v>
      </c>
      <c r="Q616" s="36">
        <v>4503.0821705168528</v>
      </c>
      <c r="R616" s="53">
        <f t="shared" si="103"/>
        <v>2.2270399635983766</v>
      </c>
      <c r="S616" s="36">
        <v>250</v>
      </c>
      <c r="T616" s="67">
        <v>250</v>
      </c>
      <c r="U616" s="67"/>
      <c r="V616" s="67"/>
      <c r="W616" s="41"/>
      <c r="X616" s="36"/>
      <c r="Y616" s="37">
        <f t="shared" si="105"/>
        <v>2.2270399635983765E-2</v>
      </c>
      <c r="Z616" s="37">
        <f t="shared" si="107"/>
        <v>-3.804496852836432</v>
      </c>
      <c r="AA616" s="149">
        <f t="shared" si="106"/>
        <v>-8.4727665326509854E-2</v>
      </c>
      <c r="AB616" s="37"/>
      <c r="AC616" s="98"/>
    </row>
    <row r="617" spans="1:31" ht="20.25" customHeight="1">
      <c r="A617" s="35">
        <v>42634</v>
      </c>
      <c r="B617" s="53">
        <v>5</v>
      </c>
      <c r="C617" s="65" t="s">
        <v>209</v>
      </c>
      <c r="D617" s="65" t="s">
        <v>210</v>
      </c>
      <c r="E617" s="65"/>
      <c r="F617" s="65" t="s">
        <v>211</v>
      </c>
      <c r="G617" s="65" t="s">
        <v>212</v>
      </c>
      <c r="H617" s="36" t="s">
        <v>213</v>
      </c>
      <c r="I617" s="36" t="s">
        <v>214</v>
      </c>
      <c r="J617" s="36">
        <v>3</v>
      </c>
      <c r="K617" s="36" t="s">
        <v>247</v>
      </c>
      <c r="L617" s="36" t="s">
        <v>215</v>
      </c>
      <c r="M617" s="36">
        <v>93</v>
      </c>
      <c r="N617" s="36">
        <f t="shared" si="101"/>
        <v>3.225806451612903</v>
      </c>
      <c r="O617" s="36">
        <v>6.9089076620779757</v>
      </c>
      <c r="P617" s="40">
        <f t="shared" si="102"/>
        <v>0.22286798909928954</v>
      </c>
      <c r="Q617" s="65">
        <v>7892.0866901154131</v>
      </c>
      <c r="R617" s="40">
        <f t="shared" si="103"/>
        <v>2.8239424863189169E-3</v>
      </c>
      <c r="S617" s="36">
        <v>1000</v>
      </c>
      <c r="T617" s="36">
        <v>1000</v>
      </c>
      <c r="U617" s="36"/>
      <c r="V617" s="36"/>
      <c r="W617" s="3"/>
      <c r="X617" s="36"/>
      <c r="Y617" s="37">
        <f t="shared" si="105"/>
        <v>2.8239424863189167E-5</v>
      </c>
      <c r="Z617" s="37">
        <f t="shared" si="107"/>
        <v>-10.474791511581001</v>
      </c>
      <c r="AA617" s="149">
        <f t="shared" si="106"/>
        <v>-2.9580208784886339E-4</v>
      </c>
      <c r="AB617" s="37">
        <f>SUM(AA617:AA633)*-1</f>
        <v>0.60360833410057368</v>
      </c>
      <c r="AC617" s="98">
        <v>16</v>
      </c>
      <c r="AD617" s="98">
        <f t="shared" ref="AD617" si="111">LN(AC617)</f>
        <v>2.7725887222397811</v>
      </c>
      <c r="AE617" s="98">
        <f>(AB617/AD617)</f>
        <v>0.21770568756153658</v>
      </c>
    </row>
    <row r="618" spans="1:31" ht="20.25" customHeight="1">
      <c r="A618" s="35">
        <v>42634</v>
      </c>
      <c r="B618" s="53">
        <v>5</v>
      </c>
      <c r="C618" s="36" t="s">
        <v>300</v>
      </c>
      <c r="D618" s="36" t="s">
        <v>320</v>
      </c>
      <c r="E618" s="36"/>
      <c r="F618" s="36"/>
      <c r="G618" s="36"/>
      <c r="H618" s="36"/>
      <c r="I618" s="36"/>
      <c r="J618" s="36">
        <v>38</v>
      </c>
      <c r="K618" s="36" t="s">
        <v>221</v>
      </c>
      <c r="L618" s="36" t="s">
        <v>512</v>
      </c>
      <c r="M618" s="36">
        <v>93</v>
      </c>
      <c r="N618" s="36">
        <f t="shared" si="101"/>
        <v>40.86021505376344</v>
      </c>
      <c r="O618" s="36">
        <v>6.9089076620779757</v>
      </c>
      <c r="P618" s="40">
        <f t="shared" si="102"/>
        <v>2.8229945285910008</v>
      </c>
      <c r="Q618" s="65">
        <v>7892.0866901154131</v>
      </c>
      <c r="R618" s="40">
        <f t="shared" si="103"/>
        <v>3.5769938160039622E-2</v>
      </c>
      <c r="S618" s="36">
        <v>1000</v>
      </c>
      <c r="T618" s="36">
        <v>1000</v>
      </c>
      <c r="U618" s="36"/>
      <c r="V618" s="36"/>
      <c r="W618" s="3"/>
      <c r="X618" s="36"/>
      <c r="Y618" s="37">
        <f t="shared" si="105"/>
        <v>3.576993816003962E-4</v>
      </c>
      <c r="Z618" s="37">
        <f t="shared" si="107"/>
        <v>-7.9358176405227248</v>
      </c>
      <c r="AA618" s="149">
        <f t="shared" si="106"/>
        <v>-2.8386370625084938E-3</v>
      </c>
      <c r="AB618" s="37"/>
      <c r="AC618" s="98" t="s">
        <v>689</v>
      </c>
    </row>
    <row r="619" spans="1:31" ht="20.25" customHeight="1">
      <c r="A619" s="35">
        <v>42634</v>
      </c>
      <c r="B619" s="53">
        <v>5</v>
      </c>
      <c r="C619" s="36" t="s">
        <v>514</v>
      </c>
      <c r="D619" s="82" t="s">
        <v>515</v>
      </c>
      <c r="E619" s="36"/>
      <c r="F619" s="36"/>
      <c r="G619" s="36"/>
      <c r="H619" s="36"/>
      <c r="I619" s="36"/>
      <c r="J619" s="36">
        <v>1</v>
      </c>
      <c r="K619" s="36" t="s">
        <v>221</v>
      </c>
      <c r="L619" s="36" t="s">
        <v>516</v>
      </c>
      <c r="M619" s="36">
        <v>93</v>
      </c>
      <c r="N619" s="36">
        <f t="shared" si="101"/>
        <v>1.0752688172043012</v>
      </c>
      <c r="O619" s="36">
        <v>6.9089076620779757</v>
      </c>
      <c r="P619" s="40">
        <f t="shared" si="102"/>
        <v>7.4289329699763179E-2</v>
      </c>
      <c r="Q619" s="65">
        <v>7892.0866901154131</v>
      </c>
      <c r="R619" s="40">
        <f t="shared" si="103"/>
        <v>9.4131416210630576E-4</v>
      </c>
      <c r="S619" s="36">
        <v>1000</v>
      </c>
      <c r="T619" s="36">
        <v>1000</v>
      </c>
      <c r="U619" s="36"/>
      <c r="V619" s="36"/>
      <c r="W619" s="3"/>
      <c r="X619" s="36"/>
      <c r="Y619" s="37">
        <f t="shared" si="105"/>
        <v>9.413141621063058E-6</v>
      </c>
      <c r="Z619" s="37">
        <f t="shared" si="107"/>
        <v>-11.57340380024911</v>
      </c>
      <c r="AA619" s="149">
        <f t="shared" si="106"/>
        <v>-1.0894208900949426E-4</v>
      </c>
      <c r="AB619" s="37"/>
      <c r="AC619" s="98"/>
    </row>
    <row r="620" spans="1:31" ht="20.25" customHeight="1">
      <c r="A620" s="35">
        <v>42634</v>
      </c>
      <c r="B620" s="53">
        <v>5</v>
      </c>
      <c r="C620" s="36" t="s">
        <v>223</v>
      </c>
      <c r="D620" s="36" t="s">
        <v>267</v>
      </c>
      <c r="E620" s="36"/>
      <c r="F620" s="36" t="s">
        <v>273</v>
      </c>
      <c r="G620" s="36"/>
      <c r="H620" s="36"/>
      <c r="I620" s="36"/>
      <c r="J620" s="36">
        <v>1</v>
      </c>
      <c r="K620" s="36" t="s">
        <v>508</v>
      </c>
      <c r="L620" s="36" t="s">
        <v>494</v>
      </c>
      <c r="M620" s="36">
        <v>93</v>
      </c>
      <c r="N620" s="36">
        <f t="shared" si="101"/>
        <v>1.0752688172043012</v>
      </c>
      <c r="O620" s="36">
        <v>6.9089076620779757</v>
      </c>
      <c r="P620" s="40">
        <f t="shared" si="102"/>
        <v>7.4289329699763179E-2</v>
      </c>
      <c r="Q620" s="65">
        <v>7892.0866901154131</v>
      </c>
      <c r="R620" s="40">
        <f t="shared" si="103"/>
        <v>9.4131416210630576E-4</v>
      </c>
      <c r="S620" s="36">
        <v>1000</v>
      </c>
      <c r="T620" s="36">
        <v>1000</v>
      </c>
      <c r="U620" s="36"/>
      <c r="V620" s="36"/>
      <c r="W620" s="3"/>
      <c r="X620" s="36"/>
      <c r="Y620" s="37">
        <f t="shared" si="105"/>
        <v>9.413141621063058E-6</v>
      </c>
      <c r="Z620" s="37">
        <f t="shared" si="107"/>
        <v>-11.57340380024911</v>
      </c>
      <c r="AA620" s="149">
        <f t="shared" si="106"/>
        <v>-1.0894208900949426E-4</v>
      </c>
      <c r="AB620" s="37"/>
      <c r="AC620" s="98"/>
    </row>
    <row r="621" spans="1:31" ht="20.25" customHeight="1">
      <c r="A621" s="35">
        <v>42634</v>
      </c>
      <c r="B621" s="53">
        <v>5</v>
      </c>
      <c r="C621" s="36" t="s">
        <v>223</v>
      </c>
      <c r="D621" s="36" t="s">
        <v>267</v>
      </c>
      <c r="E621" s="36"/>
      <c r="F621" s="36" t="s">
        <v>273</v>
      </c>
      <c r="G621" s="36" t="s">
        <v>274</v>
      </c>
      <c r="H621" s="36" t="s">
        <v>275</v>
      </c>
      <c r="I621" s="36" t="s">
        <v>276</v>
      </c>
      <c r="J621" s="36">
        <v>2</v>
      </c>
      <c r="K621" s="36" t="s">
        <v>247</v>
      </c>
      <c r="L621" s="36" t="s">
        <v>275</v>
      </c>
      <c r="M621" s="36">
        <v>93</v>
      </c>
      <c r="N621" s="36">
        <f t="shared" si="101"/>
        <v>2.1505376344086025</v>
      </c>
      <c r="O621" s="36">
        <v>6.9089076620779757</v>
      </c>
      <c r="P621" s="40">
        <f t="shared" si="102"/>
        <v>0.14857865939952636</v>
      </c>
      <c r="Q621" s="65">
        <v>7892.0866901154131</v>
      </c>
      <c r="R621" s="40">
        <f t="shared" si="103"/>
        <v>1.8826283242126115E-3</v>
      </c>
      <c r="S621" s="36">
        <v>1000</v>
      </c>
      <c r="T621" s="36">
        <v>1000</v>
      </c>
      <c r="U621" s="36"/>
      <c r="V621" s="36"/>
      <c r="W621" s="3"/>
      <c r="X621" s="36"/>
      <c r="Y621" s="37">
        <f t="shared" si="105"/>
        <v>1.8826283242126116E-5</v>
      </c>
      <c r="Z621" s="37">
        <f t="shared" si="107"/>
        <v>-10.880256619689165</v>
      </c>
      <c r="AA621" s="149">
        <f t="shared" si="106"/>
        <v>-2.0483479286928586E-4</v>
      </c>
      <c r="AB621" s="37"/>
      <c r="AC621" s="98"/>
    </row>
    <row r="622" spans="1:31" ht="20.25" customHeight="1">
      <c r="A622" s="35">
        <v>42634</v>
      </c>
      <c r="B622" s="53">
        <v>5</v>
      </c>
      <c r="C622" s="36" t="s">
        <v>223</v>
      </c>
      <c r="D622" s="36" t="s">
        <v>267</v>
      </c>
      <c r="E622" s="36"/>
      <c r="F622" s="36" t="s">
        <v>273</v>
      </c>
      <c r="G622" s="36"/>
      <c r="H622" s="36"/>
      <c r="I622" s="36"/>
      <c r="J622" s="36">
        <v>1</v>
      </c>
      <c r="K622" s="36" t="s">
        <v>508</v>
      </c>
      <c r="L622" s="36" t="s">
        <v>513</v>
      </c>
      <c r="M622" s="36">
        <v>93</v>
      </c>
      <c r="N622" s="36">
        <f t="shared" si="101"/>
        <v>1.0752688172043012</v>
      </c>
      <c r="O622" s="65">
        <v>6.9089076620779757</v>
      </c>
      <c r="P622" s="40">
        <f t="shared" si="102"/>
        <v>7.4289329699763179E-2</v>
      </c>
      <c r="Q622" s="65">
        <v>7892.0866901154131</v>
      </c>
      <c r="R622" s="40">
        <f t="shared" si="103"/>
        <v>9.4131416210630576E-4</v>
      </c>
      <c r="S622" s="36">
        <v>1000</v>
      </c>
      <c r="T622" s="36">
        <v>1000</v>
      </c>
      <c r="U622" s="36"/>
      <c r="V622" s="36"/>
      <c r="W622" s="3"/>
      <c r="X622" s="36"/>
      <c r="Y622" s="37">
        <f t="shared" si="105"/>
        <v>9.413141621063058E-6</v>
      </c>
      <c r="Z622" s="37">
        <f t="shared" si="107"/>
        <v>-11.57340380024911</v>
      </c>
      <c r="AA622" s="149">
        <f t="shared" si="106"/>
        <v>-1.0894208900949426E-4</v>
      </c>
      <c r="AB622" s="37"/>
      <c r="AC622" s="98"/>
    </row>
    <row r="623" spans="1:31" ht="20.25" customHeight="1">
      <c r="A623" s="35">
        <v>42634</v>
      </c>
      <c r="B623" s="53">
        <v>5</v>
      </c>
      <c r="C623" s="36" t="s">
        <v>223</v>
      </c>
      <c r="D623" s="36" t="s">
        <v>267</v>
      </c>
      <c r="E623" s="36" t="s">
        <v>278</v>
      </c>
      <c r="F623" s="36" t="s">
        <v>279</v>
      </c>
      <c r="G623" s="36" t="s">
        <v>280</v>
      </c>
      <c r="H623" s="36" t="s">
        <v>284</v>
      </c>
      <c r="I623" s="36" t="s">
        <v>285</v>
      </c>
      <c r="J623" s="36">
        <v>46</v>
      </c>
      <c r="K623" s="36" t="s">
        <v>247</v>
      </c>
      <c r="L623" s="36" t="s">
        <v>24</v>
      </c>
      <c r="M623" s="36">
        <v>93</v>
      </c>
      <c r="N623" s="36">
        <f t="shared" si="101"/>
        <v>49.462365591397848</v>
      </c>
      <c r="O623" s="36">
        <v>6.9089076620779757</v>
      </c>
      <c r="P623" s="40">
        <f t="shared" si="102"/>
        <v>3.4173091661891064</v>
      </c>
      <c r="Q623" s="65">
        <v>7892.0866901154131</v>
      </c>
      <c r="R623" s="40">
        <f t="shared" si="103"/>
        <v>4.3300451456890064E-2</v>
      </c>
      <c r="S623" s="36">
        <v>1000</v>
      </c>
      <c r="T623" s="36">
        <v>1000</v>
      </c>
      <c r="U623" s="36" t="s">
        <v>511</v>
      </c>
      <c r="V623" s="36"/>
      <c r="W623" s="3"/>
      <c r="X623" s="36"/>
      <c r="Y623" s="37">
        <f t="shared" si="105"/>
        <v>4.3300451456890064E-4</v>
      </c>
      <c r="Z623" s="37">
        <f t="shared" si="107"/>
        <v>-7.7447624037600153</v>
      </c>
      <c r="AA623" s="149">
        <f t="shared" si="106"/>
        <v>-3.3535170850915773E-3</v>
      </c>
      <c r="AB623" s="37"/>
      <c r="AC623" s="98"/>
    </row>
    <row r="624" spans="1:31" ht="20.25" customHeight="1">
      <c r="A624" s="35">
        <v>42634</v>
      </c>
      <c r="B624" s="53">
        <v>5</v>
      </c>
      <c r="C624" s="36" t="s">
        <v>223</v>
      </c>
      <c r="D624" s="82" t="s">
        <v>517</v>
      </c>
      <c r="E624" s="83"/>
      <c r="F624" s="82" t="s">
        <v>518</v>
      </c>
      <c r="G624" s="36"/>
      <c r="H624" s="36"/>
      <c r="I624" s="36"/>
      <c r="J624" s="36">
        <v>1</v>
      </c>
      <c r="K624" s="36" t="s">
        <v>221</v>
      </c>
      <c r="L624" s="36" t="s">
        <v>618</v>
      </c>
      <c r="M624" s="36">
        <v>93</v>
      </c>
      <c r="N624" s="36">
        <f t="shared" si="101"/>
        <v>1.0752688172043012</v>
      </c>
      <c r="O624" s="36">
        <v>6.9089076620779757</v>
      </c>
      <c r="P624" s="40">
        <f t="shared" si="102"/>
        <v>7.4289329699763179E-2</v>
      </c>
      <c r="Q624" s="65">
        <v>7892.0866901154131</v>
      </c>
      <c r="R624" s="40">
        <f t="shared" si="103"/>
        <v>9.4131416210630576E-4</v>
      </c>
      <c r="S624" s="36">
        <v>1000</v>
      </c>
      <c r="T624" s="36">
        <v>1000</v>
      </c>
      <c r="U624" s="36"/>
      <c r="V624" s="36"/>
      <c r="W624" s="67"/>
      <c r="X624" s="36"/>
      <c r="Y624" s="37">
        <f t="shared" si="105"/>
        <v>9.413141621063058E-6</v>
      </c>
      <c r="Z624" s="37">
        <f t="shared" si="107"/>
        <v>-11.57340380024911</v>
      </c>
      <c r="AA624" s="149">
        <f t="shared" si="106"/>
        <v>-1.0894208900949426E-4</v>
      </c>
      <c r="AB624" s="37"/>
      <c r="AC624" s="98"/>
    </row>
    <row r="625" spans="1:31" ht="20.25" customHeight="1">
      <c r="A625" s="13">
        <v>42634</v>
      </c>
      <c r="B625" s="53">
        <v>5</v>
      </c>
      <c r="C625" s="36" t="s">
        <v>223</v>
      </c>
      <c r="D625" s="36" t="s">
        <v>224</v>
      </c>
      <c r="E625" s="36" t="s">
        <v>225</v>
      </c>
      <c r="F625" s="36" t="s">
        <v>226</v>
      </c>
      <c r="G625" s="36" t="s">
        <v>227</v>
      </c>
      <c r="H625" s="36" t="s">
        <v>228</v>
      </c>
      <c r="I625" s="36"/>
      <c r="J625" s="3">
        <v>179</v>
      </c>
      <c r="K625" s="3" t="s">
        <v>229</v>
      </c>
      <c r="L625" s="36" t="s">
        <v>228</v>
      </c>
      <c r="M625" s="3">
        <v>203</v>
      </c>
      <c r="N625" s="3">
        <f t="shared" si="101"/>
        <v>88.177339901477836</v>
      </c>
      <c r="O625" s="36">
        <v>7885.1777824533356</v>
      </c>
      <c r="P625" s="8">
        <f t="shared" si="102"/>
        <v>6952.9400150696902</v>
      </c>
      <c r="Q625" s="65">
        <v>7892.0866901154131</v>
      </c>
      <c r="R625" s="40">
        <f t="shared" si="103"/>
        <v>88.100147503169552</v>
      </c>
      <c r="S625" s="3">
        <v>250</v>
      </c>
      <c r="T625" s="3">
        <v>250</v>
      </c>
      <c r="U625" s="3"/>
      <c r="V625" s="3"/>
      <c r="W625" s="3"/>
      <c r="X625" s="36"/>
      <c r="Y625" s="37">
        <f t="shared" si="105"/>
        <v>0.88100147503169557</v>
      </c>
      <c r="Z625" s="37">
        <f t="shared" si="107"/>
        <v>-0.12669597877755712</v>
      </c>
      <c r="AA625" s="149">
        <f t="shared" si="106"/>
        <v>-0.11161934418361222</v>
      </c>
      <c r="AB625" s="37"/>
      <c r="AC625" s="98"/>
    </row>
    <row r="626" spans="1:31" ht="20.25" customHeight="1">
      <c r="A626" s="13">
        <v>42634</v>
      </c>
      <c r="B626" s="53">
        <v>5</v>
      </c>
      <c r="C626" s="36" t="s">
        <v>223</v>
      </c>
      <c r="D626" s="36" t="s">
        <v>224</v>
      </c>
      <c r="E626" s="36" t="s">
        <v>225</v>
      </c>
      <c r="F626" s="36" t="s">
        <v>226</v>
      </c>
      <c r="G626" s="36" t="s">
        <v>235</v>
      </c>
      <c r="H626" s="36" t="s">
        <v>236</v>
      </c>
      <c r="I626" s="36"/>
      <c r="J626" s="3">
        <v>3</v>
      </c>
      <c r="K626" s="3" t="s">
        <v>229</v>
      </c>
      <c r="L626" s="36" t="s">
        <v>236</v>
      </c>
      <c r="M626" s="3">
        <v>203</v>
      </c>
      <c r="N626" s="3">
        <f t="shared" si="101"/>
        <v>1.4778325123152709</v>
      </c>
      <c r="O626" s="36">
        <v>7885.1777824533356</v>
      </c>
      <c r="P626" s="8">
        <f t="shared" si="102"/>
        <v>116.52972092295569</v>
      </c>
      <c r="Q626" s="65">
        <v>7892.0866901154131</v>
      </c>
      <c r="R626" s="40">
        <f t="shared" si="103"/>
        <v>1.4765387849693219</v>
      </c>
      <c r="S626" s="36">
        <v>250</v>
      </c>
      <c r="T626" s="36">
        <v>250</v>
      </c>
      <c r="U626" s="3"/>
      <c r="V626" s="3"/>
      <c r="W626" s="3"/>
      <c r="X626" s="36"/>
      <c r="Y626" s="37">
        <f t="shared" si="105"/>
        <v>1.4765387849693218E-2</v>
      </c>
      <c r="Z626" s="37">
        <f t="shared" si="107"/>
        <v>-4.2154694959502024</v>
      </c>
      <c r="AA626" s="149">
        <f t="shared" si="106"/>
        <v>-6.2243042076255514E-2</v>
      </c>
      <c r="AB626" s="37"/>
      <c r="AC626" s="98"/>
    </row>
    <row r="627" spans="1:31" ht="20.25" customHeight="1">
      <c r="A627" s="13">
        <v>42634</v>
      </c>
      <c r="B627" s="53">
        <v>5</v>
      </c>
      <c r="C627" s="36" t="s">
        <v>223</v>
      </c>
      <c r="D627" s="36" t="s">
        <v>317</v>
      </c>
      <c r="E627" s="36" t="s">
        <v>314</v>
      </c>
      <c r="F627" s="36" t="s">
        <v>346</v>
      </c>
      <c r="G627" s="36" t="s">
        <v>315</v>
      </c>
      <c r="H627" s="36" t="s">
        <v>347</v>
      </c>
      <c r="I627" s="36" t="s">
        <v>348</v>
      </c>
      <c r="J627" s="3">
        <v>1</v>
      </c>
      <c r="K627" s="3" t="s">
        <v>247</v>
      </c>
      <c r="L627" s="36" t="s">
        <v>345</v>
      </c>
      <c r="M627" s="3">
        <v>203</v>
      </c>
      <c r="N627" s="3">
        <f t="shared" si="101"/>
        <v>0.49261083743842365</v>
      </c>
      <c r="O627" s="36">
        <v>7885.1777824533356</v>
      </c>
      <c r="P627" s="8">
        <f t="shared" si="102"/>
        <v>38.843240307651897</v>
      </c>
      <c r="Q627" s="65">
        <v>7892.0866901154131</v>
      </c>
      <c r="R627" s="40">
        <f t="shared" si="103"/>
        <v>0.49217959498977393</v>
      </c>
      <c r="S627" s="3">
        <v>250</v>
      </c>
      <c r="T627" s="3">
        <v>250</v>
      </c>
      <c r="U627" s="3"/>
      <c r="V627" s="3"/>
      <c r="W627" s="3"/>
      <c r="X627" s="36"/>
      <c r="Y627" s="37">
        <f t="shared" si="105"/>
        <v>4.9217959498977391E-3</v>
      </c>
      <c r="Z627" s="37">
        <f t="shared" si="107"/>
        <v>-5.3140817846183124</v>
      </c>
      <c r="AA627" s="149">
        <f t="shared" si="106"/>
        <v>-2.615482620495976E-2</v>
      </c>
      <c r="AB627" s="37"/>
      <c r="AC627" s="98"/>
    </row>
    <row r="628" spans="1:31" s="42" customFormat="1" ht="20.25" customHeight="1">
      <c r="A628" s="13">
        <v>42634</v>
      </c>
      <c r="B628" s="53">
        <v>5</v>
      </c>
      <c r="C628" s="36" t="s">
        <v>223</v>
      </c>
      <c r="D628" s="36" t="s">
        <v>224</v>
      </c>
      <c r="E628" s="36" t="s">
        <v>225</v>
      </c>
      <c r="F628" s="36" t="s">
        <v>226</v>
      </c>
      <c r="G628" s="36" t="s">
        <v>239</v>
      </c>
      <c r="H628" s="36" t="s">
        <v>240</v>
      </c>
      <c r="I628" s="36"/>
      <c r="J628" s="3">
        <v>4</v>
      </c>
      <c r="K628" s="3" t="s">
        <v>229</v>
      </c>
      <c r="L628" s="36" t="s">
        <v>240</v>
      </c>
      <c r="M628" s="3">
        <v>203</v>
      </c>
      <c r="N628" s="3">
        <f t="shared" si="101"/>
        <v>1.9704433497536946</v>
      </c>
      <c r="O628" s="36">
        <v>7885.1777824533356</v>
      </c>
      <c r="P628" s="8">
        <f t="shared" si="102"/>
        <v>155.37296123060759</v>
      </c>
      <c r="Q628" s="65">
        <v>7892.0866901154131</v>
      </c>
      <c r="R628" s="40">
        <f t="shared" si="103"/>
        <v>1.9687183799590957</v>
      </c>
      <c r="S628" s="36">
        <v>250</v>
      </c>
      <c r="T628" s="36">
        <v>250</v>
      </c>
      <c r="U628" s="3"/>
      <c r="V628" s="3"/>
      <c r="W628" s="3"/>
      <c r="X628" s="41"/>
      <c r="Y628" s="37">
        <f t="shared" si="105"/>
        <v>1.9687183799590956E-2</v>
      </c>
      <c r="Z628" s="37">
        <f t="shared" si="107"/>
        <v>-3.927787423498422</v>
      </c>
      <c r="AA628" s="149">
        <f t="shared" si="106"/>
        <v>-7.7327072932135241E-2</v>
      </c>
      <c r="AB628" s="37"/>
      <c r="AC628" s="98"/>
      <c r="AD628" s="99"/>
      <c r="AE628" s="99"/>
    </row>
    <row r="629" spans="1:31" s="61" customFormat="1" ht="20.25" customHeight="1">
      <c r="A629" s="13">
        <v>42634</v>
      </c>
      <c r="B629" s="53">
        <v>5</v>
      </c>
      <c r="C629" s="36" t="s">
        <v>323</v>
      </c>
      <c r="D629" s="36" t="s">
        <v>489</v>
      </c>
      <c r="E629" s="36"/>
      <c r="F629" s="36" t="s">
        <v>490</v>
      </c>
      <c r="G629" s="36" t="s">
        <v>491</v>
      </c>
      <c r="H629" s="36" t="s">
        <v>371</v>
      </c>
      <c r="I629" s="36" t="s">
        <v>372</v>
      </c>
      <c r="J629" s="3">
        <v>4</v>
      </c>
      <c r="K629" s="3" t="s">
        <v>247</v>
      </c>
      <c r="L629" s="36" t="s">
        <v>371</v>
      </c>
      <c r="M629" s="3">
        <v>203</v>
      </c>
      <c r="N629" s="3">
        <f t="shared" si="101"/>
        <v>1.9704433497536946</v>
      </c>
      <c r="O629" s="36">
        <v>7885.1777824533356</v>
      </c>
      <c r="P629" s="8">
        <f t="shared" si="102"/>
        <v>155.37296123060759</v>
      </c>
      <c r="Q629" s="65">
        <v>7892.0866901154131</v>
      </c>
      <c r="R629" s="40">
        <f t="shared" si="103"/>
        <v>1.9687183799590957</v>
      </c>
      <c r="S629" s="36">
        <v>250</v>
      </c>
      <c r="T629" s="36">
        <v>250</v>
      </c>
      <c r="U629" s="3"/>
      <c r="V629" s="3"/>
      <c r="W629" s="3"/>
      <c r="X629" s="57"/>
      <c r="Y629" s="37">
        <f t="shared" si="105"/>
        <v>1.9687183799590956E-2</v>
      </c>
      <c r="Z629" s="37">
        <f t="shared" si="107"/>
        <v>-3.927787423498422</v>
      </c>
      <c r="AA629" s="149">
        <f t="shared" si="106"/>
        <v>-7.7327072932135241E-2</v>
      </c>
      <c r="AB629" s="37"/>
      <c r="AC629" s="98"/>
      <c r="AD629" s="99"/>
      <c r="AE629" s="99"/>
    </row>
    <row r="630" spans="1:31" ht="20.25" customHeight="1">
      <c r="A630" s="35">
        <v>42634</v>
      </c>
      <c r="B630" s="53">
        <v>5</v>
      </c>
      <c r="C630" s="36" t="s">
        <v>216</v>
      </c>
      <c r="D630" s="36" t="s">
        <v>217</v>
      </c>
      <c r="E630" s="36"/>
      <c r="F630" s="36"/>
      <c r="G630" s="36"/>
      <c r="H630" s="36" t="s">
        <v>219</v>
      </c>
      <c r="I630" s="36"/>
      <c r="J630" s="36">
        <v>5</v>
      </c>
      <c r="K630" s="36" t="s">
        <v>229</v>
      </c>
      <c r="L630" s="36" t="s">
        <v>219</v>
      </c>
      <c r="M630" s="36">
        <v>203</v>
      </c>
      <c r="N630" s="36">
        <f t="shared" si="101"/>
        <v>2.4630541871921183</v>
      </c>
      <c r="O630" s="36">
        <v>7885.1777824533356</v>
      </c>
      <c r="P630" s="8">
        <f t="shared" si="102"/>
        <v>194.2162015382595</v>
      </c>
      <c r="Q630" s="65">
        <v>7892.0866901154131</v>
      </c>
      <c r="R630" s="40">
        <f t="shared" si="103"/>
        <v>2.4608979749488702</v>
      </c>
      <c r="S630" s="36">
        <v>250</v>
      </c>
      <c r="T630" s="36">
        <v>250</v>
      </c>
      <c r="U630" s="36"/>
      <c r="V630" s="36"/>
      <c r="W630" s="3"/>
      <c r="X630" s="36"/>
      <c r="Y630" s="37">
        <f t="shared" si="105"/>
        <v>2.4608979749488703E-2</v>
      </c>
      <c r="Z630" s="37">
        <f t="shared" si="107"/>
        <v>-3.7046438721842119</v>
      </c>
      <c r="AA630" s="149">
        <f t="shared" si="106"/>
        <v>-9.1167506029648682E-2</v>
      </c>
      <c r="AB630" s="37"/>
      <c r="AC630" s="98"/>
    </row>
    <row r="631" spans="1:31" ht="20.25" customHeight="1">
      <c r="A631" s="35">
        <v>42634</v>
      </c>
      <c r="B631" s="53">
        <v>5</v>
      </c>
      <c r="C631" s="36" t="s">
        <v>216</v>
      </c>
      <c r="D631" s="36" t="s">
        <v>217</v>
      </c>
      <c r="E631" s="36"/>
      <c r="F631" s="36"/>
      <c r="G631" s="36"/>
      <c r="H631" s="36" t="s">
        <v>219</v>
      </c>
      <c r="I631" s="36"/>
      <c r="J631" s="36">
        <v>3</v>
      </c>
      <c r="K631" s="36" t="s">
        <v>229</v>
      </c>
      <c r="L631" s="36" t="s">
        <v>218</v>
      </c>
      <c r="M631" s="36">
        <v>203</v>
      </c>
      <c r="N631" s="36">
        <f t="shared" si="101"/>
        <v>1.4778325123152709</v>
      </c>
      <c r="O631" s="36">
        <v>7885.1777824533356</v>
      </c>
      <c r="P631" s="8">
        <f t="shared" si="102"/>
        <v>116.52972092295569</v>
      </c>
      <c r="Q631" s="65">
        <v>7892.0866901154131</v>
      </c>
      <c r="R631" s="40">
        <f t="shared" si="103"/>
        <v>1.4765387849693219</v>
      </c>
      <c r="S631" s="36">
        <v>250</v>
      </c>
      <c r="T631" s="36">
        <v>250</v>
      </c>
      <c r="U631" s="36" t="s">
        <v>222</v>
      </c>
      <c r="V631" s="36"/>
      <c r="W631" s="3"/>
      <c r="X631" s="36"/>
      <c r="Y631" s="37">
        <f t="shared" si="105"/>
        <v>1.4765387849693218E-2</v>
      </c>
      <c r="Z631" s="37">
        <f t="shared" si="107"/>
        <v>-4.2154694959502024</v>
      </c>
      <c r="AA631" s="149">
        <f t="shared" si="106"/>
        <v>-6.2243042076255514E-2</v>
      </c>
      <c r="AB631" s="37"/>
      <c r="AC631" s="98"/>
    </row>
    <row r="632" spans="1:31" ht="20.25" customHeight="1">
      <c r="A632" s="13">
        <v>42634</v>
      </c>
      <c r="B632" s="53">
        <v>5</v>
      </c>
      <c r="C632" s="36" t="s">
        <v>223</v>
      </c>
      <c r="D632" s="36" t="s">
        <v>224</v>
      </c>
      <c r="E632" s="36" t="s">
        <v>225</v>
      </c>
      <c r="F632" s="36" t="s">
        <v>226</v>
      </c>
      <c r="G632" s="36" t="s">
        <v>253</v>
      </c>
      <c r="H632" s="36" t="s">
        <v>256</v>
      </c>
      <c r="I632" s="3"/>
      <c r="J632" s="3">
        <v>1</v>
      </c>
      <c r="K632" s="3" t="s">
        <v>229</v>
      </c>
      <c r="L632" s="36" t="s">
        <v>256</v>
      </c>
      <c r="M632" s="3">
        <v>203</v>
      </c>
      <c r="N632" s="3">
        <f t="shared" si="101"/>
        <v>0.49261083743842365</v>
      </c>
      <c r="O632" s="65">
        <v>7885.1777824533356</v>
      </c>
      <c r="P632" s="8">
        <f t="shared" si="102"/>
        <v>38.843240307651897</v>
      </c>
      <c r="Q632" s="65">
        <v>7892.0866901154131</v>
      </c>
      <c r="R632" s="40">
        <f t="shared" si="103"/>
        <v>0.49217959498977393</v>
      </c>
      <c r="S632" s="36">
        <v>250</v>
      </c>
      <c r="T632" s="36">
        <v>250</v>
      </c>
      <c r="U632" s="3"/>
      <c r="V632" s="3"/>
      <c r="W632" s="3"/>
      <c r="X632" s="36"/>
      <c r="Y632" s="37">
        <f t="shared" si="105"/>
        <v>4.9217959498977391E-3</v>
      </c>
      <c r="Z632" s="37">
        <f t="shared" si="107"/>
        <v>-5.3140817846183124</v>
      </c>
      <c r="AA632" s="149">
        <f t="shared" si="106"/>
        <v>-2.615482620495976E-2</v>
      </c>
      <c r="AB632" s="37"/>
      <c r="AC632" s="98"/>
    </row>
    <row r="633" spans="1:31" ht="20.25" customHeight="1">
      <c r="A633" s="13">
        <v>42634</v>
      </c>
      <c r="B633" s="53">
        <v>5</v>
      </c>
      <c r="C633" s="3" t="s">
        <v>223</v>
      </c>
      <c r="D633" s="3" t="s">
        <v>224</v>
      </c>
      <c r="E633" s="3" t="s">
        <v>225</v>
      </c>
      <c r="F633" s="3" t="s">
        <v>226</v>
      </c>
      <c r="G633" s="3" t="s">
        <v>239</v>
      </c>
      <c r="H633" s="3" t="s">
        <v>258</v>
      </c>
      <c r="I633" s="3" t="s">
        <v>259</v>
      </c>
      <c r="J633" s="3">
        <v>3</v>
      </c>
      <c r="K633" s="3" t="s">
        <v>247</v>
      </c>
      <c r="L633" s="36" t="s">
        <v>258</v>
      </c>
      <c r="M633" s="3">
        <v>203</v>
      </c>
      <c r="N633" s="3">
        <f t="shared" ref="N633:N655" si="112">J633/M633*100</f>
        <v>1.4778325123152709</v>
      </c>
      <c r="O633" s="65">
        <v>7885.1777824533356</v>
      </c>
      <c r="P633" s="8">
        <f t="shared" ref="P633:P655" si="113">(N633/100)*O633</f>
        <v>116.52972092295569</v>
      </c>
      <c r="Q633" s="65">
        <v>7892.0866901154131</v>
      </c>
      <c r="R633" s="40">
        <f t="shared" ref="R633:R696" si="114">P633/Q633*100</f>
        <v>1.4765387849693219</v>
      </c>
      <c r="S633" s="3">
        <v>250</v>
      </c>
      <c r="T633" s="3">
        <v>250</v>
      </c>
      <c r="U633" s="3"/>
      <c r="V633" s="3"/>
      <c r="W633" s="3"/>
      <c r="X633" s="36"/>
      <c r="Y633" s="37">
        <f t="shared" si="105"/>
        <v>1.4765387849693218E-2</v>
      </c>
      <c r="Z633" s="37">
        <f t="shared" si="107"/>
        <v>-4.2154694959502024</v>
      </c>
      <c r="AA633" s="149">
        <f t="shared" si="106"/>
        <v>-6.2243042076255514E-2</v>
      </c>
      <c r="AB633" s="37"/>
      <c r="AC633" s="98"/>
    </row>
    <row r="634" spans="1:31" ht="20.25" customHeight="1">
      <c r="A634" s="35">
        <v>42634</v>
      </c>
      <c r="B634" s="53">
        <v>4</v>
      </c>
      <c r="C634" s="36" t="s">
        <v>223</v>
      </c>
      <c r="D634" s="36" t="s">
        <v>267</v>
      </c>
      <c r="E634" s="36" t="s">
        <v>278</v>
      </c>
      <c r="F634" s="36" t="s">
        <v>269</v>
      </c>
      <c r="G634" s="36"/>
      <c r="H634" s="36" t="s">
        <v>270</v>
      </c>
      <c r="I634" s="36"/>
      <c r="J634" s="36">
        <v>1</v>
      </c>
      <c r="K634" s="36" t="s">
        <v>229</v>
      </c>
      <c r="L634" s="36" t="s">
        <v>270</v>
      </c>
      <c r="M634" s="36">
        <v>127</v>
      </c>
      <c r="N634" s="36">
        <f t="shared" si="112"/>
        <v>0.78740157480314954</v>
      </c>
      <c r="O634" s="65">
        <v>12.765871898998224</v>
      </c>
      <c r="P634" s="53">
        <f t="shared" si="113"/>
        <v>0.10051867637006476</v>
      </c>
      <c r="Q634" s="65">
        <v>4957.5437830631108</v>
      </c>
      <c r="R634" s="53">
        <f t="shared" si="114"/>
        <v>2.0275902900439425E-3</v>
      </c>
      <c r="S634" s="36">
        <v>1000</v>
      </c>
      <c r="T634" s="36">
        <v>1000</v>
      </c>
      <c r="U634" s="36" t="s">
        <v>531</v>
      </c>
      <c r="V634" s="36"/>
      <c r="W634" s="36"/>
      <c r="X634" s="36"/>
      <c r="Y634" s="37">
        <f t="shared" si="105"/>
        <v>2.0275902900439424E-5</v>
      </c>
      <c r="Z634" s="37">
        <f t="shared" si="107"/>
        <v>-10.806077426256966</v>
      </c>
      <c r="AA634" s="149">
        <f t="shared" si="106"/>
        <v>-2.191029766294166E-4</v>
      </c>
      <c r="AB634" s="37">
        <f>SUM(AA634:AA649)*-1</f>
        <v>0.85033566457320631</v>
      </c>
      <c r="AC634" s="98">
        <v>16</v>
      </c>
      <c r="AD634" s="98">
        <f t="shared" ref="AD634" si="115">LN(AC634)</f>
        <v>2.7725887222397811</v>
      </c>
      <c r="AE634" s="98">
        <f>(AB634/AD634)</f>
        <v>0.30669376159269646</v>
      </c>
    </row>
    <row r="635" spans="1:31" ht="20.25" customHeight="1">
      <c r="A635" s="72">
        <v>42634</v>
      </c>
      <c r="B635" s="53">
        <v>4</v>
      </c>
      <c r="C635" s="36" t="s">
        <v>300</v>
      </c>
      <c r="D635" s="36" t="s">
        <v>320</v>
      </c>
      <c r="E635" s="36"/>
      <c r="F635" s="36"/>
      <c r="G635" s="36"/>
      <c r="H635" s="36"/>
      <c r="I635" s="36"/>
      <c r="J635" s="36">
        <v>2</v>
      </c>
      <c r="K635" s="36" t="s">
        <v>221</v>
      </c>
      <c r="L635" s="36" t="s">
        <v>512</v>
      </c>
      <c r="M635" s="36">
        <v>127</v>
      </c>
      <c r="N635" s="36">
        <f t="shared" si="112"/>
        <v>1.5748031496062991</v>
      </c>
      <c r="O635" s="65">
        <v>12.765871898998224</v>
      </c>
      <c r="P635" s="53">
        <f t="shared" si="113"/>
        <v>0.20103735274012952</v>
      </c>
      <c r="Q635" s="65">
        <v>4957.5437830631108</v>
      </c>
      <c r="R635" s="53">
        <f t="shared" si="114"/>
        <v>4.0551805800878851E-3</v>
      </c>
      <c r="S635" s="36">
        <v>1000</v>
      </c>
      <c r="T635" s="36">
        <v>1000</v>
      </c>
      <c r="U635" s="36"/>
      <c r="V635" s="36"/>
      <c r="W635" s="36"/>
      <c r="X635" s="36"/>
      <c r="Y635" s="37">
        <f t="shared" si="105"/>
        <v>4.0551805800878848E-5</v>
      </c>
      <c r="Z635" s="37">
        <f t="shared" si="107"/>
        <v>-10.11293024569702</v>
      </c>
      <c r="AA635" s="149">
        <f t="shared" si="106"/>
        <v>-4.1009758340133961E-4</v>
      </c>
      <c r="AB635" s="37"/>
      <c r="AC635" s="98"/>
    </row>
    <row r="636" spans="1:31" ht="20.25" customHeight="1">
      <c r="A636" s="72">
        <v>42634</v>
      </c>
      <c r="B636" s="53">
        <v>4</v>
      </c>
      <c r="C636" s="65" t="s">
        <v>223</v>
      </c>
      <c r="D636" s="65" t="s">
        <v>267</v>
      </c>
      <c r="E636" s="65"/>
      <c r="F636" s="65" t="s">
        <v>273</v>
      </c>
      <c r="G636" s="65"/>
      <c r="H636" s="36"/>
      <c r="I636" s="36"/>
      <c r="J636" s="36">
        <v>1</v>
      </c>
      <c r="K636" s="36" t="s">
        <v>508</v>
      </c>
      <c r="L636" s="36" t="s">
        <v>520</v>
      </c>
      <c r="M636" s="36">
        <v>127</v>
      </c>
      <c r="N636" s="36">
        <f t="shared" si="112"/>
        <v>0.78740157480314954</v>
      </c>
      <c r="O636" s="65">
        <v>12.765871898998224</v>
      </c>
      <c r="P636" s="53">
        <f t="shared" si="113"/>
        <v>0.10051867637006476</v>
      </c>
      <c r="Q636" s="65">
        <v>4957.5437830631108</v>
      </c>
      <c r="R636" s="53">
        <f t="shared" si="114"/>
        <v>2.0275902900439425E-3</v>
      </c>
      <c r="S636" s="36">
        <v>1000</v>
      </c>
      <c r="T636" s="36">
        <v>1000</v>
      </c>
      <c r="U636" s="36"/>
      <c r="V636" s="36"/>
      <c r="W636" s="36"/>
      <c r="X636" s="36"/>
      <c r="Y636" s="37">
        <f t="shared" si="105"/>
        <v>2.0275902900439424E-5</v>
      </c>
      <c r="Z636" s="37">
        <f t="shared" si="107"/>
        <v>-10.806077426256966</v>
      </c>
      <c r="AA636" s="149">
        <f t="shared" si="106"/>
        <v>-2.191029766294166E-4</v>
      </c>
      <c r="AB636" s="37"/>
      <c r="AC636" s="98"/>
    </row>
    <row r="637" spans="1:31" ht="20.25" customHeight="1">
      <c r="A637" s="35">
        <v>42634</v>
      </c>
      <c r="B637" s="53">
        <v>4</v>
      </c>
      <c r="C637" s="36" t="s">
        <v>223</v>
      </c>
      <c r="D637" s="36" t="s">
        <v>267</v>
      </c>
      <c r="E637" s="36"/>
      <c r="F637" s="36" t="s">
        <v>273</v>
      </c>
      <c r="G637" s="36" t="s">
        <v>274</v>
      </c>
      <c r="H637" s="36" t="s">
        <v>275</v>
      </c>
      <c r="I637" s="36" t="s">
        <v>276</v>
      </c>
      <c r="J637" s="36">
        <v>4</v>
      </c>
      <c r="K637" s="36" t="s">
        <v>247</v>
      </c>
      <c r="L637" s="36" t="s">
        <v>275</v>
      </c>
      <c r="M637" s="36">
        <v>127</v>
      </c>
      <c r="N637" s="36">
        <f t="shared" si="112"/>
        <v>3.1496062992125982</v>
      </c>
      <c r="O637" s="65">
        <v>12.765871898998224</v>
      </c>
      <c r="P637" s="53">
        <f t="shared" si="113"/>
        <v>0.40207470548025903</v>
      </c>
      <c r="Q637" s="65">
        <v>4957.5437830631108</v>
      </c>
      <c r="R637" s="53">
        <f t="shared" si="114"/>
        <v>8.1103611601757702E-3</v>
      </c>
      <c r="S637" s="36">
        <v>1000</v>
      </c>
      <c r="T637" s="36">
        <v>1000</v>
      </c>
      <c r="U637" s="36"/>
      <c r="V637" s="36"/>
      <c r="W637" s="36"/>
      <c r="X637" s="36"/>
      <c r="Y637" s="37">
        <f t="shared" si="105"/>
        <v>8.1103611601757695E-5</v>
      </c>
      <c r="Z637" s="37">
        <f t="shared" si="107"/>
        <v>-9.4197830651370751</v>
      </c>
      <c r="AA637" s="149">
        <f t="shared" si="106"/>
        <v>-7.6397842708769194E-4</v>
      </c>
      <c r="AB637" s="37"/>
      <c r="AC637" s="98"/>
    </row>
    <row r="638" spans="1:31" ht="20.25" customHeight="1">
      <c r="A638" s="35">
        <v>42634</v>
      </c>
      <c r="B638" s="53">
        <v>4</v>
      </c>
      <c r="C638" s="36" t="s">
        <v>526</v>
      </c>
      <c r="D638" s="36" t="s">
        <v>267</v>
      </c>
      <c r="E638" s="36" t="s">
        <v>278</v>
      </c>
      <c r="F638" s="36" t="s">
        <v>272</v>
      </c>
      <c r="G638" s="36" t="s">
        <v>527</v>
      </c>
      <c r="H638" s="36" t="s">
        <v>528</v>
      </c>
      <c r="I638" s="36" t="s">
        <v>529</v>
      </c>
      <c r="J638" s="36">
        <v>1</v>
      </c>
      <c r="K638" s="36" t="s">
        <v>247</v>
      </c>
      <c r="L638" s="36" t="s">
        <v>530</v>
      </c>
      <c r="M638" s="36">
        <v>127</v>
      </c>
      <c r="N638" s="36">
        <f t="shared" si="112"/>
        <v>0.78740157480314954</v>
      </c>
      <c r="O638" s="65">
        <v>12.765871898998224</v>
      </c>
      <c r="P638" s="53">
        <f t="shared" si="113"/>
        <v>0.10051867637006476</v>
      </c>
      <c r="Q638" s="65">
        <v>4957.5437830631108</v>
      </c>
      <c r="R638" s="53">
        <f t="shared" si="114"/>
        <v>2.0275902900439425E-3</v>
      </c>
      <c r="S638" s="36">
        <v>1000</v>
      </c>
      <c r="T638" s="36">
        <v>1000</v>
      </c>
      <c r="U638" s="36"/>
      <c r="V638" s="36"/>
      <c r="W638" s="36"/>
      <c r="X638" s="36"/>
      <c r="Y638" s="37">
        <f t="shared" si="105"/>
        <v>2.0275902900439424E-5</v>
      </c>
      <c r="Z638" s="37">
        <f t="shared" si="107"/>
        <v>-10.806077426256966</v>
      </c>
      <c r="AA638" s="149">
        <f t="shared" si="106"/>
        <v>-2.191029766294166E-4</v>
      </c>
      <c r="AB638" s="37"/>
      <c r="AC638" s="98"/>
    </row>
    <row r="639" spans="1:31" ht="20.25" customHeight="1">
      <c r="A639" s="35">
        <v>42634</v>
      </c>
      <c r="B639" s="53">
        <v>4</v>
      </c>
      <c r="C639" s="36" t="s">
        <v>223</v>
      </c>
      <c r="D639" s="36" t="s">
        <v>224</v>
      </c>
      <c r="E639" s="36" t="s">
        <v>225</v>
      </c>
      <c r="F639" s="36" t="s">
        <v>521</v>
      </c>
      <c r="G639" s="36" t="s">
        <v>522</v>
      </c>
      <c r="H639" s="36" t="s">
        <v>523</v>
      </c>
      <c r="I639" s="36" t="s">
        <v>551</v>
      </c>
      <c r="J639" s="36">
        <v>1</v>
      </c>
      <c r="K639" s="36" t="s">
        <v>247</v>
      </c>
      <c r="L639" s="36" t="s">
        <v>524</v>
      </c>
      <c r="M639" s="36">
        <v>127</v>
      </c>
      <c r="N639" s="36">
        <f t="shared" si="112"/>
        <v>0.78740157480314954</v>
      </c>
      <c r="O639" s="65">
        <v>12.765871898998224</v>
      </c>
      <c r="P639" s="53">
        <f t="shared" si="113"/>
        <v>0.10051867637006476</v>
      </c>
      <c r="Q639" s="65">
        <v>4957.5437830631108</v>
      </c>
      <c r="R639" s="53">
        <f t="shared" si="114"/>
        <v>2.0275902900439425E-3</v>
      </c>
      <c r="S639" s="36">
        <v>1000</v>
      </c>
      <c r="T639" s="36">
        <v>1000</v>
      </c>
      <c r="U639" s="36"/>
      <c r="V639" s="36"/>
      <c r="W639" s="36"/>
      <c r="X639" s="36"/>
      <c r="Y639" s="37">
        <f t="shared" si="105"/>
        <v>2.0275902900439424E-5</v>
      </c>
      <c r="Z639" s="37">
        <f t="shared" si="107"/>
        <v>-10.806077426256966</v>
      </c>
      <c r="AA639" s="149">
        <f t="shared" si="106"/>
        <v>-2.191029766294166E-4</v>
      </c>
      <c r="AB639" s="37"/>
      <c r="AC639" s="98"/>
    </row>
    <row r="640" spans="1:31" ht="20.25" customHeight="1">
      <c r="A640" s="35">
        <v>42634</v>
      </c>
      <c r="B640" s="53">
        <v>4</v>
      </c>
      <c r="C640" s="36" t="s">
        <v>223</v>
      </c>
      <c r="D640" s="36" t="s">
        <v>267</v>
      </c>
      <c r="E640" s="36" t="s">
        <v>278</v>
      </c>
      <c r="F640" s="36" t="s">
        <v>279</v>
      </c>
      <c r="G640" s="36" t="s">
        <v>280</v>
      </c>
      <c r="H640" s="36" t="s">
        <v>284</v>
      </c>
      <c r="I640" s="36" t="s">
        <v>285</v>
      </c>
      <c r="J640" s="36">
        <v>117</v>
      </c>
      <c r="K640" s="36" t="s">
        <v>247</v>
      </c>
      <c r="L640" s="36" t="s">
        <v>24</v>
      </c>
      <c r="M640" s="36">
        <v>127</v>
      </c>
      <c r="N640" s="36">
        <f t="shared" si="112"/>
        <v>92.125984251968504</v>
      </c>
      <c r="O640" s="65">
        <v>12.765871898998224</v>
      </c>
      <c r="P640" s="53">
        <f t="shared" si="113"/>
        <v>11.760685135297576</v>
      </c>
      <c r="Q640" s="65">
        <v>4957.5437830631108</v>
      </c>
      <c r="R640" s="53">
        <f t="shared" si="114"/>
        <v>0.23722806393514126</v>
      </c>
      <c r="S640" s="36">
        <v>1000</v>
      </c>
      <c r="T640" s="36">
        <v>1000</v>
      </c>
      <c r="U640" s="36"/>
      <c r="V640" s="36"/>
      <c r="W640" s="36"/>
      <c r="X640" s="36"/>
      <c r="Y640" s="37">
        <f t="shared" si="105"/>
        <v>2.3722806393514126E-3</v>
      </c>
      <c r="Z640" s="37">
        <f t="shared" si="107"/>
        <v>-6.0439034914592105</v>
      </c>
      <c r="AA640" s="149">
        <f t="shared" si="106"/>
        <v>-1.433783523889709E-2</v>
      </c>
      <c r="AB640" s="37"/>
      <c r="AC640" s="98"/>
    </row>
    <row r="641" spans="1:31" ht="20.25" customHeight="1">
      <c r="A641" s="35">
        <v>42634</v>
      </c>
      <c r="B641" s="53">
        <v>4</v>
      </c>
      <c r="C641" s="36" t="s">
        <v>223</v>
      </c>
      <c r="D641" s="36" t="s">
        <v>224</v>
      </c>
      <c r="E641" s="36" t="s">
        <v>225</v>
      </c>
      <c r="F641" s="36" t="s">
        <v>226</v>
      </c>
      <c r="G641" s="36" t="s">
        <v>227</v>
      </c>
      <c r="H641" s="36" t="s">
        <v>228</v>
      </c>
      <c r="I641" s="36"/>
      <c r="J641" s="36">
        <v>111</v>
      </c>
      <c r="K641" s="36" t="s">
        <v>229</v>
      </c>
      <c r="L641" s="36" t="s">
        <v>228</v>
      </c>
      <c r="M641" s="36">
        <v>156</v>
      </c>
      <c r="N641" s="36">
        <f t="shared" si="112"/>
        <v>71.15384615384616</v>
      </c>
      <c r="O641" s="76">
        <v>4944.777911164113</v>
      </c>
      <c r="P641" s="53">
        <f t="shared" si="113"/>
        <v>3518.3996675590806</v>
      </c>
      <c r="Q641" s="65">
        <v>4957.5437830631108</v>
      </c>
      <c r="R641" s="53">
        <f t="shared" si="114"/>
        <v>70.970622177443914</v>
      </c>
      <c r="S641" s="36">
        <v>250</v>
      </c>
      <c r="T641" s="36">
        <v>250</v>
      </c>
      <c r="U641" s="36"/>
      <c r="V641" s="36"/>
      <c r="W641" s="36"/>
      <c r="X641" s="36"/>
      <c r="Y641" s="37">
        <f t="shared" ref="Y641:Y704" si="116">(R641/100)</f>
        <v>0.70970622177443909</v>
      </c>
      <c r="Z641" s="37">
        <f t="shared" si="107"/>
        <v>-0.34290416672276974</v>
      </c>
      <c r="AA641" s="149">
        <f t="shared" ref="AA641:AA655" si="117">(Y641*Z641)</f>
        <v>-0.24336122059552925</v>
      </c>
      <c r="AB641" s="37"/>
      <c r="AC641" s="98"/>
    </row>
    <row r="642" spans="1:31" ht="20.25" customHeight="1">
      <c r="A642" s="35">
        <v>42634</v>
      </c>
      <c r="B642" s="53">
        <v>4</v>
      </c>
      <c r="C642" s="65" t="s">
        <v>223</v>
      </c>
      <c r="D642" s="65" t="s">
        <v>224</v>
      </c>
      <c r="E642" s="65" t="s">
        <v>225</v>
      </c>
      <c r="F642" s="65" t="s">
        <v>226</v>
      </c>
      <c r="G642" s="65" t="s">
        <v>235</v>
      </c>
      <c r="H642" s="36" t="s">
        <v>236</v>
      </c>
      <c r="I642" s="36"/>
      <c r="J642" s="36">
        <v>1</v>
      </c>
      <c r="K642" s="36" t="s">
        <v>229</v>
      </c>
      <c r="L642" s="36" t="s">
        <v>236</v>
      </c>
      <c r="M642" s="36">
        <v>156</v>
      </c>
      <c r="N642" s="36">
        <f t="shared" si="112"/>
        <v>0.64102564102564097</v>
      </c>
      <c r="O642" s="76">
        <v>4944.777911164113</v>
      </c>
      <c r="P642" s="53">
        <f t="shared" si="113"/>
        <v>31.697294302334058</v>
      </c>
      <c r="Q642" s="65">
        <v>4957.5437830631108</v>
      </c>
      <c r="R642" s="53">
        <f t="shared" si="114"/>
        <v>0.63937497457156689</v>
      </c>
      <c r="S642" s="36">
        <v>250</v>
      </c>
      <c r="T642" s="36">
        <v>250</v>
      </c>
      <c r="U642" s="36"/>
      <c r="V642" s="36"/>
      <c r="W642" s="36"/>
      <c r="X642" s="36"/>
      <c r="Y642" s="37">
        <f t="shared" si="116"/>
        <v>6.3937497457156687E-3</v>
      </c>
      <c r="Z642" s="37">
        <f t="shared" si="107"/>
        <v>-5.0524343680351036</v>
      </c>
      <c r="AA642" s="149">
        <f t="shared" si="117"/>
        <v>-3.230400095586955E-2</v>
      </c>
      <c r="AB642" s="37"/>
      <c r="AC642" s="98"/>
    </row>
    <row r="643" spans="1:31" ht="20.25" customHeight="1">
      <c r="A643" s="35">
        <v>42634</v>
      </c>
      <c r="B643" s="53">
        <v>4</v>
      </c>
      <c r="C643" s="100" t="s">
        <v>209</v>
      </c>
      <c r="D643" t="s">
        <v>210</v>
      </c>
      <c r="E643"/>
      <c r="F643" s="100" t="s">
        <v>211</v>
      </c>
      <c r="G643" s="100" t="s">
        <v>212</v>
      </c>
      <c r="H643" s="100" t="s">
        <v>213</v>
      </c>
      <c r="I643" s="100" t="s">
        <v>214</v>
      </c>
      <c r="J643" s="100">
        <v>1</v>
      </c>
      <c r="K643" s="100" t="s">
        <v>247</v>
      </c>
      <c r="L643" s="100" t="s">
        <v>215</v>
      </c>
      <c r="M643" s="36">
        <v>156</v>
      </c>
      <c r="N643" s="36">
        <f t="shared" si="112"/>
        <v>0.64102564102564097</v>
      </c>
      <c r="O643" s="76">
        <v>4944.777911164113</v>
      </c>
      <c r="P643" s="53">
        <f t="shared" si="113"/>
        <v>31.697294302334058</v>
      </c>
      <c r="Q643" s="65">
        <v>4957.5437830631108</v>
      </c>
      <c r="R643" s="53">
        <f t="shared" si="114"/>
        <v>0.63937497457156689</v>
      </c>
      <c r="S643" s="36">
        <v>250</v>
      </c>
      <c r="T643" s="36">
        <v>250</v>
      </c>
      <c r="U643" s="36"/>
      <c r="V643" s="36"/>
      <c r="W643" s="36"/>
      <c r="X643" s="36"/>
      <c r="Y643" s="37">
        <f t="shared" si="116"/>
        <v>6.3937497457156687E-3</v>
      </c>
      <c r="Z643" s="37">
        <f t="shared" ref="Z643:Z655" si="118">LN(Y643)</f>
        <v>-5.0524343680351036</v>
      </c>
      <c r="AA643" s="149">
        <f t="shared" si="117"/>
        <v>-3.230400095586955E-2</v>
      </c>
      <c r="AB643" s="37"/>
      <c r="AC643" s="98"/>
    </row>
    <row r="644" spans="1:31" ht="20.25" customHeight="1">
      <c r="A644" s="35">
        <v>42634</v>
      </c>
      <c r="B644" s="53">
        <v>4</v>
      </c>
      <c r="C644" s="36" t="s">
        <v>223</v>
      </c>
      <c r="D644" s="36" t="s">
        <v>224</v>
      </c>
      <c r="E644" s="36" t="s">
        <v>225</v>
      </c>
      <c r="F644" s="36" t="s">
        <v>226</v>
      </c>
      <c r="G644" s="36" t="s">
        <v>239</v>
      </c>
      <c r="H644" s="36" t="s">
        <v>240</v>
      </c>
      <c r="I644" s="36"/>
      <c r="J644" s="36">
        <v>37</v>
      </c>
      <c r="K644" s="36" t="s">
        <v>229</v>
      </c>
      <c r="L644" s="36" t="s">
        <v>240</v>
      </c>
      <c r="M644" s="36">
        <v>156</v>
      </c>
      <c r="N644" s="36">
        <f t="shared" si="112"/>
        <v>23.717948717948715</v>
      </c>
      <c r="O644" s="76">
        <v>4944.777911164113</v>
      </c>
      <c r="P644" s="53">
        <f t="shared" si="113"/>
        <v>1172.7998891863599</v>
      </c>
      <c r="Q644" s="65">
        <v>4957.5437830631108</v>
      </c>
      <c r="R644" s="53">
        <f t="shared" si="114"/>
        <v>23.65687405914797</v>
      </c>
      <c r="S644" s="36">
        <v>250</v>
      </c>
      <c r="T644" s="36">
        <v>250</v>
      </c>
      <c r="U644" s="36"/>
      <c r="V644" s="36"/>
      <c r="W644" s="36"/>
      <c r="X644" s="36"/>
      <c r="Y644" s="37">
        <f t="shared" si="116"/>
        <v>0.2365687405914797</v>
      </c>
      <c r="Z644" s="37">
        <f t="shared" si="118"/>
        <v>-1.4415164553908795</v>
      </c>
      <c r="AA644" s="149">
        <f t="shared" si="117"/>
        <v>-0.3410177323937143</v>
      </c>
      <c r="AB644" s="37"/>
      <c r="AC644" s="98"/>
    </row>
    <row r="645" spans="1:31" ht="20.25" customHeight="1">
      <c r="A645" s="35">
        <v>42634</v>
      </c>
      <c r="B645" s="53">
        <v>4</v>
      </c>
      <c r="C645" s="65" t="s">
        <v>323</v>
      </c>
      <c r="D645" s="65" t="s">
        <v>489</v>
      </c>
      <c r="E645" s="65"/>
      <c r="F645" s="65" t="s">
        <v>490</v>
      </c>
      <c r="G645" s="65" t="s">
        <v>491</v>
      </c>
      <c r="H645" s="36" t="s">
        <v>371</v>
      </c>
      <c r="I645" s="36" t="s">
        <v>372</v>
      </c>
      <c r="J645" s="36">
        <v>1</v>
      </c>
      <c r="K645" s="36" t="s">
        <v>247</v>
      </c>
      <c r="L645" s="36" t="s">
        <v>371</v>
      </c>
      <c r="M645" s="36">
        <v>156</v>
      </c>
      <c r="N645" s="36">
        <f t="shared" si="112"/>
        <v>0.64102564102564097</v>
      </c>
      <c r="O645" s="76">
        <v>4944.777911164113</v>
      </c>
      <c r="P645" s="53">
        <f t="shared" si="113"/>
        <v>31.697294302334058</v>
      </c>
      <c r="Q645" s="65">
        <v>4957.5437830631108</v>
      </c>
      <c r="R645" s="53">
        <f t="shared" si="114"/>
        <v>0.63937497457156689</v>
      </c>
      <c r="S645" s="36">
        <v>250</v>
      </c>
      <c r="T645" s="36">
        <v>250</v>
      </c>
      <c r="U645" s="36"/>
      <c r="V645" s="36"/>
      <c r="W645" s="36"/>
      <c r="X645" s="36"/>
      <c r="Y645" s="37">
        <f t="shared" si="116"/>
        <v>6.3937497457156687E-3</v>
      </c>
      <c r="Z645" s="37">
        <f t="shared" si="118"/>
        <v>-5.0524343680351036</v>
      </c>
      <c r="AA645" s="149">
        <f t="shared" si="117"/>
        <v>-3.230400095586955E-2</v>
      </c>
      <c r="AB645" s="37"/>
      <c r="AC645" s="98"/>
    </row>
    <row r="646" spans="1:31" ht="20.25" customHeight="1">
      <c r="A646" s="35">
        <v>42634</v>
      </c>
      <c r="B646" s="53">
        <v>4</v>
      </c>
      <c r="C646" s="36" t="s">
        <v>216</v>
      </c>
      <c r="D646" s="36" t="s">
        <v>217</v>
      </c>
      <c r="E646" s="36"/>
      <c r="F646" s="36"/>
      <c r="G646" s="36"/>
      <c r="H646" s="36" t="s">
        <v>219</v>
      </c>
      <c r="I646" s="36"/>
      <c r="J646" s="36">
        <v>1</v>
      </c>
      <c r="K646" s="36" t="s">
        <v>229</v>
      </c>
      <c r="L646" s="36" t="s">
        <v>219</v>
      </c>
      <c r="M646" s="36">
        <v>156</v>
      </c>
      <c r="N646" s="36">
        <f t="shared" si="112"/>
        <v>0.64102564102564097</v>
      </c>
      <c r="O646" s="76">
        <v>4944.777911164113</v>
      </c>
      <c r="P646" s="53">
        <f t="shared" si="113"/>
        <v>31.697294302334058</v>
      </c>
      <c r="Q646" s="65">
        <v>4957.5437830631108</v>
      </c>
      <c r="R646" s="53">
        <f t="shared" si="114"/>
        <v>0.63937497457156689</v>
      </c>
      <c r="S646" s="36">
        <v>250</v>
      </c>
      <c r="T646" s="36">
        <v>250</v>
      </c>
      <c r="U646" s="36"/>
      <c r="V646" s="36"/>
      <c r="W646" s="36"/>
      <c r="X646" s="36"/>
      <c r="Y646" s="37">
        <f t="shared" si="116"/>
        <v>6.3937497457156687E-3</v>
      </c>
      <c r="Z646" s="37">
        <f t="shared" si="118"/>
        <v>-5.0524343680351036</v>
      </c>
      <c r="AA646" s="149">
        <f t="shared" si="117"/>
        <v>-3.230400095586955E-2</v>
      </c>
      <c r="AB646" s="37"/>
      <c r="AC646" s="98"/>
    </row>
    <row r="647" spans="1:31" ht="20.25" customHeight="1">
      <c r="A647" s="35">
        <v>42634</v>
      </c>
      <c r="B647" s="65">
        <v>4</v>
      </c>
      <c r="C647" s="36" t="s">
        <v>223</v>
      </c>
      <c r="D647" s="36" t="s">
        <v>224</v>
      </c>
      <c r="E647" s="36" t="s">
        <v>225</v>
      </c>
      <c r="F647" s="36" t="s">
        <v>226</v>
      </c>
      <c r="G647" s="36" t="s">
        <v>253</v>
      </c>
      <c r="H647" s="36" t="s">
        <v>256</v>
      </c>
      <c r="I647" s="36"/>
      <c r="J647" s="36">
        <v>2</v>
      </c>
      <c r="K647" s="36" t="s">
        <v>229</v>
      </c>
      <c r="L647" s="36" t="s">
        <v>256</v>
      </c>
      <c r="M647" s="36">
        <v>156</v>
      </c>
      <c r="N647" s="36">
        <f t="shared" si="112"/>
        <v>1.2820512820512819</v>
      </c>
      <c r="O647" s="76">
        <v>4944.777911164113</v>
      </c>
      <c r="P647" s="53">
        <f t="shared" si="113"/>
        <v>63.394588604668115</v>
      </c>
      <c r="Q647" s="65">
        <v>4957.5437830631108</v>
      </c>
      <c r="R647" s="53">
        <f t="shared" si="114"/>
        <v>1.2787499491431338</v>
      </c>
      <c r="S647" s="36">
        <v>250</v>
      </c>
      <c r="T647" s="36">
        <v>250</v>
      </c>
      <c r="U647" s="36"/>
      <c r="V647" s="36"/>
      <c r="W647" s="36"/>
      <c r="X647" s="36"/>
      <c r="Y647" s="37">
        <f t="shared" si="116"/>
        <v>1.2787499491431337E-2</v>
      </c>
      <c r="Z647" s="37">
        <f t="shared" si="118"/>
        <v>-4.3592871874751582</v>
      </c>
      <c r="AA647" s="149">
        <f t="shared" si="117"/>
        <v>-5.574438269284173E-2</v>
      </c>
      <c r="AB647" s="37"/>
      <c r="AC647" s="98"/>
    </row>
    <row r="648" spans="1:31" ht="20.25" customHeight="1">
      <c r="A648" s="35">
        <v>42634</v>
      </c>
      <c r="B648" s="65">
        <v>4</v>
      </c>
      <c r="C648" s="36" t="s">
        <v>223</v>
      </c>
      <c r="D648" s="36" t="s">
        <v>224</v>
      </c>
      <c r="E648" s="36" t="s">
        <v>225</v>
      </c>
      <c r="F648" s="36" t="s">
        <v>226</v>
      </c>
      <c r="G648" s="54" t="s">
        <v>487</v>
      </c>
      <c r="H648" s="36" t="s">
        <v>486</v>
      </c>
      <c r="I648" s="36"/>
      <c r="J648" s="36">
        <v>1</v>
      </c>
      <c r="K648" s="36" t="s">
        <v>229</v>
      </c>
      <c r="L648" s="36" t="s">
        <v>488</v>
      </c>
      <c r="M648" s="36">
        <v>156</v>
      </c>
      <c r="N648" s="36">
        <f t="shared" si="112"/>
        <v>0.64102564102564097</v>
      </c>
      <c r="O648" s="76">
        <v>4944.777911164113</v>
      </c>
      <c r="P648" s="53">
        <f t="shared" si="113"/>
        <v>31.697294302334058</v>
      </c>
      <c r="Q648" s="65">
        <v>4957.5437830631108</v>
      </c>
      <c r="R648" s="53">
        <f t="shared" si="114"/>
        <v>0.63937497457156689</v>
      </c>
      <c r="S648" s="36">
        <v>250</v>
      </c>
      <c r="T648" s="36">
        <v>250</v>
      </c>
      <c r="U648" s="36" t="s">
        <v>470</v>
      </c>
      <c r="V648" s="36"/>
      <c r="W648" s="36"/>
      <c r="X648" s="36"/>
      <c r="Y648" s="37">
        <f t="shared" si="116"/>
        <v>6.3937497457156687E-3</v>
      </c>
      <c r="Z648" s="37">
        <f t="shared" si="118"/>
        <v>-5.0524343680351036</v>
      </c>
      <c r="AA648" s="149">
        <f t="shared" si="117"/>
        <v>-3.230400095586955E-2</v>
      </c>
      <c r="AB648" s="37"/>
      <c r="AC648" s="98"/>
    </row>
    <row r="649" spans="1:31" ht="20.25" customHeight="1">
      <c r="A649" s="35">
        <v>42634</v>
      </c>
      <c r="B649" s="53">
        <v>4</v>
      </c>
      <c r="C649" s="36" t="s">
        <v>223</v>
      </c>
      <c r="D649" s="36" t="s">
        <v>224</v>
      </c>
      <c r="E649" s="36" t="s">
        <v>225</v>
      </c>
      <c r="F649" s="36" t="s">
        <v>226</v>
      </c>
      <c r="G649" s="36" t="s">
        <v>239</v>
      </c>
      <c r="H649" s="36" t="s">
        <v>258</v>
      </c>
      <c r="I649" s="36" t="s">
        <v>259</v>
      </c>
      <c r="J649" s="36">
        <v>1</v>
      </c>
      <c r="K649" s="36" t="s">
        <v>247</v>
      </c>
      <c r="L649" s="36" t="s">
        <v>258</v>
      </c>
      <c r="M649" s="36">
        <v>156</v>
      </c>
      <c r="N649" s="36">
        <f t="shared" si="112"/>
        <v>0.64102564102564097</v>
      </c>
      <c r="O649" s="76">
        <v>4944.777911164113</v>
      </c>
      <c r="P649" s="53">
        <f t="shared" si="113"/>
        <v>31.697294302334058</v>
      </c>
      <c r="Q649" s="65">
        <v>4957.5437830631108</v>
      </c>
      <c r="R649" s="53">
        <f t="shared" si="114"/>
        <v>0.63937497457156689</v>
      </c>
      <c r="S649" s="36">
        <v>250</v>
      </c>
      <c r="T649" s="36">
        <v>250</v>
      </c>
      <c r="U649" s="36"/>
      <c r="V649" s="36"/>
      <c r="W649" s="36"/>
      <c r="X649" s="36"/>
      <c r="Y649" s="37">
        <f t="shared" si="116"/>
        <v>6.3937497457156687E-3</v>
      </c>
      <c r="Z649" s="37">
        <f t="shared" si="118"/>
        <v>-5.0524343680351036</v>
      </c>
      <c r="AA649" s="149">
        <f t="shared" si="117"/>
        <v>-3.230400095586955E-2</v>
      </c>
      <c r="AB649" s="37"/>
      <c r="AC649" s="98"/>
    </row>
    <row r="650" spans="1:31" ht="20.25" customHeight="1">
      <c r="A650" s="35">
        <v>42634</v>
      </c>
      <c r="B650" s="53">
        <v>2</v>
      </c>
      <c r="C650" s="65" t="s">
        <v>223</v>
      </c>
      <c r="D650" s="65" t="s">
        <v>267</v>
      </c>
      <c r="E650" s="65"/>
      <c r="F650" s="65" t="s">
        <v>273</v>
      </c>
      <c r="G650" s="65"/>
      <c r="H650" s="36"/>
      <c r="I650" s="36"/>
      <c r="J650" s="36">
        <v>12</v>
      </c>
      <c r="K650" s="36" t="s">
        <v>508</v>
      </c>
      <c r="L650" s="36" t="s">
        <v>494</v>
      </c>
      <c r="M650" s="36">
        <v>19</v>
      </c>
      <c r="N650" s="36">
        <f t="shared" si="112"/>
        <v>63.157894736842103</v>
      </c>
      <c r="O650" s="36">
        <v>1.8688708413525965</v>
      </c>
      <c r="P650" s="40">
        <f t="shared" si="113"/>
        <v>1.1803394787490082</v>
      </c>
      <c r="Q650" s="36">
        <v>13805.0079230722</v>
      </c>
      <c r="R650" s="40">
        <f t="shared" si="114"/>
        <v>8.5500818639612387E-3</v>
      </c>
      <c r="S650" s="36">
        <v>1000</v>
      </c>
      <c r="T650" s="36">
        <v>1000</v>
      </c>
      <c r="U650" s="36"/>
      <c r="V650" s="36"/>
      <c r="W650" s="3" t="s">
        <v>614</v>
      </c>
      <c r="X650" s="36"/>
      <c r="Y650" s="37">
        <f t="shared" si="116"/>
        <v>8.5500818639612389E-5</v>
      </c>
      <c r="Z650" s="37">
        <f t="shared" si="118"/>
        <v>-9.3669846073350875</v>
      </c>
      <c r="AA650" s="149">
        <f t="shared" si="117"/>
        <v>-8.0088485211179819E-4</v>
      </c>
      <c r="AB650" s="37">
        <f>SUM(AA650:AA655)*(-1)</f>
        <v>0.71906493176840303</v>
      </c>
      <c r="AC650" s="98">
        <v>6</v>
      </c>
      <c r="AD650" s="98">
        <f t="shared" ref="AD650" si="119">LN(AC650)</f>
        <v>1.791759469228055</v>
      </c>
      <c r="AE650" s="98">
        <f>(AB650/AD650)</f>
        <v>0.4013177796002933</v>
      </c>
    </row>
    <row r="651" spans="1:31" ht="20.25" customHeight="1">
      <c r="A651" s="35">
        <v>42634</v>
      </c>
      <c r="B651" s="53">
        <v>2</v>
      </c>
      <c r="C651" s="36" t="s">
        <v>223</v>
      </c>
      <c r="D651" s="36" t="s">
        <v>267</v>
      </c>
      <c r="E651" s="36"/>
      <c r="F651" s="36" t="s">
        <v>273</v>
      </c>
      <c r="G651" s="36" t="s">
        <v>274</v>
      </c>
      <c r="H651" s="36" t="s">
        <v>275</v>
      </c>
      <c r="I651" s="36" t="s">
        <v>276</v>
      </c>
      <c r="J651" s="36">
        <v>2</v>
      </c>
      <c r="K651" s="36" t="s">
        <v>247</v>
      </c>
      <c r="L651" s="36" t="s">
        <v>275</v>
      </c>
      <c r="M651" s="36">
        <v>19</v>
      </c>
      <c r="N651" s="36">
        <f t="shared" si="112"/>
        <v>10.526315789473683</v>
      </c>
      <c r="O651" s="36">
        <v>1.8688708413525965</v>
      </c>
      <c r="P651" s="40">
        <f t="shared" si="113"/>
        <v>0.19672324645816805</v>
      </c>
      <c r="Q651" s="36">
        <v>13805.0079230722</v>
      </c>
      <c r="R651" s="40">
        <f t="shared" si="114"/>
        <v>1.4250136439935398E-3</v>
      </c>
      <c r="S651" s="36">
        <v>1000</v>
      </c>
      <c r="T651" s="36">
        <v>1000</v>
      </c>
      <c r="U651" s="36"/>
      <c r="V651" s="36"/>
      <c r="W651" s="3"/>
      <c r="X651" s="36"/>
      <c r="Y651" s="37">
        <f t="shared" si="116"/>
        <v>1.4250136439935399E-5</v>
      </c>
      <c r="Z651" s="37">
        <f t="shared" si="118"/>
        <v>-11.158744076563144</v>
      </c>
      <c r="AA651" s="149">
        <f t="shared" si="117"/>
        <v>-1.5901362558934574E-4</v>
      </c>
      <c r="AB651" s="37"/>
      <c r="AC651" s="98"/>
    </row>
    <row r="652" spans="1:31" ht="20.25" customHeight="1">
      <c r="A652" s="35">
        <v>42634</v>
      </c>
      <c r="B652" s="65">
        <v>2</v>
      </c>
      <c r="C652" s="36" t="s">
        <v>223</v>
      </c>
      <c r="D652" s="36" t="s">
        <v>267</v>
      </c>
      <c r="E652" s="36" t="s">
        <v>278</v>
      </c>
      <c r="F652" s="36" t="s">
        <v>279</v>
      </c>
      <c r="G652" s="36" t="s">
        <v>280</v>
      </c>
      <c r="H652" s="36" t="s">
        <v>284</v>
      </c>
      <c r="I652" s="36" t="s">
        <v>285</v>
      </c>
      <c r="J652" s="36">
        <v>5</v>
      </c>
      <c r="K652" s="36" t="s">
        <v>247</v>
      </c>
      <c r="L652" s="36" t="s">
        <v>24</v>
      </c>
      <c r="M652" s="36">
        <v>19</v>
      </c>
      <c r="N652" s="36">
        <f t="shared" si="112"/>
        <v>26.315789473684209</v>
      </c>
      <c r="O652" s="36">
        <v>1.8688708413525965</v>
      </c>
      <c r="P652" s="40">
        <f t="shared" si="113"/>
        <v>0.49180811614542008</v>
      </c>
      <c r="Q652" s="65">
        <v>13805.0079230722</v>
      </c>
      <c r="R652" s="40">
        <f t="shared" si="114"/>
        <v>3.5625341099838493E-3</v>
      </c>
      <c r="S652" s="36">
        <v>1000</v>
      </c>
      <c r="T652" s="36">
        <v>1000</v>
      </c>
      <c r="U652" s="36"/>
      <c r="V652" s="36"/>
      <c r="W652" s="3"/>
      <c r="X652" s="36"/>
      <c r="Y652" s="37">
        <f t="shared" si="116"/>
        <v>3.5625341099838491E-5</v>
      </c>
      <c r="Z652" s="37">
        <f t="shared" si="118"/>
        <v>-10.242453344688988</v>
      </c>
      <c r="AA652" s="149">
        <f t="shared" si="117"/>
        <v>-3.648908941037268E-4</v>
      </c>
      <c r="AB652" s="37"/>
      <c r="AC652" s="98"/>
    </row>
    <row r="653" spans="1:31" ht="20.25" customHeight="1">
      <c r="A653" s="13">
        <v>42634</v>
      </c>
      <c r="B653" s="65">
        <v>2</v>
      </c>
      <c r="C653" s="51" t="s">
        <v>223</v>
      </c>
      <c r="D653" s="51" t="s">
        <v>224</v>
      </c>
      <c r="E653" s="51" t="s">
        <v>225</v>
      </c>
      <c r="F653" s="51" t="s">
        <v>226</v>
      </c>
      <c r="G653" s="51" t="s">
        <v>227</v>
      </c>
      <c r="H653" s="3" t="s">
        <v>228</v>
      </c>
      <c r="I653" s="3"/>
      <c r="J653" s="36">
        <v>118</v>
      </c>
      <c r="K653" s="3" t="s">
        <v>229</v>
      </c>
      <c r="L653" s="36" t="s">
        <v>228</v>
      </c>
      <c r="M653" s="3">
        <v>233</v>
      </c>
      <c r="N653" s="3">
        <f t="shared" si="112"/>
        <v>50.643776824034333</v>
      </c>
      <c r="O653" s="36">
        <v>13803.139052230848</v>
      </c>
      <c r="P653" s="8">
        <f t="shared" si="113"/>
        <v>6990.4309363229195</v>
      </c>
      <c r="Q653" s="36">
        <v>13805.0079230722</v>
      </c>
      <c r="R653" s="40">
        <f t="shared" si="114"/>
        <v>50.636920857103362</v>
      </c>
      <c r="S653" s="36">
        <v>250</v>
      </c>
      <c r="T653" s="36">
        <v>250</v>
      </c>
      <c r="U653" s="3"/>
      <c r="V653" s="3"/>
      <c r="W653" s="3"/>
      <c r="X653" s="36"/>
      <c r="Y653" s="37">
        <f t="shared" si="116"/>
        <v>0.50636920857103362</v>
      </c>
      <c r="Z653" s="37">
        <f t="shared" si="118"/>
        <v>-0.680489214560413</v>
      </c>
      <c r="AA653" s="149">
        <f t="shared" si="117"/>
        <v>-0.34457878501808065</v>
      </c>
      <c r="AB653" s="37"/>
      <c r="AC653" s="98"/>
    </row>
    <row r="654" spans="1:31" s="42" customFormat="1" ht="20.25" customHeight="1">
      <c r="A654" s="71">
        <v>42634</v>
      </c>
      <c r="B654" s="53">
        <v>2</v>
      </c>
      <c r="C654" s="36" t="s">
        <v>223</v>
      </c>
      <c r="D654" s="36" t="s">
        <v>224</v>
      </c>
      <c r="E654" s="36" t="s">
        <v>225</v>
      </c>
      <c r="F654" s="36" t="s">
        <v>226</v>
      </c>
      <c r="G654" s="36" t="s">
        <v>239</v>
      </c>
      <c r="H654" s="36" t="s">
        <v>240</v>
      </c>
      <c r="I654" s="3"/>
      <c r="J654" s="36">
        <v>114</v>
      </c>
      <c r="K654" s="3" t="s">
        <v>229</v>
      </c>
      <c r="L654" s="36" t="s">
        <v>240</v>
      </c>
      <c r="M654" s="3">
        <v>233</v>
      </c>
      <c r="N654" s="3">
        <f t="shared" si="112"/>
        <v>48.927038626609445</v>
      </c>
      <c r="O654" s="36">
        <v>13803.139052230848</v>
      </c>
      <c r="P654" s="8">
        <f t="shared" si="113"/>
        <v>6753.4671757695996</v>
      </c>
      <c r="Q654" s="36">
        <v>13805.0079230722</v>
      </c>
      <c r="R654" s="40">
        <f t="shared" si="114"/>
        <v>48.920415065337146</v>
      </c>
      <c r="S654" s="3">
        <v>250</v>
      </c>
      <c r="T654" s="3">
        <v>250</v>
      </c>
      <c r="U654" s="3"/>
      <c r="V654" s="3"/>
      <c r="W654" s="3"/>
      <c r="X654" s="41"/>
      <c r="Y654" s="37">
        <f t="shared" si="116"/>
        <v>0.48920415065337147</v>
      </c>
      <c r="Z654" s="37">
        <f t="shared" si="118"/>
        <v>-0.71497539063158233</v>
      </c>
      <c r="AA654" s="149">
        <f t="shared" si="117"/>
        <v>-0.34976892871198573</v>
      </c>
      <c r="AB654" s="37"/>
      <c r="AC654" s="98"/>
      <c r="AD654" s="99"/>
      <c r="AE654" s="99"/>
    </row>
    <row r="655" spans="1:31" ht="20.25" customHeight="1">
      <c r="A655" s="71">
        <v>42634</v>
      </c>
      <c r="B655" s="53">
        <v>2</v>
      </c>
      <c r="C655" s="3" t="s">
        <v>216</v>
      </c>
      <c r="D655" s="3" t="s">
        <v>217</v>
      </c>
      <c r="E655" s="3"/>
      <c r="F655" s="3"/>
      <c r="G655" s="3"/>
      <c r="H655" s="3" t="s">
        <v>219</v>
      </c>
      <c r="I655" s="3"/>
      <c r="J655" s="36">
        <v>1</v>
      </c>
      <c r="K655" s="36" t="s">
        <v>229</v>
      </c>
      <c r="L655" s="36" t="s">
        <v>219</v>
      </c>
      <c r="M655" s="3">
        <v>233</v>
      </c>
      <c r="N655" s="3">
        <f t="shared" si="112"/>
        <v>0.42918454935622319</v>
      </c>
      <c r="O655" s="36">
        <v>13803.139052230848</v>
      </c>
      <c r="P655" s="8">
        <f t="shared" si="113"/>
        <v>59.240940138329819</v>
      </c>
      <c r="Q655" s="36">
        <v>13805.0079230722</v>
      </c>
      <c r="R655" s="40">
        <f t="shared" si="114"/>
        <v>0.42912644794155391</v>
      </c>
      <c r="S655" s="36">
        <v>250</v>
      </c>
      <c r="T655" s="36">
        <v>250</v>
      </c>
      <c r="U655" s="3"/>
      <c r="V655" s="3"/>
      <c r="W655" s="3"/>
      <c r="X655" s="36"/>
      <c r="Y655" s="37">
        <f t="shared" si="116"/>
        <v>4.2912644794155389E-3</v>
      </c>
      <c r="Z655" s="37">
        <f t="shared" si="118"/>
        <v>-5.4511738390260778</v>
      </c>
      <c r="AA655" s="149">
        <f t="shared" si="117"/>
        <v>-2.3392428666531847E-2</v>
      </c>
      <c r="AB655" s="37"/>
      <c r="AC655" s="98"/>
    </row>
    <row r="656" spans="1:31" customFormat="1" ht="20.25" customHeight="1">
      <c r="A656" s="13">
        <v>42867</v>
      </c>
      <c r="B656" s="53">
        <v>2</v>
      </c>
      <c r="C656" s="3" t="s">
        <v>648</v>
      </c>
      <c r="D656" s="3"/>
      <c r="E656" s="3"/>
      <c r="F656" s="3"/>
      <c r="G656" s="3"/>
      <c r="H656" s="3"/>
      <c r="I656" s="3"/>
      <c r="J656" s="3">
        <v>0</v>
      </c>
      <c r="K656" s="3"/>
      <c r="L656" s="3"/>
      <c r="M656" s="3">
        <v>0</v>
      </c>
      <c r="N656" s="3">
        <v>0</v>
      </c>
      <c r="O656" s="36">
        <v>0</v>
      </c>
      <c r="P656" s="8">
        <f t="shared" ref="P656:P687" si="120">(N656/100)*O656</f>
        <v>0</v>
      </c>
      <c r="Q656" s="36">
        <v>1137.7466967017995</v>
      </c>
      <c r="R656" s="40">
        <f t="shared" si="114"/>
        <v>0</v>
      </c>
      <c r="S656" s="109"/>
      <c r="T656" s="36">
        <v>1000</v>
      </c>
      <c r="U656" s="3"/>
      <c r="V656" s="3"/>
      <c r="W656" s="3"/>
      <c r="X656" s="3"/>
      <c r="Y656" s="37">
        <f t="shared" si="116"/>
        <v>0</v>
      </c>
      <c r="Z656" s="37">
        <v>0</v>
      </c>
      <c r="AA656" s="149">
        <v>0</v>
      </c>
      <c r="AB656" s="3">
        <f>SUM(AA656:AA660)*(-1)</f>
        <v>0.13204737514039491</v>
      </c>
      <c r="AC656" s="3">
        <v>4</v>
      </c>
      <c r="AD656" s="98">
        <f t="shared" ref="AD656" si="121">LN(AC656)</f>
        <v>1.3862943611198906</v>
      </c>
      <c r="AE656" s="98">
        <f>(AB656/AD656)</f>
        <v>9.5252046638726162E-2</v>
      </c>
    </row>
    <row r="657" spans="1:31" customFormat="1" ht="20.25" customHeight="1">
      <c r="A657" s="13">
        <v>42867</v>
      </c>
      <c r="B657" s="53">
        <v>2</v>
      </c>
      <c r="C657" s="36" t="s">
        <v>223</v>
      </c>
      <c r="D657" s="36" t="s">
        <v>224</v>
      </c>
      <c r="E657" s="36" t="s">
        <v>225</v>
      </c>
      <c r="F657" s="36" t="s">
        <v>226</v>
      </c>
      <c r="G657" s="36" t="s">
        <v>239</v>
      </c>
      <c r="H657" s="36" t="s">
        <v>240</v>
      </c>
      <c r="I657" s="3"/>
      <c r="J657" s="36">
        <v>211</v>
      </c>
      <c r="K657" s="3" t="s">
        <v>229</v>
      </c>
      <c r="L657" s="36" t="s">
        <v>240</v>
      </c>
      <c r="M657" s="3">
        <v>216</v>
      </c>
      <c r="N657" s="3">
        <f t="shared" ref="N657:N688" si="122">J657/M657*100</f>
        <v>97.68518518518519</v>
      </c>
      <c r="O657" s="36">
        <v>1137.7466967017995</v>
      </c>
      <c r="P657" s="8">
        <f t="shared" si="120"/>
        <v>1111.4099676114799</v>
      </c>
      <c r="Q657" s="36">
        <v>1137.7466967017995</v>
      </c>
      <c r="R657" s="40">
        <f t="shared" si="114"/>
        <v>97.685185185185176</v>
      </c>
      <c r="S657" s="109"/>
      <c r="T657" s="3"/>
      <c r="U657" s="3"/>
      <c r="V657" s="3"/>
      <c r="W657" s="3"/>
      <c r="X657" s="3"/>
      <c r="Y657" s="37">
        <f t="shared" si="116"/>
        <v>0.97685185185185175</v>
      </c>
      <c r="Z657" s="37">
        <f t="shared" ref="Z657:Z719" si="123">LN(Y657)</f>
        <v>-2.3420274208098613E-2</v>
      </c>
      <c r="AA657" s="149">
        <f t="shared" ref="AA657:AA719" si="124">(Y657*Z657)</f>
        <v>-2.2878138231059289E-2</v>
      </c>
      <c r="AB657" s="3"/>
      <c r="AC657" s="3"/>
    </row>
    <row r="658" spans="1:31" customFormat="1" ht="20.25" customHeight="1">
      <c r="A658" s="13">
        <v>42867</v>
      </c>
      <c r="B658" s="53">
        <v>2</v>
      </c>
      <c r="C658" s="51" t="s">
        <v>216</v>
      </c>
      <c r="D658" s="51" t="s">
        <v>217</v>
      </c>
      <c r="E658" s="51"/>
      <c r="F658" s="51"/>
      <c r="G658" s="51"/>
      <c r="H658" s="3" t="s">
        <v>647</v>
      </c>
      <c r="I658" s="3"/>
      <c r="J658" s="3">
        <v>1</v>
      </c>
      <c r="K658" s="36" t="s">
        <v>229</v>
      </c>
      <c r="L658" s="3" t="s">
        <v>219</v>
      </c>
      <c r="M658" s="3">
        <v>216</v>
      </c>
      <c r="N658" s="3">
        <f t="shared" si="122"/>
        <v>0.46296296296296291</v>
      </c>
      <c r="O658" s="36">
        <v>1137.7466967017995</v>
      </c>
      <c r="P658" s="8">
        <f t="shared" si="120"/>
        <v>5.2673458180638857</v>
      </c>
      <c r="Q658" s="36">
        <v>1137.7466967017995</v>
      </c>
      <c r="R658" s="75">
        <f t="shared" si="114"/>
        <v>0.46296296296296291</v>
      </c>
      <c r="S658" s="109"/>
      <c r="T658" s="3"/>
      <c r="U658" s="3"/>
      <c r="V658" s="3"/>
      <c r="W658" s="3"/>
      <c r="X658" s="3"/>
      <c r="Y658" s="37">
        <f t="shared" si="116"/>
        <v>4.6296296296296294E-3</v>
      </c>
      <c r="Z658" s="37">
        <f t="shared" si="123"/>
        <v>-5.3752784076841653</v>
      </c>
      <c r="AA658" s="149">
        <f t="shared" si="124"/>
        <v>-2.4885548183722985E-2</v>
      </c>
      <c r="AB658" s="3"/>
      <c r="AC658" s="3"/>
    </row>
    <row r="659" spans="1:31" customFormat="1" ht="20.25" customHeight="1">
      <c r="A659" s="13">
        <v>42867</v>
      </c>
      <c r="B659" s="53">
        <v>2</v>
      </c>
      <c r="C659" s="3" t="s">
        <v>223</v>
      </c>
      <c r="D659" s="3" t="s">
        <v>310</v>
      </c>
      <c r="E659" s="3" t="s">
        <v>314</v>
      </c>
      <c r="F659" s="3" t="s">
        <v>311</v>
      </c>
      <c r="G659" s="3" t="s">
        <v>312</v>
      </c>
      <c r="H659" s="3" t="s">
        <v>313</v>
      </c>
      <c r="I659" s="3"/>
      <c r="J659" s="3">
        <v>3</v>
      </c>
      <c r="K659" s="3" t="s">
        <v>229</v>
      </c>
      <c r="L659" s="3" t="s">
        <v>345</v>
      </c>
      <c r="M659" s="3">
        <v>216</v>
      </c>
      <c r="N659" s="3">
        <f t="shared" si="122"/>
        <v>1.3888888888888888</v>
      </c>
      <c r="O659" s="36">
        <v>1137.7466967017995</v>
      </c>
      <c r="P659" s="8">
        <f t="shared" si="120"/>
        <v>15.802037454191659</v>
      </c>
      <c r="Q659" s="36">
        <v>1137.7466967017995</v>
      </c>
      <c r="R659" s="40">
        <f t="shared" si="114"/>
        <v>1.3888888888888888</v>
      </c>
      <c r="S659" s="109"/>
      <c r="T659" s="3"/>
      <c r="U659" s="3"/>
      <c r="V659" s="3"/>
      <c r="W659" s="3"/>
      <c r="X659" s="3"/>
      <c r="Y659" s="37">
        <f t="shared" si="116"/>
        <v>1.3888888888888888E-2</v>
      </c>
      <c r="Z659" s="37">
        <f t="shared" si="123"/>
        <v>-4.2766661190160553</v>
      </c>
      <c r="AA659" s="149">
        <f t="shared" si="124"/>
        <v>-5.9398140541889653E-2</v>
      </c>
      <c r="AB659" s="3"/>
      <c r="AC659" s="3"/>
    </row>
    <row r="660" spans="1:31" customFormat="1" ht="20.25" customHeight="1">
      <c r="A660" s="13">
        <v>42867</v>
      </c>
      <c r="B660" s="53">
        <v>2</v>
      </c>
      <c r="C660" s="36" t="s">
        <v>223</v>
      </c>
      <c r="D660" s="36" t="s">
        <v>224</v>
      </c>
      <c r="E660" s="36" t="s">
        <v>225</v>
      </c>
      <c r="F660" s="36" t="s">
        <v>226</v>
      </c>
      <c r="G660" s="36" t="s">
        <v>253</v>
      </c>
      <c r="H660" s="36" t="s">
        <v>256</v>
      </c>
      <c r="I660" s="3"/>
      <c r="J660" s="36">
        <v>1</v>
      </c>
      <c r="K660" s="3" t="s">
        <v>229</v>
      </c>
      <c r="L660" s="36" t="s">
        <v>256</v>
      </c>
      <c r="M660" s="3">
        <v>216</v>
      </c>
      <c r="N660" s="3">
        <f t="shared" si="122"/>
        <v>0.46296296296296291</v>
      </c>
      <c r="O660" s="36">
        <v>1137.7466967017995</v>
      </c>
      <c r="P660" s="8">
        <f t="shared" si="120"/>
        <v>5.2673458180638857</v>
      </c>
      <c r="Q660" s="36">
        <v>1137.7466967017995</v>
      </c>
      <c r="R660" s="40">
        <f t="shared" si="114"/>
        <v>0.46296296296296291</v>
      </c>
      <c r="S660" s="109"/>
      <c r="T660" s="3"/>
      <c r="U660" s="3"/>
      <c r="V660" s="3"/>
      <c r="W660" s="3"/>
      <c r="X660" s="3"/>
      <c r="Y660" s="37">
        <f t="shared" si="116"/>
        <v>4.6296296296296294E-3</v>
      </c>
      <c r="Z660" s="37">
        <f t="shared" si="123"/>
        <v>-5.3752784076841653</v>
      </c>
      <c r="AA660" s="149">
        <f t="shared" si="124"/>
        <v>-2.4885548183722985E-2</v>
      </c>
      <c r="AB660" s="3"/>
      <c r="AC660" s="3"/>
    </row>
    <row r="661" spans="1:31" customFormat="1" ht="20.25" customHeight="1">
      <c r="A661" s="13">
        <v>42867</v>
      </c>
      <c r="B661" s="53">
        <v>4</v>
      </c>
      <c r="C661" s="36" t="s">
        <v>223</v>
      </c>
      <c r="D661" s="36" t="s">
        <v>267</v>
      </c>
      <c r="E661" s="36" t="s">
        <v>278</v>
      </c>
      <c r="F661" s="36" t="s">
        <v>279</v>
      </c>
      <c r="G661" s="36" t="s">
        <v>280</v>
      </c>
      <c r="H661" s="36" t="s">
        <v>284</v>
      </c>
      <c r="I661" s="36" t="s">
        <v>285</v>
      </c>
      <c r="J661" s="36">
        <v>640</v>
      </c>
      <c r="K661" s="36" t="s">
        <v>247</v>
      </c>
      <c r="L661" s="36" t="s">
        <v>24</v>
      </c>
      <c r="M661" s="3">
        <v>664</v>
      </c>
      <c r="N661" s="3">
        <f t="shared" si="122"/>
        <v>96.385542168674704</v>
      </c>
      <c r="O661" s="36">
        <v>31.376749387665097</v>
      </c>
      <c r="P661" s="8">
        <f t="shared" si="120"/>
        <v>30.242650012207321</v>
      </c>
      <c r="Q661" s="36">
        <v>1883.3822167014873</v>
      </c>
      <c r="R661" s="40">
        <f t="shared" si="114"/>
        <v>1.6057627466172855</v>
      </c>
      <c r="S661" s="109"/>
      <c r="T661" s="36">
        <v>1000</v>
      </c>
      <c r="U661" s="3"/>
      <c r="V661" s="3"/>
      <c r="W661" s="3"/>
      <c r="X661" s="3"/>
      <c r="Y661" s="37">
        <f t="shared" si="116"/>
        <v>1.6057627466172855E-2</v>
      </c>
      <c r="Z661" s="37">
        <f t="shared" si="123"/>
        <v>-4.1315713107556062</v>
      </c>
      <c r="AA661" s="149">
        <f t="shared" si="124"/>
        <v>-6.634323295804101E-2</v>
      </c>
      <c r="AB661" s="3">
        <f>SUM(AA661:AA674)*(-1)</f>
        <v>1.4397753723174895</v>
      </c>
      <c r="AC661" s="3">
        <v>14</v>
      </c>
      <c r="AD661" s="98">
        <f t="shared" ref="AD661" si="125">LN(AC661)</f>
        <v>2.6390573296152584</v>
      </c>
      <c r="AE661" s="98">
        <f>(AB661/AD661)</f>
        <v>0.5455642649973772</v>
      </c>
    </row>
    <row r="662" spans="1:31" customFormat="1" ht="20.25" customHeight="1">
      <c r="A662" s="13">
        <v>42867</v>
      </c>
      <c r="B662" s="53">
        <v>4</v>
      </c>
      <c r="C662" s="36" t="s">
        <v>223</v>
      </c>
      <c r="D662" s="36" t="s">
        <v>267</v>
      </c>
      <c r="E662" s="36"/>
      <c r="F662" s="36" t="s">
        <v>273</v>
      </c>
      <c r="G662" s="36" t="s">
        <v>274</v>
      </c>
      <c r="H662" s="36" t="s">
        <v>275</v>
      </c>
      <c r="I662" s="36" t="s">
        <v>276</v>
      </c>
      <c r="J662" s="36">
        <v>2</v>
      </c>
      <c r="K662" s="36" t="s">
        <v>247</v>
      </c>
      <c r="L662" s="36" t="s">
        <v>275</v>
      </c>
      <c r="M662" s="3">
        <v>664</v>
      </c>
      <c r="N662" s="3">
        <f t="shared" si="122"/>
        <v>0.30120481927710846</v>
      </c>
      <c r="O662" s="36">
        <v>31.376749387665097</v>
      </c>
      <c r="P662" s="8">
        <f t="shared" si="120"/>
        <v>9.450828128814788E-2</v>
      </c>
      <c r="Q662" s="36">
        <v>1883.3822167014873</v>
      </c>
      <c r="R662" s="40">
        <f t="shared" si="114"/>
        <v>5.0180085831790181E-3</v>
      </c>
      <c r="S662" s="109"/>
      <c r="T662" s="36">
        <v>1000</v>
      </c>
      <c r="U662" s="3"/>
      <c r="V662" s="3"/>
      <c r="W662" s="3"/>
      <c r="X662" s="3"/>
      <c r="Y662" s="37">
        <f t="shared" si="116"/>
        <v>5.0180085831790179E-5</v>
      </c>
      <c r="Z662" s="37">
        <f t="shared" si="123"/>
        <v>-9.8998923065493791</v>
      </c>
      <c r="AA662" s="149">
        <f t="shared" si="124"/>
        <v>-4.9677744566812708E-4</v>
      </c>
      <c r="AB662" s="3"/>
      <c r="AC662" s="3"/>
    </row>
    <row r="663" spans="1:31" customFormat="1" ht="20.25" customHeight="1">
      <c r="A663" s="13">
        <v>42867</v>
      </c>
      <c r="B663" s="53">
        <v>4</v>
      </c>
      <c r="C663" s="65" t="s">
        <v>323</v>
      </c>
      <c r="D663" s="36" t="s">
        <v>324</v>
      </c>
      <c r="E663" s="36"/>
      <c r="F663" s="65" t="s">
        <v>325</v>
      </c>
      <c r="G663" s="65" t="s">
        <v>326</v>
      </c>
      <c r="H663" s="51"/>
      <c r="I663" s="3"/>
      <c r="J663" s="3">
        <v>22</v>
      </c>
      <c r="K663" s="36" t="s">
        <v>509</v>
      </c>
      <c r="L663" s="36" t="s">
        <v>327</v>
      </c>
      <c r="M663" s="3">
        <v>664</v>
      </c>
      <c r="N663" s="3">
        <f t="shared" si="122"/>
        <v>3.3132530120481931</v>
      </c>
      <c r="O663" s="36">
        <v>31.376749387665097</v>
      </c>
      <c r="P663" s="8">
        <f t="shared" si="120"/>
        <v>1.0395910941696267</v>
      </c>
      <c r="Q663" s="36">
        <v>1883.3822167014901</v>
      </c>
      <c r="R663" s="40">
        <f t="shared" si="114"/>
        <v>5.5198094414969111E-2</v>
      </c>
      <c r="S663" s="109"/>
      <c r="T663" s="36">
        <v>1000</v>
      </c>
      <c r="U663" s="3"/>
      <c r="V663" s="3"/>
      <c r="W663" s="3"/>
      <c r="X663" s="3"/>
      <c r="Y663" s="37">
        <f t="shared" si="116"/>
        <v>5.5198094414969114E-4</v>
      </c>
      <c r="Z663" s="37">
        <f t="shared" si="123"/>
        <v>-7.5019970337510093</v>
      </c>
      <c r="AA663" s="149">
        <f t="shared" si="124"/>
        <v>-4.1409594056980642E-3</v>
      </c>
      <c r="AB663" s="3"/>
      <c r="AC663" s="3"/>
    </row>
    <row r="664" spans="1:31" customFormat="1" ht="20.25" customHeight="1">
      <c r="A664" s="13">
        <v>42867</v>
      </c>
      <c r="B664" s="53">
        <v>4</v>
      </c>
      <c r="C664" s="3" t="s">
        <v>223</v>
      </c>
      <c r="D664" s="3" t="s">
        <v>224</v>
      </c>
      <c r="E664" s="3" t="s">
        <v>225</v>
      </c>
      <c r="F664" s="3" t="s">
        <v>226</v>
      </c>
      <c r="G664" s="3" t="s">
        <v>227</v>
      </c>
      <c r="H664" s="3" t="s">
        <v>228</v>
      </c>
      <c r="I664" s="3"/>
      <c r="J664" s="36">
        <v>6</v>
      </c>
      <c r="K664" s="3" t="s">
        <v>229</v>
      </c>
      <c r="L664" s="36" t="s">
        <v>228</v>
      </c>
      <c r="M664" s="3">
        <v>225</v>
      </c>
      <c r="N664" s="3">
        <f t="shared" si="122"/>
        <v>2.666666666666667</v>
      </c>
      <c r="O664" s="36">
        <v>1852.0054673138222</v>
      </c>
      <c r="P664" s="8">
        <f t="shared" si="120"/>
        <v>49.386812461701929</v>
      </c>
      <c r="Q664" s="36">
        <v>1883.3822167014901</v>
      </c>
      <c r="R664" s="40">
        <f t="shared" si="114"/>
        <v>2.6222405640102515</v>
      </c>
      <c r="S664" s="109"/>
      <c r="T664" s="3"/>
      <c r="U664" s="3"/>
      <c r="V664" s="3"/>
      <c r="W664" s="3"/>
      <c r="X664" s="3"/>
      <c r="Y664" s="37">
        <f t="shared" si="116"/>
        <v>2.6222405640102517E-2</v>
      </c>
      <c r="Z664" s="37">
        <f t="shared" si="123"/>
        <v>-3.6411410565675371</v>
      </c>
      <c r="AA664" s="149">
        <f t="shared" si="124"/>
        <v>-9.5479477778145416E-2</v>
      </c>
      <c r="AB664" s="3"/>
      <c r="AC664" s="3"/>
    </row>
    <row r="665" spans="1:31" customFormat="1" ht="20.25" customHeight="1">
      <c r="A665" s="13">
        <v>42867</v>
      </c>
      <c r="B665" s="53">
        <v>4</v>
      </c>
      <c r="C665" s="36" t="s">
        <v>223</v>
      </c>
      <c r="D665" s="36" t="s">
        <v>224</v>
      </c>
      <c r="E665" s="36" t="s">
        <v>225</v>
      </c>
      <c r="F665" s="36" t="s">
        <v>226</v>
      </c>
      <c r="G665" s="36" t="s">
        <v>239</v>
      </c>
      <c r="H665" s="36" t="s">
        <v>240</v>
      </c>
      <c r="I665" s="3"/>
      <c r="J665" s="36">
        <v>74</v>
      </c>
      <c r="K665" s="3" t="s">
        <v>229</v>
      </c>
      <c r="L665" s="36" t="s">
        <v>240</v>
      </c>
      <c r="M665" s="3">
        <v>225</v>
      </c>
      <c r="N665" s="3">
        <f t="shared" si="122"/>
        <v>32.888888888888893</v>
      </c>
      <c r="O665" s="36">
        <v>1852.0054673138222</v>
      </c>
      <c r="P665" s="8">
        <f t="shared" si="120"/>
        <v>609.10402036099049</v>
      </c>
      <c r="Q665" s="36">
        <v>1883.3822167014901</v>
      </c>
      <c r="R665" s="40">
        <f t="shared" si="114"/>
        <v>32.340966956126437</v>
      </c>
      <c r="S665" s="109"/>
      <c r="T665" s="3"/>
      <c r="U665" s="3"/>
      <c r="V665" s="3"/>
      <c r="W665" s="3"/>
      <c r="X665" s="3"/>
      <c r="Y665" s="37">
        <f t="shared" si="116"/>
        <v>0.32340966956126438</v>
      </c>
      <c r="Z665" s="37">
        <f t="shared" si="123"/>
        <v>-1.1288354325914225</v>
      </c>
      <c r="AA665" s="149">
        <f t="shared" si="124"/>
        <v>-0.3650762942434389</v>
      </c>
      <c r="AB665" s="3"/>
      <c r="AC665" s="3"/>
    </row>
    <row r="666" spans="1:31" customFormat="1" ht="20.25" customHeight="1">
      <c r="A666" s="13">
        <v>42867</v>
      </c>
      <c r="B666" s="53">
        <v>4</v>
      </c>
      <c r="C666" s="51" t="s">
        <v>216</v>
      </c>
      <c r="D666" s="51" t="s">
        <v>217</v>
      </c>
      <c r="E666" s="51"/>
      <c r="F666" s="51"/>
      <c r="G666" s="51"/>
      <c r="H666" s="3" t="s">
        <v>647</v>
      </c>
      <c r="I666" s="3"/>
      <c r="J666" s="3">
        <v>107</v>
      </c>
      <c r="K666" s="36" t="s">
        <v>229</v>
      </c>
      <c r="L666" s="3" t="s">
        <v>219</v>
      </c>
      <c r="M666" s="3">
        <v>225</v>
      </c>
      <c r="N666" s="3">
        <f t="shared" si="122"/>
        <v>47.555555555555557</v>
      </c>
      <c r="O666" s="36">
        <v>1852.0054673138222</v>
      </c>
      <c r="P666" s="8">
        <f t="shared" si="120"/>
        <v>880.731488900351</v>
      </c>
      <c r="Q666" s="36">
        <v>1883.3822167014901</v>
      </c>
      <c r="R666" s="40">
        <f t="shared" si="114"/>
        <v>46.763290058182818</v>
      </c>
      <c r="S666" s="109"/>
      <c r="T666" s="3"/>
      <c r="U666" s="3"/>
      <c r="V666" s="3"/>
      <c r="W666" s="3"/>
      <c r="X666" s="3"/>
      <c r="Y666" s="37">
        <f t="shared" si="116"/>
        <v>0.46763290058182816</v>
      </c>
      <c r="Z666" s="37">
        <f t="shared" si="123"/>
        <v>-0.76007169133368624</v>
      </c>
      <c r="AA666" s="149">
        <f t="shared" si="124"/>
        <v>-0.35543452966850769</v>
      </c>
      <c r="AB666" s="3"/>
      <c r="AC666" s="3"/>
    </row>
    <row r="667" spans="1:31" customFormat="1" ht="20.25" customHeight="1">
      <c r="A667" s="13">
        <v>42867</v>
      </c>
      <c r="B667" s="53">
        <v>4</v>
      </c>
      <c r="C667" s="3" t="s">
        <v>223</v>
      </c>
      <c r="D667" s="3" t="s">
        <v>224</v>
      </c>
      <c r="E667" s="3" t="s">
        <v>225</v>
      </c>
      <c r="F667" s="3" t="s">
        <v>248</v>
      </c>
      <c r="G667" s="3" t="s">
        <v>249</v>
      </c>
      <c r="H667" s="3" t="s">
        <v>250</v>
      </c>
      <c r="I667" s="3"/>
      <c r="J667" s="3">
        <v>14</v>
      </c>
      <c r="K667" s="3" t="s">
        <v>229</v>
      </c>
      <c r="L667" s="3" t="s">
        <v>250</v>
      </c>
      <c r="M667" s="3">
        <v>225</v>
      </c>
      <c r="N667" s="3">
        <f t="shared" si="122"/>
        <v>6.2222222222222223</v>
      </c>
      <c r="O667" s="36">
        <v>1852.0054673138222</v>
      </c>
      <c r="P667" s="8">
        <f t="shared" si="120"/>
        <v>115.23589574397116</v>
      </c>
      <c r="Q667" s="36">
        <v>1883.3822167014901</v>
      </c>
      <c r="R667" s="40">
        <f t="shared" si="114"/>
        <v>6.1185613160239196</v>
      </c>
      <c r="S667" s="109"/>
      <c r="T667" s="3"/>
      <c r="U667" s="3"/>
      <c r="V667" s="3"/>
      <c r="W667" s="3"/>
      <c r="X667" s="3"/>
      <c r="Y667" s="37">
        <f t="shared" si="116"/>
        <v>6.1185613160239197E-2</v>
      </c>
      <c r="Z667" s="37">
        <f t="shared" si="123"/>
        <v>-2.7938431961803336</v>
      </c>
      <c r="AA667" s="149">
        <f t="shared" si="124"/>
        <v>-0.17094300903185616</v>
      </c>
      <c r="AB667" s="3"/>
      <c r="AC667" s="3"/>
    </row>
    <row r="668" spans="1:31" customFormat="1" ht="20.25" customHeight="1">
      <c r="A668" s="13">
        <v>42867</v>
      </c>
      <c r="B668" s="53">
        <v>4</v>
      </c>
      <c r="C668" s="65" t="s">
        <v>223</v>
      </c>
      <c r="D668" s="65" t="s">
        <v>224</v>
      </c>
      <c r="E668" s="65" t="s">
        <v>225</v>
      </c>
      <c r="F668" s="65" t="s">
        <v>226</v>
      </c>
      <c r="G668" s="65" t="s">
        <v>261</v>
      </c>
      <c r="H668" s="36" t="s">
        <v>262</v>
      </c>
      <c r="I668" s="36"/>
      <c r="J668" s="36">
        <v>2</v>
      </c>
      <c r="K668" s="3" t="s">
        <v>229</v>
      </c>
      <c r="L668" s="36" t="s">
        <v>264</v>
      </c>
      <c r="M668" s="3">
        <v>225</v>
      </c>
      <c r="N668" s="3">
        <f t="shared" si="122"/>
        <v>0.88888888888888884</v>
      </c>
      <c r="O668" s="36">
        <v>1852.0054673138222</v>
      </c>
      <c r="P668" s="8">
        <f t="shared" si="120"/>
        <v>16.462270820567309</v>
      </c>
      <c r="Q668" s="36">
        <v>1883.3822167014901</v>
      </c>
      <c r="R668" s="40">
        <f t="shared" si="114"/>
        <v>0.87408018800341714</v>
      </c>
      <c r="S668" s="109"/>
      <c r="T668" s="3"/>
      <c r="U668" s="3"/>
      <c r="V668" s="3"/>
      <c r="W668" s="3"/>
      <c r="X668" s="3"/>
      <c r="Y668" s="37">
        <f t="shared" si="116"/>
        <v>8.7408018800341717E-3</v>
      </c>
      <c r="Z668" s="37">
        <f t="shared" si="123"/>
        <v>-4.7397533452356466</v>
      </c>
      <c r="AA668" s="149">
        <f t="shared" si="124"/>
        <v>-4.1429244950933995E-2</v>
      </c>
      <c r="AB668" s="3"/>
      <c r="AC668" s="3"/>
    </row>
    <row r="669" spans="1:31" customFormat="1" ht="20.25" customHeight="1">
      <c r="A669" s="13">
        <v>42867</v>
      </c>
      <c r="B669" s="53">
        <v>4</v>
      </c>
      <c r="C669" s="36" t="s">
        <v>223</v>
      </c>
      <c r="D669" s="36" t="s">
        <v>224</v>
      </c>
      <c r="E669" s="36" t="s">
        <v>225</v>
      </c>
      <c r="F669" s="36" t="s">
        <v>226</v>
      </c>
      <c r="G669" s="36" t="s">
        <v>253</v>
      </c>
      <c r="H669" s="36" t="s">
        <v>256</v>
      </c>
      <c r="I669" s="3"/>
      <c r="J669" s="36">
        <v>14</v>
      </c>
      <c r="K669" s="3" t="s">
        <v>229</v>
      </c>
      <c r="L669" s="36" t="s">
        <v>256</v>
      </c>
      <c r="M669" s="3">
        <v>225</v>
      </c>
      <c r="N669" s="3">
        <f t="shared" si="122"/>
        <v>6.2222222222222223</v>
      </c>
      <c r="O669" s="36">
        <v>1852.0054673138222</v>
      </c>
      <c r="P669" s="8">
        <f t="shared" si="120"/>
        <v>115.23589574397116</v>
      </c>
      <c r="Q669" s="36">
        <v>1883.3822167014901</v>
      </c>
      <c r="R669" s="40">
        <f t="shared" si="114"/>
        <v>6.1185613160239196</v>
      </c>
      <c r="S669" s="109"/>
      <c r="T669" s="3"/>
      <c r="U669" s="3"/>
      <c r="V669" s="3"/>
      <c r="W669" s="3"/>
      <c r="X669" s="3"/>
      <c r="Y669" s="37">
        <f t="shared" si="116"/>
        <v>6.1185613160239197E-2</v>
      </c>
      <c r="Z669" s="37">
        <f t="shared" si="123"/>
        <v>-2.7938431961803336</v>
      </c>
      <c r="AA669" s="149">
        <f t="shared" si="124"/>
        <v>-0.17094300903185616</v>
      </c>
      <c r="AB669" s="3"/>
      <c r="AC669" s="3"/>
    </row>
    <row r="670" spans="1:31" customFormat="1" ht="20.25" customHeight="1">
      <c r="A670" s="13">
        <v>42867</v>
      </c>
      <c r="B670" s="53">
        <v>4</v>
      </c>
      <c r="C670" s="65" t="s">
        <v>223</v>
      </c>
      <c r="D670" s="65" t="s">
        <v>224</v>
      </c>
      <c r="E670" s="65" t="s">
        <v>225</v>
      </c>
      <c r="F670" s="65" t="s">
        <v>248</v>
      </c>
      <c r="G670" s="65" t="s">
        <v>359</v>
      </c>
      <c r="H670" s="65" t="s">
        <v>669</v>
      </c>
      <c r="I670" s="36"/>
      <c r="J670" s="36">
        <v>3</v>
      </c>
      <c r="K670" s="36" t="s">
        <v>229</v>
      </c>
      <c r="L670" s="36" t="s">
        <v>669</v>
      </c>
      <c r="M670" s="3">
        <v>225</v>
      </c>
      <c r="N670" s="3">
        <f t="shared" si="122"/>
        <v>1.3333333333333335</v>
      </c>
      <c r="O670" s="36">
        <v>1852.0054673138222</v>
      </c>
      <c r="P670" s="8">
        <f t="shared" si="120"/>
        <v>24.693406230850965</v>
      </c>
      <c r="Q670" s="36">
        <v>1883.3822167014901</v>
      </c>
      <c r="R670" s="40">
        <f t="shared" si="114"/>
        <v>1.3111202820051258</v>
      </c>
      <c r="S670" s="109"/>
      <c r="T670" s="3"/>
      <c r="U670" s="3"/>
      <c r="V670" s="3"/>
      <c r="W670" s="3"/>
      <c r="X670" s="3"/>
      <c r="Y670" s="37">
        <f t="shared" si="116"/>
        <v>1.3111202820051258E-2</v>
      </c>
      <c r="Z670" s="37">
        <f t="shared" si="123"/>
        <v>-4.3342882371274829</v>
      </c>
      <c r="AA670" s="149">
        <f t="shared" si="124"/>
        <v>-5.6827732157540854E-2</v>
      </c>
      <c r="AB670" s="3"/>
      <c r="AC670" s="3"/>
    </row>
    <row r="671" spans="1:31" customFormat="1" ht="20.25" customHeight="1">
      <c r="A671" s="13">
        <v>42867</v>
      </c>
      <c r="B671" s="53">
        <v>4</v>
      </c>
      <c r="C671" s="36" t="s">
        <v>223</v>
      </c>
      <c r="D671" s="36" t="s">
        <v>224</v>
      </c>
      <c r="E671" s="36" t="s">
        <v>225</v>
      </c>
      <c r="F671" s="36" t="s">
        <v>243</v>
      </c>
      <c r="G671" s="36"/>
      <c r="H671" s="36" t="s">
        <v>507</v>
      </c>
      <c r="I671" s="36"/>
      <c r="J671" s="36">
        <v>1</v>
      </c>
      <c r="K671" s="3" t="s">
        <v>229</v>
      </c>
      <c r="L671" s="3" t="s">
        <v>507</v>
      </c>
      <c r="M671" s="3">
        <v>225</v>
      </c>
      <c r="N671" s="3">
        <f t="shared" si="122"/>
        <v>0.44444444444444442</v>
      </c>
      <c r="O671" s="36">
        <v>1852.0054673138222</v>
      </c>
      <c r="P671" s="8">
        <f t="shared" si="120"/>
        <v>8.2311354102836543</v>
      </c>
      <c r="Q671" s="36">
        <v>1883.3822167014901</v>
      </c>
      <c r="R671" s="40">
        <f t="shared" si="114"/>
        <v>0.43704009400170857</v>
      </c>
      <c r="S671" s="109"/>
      <c r="T671" s="3"/>
      <c r="U671" s="3"/>
      <c r="V671" s="3"/>
      <c r="W671" s="3"/>
      <c r="X671" s="3"/>
      <c r="Y671" s="37">
        <f t="shared" si="116"/>
        <v>4.3704009400170859E-3</v>
      </c>
      <c r="Z671" s="37">
        <f t="shared" si="123"/>
        <v>-5.432900525795592</v>
      </c>
      <c r="AA671" s="149">
        <f t="shared" si="124"/>
        <v>-2.3743953564956375E-2</v>
      </c>
      <c r="AB671" s="3"/>
      <c r="AC671" s="3"/>
    </row>
    <row r="672" spans="1:31" customFormat="1" ht="20.25" customHeight="1">
      <c r="A672" s="13">
        <v>42867</v>
      </c>
      <c r="B672" s="53">
        <v>4</v>
      </c>
      <c r="C672" s="3" t="s">
        <v>223</v>
      </c>
      <c r="D672" s="3" t="s">
        <v>224</v>
      </c>
      <c r="E672" s="3" t="s">
        <v>225</v>
      </c>
      <c r="F672" s="3" t="s">
        <v>248</v>
      </c>
      <c r="G672" s="3" t="s">
        <v>359</v>
      </c>
      <c r="H672" s="3" t="s">
        <v>360</v>
      </c>
      <c r="I672" s="3" t="s">
        <v>361</v>
      </c>
      <c r="J672" s="3">
        <v>1</v>
      </c>
      <c r="K672" s="3" t="s">
        <v>247</v>
      </c>
      <c r="L672" s="3" t="s">
        <v>362</v>
      </c>
      <c r="M672" s="3">
        <v>225</v>
      </c>
      <c r="N672" s="3">
        <f t="shared" si="122"/>
        <v>0.44444444444444442</v>
      </c>
      <c r="O672" s="36">
        <v>1852.0054673138222</v>
      </c>
      <c r="P672" s="8">
        <f t="shared" si="120"/>
        <v>8.2311354102836543</v>
      </c>
      <c r="Q672" s="36">
        <v>1883.3822167014901</v>
      </c>
      <c r="R672" s="40">
        <f t="shared" si="114"/>
        <v>0.43704009400170857</v>
      </c>
      <c r="S672" s="109"/>
      <c r="T672" s="3"/>
      <c r="U672" s="3"/>
      <c r="V672" s="3"/>
      <c r="W672" s="3"/>
      <c r="X672" s="3"/>
      <c r="Y672" s="37">
        <f t="shared" si="116"/>
        <v>4.3704009400170859E-3</v>
      </c>
      <c r="Z672" s="37">
        <f t="shared" si="123"/>
        <v>-5.432900525795592</v>
      </c>
      <c r="AA672" s="149">
        <f t="shared" si="124"/>
        <v>-2.3743953564956375E-2</v>
      </c>
      <c r="AB672" s="3"/>
      <c r="AC672" s="3"/>
    </row>
    <row r="673" spans="1:31" customFormat="1" ht="20.25" customHeight="1">
      <c r="A673" s="13">
        <v>42867</v>
      </c>
      <c r="B673" s="53">
        <v>4</v>
      </c>
      <c r="C673" s="36" t="s">
        <v>323</v>
      </c>
      <c r="D673" s="36" t="s">
        <v>489</v>
      </c>
      <c r="E673" s="36"/>
      <c r="F673" s="36" t="s">
        <v>490</v>
      </c>
      <c r="G673" s="36" t="s">
        <v>491</v>
      </c>
      <c r="H673" s="36" t="s">
        <v>371</v>
      </c>
      <c r="I673" s="3" t="s">
        <v>372</v>
      </c>
      <c r="J673" s="3">
        <v>2</v>
      </c>
      <c r="K673" s="3" t="s">
        <v>247</v>
      </c>
      <c r="L673" s="3" t="s">
        <v>371</v>
      </c>
      <c r="M673" s="3">
        <v>225</v>
      </c>
      <c r="N673" s="3">
        <f t="shared" si="122"/>
        <v>0.88888888888888884</v>
      </c>
      <c r="O673" s="36">
        <v>1852.0054673138222</v>
      </c>
      <c r="P673" s="8">
        <f t="shared" si="120"/>
        <v>16.462270820567309</v>
      </c>
      <c r="Q673" s="36">
        <v>1883.3822167014901</v>
      </c>
      <c r="R673" s="40">
        <f t="shared" si="114"/>
        <v>0.87408018800341714</v>
      </c>
      <c r="S673" s="109"/>
      <c r="T673" s="3"/>
      <c r="U673" s="3"/>
      <c r="V673" s="3"/>
      <c r="W673" s="3"/>
      <c r="X673" s="3"/>
      <c r="Y673" s="37">
        <f t="shared" si="116"/>
        <v>8.7408018800341717E-3</v>
      </c>
      <c r="Z673" s="37">
        <f t="shared" si="123"/>
        <v>-4.7397533452356466</v>
      </c>
      <c r="AA673" s="149">
        <f t="shared" si="124"/>
        <v>-4.1429244950933995E-2</v>
      </c>
      <c r="AB673" s="3"/>
      <c r="AC673" s="3"/>
    </row>
    <row r="674" spans="1:31" customFormat="1" ht="20.25" customHeight="1">
      <c r="A674" s="13">
        <v>42867</v>
      </c>
      <c r="B674" s="53">
        <v>4</v>
      </c>
      <c r="C674" s="3" t="s">
        <v>223</v>
      </c>
      <c r="D674" s="3" t="s">
        <v>224</v>
      </c>
      <c r="E674" s="3" t="s">
        <v>225</v>
      </c>
      <c r="F674" s="3" t="s">
        <v>226</v>
      </c>
      <c r="G674" s="3" t="s">
        <v>232</v>
      </c>
      <c r="H674" s="3" t="s">
        <v>233</v>
      </c>
      <c r="I674" s="3" t="s">
        <v>234</v>
      </c>
      <c r="J674" s="3">
        <v>1</v>
      </c>
      <c r="K674" s="3" t="s">
        <v>247</v>
      </c>
      <c r="L674" s="3" t="s">
        <v>233</v>
      </c>
      <c r="M674" s="3">
        <v>225</v>
      </c>
      <c r="N674" s="3">
        <f t="shared" si="122"/>
        <v>0.44444444444444442</v>
      </c>
      <c r="O674" s="36">
        <v>1852.0054673138222</v>
      </c>
      <c r="P674" s="8">
        <f t="shared" si="120"/>
        <v>8.2311354102836543</v>
      </c>
      <c r="Q674" s="36">
        <v>1883.3822167014901</v>
      </c>
      <c r="R674" s="40">
        <f t="shared" si="114"/>
        <v>0.43704009400170857</v>
      </c>
      <c r="S674" s="109"/>
      <c r="T674" s="3"/>
      <c r="U674" s="3"/>
      <c r="V674" s="3"/>
      <c r="W674" s="3"/>
      <c r="X674" s="3"/>
      <c r="Y674" s="37">
        <f t="shared" si="116"/>
        <v>4.3704009400170859E-3</v>
      </c>
      <c r="Z674" s="37">
        <f t="shared" si="123"/>
        <v>-5.432900525795592</v>
      </c>
      <c r="AA674" s="149">
        <f t="shared" si="124"/>
        <v>-2.3743953564956375E-2</v>
      </c>
      <c r="AB674" s="3"/>
      <c r="AC674" s="3"/>
    </row>
    <row r="675" spans="1:31" customFormat="1" ht="20.25" customHeight="1">
      <c r="A675" s="13">
        <v>42867</v>
      </c>
      <c r="B675" s="53">
        <v>5</v>
      </c>
      <c r="C675" s="36" t="s">
        <v>223</v>
      </c>
      <c r="D675" s="36" t="s">
        <v>267</v>
      </c>
      <c r="E675" s="36" t="s">
        <v>278</v>
      </c>
      <c r="F675" s="36" t="s">
        <v>279</v>
      </c>
      <c r="G675" s="65" t="s">
        <v>280</v>
      </c>
      <c r="H675" s="65" t="s">
        <v>284</v>
      </c>
      <c r="I675" s="36" t="s">
        <v>285</v>
      </c>
      <c r="J675" s="36">
        <v>2</v>
      </c>
      <c r="K675" s="36" t="s">
        <v>247</v>
      </c>
      <c r="L675" s="36" t="s">
        <v>24</v>
      </c>
      <c r="M675" s="3">
        <v>16</v>
      </c>
      <c r="N675" s="3">
        <f t="shared" si="122"/>
        <v>12.5</v>
      </c>
      <c r="O675" s="36">
        <v>1.4875948535416601</v>
      </c>
      <c r="P675" s="8">
        <f t="shared" si="120"/>
        <v>0.18594935669270751</v>
      </c>
      <c r="Q675" s="36">
        <v>4583.6369102759127</v>
      </c>
      <c r="R675" s="40">
        <f t="shared" si="114"/>
        <v>4.0568081707308325E-3</v>
      </c>
      <c r="S675" s="109"/>
      <c r="T675" s="65">
        <v>1000</v>
      </c>
      <c r="U675" s="51"/>
      <c r="V675" s="51"/>
      <c r="W675" s="51"/>
      <c r="X675" s="3"/>
      <c r="Y675" s="37">
        <f t="shared" si="116"/>
        <v>4.0568081707308327E-5</v>
      </c>
      <c r="Z675" s="37">
        <f t="shared" si="123"/>
        <v>-10.112528965390851</v>
      </c>
      <c r="AA675" s="149">
        <f t="shared" si="124"/>
        <v>-4.1024590133549821E-4</v>
      </c>
      <c r="AB675" s="3">
        <f>SUM(AA675:AA685)*(-1)</f>
        <v>1.0861253440566947</v>
      </c>
      <c r="AC675" s="3">
        <v>11</v>
      </c>
      <c r="AD675" s="98">
        <f t="shared" ref="AD675" si="126">LN(AC675)</f>
        <v>2.3978952727983707</v>
      </c>
      <c r="AE675" s="98">
        <f>(AB675/AD675)</f>
        <v>0.45294944961844569</v>
      </c>
    </row>
    <row r="676" spans="1:31" customFormat="1" ht="20.25" customHeight="1">
      <c r="A676" s="13">
        <v>42867</v>
      </c>
      <c r="B676" s="53">
        <v>5</v>
      </c>
      <c r="C676" s="36" t="s">
        <v>223</v>
      </c>
      <c r="D676" s="36" t="s">
        <v>267</v>
      </c>
      <c r="E676" s="36"/>
      <c r="F676" s="36" t="s">
        <v>273</v>
      </c>
      <c r="G676" s="65" t="s">
        <v>274</v>
      </c>
      <c r="H676" s="65" t="s">
        <v>275</v>
      </c>
      <c r="I676" s="36" t="s">
        <v>276</v>
      </c>
      <c r="J676" s="36">
        <v>8</v>
      </c>
      <c r="K676" s="36" t="s">
        <v>247</v>
      </c>
      <c r="L676" s="36" t="s">
        <v>275</v>
      </c>
      <c r="M676" s="3">
        <v>16</v>
      </c>
      <c r="N676" s="3">
        <f t="shared" si="122"/>
        <v>50</v>
      </c>
      <c r="O676" s="36">
        <v>1.4875948535416601</v>
      </c>
      <c r="P676" s="8">
        <f t="shared" si="120"/>
        <v>0.74379742677083005</v>
      </c>
      <c r="Q676" s="36">
        <v>4583.6369102759127</v>
      </c>
      <c r="R676" s="40">
        <f t="shared" si="114"/>
        <v>1.622723268292333E-2</v>
      </c>
      <c r="S676" s="109"/>
      <c r="T676" s="65">
        <v>1000</v>
      </c>
      <c r="U676" s="51"/>
      <c r="V676" s="51"/>
      <c r="W676" s="51"/>
      <c r="X676" s="3"/>
      <c r="Y676" s="37">
        <f t="shared" si="116"/>
        <v>1.6227232682923331E-4</v>
      </c>
      <c r="Z676" s="37">
        <f t="shared" si="123"/>
        <v>-8.7262346042709602</v>
      </c>
      <c r="AA676" s="149">
        <f t="shared" si="124"/>
        <v>-1.4160263936928226E-3</v>
      </c>
      <c r="AB676" s="3"/>
      <c r="AC676" s="3"/>
    </row>
    <row r="677" spans="1:31" customFormat="1" ht="20.25" customHeight="1">
      <c r="A677" s="13">
        <v>42867</v>
      </c>
      <c r="B677" s="53">
        <v>5</v>
      </c>
      <c r="C677" s="65" t="s">
        <v>209</v>
      </c>
      <c r="D677" s="65" t="s">
        <v>210</v>
      </c>
      <c r="E677" s="65"/>
      <c r="F677" s="65" t="s">
        <v>211</v>
      </c>
      <c r="G677" s="65" t="s">
        <v>212</v>
      </c>
      <c r="H677" s="65" t="s">
        <v>213</v>
      </c>
      <c r="I677" s="36" t="s">
        <v>214</v>
      </c>
      <c r="J677" s="36">
        <v>2</v>
      </c>
      <c r="K677" s="36" t="s">
        <v>247</v>
      </c>
      <c r="L677" s="36" t="s">
        <v>215</v>
      </c>
      <c r="M677" s="3">
        <v>16</v>
      </c>
      <c r="N677" s="3">
        <f t="shared" si="122"/>
        <v>12.5</v>
      </c>
      <c r="O677" s="36">
        <v>1.4875948535416601</v>
      </c>
      <c r="P677" s="8">
        <f t="shared" si="120"/>
        <v>0.18594935669270751</v>
      </c>
      <c r="Q677" s="36">
        <v>4583.6369102759127</v>
      </c>
      <c r="R677" s="40">
        <f t="shared" si="114"/>
        <v>4.0568081707308325E-3</v>
      </c>
      <c r="S677" s="109"/>
      <c r="T677" s="65">
        <v>1000</v>
      </c>
      <c r="U677" s="51"/>
      <c r="V677" s="51"/>
      <c r="W677" s="51"/>
      <c r="X677" s="3"/>
      <c r="Y677" s="37">
        <f t="shared" si="116"/>
        <v>4.0568081707308327E-5</v>
      </c>
      <c r="Z677" s="37">
        <f t="shared" si="123"/>
        <v>-10.112528965390851</v>
      </c>
      <c r="AA677" s="149">
        <f t="shared" si="124"/>
        <v>-4.1024590133549821E-4</v>
      </c>
      <c r="AB677" s="3"/>
      <c r="AC677" s="3"/>
    </row>
    <row r="678" spans="1:31" customFormat="1" ht="20.25" customHeight="1">
      <c r="A678" s="13">
        <v>42867</v>
      </c>
      <c r="B678" s="53">
        <v>5</v>
      </c>
      <c r="C678" s="36" t="s">
        <v>323</v>
      </c>
      <c r="D678" s="36" t="s">
        <v>324</v>
      </c>
      <c r="E678" s="36"/>
      <c r="F678" s="36" t="s">
        <v>325</v>
      </c>
      <c r="G678" s="36" t="s">
        <v>326</v>
      </c>
      <c r="H678" s="36" t="s">
        <v>327</v>
      </c>
      <c r="I678" s="36"/>
      <c r="J678" s="36">
        <v>4</v>
      </c>
      <c r="K678" s="36" t="s">
        <v>509</v>
      </c>
      <c r="L678" s="36" t="s">
        <v>327</v>
      </c>
      <c r="M678" s="3">
        <v>16</v>
      </c>
      <c r="N678" s="3">
        <f t="shared" si="122"/>
        <v>25</v>
      </c>
      <c r="O678" s="36">
        <v>1.4875948535416601</v>
      </c>
      <c r="P678" s="8">
        <f t="shared" si="120"/>
        <v>0.37189871338541503</v>
      </c>
      <c r="Q678" s="36">
        <v>4583.6369102759127</v>
      </c>
      <c r="R678" s="40">
        <f t="shared" si="114"/>
        <v>8.1136163414616651E-3</v>
      </c>
      <c r="S678" s="109"/>
      <c r="T678" s="65">
        <v>1000</v>
      </c>
      <c r="U678" s="51"/>
      <c r="V678" s="51"/>
      <c r="W678" s="51"/>
      <c r="X678" s="3"/>
      <c r="Y678" s="37">
        <f t="shared" si="116"/>
        <v>8.1136163414616654E-5</v>
      </c>
      <c r="Z678" s="37">
        <f t="shared" si="123"/>
        <v>-9.4193817848309056</v>
      </c>
      <c r="AA678" s="149">
        <f t="shared" si="124"/>
        <v>-7.6425249975870381E-4</v>
      </c>
      <c r="AB678" s="3"/>
      <c r="AC678" s="3"/>
    </row>
    <row r="679" spans="1:31" customFormat="1" ht="20.25" customHeight="1">
      <c r="A679" s="13">
        <v>42867</v>
      </c>
      <c r="B679" s="53">
        <v>5</v>
      </c>
      <c r="C679" s="3" t="s">
        <v>223</v>
      </c>
      <c r="D679" s="3" t="s">
        <v>224</v>
      </c>
      <c r="E679" s="3" t="s">
        <v>225</v>
      </c>
      <c r="F679" s="3" t="s">
        <v>226</v>
      </c>
      <c r="G679" s="3" t="s">
        <v>227</v>
      </c>
      <c r="H679" s="3" t="s">
        <v>228</v>
      </c>
      <c r="I679" s="3"/>
      <c r="J679" s="36">
        <v>10</v>
      </c>
      <c r="K679" s="3" t="s">
        <v>229</v>
      </c>
      <c r="L679" s="36" t="s">
        <v>228</v>
      </c>
      <c r="M679" s="3">
        <v>222</v>
      </c>
      <c r="N679" s="3">
        <f t="shared" si="122"/>
        <v>4.5045045045045047</v>
      </c>
      <c r="O679" s="36">
        <v>4582.1493154223708</v>
      </c>
      <c r="P679" s="8">
        <f t="shared" si="120"/>
        <v>206.40312231632302</v>
      </c>
      <c r="Q679" s="36">
        <v>4583.6369102759127</v>
      </c>
      <c r="R679" s="40">
        <f t="shared" si="114"/>
        <v>4.5030425916501873</v>
      </c>
      <c r="S679" s="109"/>
      <c r="T679" s="3"/>
      <c r="U679" s="3"/>
      <c r="V679" s="3"/>
      <c r="W679" s="3"/>
      <c r="X679" s="3"/>
      <c r="Y679" s="37">
        <f t="shared" si="116"/>
        <v>4.5030425916501873E-2</v>
      </c>
      <c r="Z679" s="37">
        <f t="shared" si="123"/>
        <v>-3.1004168862079058</v>
      </c>
      <c r="AA679" s="149">
        <f t="shared" si="124"/>
        <v>-0.13961309290465651</v>
      </c>
      <c r="AB679" s="3"/>
      <c r="AC679" s="3"/>
    </row>
    <row r="680" spans="1:31" customFormat="1" ht="20.25" customHeight="1">
      <c r="A680" s="13">
        <v>42867</v>
      </c>
      <c r="B680" s="53">
        <v>5</v>
      </c>
      <c r="C680" s="36" t="s">
        <v>223</v>
      </c>
      <c r="D680" s="36" t="s">
        <v>224</v>
      </c>
      <c r="E680" s="36" t="s">
        <v>225</v>
      </c>
      <c r="F680" s="36" t="s">
        <v>226</v>
      </c>
      <c r="G680" s="36" t="s">
        <v>239</v>
      </c>
      <c r="H680" s="36" t="s">
        <v>240</v>
      </c>
      <c r="I680" s="3"/>
      <c r="J680" s="36">
        <v>24</v>
      </c>
      <c r="K680" s="3" t="s">
        <v>229</v>
      </c>
      <c r="L680" s="36" t="s">
        <v>240</v>
      </c>
      <c r="M680" s="3">
        <v>222</v>
      </c>
      <c r="N680" s="3">
        <f t="shared" si="122"/>
        <v>10.810810810810811</v>
      </c>
      <c r="O680" s="36">
        <v>4582.1493154223708</v>
      </c>
      <c r="P680" s="8">
        <f t="shared" si="120"/>
        <v>495.36749355917522</v>
      </c>
      <c r="Q680" s="36">
        <v>4583.6369102759127</v>
      </c>
      <c r="R680" s="40">
        <f t="shared" si="114"/>
        <v>10.80730221996045</v>
      </c>
      <c r="S680" s="109"/>
      <c r="T680" s="3"/>
      <c r="U680" s="3"/>
      <c r="V680" s="3"/>
      <c r="W680" s="3"/>
      <c r="X680" s="3"/>
      <c r="Y680" s="37">
        <f t="shared" si="116"/>
        <v>0.1080730221996045</v>
      </c>
      <c r="Z680" s="37">
        <f t="shared" si="123"/>
        <v>-2.2249481488540059</v>
      </c>
      <c r="AA680" s="149">
        <f t="shared" si="124"/>
        <v>-0.24045687068406793</v>
      </c>
      <c r="AB680" s="3"/>
      <c r="AC680" s="3"/>
    </row>
    <row r="681" spans="1:31" customFormat="1" ht="20.25" customHeight="1">
      <c r="A681" s="13">
        <v>42867</v>
      </c>
      <c r="B681" s="53">
        <v>5</v>
      </c>
      <c r="C681" s="51" t="s">
        <v>216</v>
      </c>
      <c r="D681" s="51" t="s">
        <v>217</v>
      </c>
      <c r="E681" s="51"/>
      <c r="F681" s="51"/>
      <c r="G681" s="51"/>
      <c r="H681" s="3" t="s">
        <v>647</v>
      </c>
      <c r="I681" s="3"/>
      <c r="J681" s="3">
        <v>156</v>
      </c>
      <c r="K681" s="36" t="s">
        <v>229</v>
      </c>
      <c r="L681" s="3" t="s">
        <v>219</v>
      </c>
      <c r="M681" s="3">
        <v>222</v>
      </c>
      <c r="N681" s="3">
        <f t="shared" si="122"/>
        <v>70.270270270270274</v>
      </c>
      <c r="O681" s="36">
        <v>4582.1493154223708</v>
      </c>
      <c r="P681" s="8">
        <f t="shared" si="120"/>
        <v>3219.8887081346393</v>
      </c>
      <c r="Q681" s="36">
        <v>4583.6369102759127</v>
      </c>
      <c r="R681" s="40">
        <f t="shared" si="114"/>
        <v>70.247464429742919</v>
      </c>
      <c r="S681" s="109"/>
      <c r="T681" s="3"/>
      <c r="U681" s="3"/>
      <c r="V681" s="3"/>
      <c r="W681" s="3"/>
      <c r="X681" s="3"/>
      <c r="Y681" s="37">
        <f t="shared" si="116"/>
        <v>0.70247464429742923</v>
      </c>
      <c r="Z681" s="37">
        <f t="shared" si="123"/>
        <v>-0.35314597195241437</v>
      </c>
      <c r="AA681" s="149">
        <f t="shared" si="124"/>
        <v>-0.24807609103234221</v>
      </c>
      <c r="AB681" s="3"/>
      <c r="AC681" s="3"/>
    </row>
    <row r="682" spans="1:31" customFormat="1" ht="20.25" customHeight="1">
      <c r="A682" s="71">
        <v>42867</v>
      </c>
      <c r="B682" s="53">
        <v>5</v>
      </c>
      <c r="C682" s="3" t="s">
        <v>223</v>
      </c>
      <c r="D682" s="3" t="s">
        <v>224</v>
      </c>
      <c r="E682" s="3" t="s">
        <v>225</v>
      </c>
      <c r="F682" s="3" t="s">
        <v>248</v>
      </c>
      <c r="G682" s="3" t="s">
        <v>249</v>
      </c>
      <c r="H682" s="3" t="s">
        <v>250</v>
      </c>
      <c r="I682" s="3"/>
      <c r="J682" s="3">
        <v>13</v>
      </c>
      <c r="K682" s="3" t="s">
        <v>229</v>
      </c>
      <c r="L682" s="3" t="s">
        <v>250</v>
      </c>
      <c r="M682" s="3">
        <v>222</v>
      </c>
      <c r="N682" s="3">
        <f t="shared" si="122"/>
        <v>5.8558558558558556</v>
      </c>
      <c r="O682" s="36">
        <v>4582.1493154223708</v>
      </c>
      <c r="P682" s="8">
        <f t="shared" si="120"/>
        <v>268.3240590112199</v>
      </c>
      <c r="Q682" s="36">
        <v>4583.6369102759127</v>
      </c>
      <c r="R682" s="40">
        <f t="shared" si="114"/>
        <v>5.8539553691452424</v>
      </c>
      <c r="S682" s="109"/>
      <c r="T682" s="3"/>
      <c r="U682" s="3"/>
      <c r="V682" s="3"/>
      <c r="W682" s="3"/>
      <c r="X682" s="3"/>
      <c r="Y682" s="37">
        <f t="shared" si="116"/>
        <v>5.8539553691452424E-2</v>
      </c>
      <c r="Z682" s="37">
        <f t="shared" si="123"/>
        <v>-2.8380526217404149</v>
      </c>
      <c r="AA682" s="149">
        <f t="shared" si="124"/>
        <v>-0.16613833382954035</v>
      </c>
      <c r="AB682" s="3"/>
      <c r="AC682" s="3"/>
    </row>
    <row r="683" spans="1:31" customFormat="1" ht="20.25" customHeight="1">
      <c r="A683" s="71">
        <v>42867</v>
      </c>
      <c r="B683" s="53">
        <v>5</v>
      </c>
      <c r="C683" s="65" t="s">
        <v>223</v>
      </c>
      <c r="D683" s="65" t="s">
        <v>224</v>
      </c>
      <c r="E683" s="65" t="s">
        <v>225</v>
      </c>
      <c r="F683" s="65" t="s">
        <v>226</v>
      </c>
      <c r="G683" s="65" t="s">
        <v>261</v>
      </c>
      <c r="H683" s="36" t="s">
        <v>262</v>
      </c>
      <c r="I683" s="36"/>
      <c r="J683" s="36">
        <v>6</v>
      </c>
      <c r="K683" s="3" t="s">
        <v>229</v>
      </c>
      <c r="L683" s="36" t="s">
        <v>264</v>
      </c>
      <c r="M683" s="3">
        <v>222</v>
      </c>
      <c r="N683" s="3">
        <f t="shared" si="122"/>
        <v>2.7027027027027026</v>
      </c>
      <c r="O683" s="36">
        <v>4582.1493154223708</v>
      </c>
      <c r="P683" s="8">
        <f t="shared" si="120"/>
        <v>123.8418733897938</v>
      </c>
      <c r="Q683" s="36">
        <v>4583.6369102759127</v>
      </c>
      <c r="R683" s="40">
        <f t="shared" si="114"/>
        <v>2.7018255549901125</v>
      </c>
      <c r="S683" s="109"/>
      <c r="T683" s="3"/>
      <c r="U683" s="3"/>
      <c r="V683" s="3"/>
      <c r="W683" s="3"/>
      <c r="X683" s="3"/>
      <c r="Y683" s="37">
        <f t="shared" si="116"/>
        <v>2.7018255549901126E-2</v>
      </c>
      <c r="Z683" s="37">
        <f t="shared" si="123"/>
        <v>-3.6112425099738963</v>
      </c>
      <c r="AA683" s="149">
        <f t="shared" si="124"/>
        <v>-9.7569472987141095E-2</v>
      </c>
      <c r="AB683" s="3"/>
      <c r="AC683" s="3"/>
    </row>
    <row r="684" spans="1:31" customFormat="1" ht="20.25" customHeight="1">
      <c r="A684" s="13">
        <v>42867</v>
      </c>
      <c r="B684" s="53">
        <v>5</v>
      </c>
      <c r="C684" s="36" t="s">
        <v>223</v>
      </c>
      <c r="D684" s="36" t="s">
        <v>224</v>
      </c>
      <c r="E684" s="36" t="s">
        <v>225</v>
      </c>
      <c r="F684" s="36" t="s">
        <v>226</v>
      </c>
      <c r="G684" s="36" t="s">
        <v>253</v>
      </c>
      <c r="H684" s="36" t="s">
        <v>256</v>
      </c>
      <c r="I684" s="3"/>
      <c r="J684" s="36">
        <v>11</v>
      </c>
      <c r="K684" s="3" t="s">
        <v>229</v>
      </c>
      <c r="L684" s="36" t="s">
        <v>256</v>
      </c>
      <c r="M684" s="3">
        <v>222</v>
      </c>
      <c r="N684" s="3">
        <f t="shared" si="122"/>
        <v>4.954954954954955</v>
      </c>
      <c r="O684" s="36">
        <v>4582.1493154223708</v>
      </c>
      <c r="P684" s="8">
        <f t="shared" si="120"/>
        <v>227.04343454795531</v>
      </c>
      <c r="Q684" s="36">
        <v>4583.6369102759127</v>
      </c>
      <c r="R684" s="40">
        <f t="shared" si="114"/>
        <v>4.9533468508152056</v>
      </c>
      <c r="S684" s="109"/>
      <c r="T684" s="3"/>
      <c r="U684" s="3"/>
      <c r="V684" s="3"/>
      <c r="W684" s="3"/>
      <c r="X684" s="3"/>
      <c r="Y684" s="37">
        <f t="shared" si="116"/>
        <v>4.9533468508152059E-2</v>
      </c>
      <c r="Z684" s="37">
        <f t="shared" si="123"/>
        <v>-3.005106706403581</v>
      </c>
      <c r="AA684" s="149">
        <f t="shared" si="124"/>
        <v>-0.14885335840527833</v>
      </c>
      <c r="AB684" s="3"/>
      <c r="AC684" s="3"/>
    </row>
    <row r="685" spans="1:31" customFormat="1" ht="20.25" customHeight="1">
      <c r="A685" s="13">
        <v>42867</v>
      </c>
      <c r="B685" s="53">
        <v>5</v>
      </c>
      <c r="C685" s="51" t="s">
        <v>216</v>
      </c>
      <c r="D685" s="3" t="s">
        <v>217</v>
      </c>
      <c r="E685" s="3"/>
      <c r="F685" s="51"/>
      <c r="G685" s="51"/>
      <c r="H685" s="51" t="s">
        <v>653</v>
      </c>
      <c r="I685" s="3"/>
      <c r="J685" s="3">
        <v>2</v>
      </c>
      <c r="K685" s="36" t="s">
        <v>229</v>
      </c>
      <c r="L685" s="3" t="s">
        <v>219</v>
      </c>
      <c r="M685" s="3">
        <v>222</v>
      </c>
      <c r="N685" s="3">
        <f t="shared" si="122"/>
        <v>0.90090090090090091</v>
      </c>
      <c r="O685" s="36">
        <v>4582.1493154223708</v>
      </c>
      <c r="P685" s="8">
        <f t="shared" si="120"/>
        <v>41.280624463264601</v>
      </c>
      <c r="Q685" s="36">
        <v>4583.6369102759127</v>
      </c>
      <c r="R685" s="40">
        <f t="shared" si="114"/>
        <v>0.90060851833003741</v>
      </c>
      <c r="S685" s="109"/>
      <c r="T685" s="3"/>
      <c r="U685" s="3"/>
      <c r="V685" s="3"/>
      <c r="W685" s="3"/>
      <c r="X685" s="3"/>
      <c r="Y685" s="37">
        <f t="shared" si="116"/>
        <v>9.0060851833003736E-3</v>
      </c>
      <c r="Z685" s="37">
        <f t="shared" si="123"/>
        <v>-4.7098547986420058</v>
      </c>
      <c r="AA685" s="149">
        <f t="shared" si="124"/>
        <v>-4.2417353517545935E-2</v>
      </c>
      <c r="AB685" s="3"/>
      <c r="AC685" s="3"/>
    </row>
    <row r="686" spans="1:31" customFormat="1" ht="20.25" customHeight="1">
      <c r="A686" s="13">
        <v>42867</v>
      </c>
      <c r="B686" s="53">
        <v>8</v>
      </c>
      <c r="C686" s="36" t="s">
        <v>223</v>
      </c>
      <c r="D686" s="36" t="s">
        <v>267</v>
      </c>
      <c r="E686" s="36"/>
      <c r="F686" s="36" t="s">
        <v>273</v>
      </c>
      <c r="G686" s="36" t="s">
        <v>274</v>
      </c>
      <c r="H686" s="36" t="s">
        <v>275</v>
      </c>
      <c r="I686" s="36" t="s">
        <v>276</v>
      </c>
      <c r="J686" s="36">
        <v>11</v>
      </c>
      <c r="K686" s="36" t="s">
        <v>247</v>
      </c>
      <c r="L686" s="36" t="s">
        <v>275</v>
      </c>
      <c r="M686" s="3">
        <v>42</v>
      </c>
      <c r="N686" s="3">
        <f t="shared" si="122"/>
        <v>26.190476190476193</v>
      </c>
      <c r="O686" s="36">
        <v>3.8349276690030769</v>
      </c>
      <c r="P686" s="8">
        <f t="shared" si="120"/>
        <v>1.0043858180722345</v>
      </c>
      <c r="Q686" s="36">
        <v>2233.4369889346508</v>
      </c>
      <c r="R686" s="40">
        <f t="shared" si="114"/>
        <v>4.4970412106917171E-2</v>
      </c>
      <c r="S686" s="109"/>
      <c r="T686" s="36">
        <v>1000</v>
      </c>
      <c r="U686" s="3"/>
      <c r="V686" s="3"/>
      <c r="W686" s="3"/>
      <c r="X686" s="3"/>
      <c r="Y686" s="37">
        <f t="shared" si="116"/>
        <v>4.4970412106917171E-4</v>
      </c>
      <c r="Z686" s="37">
        <f t="shared" si="123"/>
        <v>-7.706920700188749</v>
      </c>
      <c r="AA686" s="149">
        <f t="shared" si="124"/>
        <v>-3.4658339996281868E-3</v>
      </c>
      <c r="AB686" s="3">
        <f>SUM(AA686:AA697)*(-1)</f>
        <v>1.6656989357526397</v>
      </c>
      <c r="AC686" s="3">
        <v>12</v>
      </c>
      <c r="AD686" s="98">
        <f t="shared" ref="AD686" si="127">LN(AC686)</f>
        <v>2.4849066497880004</v>
      </c>
      <c r="AE686" s="98">
        <f>(AB686/AD686)</f>
        <v>0.67032656373419452</v>
      </c>
    </row>
    <row r="687" spans="1:31" customFormat="1" ht="20.25" customHeight="1">
      <c r="A687" s="13">
        <v>42867</v>
      </c>
      <c r="B687" s="53">
        <v>8</v>
      </c>
      <c r="C687" s="36" t="s">
        <v>288</v>
      </c>
      <c r="D687" s="36" t="s">
        <v>289</v>
      </c>
      <c r="E687" s="36"/>
      <c r="F687" s="36"/>
      <c r="G687" s="36"/>
      <c r="H687" s="36"/>
      <c r="I687" s="36"/>
      <c r="J687" s="36">
        <v>28</v>
      </c>
      <c r="K687" s="36" t="s">
        <v>221</v>
      </c>
      <c r="L687" s="36" t="s">
        <v>499</v>
      </c>
      <c r="M687" s="3">
        <v>42</v>
      </c>
      <c r="N687" s="3">
        <f t="shared" si="122"/>
        <v>66.666666666666657</v>
      </c>
      <c r="O687" s="36">
        <v>3.8349276690030769</v>
      </c>
      <c r="P687" s="8">
        <f t="shared" si="120"/>
        <v>2.5566184460020507</v>
      </c>
      <c r="Q687" s="36">
        <v>2233.4369889346508</v>
      </c>
      <c r="R687" s="40">
        <f t="shared" si="114"/>
        <v>0.1144701399085164</v>
      </c>
      <c r="S687" s="109"/>
      <c r="T687" s="36">
        <v>1000</v>
      </c>
      <c r="U687" s="3"/>
      <c r="V687" s="3"/>
      <c r="W687" s="3"/>
      <c r="X687" s="3"/>
      <c r="Y687" s="37">
        <f t="shared" si="116"/>
        <v>1.1447013990851639E-3</v>
      </c>
      <c r="Z687" s="37">
        <f t="shared" si="123"/>
        <v>-6.7726114628119154</v>
      </c>
      <c r="AA687" s="149">
        <f t="shared" si="124"/>
        <v>-7.7526178169410181E-3</v>
      </c>
      <c r="AB687" s="3"/>
      <c r="AC687" s="3"/>
    </row>
    <row r="688" spans="1:31" customFormat="1" ht="20.25" customHeight="1">
      <c r="A688" s="13">
        <v>42867</v>
      </c>
      <c r="B688" s="53">
        <v>8</v>
      </c>
      <c r="C688" s="65" t="s">
        <v>209</v>
      </c>
      <c r="D688" s="65" t="s">
        <v>210</v>
      </c>
      <c r="E688" s="65"/>
      <c r="F688" s="65" t="s">
        <v>211</v>
      </c>
      <c r="G688" s="65" t="s">
        <v>212</v>
      </c>
      <c r="H688" s="36" t="s">
        <v>213</v>
      </c>
      <c r="I688" s="36" t="s">
        <v>214</v>
      </c>
      <c r="J688" s="36">
        <v>3</v>
      </c>
      <c r="K688" s="36" t="s">
        <v>247</v>
      </c>
      <c r="L688" s="36" t="s">
        <v>215</v>
      </c>
      <c r="M688" s="3">
        <v>42</v>
      </c>
      <c r="N688" s="3">
        <f t="shared" si="122"/>
        <v>7.1428571428571423</v>
      </c>
      <c r="O688" s="36">
        <v>3.8349276690030769</v>
      </c>
      <c r="P688" s="8">
        <f t="shared" ref="P688:P719" si="128">(N688/100)*O688</f>
        <v>0.27392340492879119</v>
      </c>
      <c r="Q688" s="36">
        <v>2233.4369889346508</v>
      </c>
      <c r="R688" s="40">
        <f t="shared" si="114"/>
        <v>1.2264657847341045E-2</v>
      </c>
      <c r="S688" s="109"/>
      <c r="T688" s="36">
        <v>1000</v>
      </c>
      <c r="U688" s="3"/>
      <c r="V688" s="3"/>
      <c r="W688" s="3"/>
      <c r="X688" s="3"/>
      <c r="Y688" s="37">
        <f t="shared" si="116"/>
        <v>1.2264657847341044E-4</v>
      </c>
      <c r="Z688" s="37">
        <f t="shared" si="123"/>
        <v>-9.0062036843190096</v>
      </c>
      <c r="AA688" s="149">
        <f t="shared" si="124"/>
        <v>-1.1045800669163496E-3</v>
      </c>
      <c r="AB688" s="3"/>
      <c r="AC688" s="3"/>
    </row>
    <row r="689" spans="1:31" customFormat="1" ht="20.25" customHeight="1">
      <c r="A689" s="13">
        <v>42867</v>
      </c>
      <c r="B689" s="53">
        <v>8</v>
      </c>
      <c r="C689" s="3" t="s">
        <v>223</v>
      </c>
      <c r="D689" s="3" t="s">
        <v>224</v>
      </c>
      <c r="E689" s="3" t="s">
        <v>225</v>
      </c>
      <c r="F689" s="3" t="s">
        <v>226</v>
      </c>
      <c r="G689" s="3" t="s">
        <v>227</v>
      </c>
      <c r="H689" s="3" t="s">
        <v>228</v>
      </c>
      <c r="I689" s="3"/>
      <c r="J689" s="36">
        <v>42</v>
      </c>
      <c r="K689" s="3" t="s">
        <v>229</v>
      </c>
      <c r="L689" s="36" t="s">
        <v>228</v>
      </c>
      <c r="M689" s="3">
        <v>268</v>
      </c>
      <c r="N689" s="3">
        <f t="shared" ref="N689:N720" si="129">J689/M689*100</f>
        <v>15.671641791044777</v>
      </c>
      <c r="O689" s="36">
        <v>2229.6020612656475</v>
      </c>
      <c r="P689" s="8">
        <f t="shared" si="128"/>
        <v>349.41524840730301</v>
      </c>
      <c r="Q689" s="36">
        <v>2233.4369889346508</v>
      </c>
      <c r="R689" s="40">
        <f t="shared" si="114"/>
        <v>15.644732765618521</v>
      </c>
      <c r="S689" s="109"/>
      <c r="T689" s="3"/>
      <c r="U689" s="3"/>
      <c r="V689" s="3"/>
      <c r="W689" s="3"/>
      <c r="X689" s="3"/>
      <c r="Y689" s="37">
        <f t="shared" si="116"/>
        <v>0.15644732765618521</v>
      </c>
      <c r="Z689" s="37">
        <f t="shared" si="123"/>
        <v>-1.8550358901496899</v>
      </c>
      <c r="AA689" s="149">
        <f t="shared" si="124"/>
        <v>-0.29021540772023174</v>
      </c>
      <c r="AB689" s="3"/>
      <c r="AC689" s="3"/>
    </row>
    <row r="690" spans="1:31" customFormat="1" ht="20.25" customHeight="1">
      <c r="A690" s="13">
        <v>42867</v>
      </c>
      <c r="B690" s="53">
        <v>8</v>
      </c>
      <c r="C690" s="36" t="s">
        <v>223</v>
      </c>
      <c r="D690" s="36" t="s">
        <v>224</v>
      </c>
      <c r="E690" s="36" t="s">
        <v>225</v>
      </c>
      <c r="F690" s="36" t="s">
        <v>226</v>
      </c>
      <c r="G690" s="36" t="s">
        <v>239</v>
      </c>
      <c r="H690" s="36" t="s">
        <v>240</v>
      </c>
      <c r="I690" s="3"/>
      <c r="J690" s="36">
        <v>26</v>
      </c>
      <c r="K690" s="3" t="s">
        <v>229</v>
      </c>
      <c r="L690" s="36" t="s">
        <v>240</v>
      </c>
      <c r="M690" s="3">
        <v>268</v>
      </c>
      <c r="N690" s="3">
        <f t="shared" si="129"/>
        <v>9.7014925373134329</v>
      </c>
      <c r="O690" s="36">
        <v>2229.6020612656475</v>
      </c>
      <c r="P690" s="8">
        <f t="shared" si="128"/>
        <v>216.30467758547329</v>
      </c>
      <c r="Q690" s="36">
        <v>2233.4369889346508</v>
      </c>
      <c r="R690" s="40">
        <f t="shared" si="114"/>
        <v>9.684834569192418</v>
      </c>
      <c r="S690" s="109"/>
      <c r="T690" s="3"/>
      <c r="U690" s="3"/>
      <c r="V690" s="3"/>
      <c r="W690" s="3"/>
      <c r="X690" s="3"/>
      <c r="Y690" s="37">
        <f t="shared" si="116"/>
        <v>9.6848345691924187E-2</v>
      </c>
      <c r="Z690" s="37">
        <f t="shared" si="123"/>
        <v>-2.3346089704115762</v>
      </c>
      <c r="AA690" s="149">
        <f t="shared" si="124"/>
        <v>-0.22610301662188753</v>
      </c>
      <c r="AB690" s="3"/>
      <c r="AC690" s="3"/>
    </row>
    <row r="691" spans="1:31" customFormat="1" ht="20.25" customHeight="1">
      <c r="A691" s="13">
        <v>42867</v>
      </c>
      <c r="B691" s="53">
        <v>8</v>
      </c>
      <c r="C691" s="51" t="s">
        <v>216</v>
      </c>
      <c r="D691" s="51" t="s">
        <v>217</v>
      </c>
      <c r="E691" s="51"/>
      <c r="F691" s="51"/>
      <c r="G691" s="51"/>
      <c r="H691" s="3" t="s">
        <v>647</v>
      </c>
      <c r="I691" s="3"/>
      <c r="J691" s="3">
        <v>120</v>
      </c>
      <c r="K691" s="36" t="s">
        <v>229</v>
      </c>
      <c r="L691" s="3" t="s">
        <v>219</v>
      </c>
      <c r="M691" s="3">
        <v>268</v>
      </c>
      <c r="N691" s="3">
        <f t="shared" si="129"/>
        <v>44.776119402985074</v>
      </c>
      <c r="O691" s="36">
        <v>2229.6020612656475</v>
      </c>
      <c r="P691" s="8">
        <f t="shared" si="128"/>
        <v>998.32928116372284</v>
      </c>
      <c r="Q691" s="36">
        <v>2233.4369889346508</v>
      </c>
      <c r="R691" s="40">
        <f t="shared" si="114"/>
        <v>44.699236473195768</v>
      </c>
      <c r="S691" s="109"/>
      <c r="T691" s="3"/>
      <c r="U691" s="3"/>
      <c r="V691" s="3"/>
      <c r="W691" s="3"/>
      <c r="X691" s="3"/>
      <c r="Y691" s="37">
        <f t="shared" si="116"/>
        <v>0.44699236473195769</v>
      </c>
      <c r="Z691" s="37">
        <f t="shared" si="123"/>
        <v>-0.80521376565101244</v>
      </c>
      <c r="AA691" s="149">
        <f t="shared" si="124"/>
        <v>-0.35992440522307045</v>
      </c>
      <c r="AB691" s="3"/>
      <c r="AC691" s="3"/>
    </row>
    <row r="692" spans="1:31" customFormat="1" ht="20.25" customHeight="1">
      <c r="A692" s="13">
        <v>42867</v>
      </c>
      <c r="B692" s="53">
        <v>8</v>
      </c>
      <c r="C692" s="3" t="s">
        <v>223</v>
      </c>
      <c r="D692" s="3" t="s">
        <v>224</v>
      </c>
      <c r="E692" s="3" t="s">
        <v>225</v>
      </c>
      <c r="F692" s="3" t="s">
        <v>248</v>
      </c>
      <c r="G692" s="3" t="s">
        <v>249</v>
      </c>
      <c r="H692" s="3" t="s">
        <v>250</v>
      </c>
      <c r="I692" s="3"/>
      <c r="J692" s="3">
        <v>28</v>
      </c>
      <c r="K692" s="3" t="s">
        <v>229</v>
      </c>
      <c r="L692" s="3" t="s">
        <v>250</v>
      </c>
      <c r="M692" s="3">
        <v>268</v>
      </c>
      <c r="N692" s="3">
        <f t="shared" si="129"/>
        <v>10.44776119402985</v>
      </c>
      <c r="O692" s="36">
        <v>2229.6020612656475</v>
      </c>
      <c r="P692" s="8">
        <f t="shared" si="128"/>
        <v>232.94349893820197</v>
      </c>
      <c r="Q692" s="36">
        <v>2233.4369889346508</v>
      </c>
      <c r="R692" s="40">
        <f t="shared" si="114"/>
        <v>10.429821843745678</v>
      </c>
      <c r="S692" s="109"/>
      <c r="T692" s="3"/>
      <c r="U692" s="3"/>
      <c r="V692" s="3"/>
      <c r="W692" s="3"/>
      <c r="X692" s="3"/>
      <c r="Y692" s="37">
        <f t="shared" si="116"/>
        <v>0.10429821843745678</v>
      </c>
      <c r="Z692" s="37">
        <f t="shared" si="123"/>
        <v>-2.2605009982578546</v>
      </c>
      <c r="AA692" s="149">
        <f t="shared" si="124"/>
        <v>-0.23576622689438681</v>
      </c>
      <c r="AB692" s="3"/>
      <c r="AC692" s="3"/>
    </row>
    <row r="693" spans="1:31" customFormat="1" ht="20.25" customHeight="1">
      <c r="A693" s="13">
        <v>42867</v>
      </c>
      <c r="B693" s="53">
        <v>8</v>
      </c>
      <c r="C693" s="65" t="s">
        <v>223</v>
      </c>
      <c r="D693" s="65" t="s">
        <v>224</v>
      </c>
      <c r="E693" s="65" t="s">
        <v>225</v>
      </c>
      <c r="F693" s="65" t="s">
        <v>226</v>
      </c>
      <c r="G693" s="65" t="s">
        <v>261</v>
      </c>
      <c r="H693" s="36" t="s">
        <v>262</v>
      </c>
      <c r="I693" s="36"/>
      <c r="J693" s="36">
        <v>21</v>
      </c>
      <c r="K693" s="3" t="s">
        <v>229</v>
      </c>
      <c r="L693" s="36" t="s">
        <v>264</v>
      </c>
      <c r="M693" s="3">
        <v>268</v>
      </c>
      <c r="N693" s="3">
        <f t="shared" si="129"/>
        <v>7.8358208955223887</v>
      </c>
      <c r="O693" s="36">
        <v>2229.6020612656475</v>
      </c>
      <c r="P693" s="8">
        <f t="shared" si="128"/>
        <v>174.70762420365151</v>
      </c>
      <c r="Q693" s="36">
        <v>2233.4369889346508</v>
      </c>
      <c r="R693" s="40">
        <f t="shared" si="114"/>
        <v>7.8223663828092604</v>
      </c>
      <c r="S693" s="109"/>
      <c r="T693" s="3"/>
      <c r="U693" s="3"/>
      <c r="V693" s="3"/>
      <c r="W693" s="3"/>
      <c r="X693" s="3"/>
      <c r="Y693" s="37">
        <f t="shared" si="116"/>
        <v>7.8223663828092607E-2</v>
      </c>
      <c r="Z693" s="37">
        <f t="shared" si="123"/>
        <v>-2.5481830707096353</v>
      </c>
      <c r="AA693" s="149">
        <f t="shared" si="124"/>
        <v>-0.19932821589562724</v>
      </c>
      <c r="AB693" s="3"/>
      <c r="AC693" s="3"/>
    </row>
    <row r="694" spans="1:31" customFormat="1" ht="20.25" customHeight="1">
      <c r="A694" s="13">
        <v>42867</v>
      </c>
      <c r="B694" s="53">
        <v>8</v>
      </c>
      <c r="C694" s="36" t="s">
        <v>223</v>
      </c>
      <c r="D694" s="36" t="s">
        <v>224</v>
      </c>
      <c r="E694" s="36" t="s">
        <v>225</v>
      </c>
      <c r="F694" s="36" t="s">
        <v>226</v>
      </c>
      <c r="G694" s="36" t="s">
        <v>253</v>
      </c>
      <c r="H694" s="36" t="s">
        <v>256</v>
      </c>
      <c r="I694" s="3"/>
      <c r="J694" s="36">
        <v>23</v>
      </c>
      <c r="K694" s="3" t="s">
        <v>229</v>
      </c>
      <c r="L694" s="36" t="s">
        <v>256</v>
      </c>
      <c r="M694" s="3">
        <v>268</v>
      </c>
      <c r="N694" s="3">
        <f t="shared" si="129"/>
        <v>8.5820895522388057</v>
      </c>
      <c r="O694" s="36">
        <v>2229.6020612656475</v>
      </c>
      <c r="P694" s="8">
        <f t="shared" si="128"/>
        <v>191.34644555638019</v>
      </c>
      <c r="Q694" s="36">
        <v>2233.4369889346508</v>
      </c>
      <c r="R694" s="40">
        <f t="shared" si="114"/>
        <v>8.5673536573625224</v>
      </c>
      <c r="S694" s="109"/>
      <c r="T694" s="3"/>
      <c r="U694" s="3"/>
      <c r="V694" s="3"/>
      <c r="W694" s="3"/>
      <c r="X694" s="3"/>
      <c r="Y694" s="37">
        <f t="shared" si="116"/>
        <v>8.5673536573625225E-2</v>
      </c>
      <c r="Z694" s="37">
        <f t="shared" si="123"/>
        <v>-2.4572112925039087</v>
      </c>
      <c r="AA694" s="149">
        <f t="shared" si="124"/>
        <v>-0.21051798153745854</v>
      </c>
      <c r="AB694" s="3"/>
      <c r="AC694" s="3"/>
    </row>
    <row r="695" spans="1:31" customFormat="1" ht="20.25" customHeight="1">
      <c r="A695" s="13">
        <v>42867</v>
      </c>
      <c r="B695" s="53">
        <v>8</v>
      </c>
      <c r="C695" s="51" t="s">
        <v>223</v>
      </c>
      <c r="D695" s="51" t="s">
        <v>224</v>
      </c>
      <c r="E695" s="51" t="s">
        <v>225</v>
      </c>
      <c r="F695" s="51" t="s">
        <v>226</v>
      </c>
      <c r="G695" s="51" t="s">
        <v>239</v>
      </c>
      <c r="H695" s="3" t="s">
        <v>258</v>
      </c>
      <c r="I695" s="3" t="s">
        <v>259</v>
      </c>
      <c r="J695" s="3">
        <v>5</v>
      </c>
      <c r="K695" s="3" t="s">
        <v>247</v>
      </c>
      <c r="L695" s="3" t="s">
        <v>260</v>
      </c>
      <c r="M695" s="3">
        <v>268</v>
      </c>
      <c r="N695" s="3">
        <f t="shared" si="129"/>
        <v>1.8656716417910446</v>
      </c>
      <c r="O695" s="36">
        <v>2229.6020612656475</v>
      </c>
      <c r="P695" s="8">
        <f t="shared" si="128"/>
        <v>41.59705338182178</v>
      </c>
      <c r="Q695" s="36">
        <v>2233.4369889346508</v>
      </c>
      <c r="R695" s="40">
        <f t="shared" si="114"/>
        <v>1.8624681863831569</v>
      </c>
      <c r="S695" s="109"/>
      <c r="T695" s="3"/>
      <c r="U695" s="3"/>
      <c r="V695" s="3"/>
      <c r="W695" s="3"/>
      <c r="X695" s="3"/>
      <c r="Y695" s="37">
        <f t="shared" si="116"/>
        <v>1.8624681863831569E-2</v>
      </c>
      <c r="Z695" s="37">
        <f t="shared" si="123"/>
        <v>-3.9832675959989583</v>
      </c>
      <c r="AA695" s="149">
        <f t="shared" si="124"/>
        <v>-7.418709175398977E-2</v>
      </c>
      <c r="AB695" s="3"/>
      <c r="AC695" s="3"/>
    </row>
    <row r="696" spans="1:31" customFormat="1" ht="20.25" customHeight="1">
      <c r="A696" s="13">
        <v>42867</v>
      </c>
      <c r="B696" s="53">
        <v>8</v>
      </c>
      <c r="C696" s="36" t="s">
        <v>223</v>
      </c>
      <c r="D696" s="36" t="s">
        <v>303</v>
      </c>
      <c r="E696" s="36" t="s">
        <v>304</v>
      </c>
      <c r="F696" s="36" t="s">
        <v>305</v>
      </c>
      <c r="G696" s="36" t="s">
        <v>306</v>
      </c>
      <c r="H696" s="36" t="s">
        <v>307</v>
      </c>
      <c r="I696" s="36"/>
      <c r="J696" s="36">
        <v>1</v>
      </c>
      <c r="K696" s="3" t="s">
        <v>229</v>
      </c>
      <c r="L696" s="3" t="s">
        <v>307</v>
      </c>
      <c r="M696" s="3">
        <v>268</v>
      </c>
      <c r="N696" s="3">
        <f t="shared" si="129"/>
        <v>0.37313432835820892</v>
      </c>
      <c r="O696" s="36">
        <v>2229.6020612656475</v>
      </c>
      <c r="P696" s="8">
        <f t="shared" si="128"/>
        <v>8.319410676364356</v>
      </c>
      <c r="Q696" s="36">
        <v>2233.4369889346508</v>
      </c>
      <c r="R696" s="40">
        <f t="shared" si="114"/>
        <v>0.37249363727663137</v>
      </c>
      <c r="S696" s="109"/>
      <c r="T696" s="3"/>
      <c r="U696" s="3"/>
      <c r="V696" s="3"/>
      <c r="W696" s="3"/>
      <c r="X696" s="3"/>
      <c r="Y696" s="37">
        <f t="shared" si="116"/>
        <v>3.7249363727663138E-3</v>
      </c>
      <c r="Z696" s="37">
        <f t="shared" si="123"/>
        <v>-5.5927055084330588</v>
      </c>
      <c r="AA696" s="149">
        <f t="shared" si="124"/>
        <v>-2.0832472170532822E-2</v>
      </c>
      <c r="AB696" s="3"/>
      <c r="AC696" s="3"/>
    </row>
    <row r="697" spans="1:31" customFormat="1" ht="20.25" customHeight="1">
      <c r="A697" s="13">
        <v>42867</v>
      </c>
      <c r="B697" s="53">
        <v>8</v>
      </c>
      <c r="C697" s="3" t="s">
        <v>223</v>
      </c>
      <c r="D697" s="3" t="s">
        <v>224</v>
      </c>
      <c r="E697" s="3" t="s">
        <v>225</v>
      </c>
      <c r="F697" s="3" t="s">
        <v>226</v>
      </c>
      <c r="G697" s="3" t="s">
        <v>235</v>
      </c>
      <c r="H697" s="3" t="s">
        <v>236</v>
      </c>
      <c r="I697" s="3"/>
      <c r="J697" s="36">
        <v>2</v>
      </c>
      <c r="K697" s="3" t="s">
        <v>229</v>
      </c>
      <c r="L697" s="36" t="s">
        <v>236</v>
      </c>
      <c r="M697" s="3">
        <v>268</v>
      </c>
      <c r="N697" s="3">
        <f t="shared" si="129"/>
        <v>0.74626865671641784</v>
      </c>
      <c r="O697" s="36">
        <v>2229.6020612656475</v>
      </c>
      <c r="P697" s="8">
        <f t="shared" si="128"/>
        <v>16.638821352728712</v>
      </c>
      <c r="Q697" s="36">
        <v>2233.4369889346508</v>
      </c>
      <c r="R697" s="40">
        <f t="shared" ref="R697:R760" si="130">P697/Q697*100</f>
        <v>0.74498727455326275</v>
      </c>
      <c r="S697" s="109"/>
      <c r="T697" s="3"/>
      <c r="U697" s="3"/>
      <c r="V697" s="3"/>
      <c r="W697" s="3"/>
      <c r="X697" s="3"/>
      <c r="Y697" s="37">
        <f t="shared" si="116"/>
        <v>7.4498727455326276E-3</v>
      </c>
      <c r="Z697" s="37">
        <f t="shared" si="123"/>
        <v>-4.8995583278731134</v>
      </c>
      <c r="AA697" s="149">
        <f t="shared" si="124"/>
        <v>-3.650108605196932E-2</v>
      </c>
      <c r="AB697" s="3"/>
      <c r="AC697" s="3"/>
    </row>
    <row r="698" spans="1:31" ht="20.25" customHeight="1">
      <c r="A698" s="13">
        <v>42928</v>
      </c>
      <c r="B698" s="53">
        <v>2</v>
      </c>
      <c r="C698" s="36" t="s">
        <v>223</v>
      </c>
      <c r="D698" s="36" t="s">
        <v>267</v>
      </c>
      <c r="E698" s="36" t="s">
        <v>278</v>
      </c>
      <c r="F698" s="36" t="s">
        <v>279</v>
      </c>
      <c r="G698" s="36" t="s">
        <v>280</v>
      </c>
      <c r="H698" s="36" t="s">
        <v>284</v>
      </c>
      <c r="I698" s="36" t="s">
        <v>285</v>
      </c>
      <c r="J698" s="36">
        <v>98</v>
      </c>
      <c r="K698" s="36" t="s">
        <v>247</v>
      </c>
      <c r="L698" s="36" t="s">
        <v>24</v>
      </c>
      <c r="M698" s="3">
        <v>116</v>
      </c>
      <c r="N698" s="3">
        <f t="shared" si="129"/>
        <v>84.482758620689651</v>
      </c>
      <c r="O698" s="36">
        <v>8.773986642361713</v>
      </c>
      <c r="P698" s="8">
        <f t="shared" si="128"/>
        <v>7.4125059564779985</v>
      </c>
      <c r="Q698" s="36">
        <v>8645.8529145990997</v>
      </c>
      <c r="R698" s="40">
        <f t="shared" si="130"/>
        <v>8.5734814479222599E-2</v>
      </c>
      <c r="S698" s="109"/>
      <c r="T698" s="36">
        <v>1000</v>
      </c>
      <c r="U698" s="3"/>
      <c r="V698" s="3"/>
      <c r="W698" s="3"/>
      <c r="X698" s="67"/>
      <c r="Y698" s="37">
        <f t="shared" si="116"/>
        <v>8.5734814479222602E-4</v>
      </c>
      <c r="Z698" s="37">
        <f t="shared" si="123"/>
        <v>-7.0616664852278852</v>
      </c>
      <c r="AA698" s="149">
        <f t="shared" si="124"/>
        <v>-6.0543066602515667E-3</v>
      </c>
      <c r="AB698" s="36">
        <f>SUM(AA698:AA708)*(-1)</f>
        <v>0.84839414222897003</v>
      </c>
      <c r="AC698" s="36">
        <v>10</v>
      </c>
      <c r="AD698" s="98">
        <f t="shared" ref="AD698" si="131">LN(AC698)</f>
        <v>2.3025850929940459</v>
      </c>
      <c r="AE698" s="98">
        <f>(AB698/AD698)</f>
        <v>0.36845289444908425</v>
      </c>
    </row>
    <row r="699" spans="1:31" ht="20.25" customHeight="1">
      <c r="A699" s="13">
        <v>42928</v>
      </c>
      <c r="B699" s="53">
        <v>2</v>
      </c>
      <c r="C699" s="36" t="s">
        <v>323</v>
      </c>
      <c r="D699" s="36" t="s">
        <v>324</v>
      </c>
      <c r="E699" s="36"/>
      <c r="F699" s="36" t="s">
        <v>325</v>
      </c>
      <c r="G699" s="36" t="s">
        <v>326</v>
      </c>
      <c r="H699" s="3"/>
      <c r="I699" s="3"/>
      <c r="J699" s="3">
        <v>18</v>
      </c>
      <c r="K699" s="36" t="s">
        <v>509</v>
      </c>
      <c r="L699" s="36" t="s">
        <v>327</v>
      </c>
      <c r="M699" s="3">
        <v>116</v>
      </c>
      <c r="N699" s="3">
        <f t="shared" si="129"/>
        <v>15.517241379310345</v>
      </c>
      <c r="O699" s="36">
        <v>8.773986642361713</v>
      </c>
      <c r="P699" s="8">
        <f t="shared" si="128"/>
        <v>1.3614806858837141</v>
      </c>
      <c r="Q699" s="36">
        <v>8645.8529145990997</v>
      </c>
      <c r="R699" s="40">
        <f t="shared" si="130"/>
        <v>1.5747210822714356E-2</v>
      </c>
      <c r="S699" s="109"/>
      <c r="T699" s="36">
        <v>1000</v>
      </c>
      <c r="U699" s="3"/>
      <c r="V699" s="3"/>
      <c r="W699" s="3"/>
      <c r="X699" s="67"/>
      <c r="Y699" s="37">
        <f t="shared" si="116"/>
        <v>1.5747210822714356E-4</v>
      </c>
      <c r="Z699" s="37">
        <f t="shared" si="123"/>
        <v>-8.7562622060022921</v>
      </c>
      <c r="AA699" s="149">
        <f t="shared" si="124"/>
        <v>-1.3788670697688398E-3</v>
      </c>
      <c r="AB699" s="36"/>
      <c r="AC699" s="36"/>
      <c r="AD699" s="38"/>
      <c r="AE699" s="38"/>
    </row>
    <row r="700" spans="1:31" ht="20.25" customHeight="1">
      <c r="A700" s="13">
        <v>42928</v>
      </c>
      <c r="B700" s="53">
        <v>2</v>
      </c>
      <c r="C700" s="3" t="s">
        <v>223</v>
      </c>
      <c r="D700" s="3" t="s">
        <v>224</v>
      </c>
      <c r="E700" s="3" t="s">
        <v>225</v>
      </c>
      <c r="F700" s="3" t="s">
        <v>226</v>
      </c>
      <c r="G700" s="3" t="s">
        <v>227</v>
      </c>
      <c r="H700" s="3" t="s">
        <v>228</v>
      </c>
      <c r="I700" s="3"/>
      <c r="J700" s="36">
        <v>347</v>
      </c>
      <c r="K700" s="3" t="s">
        <v>229</v>
      </c>
      <c r="L700" s="36" t="s">
        <v>228</v>
      </c>
      <c r="M700" s="3">
        <v>656</v>
      </c>
      <c r="N700" s="3">
        <f t="shared" si="129"/>
        <v>52.896341463414629</v>
      </c>
      <c r="O700" s="36">
        <v>8637.078927956738</v>
      </c>
      <c r="P700" s="8">
        <f t="shared" si="128"/>
        <v>4568.6987621966282</v>
      </c>
      <c r="Q700" s="36">
        <v>8645.8529145990997</v>
      </c>
      <c r="R700" s="40">
        <f t="shared" si="130"/>
        <v>52.842661184786934</v>
      </c>
      <c r="S700" s="109"/>
      <c r="T700" s="36">
        <v>250</v>
      </c>
      <c r="U700" s="3"/>
      <c r="V700" s="3"/>
      <c r="W700" s="3"/>
      <c r="X700" s="67"/>
      <c r="Y700" s="37">
        <f t="shared" si="116"/>
        <v>0.52842661184786932</v>
      </c>
      <c r="Z700" s="37">
        <f t="shared" si="123"/>
        <v>-0.63785134452896186</v>
      </c>
      <c r="AA700" s="149">
        <f t="shared" si="124"/>
        <v>-0.33705762485204727</v>
      </c>
      <c r="AB700" s="36"/>
      <c r="AC700" s="36"/>
      <c r="AD700" s="38"/>
      <c r="AE700" s="38"/>
    </row>
    <row r="701" spans="1:31" ht="20.25" customHeight="1">
      <c r="A701" s="13">
        <v>42928</v>
      </c>
      <c r="B701" s="53">
        <v>2</v>
      </c>
      <c r="C701" s="3" t="s">
        <v>223</v>
      </c>
      <c r="D701" s="3" t="s">
        <v>224</v>
      </c>
      <c r="E701" s="3" t="s">
        <v>225</v>
      </c>
      <c r="F701" s="3" t="s">
        <v>226</v>
      </c>
      <c r="G701" s="3" t="s">
        <v>235</v>
      </c>
      <c r="H701" s="3" t="s">
        <v>236</v>
      </c>
      <c r="I701" s="3"/>
      <c r="J701" s="36">
        <v>1</v>
      </c>
      <c r="K701" s="3" t="s">
        <v>229</v>
      </c>
      <c r="L701" s="36" t="s">
        <v>236</v>
      </c>
      <c r="M701" s="3">
        <v>656</v>
      </c>
      <c r="N701" s="3">
        <f t="shared" si="129"/>
        <v>0.1524390243902439</v>
      </c>
      <c r="O701" s="36">
        <v>8637.078927956738</v>
      </c>
      <c r="P701" s="8">
        <f t="shared" si="128"/>
        <v>13.166278853592589</v>
      </c>
      <c r="Q701" s="36">
        <v>8645.8529145990997</v>
      </c>
      <c r="R701" s="40">
        <f t="shared" si="130"/>
        <v>0.15228432618094218</v>
      </c>
      <c r="S701" s="109"/>
      <c r="T701" s="36">
        <v>250</v>
      </c>
      <c r="U701" s="3"/>
      <c r="V701" s="3"/>
      <c r="W701" s="3"/>
      <c r="X701" s="67"/>
      <c r="Y701" s="37">
        <f t="shared" si="116"/>
        <v>1.5228432618094217E-3</v>
      </c>
      <c r="Z701" s="37">
        <f t="shared" si="123"/>
        <v>-6.4871761244758215</v>
      </c>
      <c r="AA701" s="149">
        <f t="shared" si="124"/>
        <v>-9.8789524493289628E-3</v>
      </c>
      <c r="AB701" s="36"/>
      <c r="AC701" s="36"/>
      <c r="AD701" s="38"/>
      <c r="AE701" s="38"/>
    </row>
    <row r="702" spans="1:31" ht="20.25" customHeight="1">
      <c r="A702" s="13">
        <v>42928</v>
      </c>
      <c r="B702" s="53">
        <v>2</v>
      </c>
      <c r="C702" s="36" t="s">
        <v>223</v>
      </c>
      <c r="D702" s="36" t="s">
        <v>224</v>
      </c>
      <c r="E702" s="36" t="s">
        <v>225</v>
      </c>
      <c r="F702" s="36" t="s">
        <v>226</v>
      </c>
      <c r="G702" s="36" t="s">
        <v>239</v>
      </c>
      <c r="H702" s="36" t="s">
        <v>240</v>
      </c>
      <c r="I702" s="3"/>
      <c r="J702" s="36">
        <v>291</v>
      </c>
      <c r="K702" s="3" t="s">
        <v>229</v>
      </c>
      <c r="L702" s="36" t="s">
        <v>240</v>
      </c>
      <c r="M702" s="3">
        <v>656</v>
      </c>
      <c r="N702" s="3">
        <f t="shared" si="129"/>
        <v>44.359756097560975</v>
      </c>
      <c r="O702" s="36">
        <v>8637.0789279567398</v>
      </c>
      <c r="P702" s="8">
        <f t="shared" si="128"/>
        <v>3831.3871463954442</v>
      </c>
      <c r="Q702" s="36">
        <v>8645.8529145990997</v>
      </c>
      <c r="R702" s="40">
        <f t="shared" si="130"/>
        <v>44.314738918654186</v>
      </c>
      <c r="S702" s="109"/>
      <c r="T702" s="36">
        <v>250</v>
      </c>
      <c r="U702" s="3"/>
      <c r="V702" s="3"/>
      <c r="W702" s="3"/>
      <c r="X702" s="67"/>
      <c r="Y702" s="37">
        <f t="shared" si="116"/>
        <v>0.44314738918654184</v>
      </c>
      <c r="Z702" s="37">
        <f t="shared" si="123"/>
        <v>-0.81385285730432821</v>
      </c>
      <c r="AA702" s="149">
        <f t="shared" si="124"/>
        <v>-0.36065676889642023</v>
      </c>
      <c r="AB702" s="36"/>
      <c r="AC702" s="36"/>
      <c r="AD702" s="38"/>
      <c r="AE702" s="38"/>
    </row>
    <row r="703" spans="1:31" ht="20.25" customHeight="1">
      <c r="A703" s="13">
        <v>42928</v>
      </c>
      <c r="B703" s="53">
        <v>2</v>
      </c>
      <c r="C703" s="65" t="s">
        <v>223</v>
      </c>
      <c r="D703" s="65" t="s">
        <v>224</v>
      </c>
      <c r="E703" s="65" t="s">
        <v>225</v>
      </c>
      <c r="F703" s="65" t="s">
        <v>226</v>
      </c>
      <c r="G703" s="65" t="s">
        <v>253</v>
      </c>
      <c r="H703" s="36" t="s">
        <v>256</v>
      </c>
      <c r="I703" s="3"/>
      <c r="J703" s="36">
        <v>2</v>
      </c>
      <c r="K703" s="3" t="s">
        <v>229</v>
      </c>
      <c r="L703" s="36" t="s">
        <v>256</v>
      </c>
      <c r="M703" s="3">
        <v>656</v>
      </c>
      <c r="N703" s="3">
        <f t="shared" si="129"/>
        <v>0.3048780487804878</v>
      </c>
      <c r="O703" s="36">
        <v>8637.0789279567398</v>
      </c>
      <c r="P703" s="8">
        <f t="shared" si="128"/>
        <v>26.332557707185185</v>
      </c>
      <c r="Q703" s="36">
        <v>8645.8529145990997</v>
      </c>
      <c r="R703" s="40">
        <f t="shared" si="130"/>
        <v>0.30456865236188441</v>
      </c>
      <c r="S703" s="109"/>
      <c r="T703" s="36">
        <v>250</v>
      </c>
      <c r="U703" s="3"/>
      <c r="V703" s="3"/>
      <c r="W703" s="3"/>
      <c r="X703" s="67"/>
      <c r="Y703" s="37">
        <f t="shared" si="116"/>
        <v>3.0456865236188442E-3</v>
      </c>
      <c r="Z703" s="37">
        <f t="shared" si="123"/>
        <v>-5.7940289439158752</v>
      </c>
      <c r="AA703" s="149">
        <f t="shared" si="124"/>
        <v>-1.7646795871942105E-2</v>
      </c>
      <c r="AB703" s="36"/>
      <c r="AC703" s="36"/>
      <c r="AD703" s="38"/>
      <c r="AE703" s="38"/>
    </row>
    <row r="704" spans="1:31" ht="20.25" customHeight="1">
      <c r="A704" s="13">
        <v>42928</v>
      </c>
      <c r="B704" s="53">
        <v>2</v>
      </c>
      <c r="C704" s="3" t="s">
        <v>223</v>
      </c>
      <c r="D704" s="3" t="s">
        <v>224</v>
      </c>
      <c r="E704" s="3" t="s">
        <v>225</v>
      </c>
      <c r="F704" s="3" t="s">
        <v>248</v>
      </c>
      <c r="G704" s="3" t="s">
        <v>359</v>
      </c>
      <c r="H704" s="3" t="s">
        <v>360</v>
      </c>
      <c r="I704" s="3" t="s">
        <v>361</v>
      </c>
      <c r="J704" s="3">
        <v>1</v>
      </c>
      <c r="K704" s="3" t="s">
        <v>247</v>
      </c>
      <c r="L704" s="3" t="s">
        <v>362</v>
      </c>
      <c r="M704" s="3">
        <v>656</v>
      </c>
      <c r="N704" s="3">
        <f t="shared" si="129"/>
        <v>0.1524390243902439</v>
      </c>
      <c r="O704" s="36">
        <v>8637.0789279567398</v>
      </c>
      <c r="P704" s="8">
        <f t="shared" si="128"/>
        <v>13.166278853592592</v>
      </c>
      <c r="Q704" s="36">
        <v>8645.8529145990997</v>
      </c>
      <c r="R704" s="40">
        <f t="shared" si="130"/>
        <v>0.1522843261809422</v>
      </c>
      <c r="S704" s="109"/>
      <c r="T704" s="36">
        <v>250</v>
      </c>
      <c r="U704" s="3"/>
      <c r="V704" s="3"/>
      <c r="W704" s="3"/>
      <c r="X704" s="67"/>
      <c r="Y704" s="37">
        <f t="shared" si="116"/>
        <v>1.5228432618094221E-3</v>
      </c>
      <c r="Z704" s="37">
        <f t="shared" si="123"/>
        <v>-6.4871761244758206</v>
      </c>
      <c r="AA704" s="149">
        <f t="shared" si="124"/>
        <v>-9.8789524493289645E-3</v>
      </c>
      <c r="AB704" s="36"/>
      <c r="AC704" s="36"/>
      <c r="AD704" s="38"/>
      <c r="AE704" s="38"/>
    </row>
    <row r="705" spans="1:31" ht="20.25" customHeight="1">
      <c r="A705" s="13">
        <v>42928</v>
      </c>
      <c r="B705" s="53">
        <v>2</v>
      </c>
      <c r="C705" s="36" t="s">
        <v>216</v>
      </c>
      <c r="D705" s="36" t="s">
        <v>217</v>
      </c>
      <c r="E705" s="36"/>
      <c r="F705" s="36"/>
      <c r="G705" s="36"/>
      <c r="H705" s="36"/>
      <c r="I705" s="36"/>
      <c r="J705" s="36">
        <v>3</v>
      </c>
      <c r="K705" s="36" t="s">
        <v>221</v>
      </c>
      <c r="L705" s="36" t="s">
        <v>219</v>
      </c>
      <c r="M705" s="3">
        <v>656</v>
      </c>
      <c r="N705" s="3">
        <f t="shared" si="129"/>
        <v>0.45731707317073167</v>
      </c>
      <c r="O705" s="36">
        <v>8637.0789279567398</v>
      </c>
      <c r="P705" s="8">
        <f t="shared" si="128"/>
        <v>39.498836560777768</v>
      </c>
      <c r="Q705" s="36">
        <v>8645.8529145990997</v>
      </c>
      <c r="R705" s="40">
        <f t="shared" si="130"/>
        <v>0.45685297854282658</v>
      </c>
      <c r="S705" s="109"/>
      <c r="T705" s="36">
        <v>250</v>
      </c>
      <c r="U705" s="3"/>
      <c r="V705" s="3"/>
      <c r="W705" s="3"/>
      <c r="X705" s="67"/>
      <c r="Y705" s="37">
        <f t="shared" ref="Y705:Y771" si="132">(R705/100)</f>
        <v>4.5685297854282658E-3</v>
      </c>
      <c r="Z705" s="37">
        <f t="shared" si="123"/>
        <v>-5.3885638358077115</v>
      </c>
      <c r="AA705" s="149">
        <f t="shared" si="124"/>
        <v>-2.4617814384569118E-2</v>
      </c>
      <c r="AB705" s="36"/>
      <c r="AC705" s="36"/>
      <c r="AD705" s="38"/>
      <c r="AE705" s="38"/>
    </row>
    <row r="706" spans="1:31" ht="20.25" customHeight="1">
      <c r="A706" s="13">
        <v>42928</v>
      </c>
      <c r="B706" s="53">
        <v>2</v>
      </c>
      <c r="C706" s="36" t="s">
        <v>223</v>
      </c>
      <c r="D706" s="36" t="s">
        <v>303</v>
      </c>
      <c r="E706" s="36" t="s">
        <v>304</v>
      </c>
      <c r="F706" s="36" t="s">
        <v>305</v>
      </c>
      <c r="G706" s="36" t="s">
        <v>306</v>
      </c>
      <c r="H706" s="36" t="s">
        <v>307</v>
      </c>
      <c r="I706" s="36"/>
      <c r="J706" s="36">
        <v>1</v>
      </c>
      <c r="K706" s="3" t="s">
        <v>229</v>
      </c>
      <c r="L706" s="3" t="s">
        <v>307</v>
      </c>
      <c r="M706" s="3">
        <v>656</v>
      </c>
      <c r="N706" s="3">
        <f t="shared" si="129"/>
        <v>0.1524390243902439</v>
      </c>
      <c r="O706" s="36">
        <v>8637.0789279567398</v>
      </c>
      <c r="P706" s="8">
        <f t="shared" si="128"/>
        <v>13.166278853592592</v>
      </c>
      <c r="Q706" s="36">
        <v>8645.8529145990997</v>
      </c>
      <c r="R706" s="40">
        <f t="shared" si="130"/>
        <v>0.1522843261809422</v>
      </c>
      <c r="S706" s="109"/>
      <c r="T706" s="36">
        <v>250</v>
      </c>
      <c r="U706" s="3" t="s">
        <v>309</v>
      </c>
      <c r="V706" s="3"/>
      <c r="W706" s="3"/>
      <c r="X706" s="67"/>
      <c r="Y706" s="37">
        <f t="shared" si="132"/>
        <v>1.5228432618094221E-3</v>
      </c>
      <c r="Z706" s="37">
        <f t="shared" si="123"/>
        <v>-6.4871761244758206</v>
      </c>
      <c r="AA706" s="149">
        <f t="shared" si="124"/>
        <v>-9.8789524493289645E-3</v>
      </c>
      <c r="AB706" s="36"/>
      <c r="AC706" s="36"/>
      <c r="AD706" s="38"/>
      <c r="AE706" s="38"/>
    </row>
    <row r="707" spans="1:31" ht="20.25" customHeight="1">
      <c r="A707" s="13">
        <v>42928</v>
      </c>
      <c r="B707" s="53">
        <v>2</v>
      </c>
      <c r="C707" s="65" t="s">
        <v>223</v>
      </c>
      <c r="D707" s="65" t="s">
        <v>224</v>
      </c>
      <c r="E707" s="65" t="s">
        <v>225</v>
      </c>
      <c r="F707" s="65" t="s">
        <v>226</v>
      </c>
      <c r="G707" s="65" t="s">
        <v>261</v>
      </c>
      <c r="H707" s="36" t="s">
        <v>262</v>
      </c>
      <c r="I707" s="36"/>
      <c r="J707" s="36">
        <v>2</v>
      </c>
      <c r="K707" s="3" t="s">
        <v>229</v>
      </c>
      <c r="L707" s="36" t="s">
        <v>264</v>
      </c>
      <c r="M707" s="3">
        <v>656</v>
      </c>
      <c r="N707" s="3">
        <f t="shared" si="129"/>
        <v>0.3048780487804878</v>
      </c>
      <c r="O707" s="36">
        <v>8637.0789279567398</v>
      </c>
      <c r="P707" s="8">
        <f t="shared" si="128"/>
        <v>26.332557707185185</v>
      </c>
      <c r="Q707" s="36">
        <v>8645.8529145990997</v>
      </c>
      <c r="R707" s="40">
        <f t="shared" si="130"/>
        <v>0.30456865236188441</v>
      </c>
      <c r="S707" s="109"/>
      <c r="T707" s="36">
        <v>250</v>
      </c>
      <c r="U707" s="3"/>
      <c r="V707" s="3"/>
      <c r="W707" s="3"/>
      <c r="X707" s="67"/>
      <c r="Y707" s="37">
        <f t="shared" si="132"/>
        <v>3.0456865236188442E-3</v>
      </c>
      <c r="Z707" s="37">
        <f t="shared" si="123"/>
        <v>-5.7940289439158752</v>
      </c>
      <c r="AA707" s="149">
        <f t="shared" si="124"/>
        <v>-1.7646795871942105E-2</v>
      </c>
      <c r="AB707" s="36"/>
      <c r="AC707" s="36"/>
      <c r="AD707" s="38"/>
      <c r="AE707" s="38"/>
    </row>
    <row r="708" spans="1:31" ht="20.25" customHeight="1">
      <c r="A708" s="13">
        <v>42928</v>
      </c>
      <c r="B708" s="53">
        <v>2</v>
      </c>
      <c r="C708" s="36" t="s">
        <v>223</v>
      </c>
      <c r="D708" s="36" t="s">
        <v>303</v>
      </c>
      <c r="E708" s="36" t="s">
        <v>304</v>
      </c>
      <c r="F708" s="36" t="s">
        <v>305</v>
      </c>
      <c r="G708" s="36" t="s">
        <v>306</v>
      </c>
      <c r="H708" s="36" t="s">
        <v>307</v>
      </c>
      <c r="I708" s="36"/>
      <c r="J708" s="36">
        <v>8</v>
      </c>
      <c r="K708" s="3" t="s">
        <v>229</v>
      </c>
      <c r="L708" s="3" t="s">
        <v>307</v>
      </c>
      <c r="M708" s="3">
        <v>656</v>
      </c>
      <c r="N708" s="3">
        <f t="shared" si="129"/>
        <v>1.2195121951219512</v>
      </c>
      <c r="O708" s="36">
        <v>8637.0789279567398</v>
      </c>
      <c r="P708" s="8">
        <f t="shared" si="128"/>
        <v>105.33023082874074</v>
      </c>
      <c r="Q708" s="36">
        <v>8645.8529145990997</v>
      </c>
      <c r="R708" s="40">
        <f t="shared" si="130"/>
        <v>1.2182746094475376</v>
      </c>
      <c r="S708" s="109"/>
      <c r="T708" s="36">
        <v>250</v>
      </c>
      <c r="U708" s="3" t="s">
        <v>308</v>
      </c>
      <c r="V708" s="3"/>
      <c r="W708" s="3"/>
      <c r="X708" s="67"/>
      <c r="Y708" s="37">
        <f t="shared" si="132"/>
        <v>1.2182746094475377E-2</v>
      </c>
      <c r="Z708" s="37">
        <f t="shared" si="123"/>
        <v>-4.4077345827959853</v>
      </c>
      <c r="AA708" s="149">
        <f t="shared" si="124"/>
        <v>-5.3698311274041843E-2</v>
      </c>
      <c r="AB708" s="36"/>
      <c r="AC708" s="36"/>
      <c r="AD708" s="38"/>
      <c r="AE708" s="38"/>
    </row>
    <row r="709" spans="1:31" ht="20.25" customHeight="1">
      <c r="A709" s="13">
        <v>42928</v>
      </c>
      <c r="B709" s="53">
        <v>4</v>
      </c>
      <c r="C709" s="36" t="s">
        <v>223</v>
      </c>
      <c r="D709" s="36" t="s">
        <v>267</v>
      </c>
      <c r="E709" s="36" t="s">
        <v>278</v>
      </c>
      <c r="F709" s="36" t="s">
        <v>279</v>
      </c>
      <c r="G709" s="36" t="s">
        <v>280</v>
      </c>
      <c r="H709" s="36" t="s">
        <v>284</v>
      </c>
      <c r="I709" s="36" t="s">
        <v>285</v>
      </c>
      <c r="J709" s="36">
        <v>88</v>
      </c>
      <c r="K709" s="36" t="s">
        <v>247</v>
      </c>
      <c r="L709" s="36" t="s">
        <v>24</v>
      </c>
      <c r="M709" s="3">
        <v>92</v>
      </c>
      <c r="N709" s="3">
        <f t="shared" si="129"/>
        <v>95.652173913043484</v>
      </c>
      <c r="O709" s="36">
        <v>10.136921901627785</v>
      </c>
      <c r="P709" s="8">
        <f t="shared" si="128"/>
        <v>9.6961861667744031</v>
      </c>
      <c r="Q709" s="36">
        <v>2527.0860744440006</v>
      </c>
      <c r="R709" s="40">
        <f t="shared" si="130"/>
        <v>0.38369038019046181</v>
      </c>
      <c r="S709" s="109"/>
      <c r="T709" s="36">
        <v>1000</v>
      </c>
      <c r="U709" s="3"/>
      <c r="V709" s="3"/>
      <c r="W709" s="3"/>
      <c r="X709" s="67"/>
      <c r="Y709" s="37">
        <f t="shared" si="132"/>
        <v>3.8369038019046182E-3</v>
      </c>
      <c r="Z709" s="37">
        <f t="shared" si="123"/>
        <v>-5.5630895392058024</v>
      </c>
      <c r="AA709" s="149">
        <f t="shared" si="124"/>
        <v>-2.1345039403314555E-2</v>
      </c>
      <c r="AB709" s="36">
        <f>SUM(AA709:AA725)*(-1)</f>
        <v>1.6711972602225176</v>
      </c>
      <c r="AC709" s="36">
        <v>16</v>
      </c>
      <c r="AD709" s="98">
        <f t="shared" ref="AD709" si="133">LN(AC709)</f>
        <v>2.7725887222397811</v>
      </c>
      <c r="AE709" s="98">
        <f>(AB709/AD709)</f>
        <v>0.60275699991756215</v>
      </c>
    </row>
    <row r="710" spans="1:31" ht="20.25" customHeight="1">
      <c r="A710" s="13">
        <v>42928</v>
      </c>
      <c r="B710" s="53">
        <v>4</v>
      </c>
      <c r="C710" s="36" t="s">
        <v>223</v>
      </c>
      <c r="D710" s="36" t="s">
        <v>267</v>
      </c>
      <c r="E710" s="36"/>
      <c r="F710" s="36" t="s">
        <v>273</v>
      </c>
      <c r="G710" s="36" t="s">
        <v>274</v>
      </c>
      <c r="H710" s="36" t="s">
        <v>275</v>
      </c>
      <c r="I710" s="36" t="s">
        <v>276</v>
      </c>
      <c r="J710" s="36">
        <v>4</v>
      </c>
      <c r="K710" s="36" t="s">
        <v>247</v>
      </c>
      <c r="L710" s="36" t="s">
        <v>275</v>
      </c>
      <c r="M710" s="3">
        <v>92</v>
      </c>
      <c r="N710" s="3">
        <f t="shared" si="129"/>
        <v>4.3478260869565215</v>
      </c>
      <c r="O710" s="36">
        <v>10.136921901627785</v>
      </c>
      <c r="P710" s="8">
        <f t="shared" si="128"/>
        <v>0.44073573485338197</v>
      </c>
      <c r="Q710" s="36">
        <v>2527.0860744440006</v>
      </c>
      <c r="R710" s="40">
        <f t="shared" si="130"/>
        <v>1.7440471826839176E-2</v>
      </c>
      <c r="S710" s="109"/>
      <c r="T710" s="36">
        <v>1000</v>
      </c>
      <c r="U710" s="3"/>
      <c r="V710" s="3"/>
      <c r="W710" s="3"/>
      <c r="X710" s="67"/>
      <c r="Y710" s="37">
        <f t="shared" si="132"/>
        <v>1.7440471826839175E-4</v>
      </c>
      <c r="Z710" s="37">
        <f t="shared" si="123"/>
        <v>-8.6541319925641194</v>
      </c>
      <c r="AA710" s="149">
        <f t="shared" si="124"/>
        <v>-1.5093214520206209E-3</v>
      </c>
      <c r="AB710" s="36"/>
      <c r="AC710" s="36"/>
      <c r="AD710" s="38"/>
      <c r="AE710" s="38"/>
    </row>
    <row r="711" spans="1:31" ht="20.25" customHeight="1">
      <c r="A711" s="13">
        <v>42928</v>
      </c>
      <c r="B711" s="53">
        <v>4</v>
      </c>
      <c r="C711" s="3" t="s">
        <v>223</v>
      </c>
      <c r="D711" s="3" t="s">
        <v>224</v>
      </c>
      <c r="E711" s="3" t="s">
        <v>225</v>
      </c>
      <c r="F711" s="3" t="s">
        <v>226</v>
      </c>
      <c r="G711" s="3" t="s">
        <v>227</v>
      </c>
      <c r="H711" s="3" t="s">
        <v>228</v>
      </c>
      <c r="I711" s="3"/>
      <c r="J711" s="36">
        <v>35</v>
      </c>
      <c r="K711" s="3" t="s">
        <v>229</v>
      </c>
      <c r="L711" s="36" t="s">
        <v>228</v>
      </c>
      <c r="M711" s="3">
        <v>225</v>
      </c>
      <c r="N711" s="3">
        <f t="shared" si="129"/>
        <v>15.555555555555555</v>
      </c>
      <c r="O711" s="36">
        <v>2516.9491525423728</v>
      </c>
      <c r="P711" s="8">
        <f t="shared" si="128"/>
        <v>391.52542372881356</v>
      </c>
      <c r="Q711" s="36">
        <v>2527.0860744440001</v>
      </c>
      <c r="R711" s="40">
        <f t="shared" si="130"/>
        <v>15.493157423019536</v>
      </c>
      <c r="S711" s="109"/>
      <c r="T711" s="36">
        <v>250</v>
      </c>
      <c r="U711" s="3"/>
      <c r="V711" s="3"/>
      <c r="W711" s="3"/>
      <c r="X711" s="67"/>
      <c r="Y711" s="37">
        <f t="shared" si="132"/>
        <v>0.15493157423019535</v>
      </c>
      <c r="Z711" s="37">
        <f t="shared" si="123"/>
        <v>-1.864771716112918</v>
      </c>
      <c r="AA711" s="149">
        <f t="shared" si="124"/>
        <v>-0.28891201755731732</v>
      </c>
      <c r="AB711" s="36"/>
      <c r="AC711" s="36"/>
      <c r="AD711" s="38"/>
      <c r="AE711" s="38"/>
    </row>
    <row r="712" spans="1:31" ht="20.25" customHeight="1">
      <c r="A712" s="13">
        <v>42928</v>
      </c>
      <c r="B712" s="53">
        <v>4</v>
      </c>
      <c r="C712" s="53" t="s">
        <v>223</v>
      </c>
      <c r="D712" s="53" t="s">
        <v>224</v>
      </c>
      <c r="E712" s="53" t="s">
        <v>225</v>
      </c>
      <c r="F712" s="53" t="s">
        <v>226</v>
      </c>
      <c r="G712" s="53" t="s">
        <v>239</v>
      </c>
      <c r="H712" s="36" t="s">
        <v>240</v>
      </c>
      <c r="I712" s="3"/>
      <c r="J712" s="36">
        <v>118</v>
      </c>
      <c r="K712" s="3" t="s">
        <v>229</v>
      </c>
      <c r="L712" s="36" t="s">
        <v>240</v>
      </c>
      <c r="M712" s="3">
        <v>225</v>
      </c>
      <c r="N712" s="3">
        <f t="shared" si="129"/>
        <v>52.44444444444445</v>
      </c>
      <c r="O712" s="36">
        <v>2516.9491525423728</v>
      </c>
      <c r="P712" s="8">
        <f t="shared" si="128"/>
        <v>1320</v>
      </c>
      <c r="Q712" s="36">
        <v>2527.0860744440001</v>
      </c>
      <c r="R712" s="40">
        <f t="shared" si="130"/>
        <v>52.234073597608713</v>
      </c>
      <c r="S712" s="109"/>
      <c r="T712" s="36">
        <v>250</v>
      </c>
      <c r="U712" s="3"/>
      <c r="V712" s="3"/>
      <c r="W712" s="3"/>
      <c r="X712" s="67"/>
      <c r="Y712" s="37">
        <f t="shared" si="132"/>
        <v>0.5223407359760871</v>
      </c>
      <c r="Z712" s="37">
        <f t="shared" si="123"/>
        <v>-0.64943515313666722</v>
      </c>
      <c r="AA712" s="149">
        <f t="shared" si="124"/>
        <v>-0.3392264358581496</v>
      </c>
      <c r="AB712" s="36"/>
      <c r="AC712" s="36"/>
      <c r="AD712" s="38"/>
      <c r="AE712" s="38"/>
    </row>
    <row r="713" spans="1:31" customFormat="1" ht="20.25" customHeight="1">
      <c r="A713" s="13">
        <v>42928</v>
      </c>
      <c r="B713" s="53">
        <v>4</v>
      </c>
      <c r="C713" s="3" t="s">
        <v>223</v>
      </c>
      <c r="D713" s="3" t="s">
        <v>224</v>
      </c>
      <c r="E713" s="3" t="s">
        <v>225</v>
      </c>
      <c r="F713" s="3" t="s">
        <v>226</v>
      </c>
      <c r="G713" s="3" t="s">
        <v>235</v>
      </c>
      <c r="H713" s="3" t="s">
        <v>236</v>
      </c>
      <c r="I713" s="3"/>
      <c r="J713" s="36">
        <v>9</v>
      </c>
      <c r="K713" s="3" t="s">
        <v>229</v>
      </c>
      <c r="L713" s="36" t="s">
        <v>236</v>
      </c>
      <c r="M713" s="3">
        <v>225</v>
      </c>
      <c r="N713" s="3">
        <f t="shared" si="129"/>
        <v>4</v>
      </c>
      <c r="O713" s="36">
        <v>2516.94915254237</v>
      </c>
      <c r="P713" s="8">
        <f t="shared" si="128"/>
        <v>100.67796610169481</v>
      </c>
      <c r="Q713" s="36">
        <v>2527.0860744440001</v>
      </c>
      <c r="R713" s="40">
        <f t="shared" si="130"/>
        <v>3.9839547659193042</v>
      </c>
      <c r="S713" s="109"/>
      <c r="T713" s="36">
        <v>250</v>
      </c>
      <c r="U713" s="3"/>
      <c r="V713" s="3"/>
      <c r="W713" s="3"/>
      <c r="X713" s="3"/>
      <c r="Y713" s="37">
        <f t="shared" si="132"/>
        <v>3.9839547659193043E-2</v>
      </c>
      <c r="Z713" s="37">
        <f t="shared" si="123"/>
        <v>-3.2228952002661138</v>
      </c>
      <c r="AA713" s="149">
        <f t="shared" si="124"/>
        <v>-0.12839868693158635</v>
      </c>
      <c r="AB713" s="3"/>
      <c r="AC713" s="3"/>
    </row>
    <row r="714" spans="1:31" customFormat="1" ht="20.25" customHeight="1">
      <c r="A714" s="13">
        <v>42928</v>
      </c>
      <c r="B714" s="53">
        <v>4</v>
      </c>
      <c r="C714" s="36" t="s">
        <v>223</v>
      </c>
      <c r="D714" s="36" t="s">
        <v>224</v>
      </c>
      <c r="E714" s="36" t="s">
        <v>225</v>
      </c>
      <c r="F714" s="36" t="s">
        <v>226</v>
      </c>
      <c r="G714" s="36" t="s">
        <v>253</v>
      </c>
      <c r="H714" s="36" t="s">
        <v>256</v>
      </c>
      <c r="I714" s="3"/>
      <c r="J714" s="36">
        <v>22</v>
      </c>
      <c r="K714" s="3" t="s">
        <v>229</v>
      </c>
      <c r="L714" s="36" t="s">
        <v>256</v>
      </c>
      <c r="M714" s="3">
        <v>225</v>
      </c>
      <c r="N714" s="3">
        <f t="shared" si="129"/>
        <v>9.7777777777777786</v>
      </c>
      <c r="O714" s="36">
        <v>2516.94915254237</v>
      </c>
      <c r="P714" s="8">
        <f t="shared" si="128"/>
        <v>246.10169491525397</v>
      </c>
      <c r="Q714" s="36">
        <v>2527.0860744440001</v>
      </c>
      <c r="R714" s="40">
        <f t="shared" si="130"/>
        <v>9.738556094469411</v>
      </c>
      <c r="S714" s="109"/>
      <c r="T714" s="36">
        <v>250</v>
      </c>
      <c r="U714" s="3"/>
      <c r="V714" s="3"/>
      <c r="W714" s="3"/>
      <c r="X714" s="3"/>
      <c r="Y714" s="37">
        <f t="shared" si="132"/>
        <v>9.7385560944694111E-2</v>
      </c>
      <c r="Z714" s="37">
        <f t="shared" si="123"/>
        <v>-2.3290773242440173</v>
      </c>
      <c r="AA714" s="149">
        <f t="shared" si="124"/>
        <v>-0.22681850170507084</v>
      </c>
      <c r="AB714" s="3"/>
      <c r="AC714" s="3"/>
    </row>
    <row r="715" spans="1:31" customFormat="1" ht="20.25" customHeight="1">
      <c r="A715" s="13">
        <v>42928</v>
      </c>
      <c r="B715" s="53">
        <v>4</v>
      </c>
      <c r="C715" s="36" t="s">
        <v>223</v>
      </c>
      <c r="D715" s="36" t="s">
        <v>303</v>
      </c>
      <c r="E715" s="36" t="s">
        <v>304</v>
      </c>
      <c r="F715" s="36" t="s">
        <v>305</v>
      </c>
      <c r="G715" s="36" t="s">
        <v>306</v>
      </c>
      <c r="H715" s="36" t="s">
        <v>307</v>
      </c>
      <c r="I715" s="36"/>
      <c r="J715" s="36">
        <v>16</v>
      </c>
      <c r="K715" s="3" t="s">
        <v>229</v>
      </c>
      <c r="L715" s="3" t="s">
        <v>307</v>
      </c>
      <c r="M715" s="3">
        <v>225</v>
      </c>
      <c r="N715" s="3">
        <f t="shared" si="129"/>
        <v>7.1111111111111107</v>
      </c>
      <c r="O715" s="36">
        <v>2516.94915254237</v>
      </c>
      <c r="P715" s="8">
        <f t="shared" si="128"/>
        <v>178.98305084745743</v>
      </c>
      <c r="Q715" s="36">
        <v>2527.0860744440001</v>
      </c>
      <c r="R715" s="40">
        <f t="shared" si="130"/>
        <v>7.0825862505232084</v>
      </c>
      <c r="S715" s="109"/>
      <c r="T715" s="36">
        <v>250</v>
      </c>
      <c r="U715" s="3" t="s">
        <v>308</v>
      </c>
      <c r="V715" s="3"/>
      <c r="W715" s="3"/>
      <c r="X715" s="3"/>
      <c r="Y715" s="37">
        <f t="shared" si="132"/>
        <v>7.0825862505232082E-2</v>
      </c>
      <c r="Z715" s="37">
        <f t="shared" si="123"/>
        <v>-2.6475310553625517</v>
      </c>
      <c r="AA715" s="149">
        <f t="shared" si="124"/>
        <v>-0.18751367050544007</v>
      </c>
      <c r="AB715" s="3"/>
      <c r="AC715" s="3"/>
    </row>
    <row r="716" spans="1:31" customFormat="1" ht="20.25" customHeight="1">
      <c r="A716" s="13">
        <v>42928</v>
      </c>
      <c r="B716" s="53">
        <v>4</v>
      </c>
      <c r="C716" s="36" t="s">
        <v>223</v>
      </c>
      <c r="D716" s="36" t="s">
        <v>303</v>
      </c>
      <c r="E716" s="36" t="s">
        <v>304</v>
      </c>
      <c r="F716" s="36" t="s">
        <v>305</v>
      </c>
      <c r="G716" s="36" t="s">
        <v>306</v>
      </c>
      <c r="H716" s="36" t="s">
        <v>307</v>
      </c>
      <c r="I716" s="36"/>
      <c r="J716" s="36">
        <v>2</v>
      </c>
      <c r="K716" s="3" t="s">
        <v>229</v>
      </c>
      <c r="L716" s="3" t="s">
        <v>307</v>
      </c>
      <c r="M716" s="3">
        <v>225</v>
      </c>
      <c r="N716" s="3">
        <f t="shared" si="129"/>
        <v>0.88888888888888884</v>
      </c>
      <c r="O716" s="36">
        <v>2516.94915254237</v>
      </c>
      <c r="P716" s="8">
        <f t="shared" si="128"/>
        <v>22.372881355932179</v>
      </c>
      <c r="Q716" s="36">
        <v>2527.0860744440001</v>
      </c>
      <c r="R716" s="40">
        <f t="shared" si="130"/>
        <v>0.88532328131540106</v>
      </c>
      <c r="S716" s="109"/>
      <c r="T716" s="36">
        <v>250</v>
      </c>
      <c r="U716" s="3" t="s">
        <v>309</v>
      </c>
      <c r="V716" s="3"/>
      <c r="W716" s="3"/>
      <c r="X716" s="3"/>
      <c r="Y716" s="37">
        <f t="shared" si="132"/>
        <v>8.8532328131540102E-3</v>
      </c>
      <c r="Z716" s="37">
        <f t="shared" si="123"/>
        <v>-4.7269725970423879</v>
      </c>
      <c r="AA716" s="149">
        <f t="shared" si="124"/>
        <v>-4.1848988903015499E-2</v>
      </c>
      <c r="AB716" s="3"/>
      <c r="AC716" s="3"/>
    </row>
    <row r="717" spans="1:31" customFormat="1" ht="20.25" customHeight="1">
      <c r="A717" s="13">
        <v>42928</v>
      </c>
      <c r="B717" s="53">
        <v>4</v>
      </c>
      <c r="C717" s="65" t="s">
        <v>223</v>
      </c>
      <c r="D717" s="65" t="s">
        <v>224</v>
      </c>
      <c r="E717" s="65" t="s">
        <v>225</v>
      </c>
      <c r="F717" s="65" t="s">
        <v>226</v>
      </c>
      <c r="G717" s="65" t="s">
        <v>261</v>
      </c>
      <c r="H717" s="36" t="s">
        <v>262</v>
      </c>
      <c r="I717" s="36"/>
      <c r="J717" s="36">
        <v>5</v>
      </c>
      <c r="K717" s="3" t="s">
        <v>229</v>
      </c>
      <c r="L717" s="36" t="s">
        <v>264</v>
      </c>
      <c r="M717" s="3">
        <v>225</v>
      </c>
      <c r="N717" s="3">
        <f t="shared" si="129"/>
        <v>2.2222222222222223</v>
      </c>
      <c r="O717" s="36">
        <v>2516.94915254237</v>
      </c>
      <c r="P717" s="8">
        <f t="shared" si="128"/>
        <v>55.932203389830448</v>
      </c>
      <c r="Q717" s="36">
        <v>2527.0860744440001</v>
      </c>
      <c r="R717" s="40">
        <f t="shared" si="130"/>
        <v>2.2133082032885025</v>
      </c>
      <c r="S717" s="109"/>
      <c r="T717" s="36">
        <v>250</v>
      </c>
      <c r="U717" s="3"/>
      <c r="V717" s="3"/>
      <c r="W717" s="3"/>
      <c r="X717" s="3"/>
      <c r="Y717" s="37">
        <f t="shared" si="132"/>
        <v>2.2133082032885026E-2</v>
      </c>
      <c r="Z717" s="37">
        <f t="shared" si="123"/>
        <v>-3.8106818651682324</v>
      </c>
      <c r="AA717" s="149">
        <f t="shared" si="124"/>
        <v>-8.434213432299581E-2</v>
      </c>
      <c r="AB717" s="3"/>
      <c r="AC717" s="3"/>
    </row>
    <row r="718" spans="1:31" customFormat="1" ht="20.25" customHeight="1">
      <c r="A718" s="13">
        <v>42928</v>
      </c>
      <c r="B718" s="53">
        <v>4</v>
      </c>
      <c r="C718" s="3" t="s">
        <v>223</v>
      </c>
      <c r="D718" s="3" t="s">
        <v>224</v>
      </c>
      <c r="E718" s="3" t="s">
        <v>225</v>
      </c>
      <c r="F718" s="3" t="s">
        <v>248</v>
      </c>
      <c r="G718" s="3" t="s">
        <v>249</v>
      </c>
      <c r="H718" s="3" t="s">
        <v>250</v>
      </c>
      <c r="I718" s="3"/>
      <c r="J718" s="3">
        <v>1</v>
      </c>
      <c r="K718" s="3" t="s">
        <v>229</v>
      </c>
      <c r="L718" s="3" t="s">
        <v>250</v>
      </c>
      <c r="M718" s="3">
        <v>225</v>
      </c>
      <c r="N718" s="3">
        <f t="shared" si="129"/>
        <v>0.44444444444444442</v>
      </c>
      <c r="O718" s="36">
        <v>2516.94915254237</v>
      </c>
      <c r="P718" s="8">
        <f t="shared" si="128"/>
        <v>11.18644067796609</v>
      </c>
      <c r="Q718" s="36">
        <v>2527.0860744440001</v>
      </c>
      <c r="R718" s="40">
        <f t="shared" si="130"/>
        <v>0.44266164065770053</v>
      </c>
      <c r="S718" s="109"/>
      <c r="T718" s="36">
        <v>250</v>
      </c>
      <c r="U718" s="3"/>
      <c r="V718" s="3"/>
      <c r="W718" s="3"/>
      <c r="X718" s="3"/>
      <c r="Y718" s="37">
        <f t="shared" si="132"/>
        <v>4.4266164065770051E-3</v>
      </c>
      <c r="Z718" s="37">
        <f t="shared" si="123"/>
        <v>-5.4201197776023333</v>
      </c>
      <c r="AA718" s="149">
        <f t="shared" si="124"/>
        <v>-2.3992791133146996E-2</v>
      </c>
      <c r="AB718" s="3"/>
      <c r="AC718" s="3"/>
    </row>
    <row r="719" spans="1:31" customFormat="1" ht="20.25" customHeight="1">
      <c r="A719" s="13">
        <v>42928</v>
      </c>
      <c r="B719" s="53">
        <v>4</v>
      </c>
      <c r="C719" s="51" t="s">
        <v>223</v>
      </c>
      <c r="D719" s="51" t="s">
        <v>224</v>
      </c>
      <c r="E719" s="51" t="s">
        <v>225</v>
      </c>
      <c r="F719" s="51" t="s">
        <v>226</v>
      </c>
      <c r="G719" s="51" t="s">
        <v>239</v>
      </c>
      <c r="H719" s="3" t="s">
        <v>258</v>
      </c>
      <c r="I719" s="3" t="s">
        <v>259</v>
      </c>
      <c r="J719" s="3">
        <v>1</v>
      </c>
      <c r="K719" s="3" t="s">
        <v>247</v>
      </c>
      <c r="L719" s="3" t="s">
        <v>260</v>
      </c>
      <c r="M719" s="3">
        <v>225</v>
      </c>
      <c r="N719" s="3">
        <f t="shared" si="129"/>
        <v>0.44444444444444442</v>
      </c>
      <c r="O719" s="36">
        <v>2516.94915254237</v>
      </c>
      <c r="P719" s="8">
        <f t="shared" si="128"/>
        <v>11.18644067796609</v>
      </c>
      <c r="Q719" s="65">
        <v>2527.0860744440001</v>
      </c>
      <c r="R719" s="40">
        <f t="shared" si="130"/>
        <v>0.44266164065770053</v>
      </c>
      <c r="S719" s="109"/>
      <c r="T719" s="36">
        <v>250</v>
      </c>
      <c r="U719" s="3"/>
      <c r="V719" s="3"/>
      <c r="W719" s="3"/>
      <c r="X719" s="3"/>
      <c r="Y719" s="37">
        <f t="shared" si="132"/>
        <v>4.4266164065770051E-3</v>
      </c>
      <c r="Z719" s="37">
        <f t="shared" si="123"/>
        <v>-5.4201197776023333</v>
      </c>
      <c r="AA719" s="149">
        <f t="shared" si="124"/>
        <v>-2.3992791133146996E-2</v>
      </c>
      <c r="AB719" s="3"/>
      <c r="AC719" s="3"/>
    </row>
    <row r="720" spans="1:31" customFormat="1" ht="20.25" customHeight="1">
      <c r="A720" s="13">
        <v>42928</v>
      </c>
      <c r="B720" s="53">
        <v>4</v>
      </c>
      <c r="C720" s="51" t="s">
        <v>223</v>
      </c>
      <c r="D720" s="51" t="s">
        <v>224</v>
      </c>
      <c r="E720" s="51" t="s">
        <v>225</v>
      </c>
      <c r="F720" s="51" t="s">
        <v>226</v>
      </c>
      <c r="G720" s="51" t="s">
        <v>355</v>
      </c>
      <c r="H720" s="3" t="s">
        <v>356</v>
      </c>
      <c r="I720" s="3"/>
      <c r="J720" s="3">
        <v>3</v>
      </c>
      <c r="K720" s="3" t="s">
        <v>229</v>
      </c>
      <c r="L720" s="3" t="s">
        <v>356</v>
      </c>
      <c r="M720" s="3">
        <v>225</v>
      </c>
      <c r="N720" s="3">
        <f t="shared" si="129"/>
        <v>1.3333333333333335</v>
      </c>
      <c r="O720" s="36">
        <v>2516.94915254237</v>
      </c>
      <c r="P720" s="8">
        <f t="shared" ref="P720:P751" si="134">(N720/100)*O720</f>
        <v>33.559322033898269</v>
      </c>
      <c r="Q720" s="65">
        <v>2527.0860744440001</v>
      </c>
      <c r="R720" s="40">
        <f t="shared" si="130"/>
        <v>1.3279849219731015</v>
      </c>
      <c r="S720" s="109"/>
      <c r="T720" s="36">
        <v>250</v>
      </c>
      <c r="U720" s="3"/>
      <c r="V720" s="3"/>
      <c r="W720" s="3"/>
      <c r="X720" s="3"/>
      <c r="Y720" s="37">
        <f t="shared" si="132"/>
        <v>1.3279849219731014E-2</v>
      </c>
      <c r="Z720" s="37">
        <f t="shared" ref="Z720:Z786" si="135">LN(Y720)</f>
        <v>-4.3215074889342233</v>
      </c>
      <c r="AA720" s="149">
        <f t="shared" ref="AA720:AA786" si="136">(Y720*Z720)</f>
        <v>-5.7388967854984881E-2</v>
      </c>
      <c r="AB720" s="3"/>
      <c r="AC720" s="3"/>
    </row>
    <row r="721" spans="1:32" customFormat="1" ht="20.25" customHeight="1">
      <c r="A721" s="13">
        <v>42928</v>
      </c>
      <c r="B721" s="53">
        <v>4</v>
      </c>
      <c r="C721" s="36" t="s">
        <v>223</v>
      </c>
      <c r="D721" s="36" t="s">
        <v>224</v>
      </c>
      <c r="E721" s="36" t="s">
        <v>225</v>
      </c>
      <c r="F721" s="36" t="s">
        <v>226</v>
      </c>
      <c r="G721" s="54" t="s">
        <v>487</v>
      </c>
      <c r="H721" s="36" t="s">
        <v>486</v>
      </c>
      <c r="I721" s="3"/>
      <c r="J721" s="3">
        <v>1</v>
      </c>
      <c r="K721" s="3" t="s">
        <v>229</v>
      </c>
      <c r="L721" s="3" t="s">
        <v>488</v>
      </c>
      <c r="M721" s="3">
        <v>225</v>
      </c>
      <c r="N721" s="3">
        <f t="shared" ref="N721:N752" si="137">J721/M721*100</f>
        <v>0.44444444444444442</v>
      </c>
      <c r="O721" s="36">
        <v>2516.94915254237</v>
      </c>
      <c r="P721" s="8">
        <f t="shared" si="134"/>
        <v>11.18644067796609</v>
      </c>
      <c r="Q721" s="65">
        <v>2527.0860744440001</v>
      </c>
      <c r="R721" s="40">
        <f t="shared" si="130"/>
        <v>0.44266164065770053</v>
      </c>
      <c r="S721" s="109"/>
      <c r="T721" s="36">
        <v>250</v>
      </c>
      <c r="U721" s="3"/>
      <c r="V721" s="3"/>
      <c r="W721" s="3"/>
      <c r="X721" s="3"/>
      <c r="Y721" s="37">
        <f t="shared" si="132"/>
        <v>4.4266164065770051E-3</v>
      </c>
      <c r="Z721" s="37">
        <f t="shared" si="135"/>
        <v>-5.4201197776023333</v>
      </c>
      <c r="AA721" s="149">
        <f t="shared" si="136"/>
        <v>-2.3992791133146996E-2</v>
      </c>
      <c r="AB721" s="3"/>
      <c r="AC721" s="3"/>
    </row>
    <row r="722" spans="1:32" customFormat="1" ht="20.25" customHeight="1">
      <c r="A722" s="13">
        <v>42928</v>
      </c>
      <c r="B722" s="53">
        <v>4</v>
      </c>
      <c r="C722" s="3" t="s">
        <v>223</v>
      </c>
      <c r="D722" s="3" t="s">
        <v>224</v>
      </c>
      <c r="E722" s="3" t="s">
        <v>225</v>
      </c>
      <c r="F722" s="3" t="s">
        <v>226</v>
      </c>
      <c r="G722" s="3" t="s">
        <v>232</v>
      </c>
      <c r="H722" s="3" t="s">
        <v>233</v>
      </c>
      <c r="I722" s="3"/>
      <c r="J722" s="3">
        <v>2</v>
      </c>
      <c r="K722" s="3" t="s">
        <v>229</v>
      </c>
      <c r="L722" s="3" t="s">
        <v>233</v>
      </c>
      <c r="M722" s="3">
        <v>225</v>
      </c>
      <c r="N722" s="3">
        <f t="shared" si="137"/>
        <v>0.88888888888888884</v>
      </c>
      <c r="O722" s="36">
        <v>2516.94915254237</v>
      </c>
      <c r="P722" s="8">
        <f t="shared" si="134"/>
        <v>22.372881355932179</v>
      </c>
      <c r="Q722" s="65">
        <v>2527.0860744440001</v>
      </c>
      <c r="R722" s="40">
        <f t="shared" si="130"/>
        <v>0.88532328131540106</v>
      </c>
      <c r="S722" s="109"/>
      <c r="T722" s="36">
        <v>250</v>
      </c>
      <c r="U722" s="3"/>
      <c r="V722" s="3"/>
      <c r="W722" s="3"/>
      <c r="X722" s="3"/>
      <c r="Y722" s="37">
        <f t="shared" si="132"/>
        <v>8.8532328131540102E-3</v>
      </c>
      <c r="Z722" s="37">
        <f t="shared" si="135"/>
        <v>-4.7269725970423879</v>
      </c>
      <c r="AA722" s="149">
        <f t="shared" si="136"/>
        <v>-4.1848988903015499E-2</v>
      </c>
      <c r="AB722" s="3"/>
      <c r="AC722" s="3"/>
    </row>
    <row r="723" spans="1:32" customFormat="1" ht="20.25" customHeight="1">
      <c r="A723" s="13">
        <v>42928</v>
      </c>
      <c r="B723" s="53">
        <v>4</v>
      </c>
      <c r="C723" s="36" t="s">
        <v>216</v>
      </c>
      <c r="D723" s="36" t="s">
        <v>217</v>
      </c>
      <c r="E723" s="36"/>
      <c r="F723" s="36"/>
      <c r="G723" s="36"/>
      <c r="H723" s="36"/>
      <c r="I723" s="36"/>
      <c r="J723" s="36">
        <v>6</v>
      </c>
      <c r="K723" s="36" t="s">
        <v>221</v>
      </c>
      <c r="L723" s="36" t="s">
        <v>219</v>
      </c>
      <c r="M723" s="3">
        <v>225</v>
      </c>
      <c r="N723" s="3">
        <f t="shared" si="137"/>
        <v>2.666666666666667</v>
      </c>
      <c r="O723" s="36">
        <v>2516.94915254237</v>
      </c>
      <c r="P723" s="8">
        <f t="shared" si="134"/>
        <v>67.118644067796538</v>
      </c>
      <c r="Q723" s="65">
        <v>2527.0860744440001</v>
      </c>
      <c r="R723" s="40">
        <f t="shared" si="130"/>
        <v>2.6559698439462029</v>
      </c>
      <c r="S723" s="109"/>
      <c r="T723" s="36">
        <v>250</v>
      </c>
      <c r="U723" s="3"/>
      <c r="V723" s="3"/>
      <c r="W723" s="3"/>
      <c r="X723" s="3"/>
      <c r="Y723" s="37">
        <f t="shared" si="132"/>
        <v>2.6559698439462029E-2</v>
      </c>
      <c r="Z723" s="37">
        <f t="shared" si="135"/>
        <v>-3.6283603083742779</v>
      </c>
      <c r="AA723" s="149">
        <f t="shared" si="136"/>
        <v>-9.6368155620134274E-2</v>
      </c>
      <c r="AB723" s="3"/>
      <c r="AC723" s="3"/>
    </row>
    <row r="724" spans="1:32" customFormat="1" ht="20.25" customHeight="1">
      <c r="A724" s="13">
        <v>42928</v>
      </c>
      <c r="B724" s="53">
        <v>4</v>
      </c>
      <c r="C724" s="36" t="s">
        <v>223</v>
      </c>
      <c r="D724" s="36" t="s">
        <v>317</v>
      </c>
      <c r="E724" s="36" t="s">
        <v>314</v>
      </c>
      <c r="F724" s="36" t="s">
        <v>346</v>
      </c>
      <c r="G724" s="36" t="s">
        <v>315</v>
      </c>
      <c r="H724" s="36" t="s">
        <v>347</v>
      </c>
      <c r="I724" s="36"/>
      <c r="J724" s="3">
        <v>2</v>
      </c>
      <c r="K724" s="3" t="s">
        <v>229</v>
      </c>
      <c r="L724" s="36" t="s">
        <v>345</v>
      </c>
      <c r="M724" s="3">
        <v>225</v>
      </c>
      <c r="N724" s="3">
        <f t="shared" si="137"/>
        <v>0.88888888888888884</v>
      </c>
      <c r="O724" s="36">
        <v>2516.94915254237</v>
      </c>
      <c r="P724" s="8">
        <f t="shared" si="134"/>
        <v>22.372881355932179</v>
      </c>
      <c r="Q724" s="65">
        <v>2527.0860744440001</v>
      </c>
      <c r="R724" s="40">
        <f t="shared" si="130"/>
        <v>0.88532328131540106</v>
      </c>
      <c r="S724" s="109"/>
      <c r="T724" s="36">
        <v>250</v>
      </c>
      <c r="U724" s="3"/>
      <c r="V724" s="3"/>
      <c r="W724" s="3"/>
      <c r="X724" s="3"/>
      <c r="Y724" s="37">
        <f t="shared" si="132"/>
        <v>8.8532328131540102E-3</v>
      </c>
      <c r="Z724" s="37">
        <f t="shared" si="135"/>
        <v>-4.7269725970423879</v>
      </c>
      <c r="AA724" s="149">
        <f t="shared" si="136"/>
        <v>-4.1848988903015499E-2</v>
      </c>
      <c r="AB724" s="3"/>
      <c r="AC724" s="3"/>
    </row>
    <row r="725" spans="1:32" customFormat="1" ht="20.25" customHeight="1">
      <c r="A725" s="13">
        <v>42928</v>
      </c>
      <c r="B725" s="53">
        <v>4</v>
      </c>
      <c r="C725" s="3" t="s">
        <v>223</v>
      </c>
      <c r="D725" s="3" t="s">
        <v>224</v>
      </c>
      <c r="E725" s="3" t="s">
        <v>225</v>
      </c>
      <c r="F725" s="3" t="s">
        <v>243</v>
      </c>
      <c r="G725" s="3"/>
      <c r="H725" s="3"/>
      <c r="I725" s="3"/>
      <c r="J725" s="3">
        <v>2</v>
      </c>
      <c r="K725" s="3" t="s">
        <v>247</v>
      </c>
      <c r="L725" s="3" t="s">
        <v>357</v>
      </c>
      <c r="M725" s="3">
        <v>225</v>
      </c>
      <c r="N725" s="3">
        <f t="shared" si="137"/>
        <v>0.88888888888888884</v>
      </c>
      <c r="O725" s="36">
        <v>2516.94915254237</v>
      </c>
      <c r="P725" s="8">
        <f t="shared" si="134"/>
        <v>22.372881355932179</v>
      </c>
      <c r="Q725" s="65">
        <v>2527.0860744440001</v>
      </c>
      <c r="R725" s="40">
        <f t="shared" si="130"/>
        <v>0.88532328131540106</v>
      </c>
      <c r="S725" s="109"/>
      <c r="T725" s="36">
        <v>250</v>
      </c>
      <c r="U725" s="3" t="s">
        <v>658</v>
      </c>
      <c r="V725" s="3"/>
      <c r="W725" s="3"/>
      <c r="X725" s="3"/>
      <c r="Y725" s="37">
        <f t="shared" si="132"/>
        <v>8.8532328131540102E-3</v>
      </c>
      <c r="Z725" s="37">
        <f t="shared" si="135"/>
        <v>-4.7269725970423879</v>
      </c>
      <c r="AA725" s="149">
        <f t="shared" si="136"/>
        <v>-4.1848988903015499E-2</v>
      </c>
      <c r="AB725" s="3"/>
      <c r="AC725" s="3"/>
    </row>
    <row r="726" spans="1:32" customFormat="1" ht="20.25" customHeight="1">
      <c r="A726" s="13">
        <v>42928</v>
      </c>
      <c r="B726" s="53">
        <v>5</v>
      </c>
      <c r="C726" s="65" t="s">
        <v>209</v>
      </c>
      <c r="D726" s="65" t="s">
        <v>210</v>
      </c>
      <c r="E726" s="65"/>
      <c r="F726" s="65" t="s">
        <v>211</v>
      </c>
      <c r="G726" s="65" t="s">
        <v>212</v>
      </c>
      <c r="H726" s="36" t="s">
        <v>213</v>
      </c>
      <c r="I726" s="36" t="s">
        <v>214</v>
      </c>
      <c r="J726" s="36">
        <v>3</v>
      </c>
      <c r="K726" s="36" t="s">
        <v>247</v>
      </c>
      <c r="L726" s="36" t="s">
        <v>215</v>
      </c>
      <c r="M726" s="3">
        <v>6</v>
      </c>
      <c r="N726" s="3">
        <f t="shared" si="137"/>
        <v>50</v>
      </c>
      <c r="O726" s="36">
        <v>0.60710617781128096</v>
      </c>
      <c r="P726" s="8">
        <f t="shared" si="134"/>
        <v>0.30355308890564048</v>
      </c>
      <c r="Q726" s="36">
        <v>1385.3937481073103</v>
      </c>
      <c r="R726" s="40">
        <f t="shared" si="130"/>
        <v>2.1910961365340861E-2</v>
      </c>
      <c r="S726" s="109"/>
      <c r="T726" s="36">
        <v>1000</v>
      </c>
      <c r="U726" s="3"/>
      <c r="V726" s="3"/>
      <c r="W726" s="3"/>
      <c r="X726" s="3"/>
      <c r="Y726" s="37">
        <f t="shared" si="132"/>
        <v>2.1910961365340862E-4</v>
      </c>
      <c r="Z726" s="37">
        <f t="shared" si="135"/>
        <v>-8.4259384344002743</v>
      </c>
      <c r="AA726" s="149">
        <f t="shared" si="136"/>
        <v>-1.8462041150288508E-3</v>
      </c>
      <c r="AB726" s="3">
        <f>SUM(AA726:AA743)*(-1)</f>
        <v>2.0337569757750416</v>
      </c>
      <c r="AC726" s="3">
        <v>16</v>
      </c>
      <c r="AD726" s="98">
        <f t="shared" ref="AD726" si="138">LN(AC726)</f>
        <v>2.7725887222397811</v>
      </c>
      <c r="AE726" s="98">
        <f>(AB726/AD726)</f>
        <v>0.73352277583099701</v>
      </c>
      <c r="AF726" t="s">
        <v>702</v>
      </c>
    </row>
    <row r="727" spans="1:32" customFormat="1" ht="20.25" customHeight="1">
      <c r="A727" s="13">
        <v>42928</v>
      </c>
      <c r="B727" s="53">
        <v>5</v>
      </c>
      <c r="C727" s="65" t="s">
        <v>323</v>
      </c>
      <c r="D727" s="65" t="s">
        <v>324</v>
      </c>
      <c r="E727" s="65"/>
      <c r="F727" s="65" t="s">
        <v>325</v>
      </c>
      <c r="G727" s="65" t="s">
        <v>326</v>
      </c>
      <c r="H727" s="3"/>
      <c r="I727" s="3"/>
      <c r="J727" s="3">
        <v>2</v>
      </c>
      <c r="K727" s="36" t="s">
        <v>509</v>
      </c>
      <c r="L727" s="36" t="s">
        <v>327</v>
      </c>
      <c r="M727" s="3">
        <v>6</v>
      </c>
      <c r="N727" s="3">
        <f t="shared" si="137"/>
        <v>33.333333333333329</v>
      </c>
      <c r="O727" s="36">
        <v>0.60710617781128096</v>
      </c>
      <c r="P727" s="8">
        <f t="shared" si="134"/>
        <v>0.2023687259370936</v>
      </c>
      <c r="Q727" s="36">
        <v>1385.3937481073103</v>
      </c>
      <c r="R727" s="40">
        <f t="shared" si="130"/>
        <v>1.4607307576893904E-2</v>
      </c>
      <c r="S727" s="109"/>
      <c r="T727" s="36">
        <v>1000</v>
      </c>
      <c r="U727" s="3"/>
      <c r="V727" s="3"/>
      <c r="W727" s="3"/>
      <c r="X727" s="3"/>
      <c r="Y727" s="37">
        <f t="shared" si="132"/>
        <v>1.4607307576893904E-4</v>
      </c>
      <c r="Z727" s="37">
        <f t="shared" si="135"/>
        <v>-8.8314035425084381</v>
      </c>
      <c r="AA727" s="149">
        <f t="shared" si="136"/>
        <v>-1.2900302788109118E-3</v>
      </c>
      <c r="AB727" s="3"/>
      <c r="AC727" s="3"/>
    </row>
    <row r="728" spans="1:32" customFormat="1" ht="20.25" customHeight="1">
      <c r="A728" s="13">
        <v>42928</v>
      </c>
      <c r="B728" s="53">
        <v>5</v>
      </c>
      <c r="C728" s="36" t="s">
        <v>223</v>
      </c>
      <c r="D728" s="36" t="s">
        <v>267</v>
      </c>
      <c r="E728" s="36" t="s">
        <v>278</v>
      </c>
      <c r="F728" s="36" t="s">
        <v>279</v>
      </c>
      <c r="G728" s="36" t="s">
        <v>280</v>
      </c>
      <c r="H728" s="36" t="s">
        <v>284</v>
      </c>
      <c r="I728" s="36" t="s">
        <v>285</v>
      </c>
      <c r="J728" s="36">
        <v>1</v>
      </c>
      <c r="K728" s="36" t="s">
        <v>247</v>
      </c>
      <c r="L728" s="36" t="s">
        <v>24</v>
      </c>
      <c r="M728" s="3">
        <v>6</v>
      </c>
      <c r="N728" s="3">
        <f t="shared" si="137"/>
        <v>16.666666666666664</v>
      </c>
      <c r="O728" s="36">
        <v>0.60710617781128096</v>
      </c>
      <c r="P728" s="8">
        <f t="shared" si="134"/>
        <v>0.1011843629685468</v>
      </c>
      <c r="Q728" s="36">
        <v>1385.3937481073103</v>
      </c>
      <c r="R728" s="40">
        <f t="shared" si="130"/>
        <v>7.3036537884469521E-3</v>
      </c>
      <c r="S728" s="109"/>
      <c r="T728" s="36">
        <v>1000</v>
      </c>
      <c r="U728" s="3"/>
      <c r="V728" s="3"/>
      <c r="W728" s="3"/>
      <c r="X728" s="3"/>
      <c r="Y728" s="37">
        <f t="shared" si="132"/>
        <v>7.3036537884469519E-5</v>
      </c>
      <c r="Z728" s="37">
        <f t="shared" si="135"/>
        <v>-9.5245507230683835</v>
      </c>
      <c r="AA728" s="149">
        <f t="shared" si="136"/>
        <v>-6.9564020971793559E-4</v>
      </c>
      <c r="AB728" s="3"/>
      <c r="AC728" s="3"/>
    </row>
    <row r="729" spans="1:32" customFormat="1" ht="20.25" customHeight="1">
      <c r="A729" s="35">
        <v>42928</v>
      </c>
      <c r="B729" s="53">
        <v>5</v>
      </c>
      <c r="C729" s="36" t="s">
        <v>223</v>
      </c>
      <c r="D729" s="36" t="s">
        <v>224</v>
      </c>
      <c r="E729" s="36" t="s">
        <v>225</v>
      </c>
      <c r="F729" s="36" t="s">
        <v>226</v>
      </c>
      <c r="G729" s="36" t="s">
        <v>227</v>
      </c>
      <c r="H729" s="36" t="s">
        <v>228</v>
      </c>
      <c r="I729" s="36"/>
      <c r="J729" s="36">
        <v>125</v>
      </c>
      <c r="K729" s="36" t="s">
        <v>229</v>
      </c>
      <c r="L729" s="36" t="s">
        <v>228</v>
      </c>
      <c r="M729" s="67">
        <v>386</v>
      </c>
      <c r="N729" s="67">
        <f t="shared" si="137"/>
        <v>32.383419689119172</v>
      </c>
      <c r="O729" s="67">
        <v>1384.786641929499</v>
      </c>
      <c r="P729" s="8">
        <f t="shared" si="134"/>
        <v>448.44127005488963</v>
      </c>
      <c r="Q729" s="36">
        <v>1385.3937481073101</v>
      </c>
      <c r="R729" s="40">
        <f t="shared" si="130"/>
        <v>32.369228651965457</v>
      </c>
      <c r="S729" s="68"/>
      <c r="T729" s="36">
        <v>250</v>
      </c>
      <c r="U729" s="67"/>
      <c r="V729" s="67"/>
      <c r="W729" s="67"/>
      <c r="X729" s="3"/>
      <c r="Y729" s="37">
        <f t="shared" si="132"/>
        <v>0.32369228651965459</v>
      </c>
      <c r="Z729" s="37">
        <f t="shared" si="135"/>
        <v>-1.1279619474359426</v>
      </c>
      <c r="AA729" s="149">
        <f t="shared" si="136"/>
        <v>-0.36511258187270268</v>
      </c>
      <c r="AB729" s="3"/>
      <c r="AC729" s="3"/>
    </row>
    <row r="730" spans="1:32" customFormat="1" ht="20.25" customHeight="1">
      <c r="A730" s="35">
        <v>42928</v>
      </c>
      <c r="B730" s="53">
        <v>5</v>
      </c>
      <c r="C730" s="36" t="s">
        <v>223</v>
      </c>
      <c r="D730" s="36" t="s">
        <v>224</v>
      </c>
      <c r="E730" s="36" t="s">
        <v>225</v>
      </c>
      <c r="F730" s="36" t="s">
        <v>226</v>
      </c>
      <c r="G730" s="36" t="s">
        <v>235</v>
      </c>
      <c r="H730" s="36" t="s">
        <v>236</v>
      </c>
      <c r="I730" s="36"/>
      <c r="J730" s="36">
        <v>8</v>
      </c>
      <c r="K730" s="36" t="s">
        <v>229</v>
      </c>
      <c r="L730" s="36" t="s">
        <v>236</v>
      </c>
      <c r="M730" s="67">
        <v>386</v>
      </c>
      <c r="N730" s="67">
        <f t="shared" si="137"/>
        <v>2.0725388601036272</v>
      </c>
      <c r="O730" s="67">
        <v>1384.786641929499</v>
      </c>
      <c r="P730" s="8">
        <f t="shared" si="134"/>
        <v>28.700241283512938</v>
      </c>
      <c r="Q730" s="36">
        <v>1385.3937481073101</v>
      </c>
      <c r="R730" s="40">
        <f t="shared" si="130"/>
        <v>2.0716306337257895</v>
      </c>
      <c r="S730" s="68"/>
      <c r="T730" s="36">
        <v>250</v>
      </c>
      <c r="U730" s="67"/>
      <c r="V730" s="67"/>
      <c r="W730" s="67"/>
      <c r="X730" s="3"/>
      <c r="Y730" s="37">
        <f t="shared" si="132"/>
        <v>2.0716306337257896E-2</v>
      </c>
      <c r="Z730" s="37">
        <f t="shared" si="135"/>
        <v>-3.8768341430584075</v>
      </c>
      <c r="AA730" s="149">
        <f t="shared" si="136"/>
        <v>-8.0313683726338667E-2</v>
      </c>
      <c r="AB730" s="3"/>
      <c r="AC730" s="3"/>
    </row>
    <row r="731" spans="1:32" customFormat="1" ht="20.25" customHeight="1">
      <c r="A731" s="35">
        <v>42928</v>
      </c>
      <c r="B731" s="53">
        <v>5</v>
      </c>
      <c r="C731" s="36" t="s">
        <v>223</v>
      </c>
      <c r="D731" s="36" t="s">
        <v>224</v>
      </c>
      <c r="E731" s="36" t="s">
        <v>225</v>
      </c>
      <c r="F731" s="36" t="s">
        <v>226</v>
      </c>
      <c r="G731" s="36" t="s">
        <v>239</v>
      </c>
      <c r="H731" s="36" t="s">
        <v>240</v>
      </c>
      <c r="I731" s="36"/>
      <c r="J731" s="36">
        <v>43</v>
      </c>
      <c r="K731" s="36" t="s">
        <v>229</v>
      </c>
      <c r="L731" s="36" t="s">
        <v>240</v>
      </c>
      <c r="M731" s="67">
        <v>386</v>
      </c>
      <c r="N731" s="67">
        <f t="shared" si="137"/>
        <v>11.139896373056994</v>
      </c>
      <c r="O731" s="67">
        <v>1384.7866419295001</v>
      </c>
      <c r="P731" s="8">
        <f t="shared" si="134"/>
        <v>154.26379689888213</v>
      </c>
      <c r="Q731" s="36">
        <v>1385.3937481073101</v>
      </c>
      <c r="R731" s="40">
        <f t="shared" si="130"/>
        <v>11.135014656276127</v>
      </c>
      <c r="S731" s="68"/>
      <c r="T731" s="36">
        <v>250</v>
      </c>
      <c r="U731" s="67"/>
      <c r="V731" s="67"/>
      <c r="W731" s="67"/>
      <c r="X731" s="3"/>
      <c r="Y731" s="37">
        <f t="shared" si="132"/>
        <v>0.11135014656276127</v>
      </c>
      <c r="Z731" s="37">
        <f t="shared" si="135"/>
        <v>-2.1950755690446804</v>
      </c>
      <c r="AA731" s="149">
        <f t="shared" si="136"/>
        <v>-0.24442198632946174</v>
      </c>
      <c r="AB731" s="3"/>
      <c r="AC731" s="3"/>
    </row>
    <row r="732" spans="1:32" customFormat="1" ht="20.25" customHeight="1">
      <c r="A732" s="72">
        <v>42928</v>
      </c>
      <c r="B732" s="53">
        <v>5</v>
      </c>
      <c r="C732" s="36" t="s">
        <v>223</v>
      </c>
      <c r="D732" s="36" t="s">
        <v>224</v>
      </c>
      <c r="E732" s="36" t="s">
        <v>225</v>
      </c>
      <c r="F732" s="36" t="s">
        <v>226</v>
      </c>
      <c r="G732" s="36" t="s">
        <v>253</v>
      </c>
      <c r="H732" s="36" t="s">
        <v>256</v>
      </c>
      <c r="I732" s="36"/>
      <c r="J732" s="36">
        <v>41</v>
      </c>
      <c r="K732" s="36" t="s">
        <v>229</v>
      </c>
      <c r="L732" s="36" t="s">
        <v>256</v>
      </c>
      <c r="M732" s="67">
        <v>386</v>
      </c>
      <c r="N732" s="67">
        <f t="shared" si="137"/>
        <v>10.621761658031089</v>
      </c>
      <c r="O732" s="67">
        <v>1384.7866419295001</v>
      </c>
      <c r="P732" s="8">
        <f t="shared" si="134"/>
        <v>147.0887365780039</v>
      </c>
      <c r="Q732" s="36">
        <v>1385.3937481073101</v>
      </c>
      <c r="R732" s="40">
        <f t="shared" si="130"/>
        <v>10.617106997844679</v>
      </c>
      <c r="S732" s="68"/>
      <c r="T732" s="36">
        <v>250</v>
      </c>
      <c r="U732" s="67"/>
      <c r="V732" s="67"/>
      <c r="W732" s="67"/>
      <c r="X732" s="3"/>
      <c r="Y732" s="37">
        <f t="shared" si="132"/>
        <v>0.10617106997844679</v>
      </c>
      <c r="Z732" s="37">
        <f t="shared" si="135"/>
        <v>-2.2427036180339348</v>
      </c>
      <c r="AA732" s="149">
        <f t="shared" si="136"/>
        <v>-0.23811024277119669</v>
      </c>
      <c r="AB732" s="3"/>
      <c r="AC732" s="3"/>
    </row>
    <row r="733" spans="1:32" customFormat="1" ht="20.25" customHeight="1">
      <c r="A733" s="72">
        <v>42928</v>
      </c>
      <c r="B733" s="53">
        <v>5</v>
      </c>
      <c r="C733" s="36" t="s">
        <v>216</v>
      </c>
      <c r="D733" s="36" t="s">
        <v>217</v>
      </c>
      <c r="E733" s="36"/>
      <c r="F733" s="36"/>
      <c r="G733" s="36"/>
      <c r="H733" s="36"/>
      <c r="I733" s="36"/>
      <c r="J733" s="36">
        <v>10</v>
      </c>
      <c r="K733" s="36" t="s">
        <v>221</v>
      </c>
      <c r="L733" s="36" t="s">
        <v>219</v>
      </c>
      <c r="M733" s="67">
        <v>386</v>
      </c>
      <c r="N733" s="67">
        <f t="shared" si="137"/>
        <v>2.5906735751295336</v>
      </c>
      <c r="O733" s="67">
        <v>1384.7866419295001</v>
      </c>
      <c r="P733" s="8">
        <f t="shared" si="134"/>
        <v>35.87530160439119</v>
      </c>
      <c r="Q733" s="36">
        <v>1385.3937481073101</v>
      </c>
      <c r="R733" s="40">
        <f t="shared" si="130"/>
        <v>2.5895382921572381</v>
      </c>
      <c r="S733" s="68"/>
      <c r="T733" s="36">
        <v>250</v>
      </c>
      <c r="U733" s="67"/>
      <c r="V733" s="67"/>
      <c r="W733" s="67"/>
      <c r="X733" s="3"/>
      <c r="Y733" s="37">
        <f t="shared" si="132"/>
        <v>2.5895382921572382E-2</v>
      </c>
      <c r="Z733" s="37">
        <f t="shared" si="135"/>
        <v>-3.6536905917441973</v>
      </c>
      <c r="AA733" s="149">
        <f t="shared" si="136"/>
        <v>-9.461371695016238E-2</v>
      </c>
      <c r="AB733" s="3"/>
      <c r="AC733" s="3"/>
    </row>
    <row r="734" spans="1:32" customFormat="1" ht="20.25" customHeight="1">
      <c r="A734" s="72">
        <v>42928</v>
      </c>
      <c r="B734" s="53">
        <v>5</v>
      </c>
      <c r="C734" s="36" t="s">
        <v>223</v>
      </c>
      <c r="D734" s="36" t="s">
        <v>303</v>
      </c>
      <c r="E734" s="36" t="s">
        <v>304</v>
      </c>
      <c r="F734" s="36" t="s">
        <v>305</v>
      </c>
      <c r="G734" s="36" t="s">
        <v>306</v>
      </c>
      <c r="H734" s="36" t="s">
        <v>307</v>
      </c>
      <c r="I734" s="36"/>
      <c r="J734" s="36">
        <v>5</v>
      </c>
      <c r="K734" s="36" t="s">
        <v>229</v>
      </c>
      <c r="L734" s="36" t="s">
        <v>307</v>
      </c>
      <c r="M734" s="67">
        <v>386</v>
      </c>
      <c r="N734" s="67">
        <f t="shared" si="137"/>
        <v>1.2953367875647668</v>
      </c>
      <c r="O734" s="67">
        <v>1384.7866419295001</v>
      </c>
      <c r="P734" s="8">
        <f t="shared" si="134"/>
        <v>17.937650802195595</v>
      </c>
      <c r="Q734" s="36">
        <v>1385.3937481073101</v>
      </c>
      <c r="R734" s="40">
        <f t="shared" si="130"/>
        <v>1.294769146078619</v>
      </c>
      <c r="S734" s="68"/>
      <c r="T734" s="36">
        <v>250</v>
      </c>
      <c r="U734" s="67" t="s">
        <v>309</v>
      </c>
      <c r="V734" s="67"/>
      <c r="W734" s="67"/>
      <c r="X734" s="3"/>
      <c r="Y734" s="37">
        <f t="shared" si="132"/>
        <v>1.2947691460786191E-2</v>
      </c>
      <c r="Z734" s="37">
        <f t="shared" si="135"/>
        <v>-4.3468377723041423</v>
      </c>
      <c r="AA734" s="149">
        <f t="shared" si="136"/>
        <v>-5.6281514305885211E-2</v>
      </c>
      <c r="AB734" s="3"/>
      <c r="AC734" s="3"/>
    </row>
    <row r="735" spans="1:32" customFormat="1" ht="20.25" customHeight="1">
      <c r="A735" s="72">
        <v>42928</v>
      </c>
      <c r="B735" s="53">
        <v>5</v>
      </c>
      <c r="C735" s="65" t="s">
        <v>223</v>
      </c>
      <c r="D735" s="65" t="s">
        <v>224</v>
      </c>
      <c r="E735" s="65" t="s">
        <v>225</v>
      </c>
      <c r="F735" s="65" t="s">
        <v>226</v>
      </c>
      <c r="G735" s="65" t="s">
        <v>261</v>
      </c>
      <c r="H735" s="36" t="s">
        <v>262</v>
      </c>
      <c r="I735" s="36"/>
      <c r="J735" s="36">
        <v>14</v>
      </c>
      <c r="K735" s="36" t="s">
        <v>229</v>
      </c>
      <c r="L735" s="36" t="s">
        <v>264</v>
      </c>
      <c r="M735" s="67">
        <v>386</v>
      </c>
      <c r="N735" s="67">
        <f t="shared" si="137"/>
        <v>3.6269430051813467</v>
      </c>
      <c r="O735" s="67">
        <v>1384.7866419295001</v>
      </c>
      <c r="P735" s="8">
        <f t="shared" si="134"/>
        <v>50.225422246147666</v>
      </c>
      <c r="Q735" s="36">
        <v>1385.3937481073101</v>
      </c>
      <c r="R735" s="40">
        <f t="shared" si="130"/>
        <v>3.6253536090201335</v>
      </c>
      <c r="S735" s="68"/>
      <c r="T735" s="65">
        <v>250</v>
      </c>
      <c r="U735" s="69"/>
      <c r="V735" s="69"/>
      <c r="W735" s="69"/>
      <c r="X735" s="3"/>
      <c r="Y735" s="37">
        <f t="shared" si="132"/>
        <v>3.6253536090201335E-2</v>
      </c>
      <c r="Z735" s="37">
        <f t="shared" si="135"/>
        <v>-3.3172183551229844</v>
      </c>
      <c r="AA735" s="149">
        <f t="shared" si="136"/>
        <v>-0.12026089535652942</v>
      </c>
      <c r="AB735" s="3"/>
      <c r="AC735" s="3"/>
    </row>
    <row r="736" spans="1:32" customFormat="1" ht="20.25" customHeight="1">
      <c r="A736" s="72">
        <v>42928</v>
      </c>
      <c r="B736" s="53">
        <v>5</v>
      </c>
      <c r="C736" s="36" t="s">
        <v>223</v>
      </c>
      <c r="D736" s="36" t="s">
        <v>303</v>
      </c>
      <c r="E736" s="36" t="s">
        <v>304</v>
      </c>
      <c r="F736" s="36" t="s">
        <v>305</v>
      </c>
      <c r="G736" s="36" t="s">
        <v>306</v>
      </c>
      <c r="H736" s="36" t="s">
        <v>307</v>
      </c>
      <c r="I736" s="36"/>
      <c r="J736" s="36">
        <v>82</v>
      </c>
      <c r="K736" s="36" t="s">
        <v>229</v>
      </c>
      <c r="L736" s="36" t="s">
        <v>307</v>
      </c>
      <c r="M736" s="67">
        <v>386</v>
      </c>
      <c r="N736" s="67">
        <f t="shared" si="137"/>
        <v>21.243523316062177</v>
      </c>
      <c r="O736" s="67">
        <v>1384.7866419295001</v>
      </c>
      <c r="P736" s="8">
        <f t="shared" si="134"/>
        <v>294.17747315600781</v>
      </c>
      <c r="Q736" s="36">
        <v>1385.3937481073101</v>
      </c>
      <c r="R736" s="40">
        <f t="shared" si="130"/>
        <v>21.234213995689359</v>
      </c>
      <c r="S736" s="68"/>
      <c r="T736" s="65">
        <v>250</v>
      </c>
      <c r="U736" s="69" t="s">
        <v>308</v>
      </c>
      <c r="V736" s="69"/>
      <c r="W736" s="69"/>
      <c r="X736" s="3"/>
      <c r="Y736" s="37">
        <f t="shared" si="132"/>
        <v>0.21234213995689358</v>
      </c>
      <c r="Z736" s="37">
        <f t="shared" si="135"/>
        <v>-1.5495564374739896</v>
      </c>
      <c r="AA736" s="149">
        <f t="shared" si="136"/>
        <v>-0.32903612991720732</v>
      </c>
      <c r="AB736" s="3"/>
      <c r="AC736" s="3"/>
    </row>
    <row r="737" spans="1:31" customFormat="1" ht="20.25" customHeight="1">
      <c r="A737" s="72">
        <v>42928</v>
      </c>
      <c r="B737" s="53">
        <v>5</v>
      </c>
      <c r="C737" s="65" t="s">
        <v>223</v>
      </c>
      <c r="D737" s="65" t="s">
        <v>317</v>
      </c>
      <c r="E737" s="65" t="s">
        <v>314</v>
      </c>
      <c r="F737" s="65" t="s">
        <v>346</v>
      </c>
      <c r="G737" s="65" t="s">
        <v>315</v>
      </c>
      <c r="H737" s="36" t="s">
        <v>655</v>
      </c>
      <c r="I737" s="36"/>
      <c r="J737" s="65">
        <v>19</v>
      </c>
      <c r="K737" s="65" t="s">
        <v>229</v>
      </c>
      <c r="L737" s="65" t="s">
        <v>345</v>
      </c>
      <c r="M737" s="67">
        <v>386</v>
      </c>
      <c r="N737" s="67">
        <f t="shared" si="137"/>
        <v>4.9222797927461137</v>
      </c>
      <c r="O737" s="67">
        <v>1384.7866419295001</v>
      </c>
      <c r="P737" s="8">
        <f t="shared" si="134"/>
        <v>68.163073048343264</v>
      </c>
      <c r="Q737" s="36">
        <v>1385.3937481073101</v>
      </c>
      <c r="R737" s="40">
        <f t="shared" si="130"/>
        <v>4.9201227550987534</v>
      </c>
      <c r="S737" s="68"/>
      <c r="T737" s="65">
        <v>250</v>
      </c>
      <c r="U737" s="69" t="s">
        <v>654</v>
      </c>
      <c r="V737" s="69"/>
      <c r="W737" s="69"/>
      <c r="X737" s="3"/>
      <c r="Y737" s="37">
        <f t="shared" si="132"/>
        <v>4.9201227550987534E-2</v>
      </c>
      <c r="Z737" s="37">
        <f t="shared" si="135"/>
        <v>-3.0118367055718025</v>
      </c>
      <c r="AA737" s="149">
        <f t="shared" si="136"/>
        <v>-0.14818606309725491</v>
      </c>
      <c r="AB737" s="3"/>
      <c r="AC737" s="3"/>
    </row>
    <row r="738" spans="1:31" customFormat="1" ht="20.25" customHeight="1">
      <c r="A738" s="72">
        <v>42928</v>
      </c>
      <c r="B738" s="53">
        <v>5</v>
      </c>
      <c r="C738" s="36" t="s">
        <v>223</v>
      </c>
      <c r="D738" s="36" t="s">
        <v>317</v>
      </c>
      <c r="E738" s="36" t="s">
        <v>314</v>
      </c>
      <c r="F738" s="36" t="s">
        <v>346</v>
      </c>
      <c r="G738" s="36"/>
      <c r="H738" s="36" t="s">
        <v>316</v>
      </c>
      <c r="I738" s="36"/>
      <c r="J738" s="36">
        <v>14</v>
      </c>
      <c r="K738" s="36" t="s">
        <v>229</v>
      </c>
      <c r="L738" s="36" t="s">
        <v>482</v>
      </c>
      <c r="M738" s="67">
        <v>386</v>
      </c>
      <c r="N738" s="67">
        <f t="shared" si="137"/>
        <v>3.6269430051813467</v>
      </c>
      <c r="O738" s="67">
        <v>1384.7866419295001</v>
      </c>
      <c r="P738" s="8">
        <f t="shared" si="134"/>
        <v>50.225422246147666</v>
      </c>
      <c r="Q738" s="36">
        <v>1385.3937481073101</v>
      </c>
      <c r="R738" s="40">
        <f t="shared" si="130"/>
        <v>3.6253536090201335</v>
      </c>
      <c r="S738" s="68"/>
      <c r="T738" s="65">
        <v>250</v>
      </c>
      <c r="U738" s="69"/>
      <c r="V738" s="69"/>
      <c r="W738" s="69"/>
      <c r="X738" s="3"/>
      <c r="Y738" s="37">
        <f t="shared" si="132"/>
        <v>3.6253536090201335E-2</v>
      </c>
      <c r="Z738" s="37">
        <f t="shared" si="135"/>
        <v>-3.3172183551229844</v>
      </c>
      <c r="AA738" s="149">
        <f t="shared" si="136"/>
        <v>-0.12026089535652942</v>
      </c>
      <c r="AB738" s="3"/>
      <c r="AC738" s="3"/>
    </row>
    <row r="739" spans="1:31" customFormat="1" ht="20.25" customHeight="1">
      <c r="A739" s="35">
        <v>42928</v>
      </c>
      <c r="B739" s="53">
        <v>5</v>
      </c>
      <c r="C739" s="36"/>
      <c r="D739" s="36"/>
      <c r="E739" s="36"/>
      <c r="F739" s="36"/>
      <c r="G739" s="65"/>
      <c r="H739" s="65"/>
      <c r="I739" s="36"/>
      <c r="J739" s="36">
        <v>1</v>
      </c>
      <c r="K739" s="36"/>
      <c r="L739" s="36" t="s">
        <v>656</v>
      </c>
      <c r="M739" s="67">
        <v>386</v>
      </c>
      <c r="N739" s="67">
        <f t="shared" si="137"/>
        <v>0.2590673575129534</v>
      </c>
      <c r="O739" s="67">
        <v>1384.7866419295001</v>
      </c>
      <c r="P739" s="8">
        <f t="shared" si="134"/>
        <v>3.5875301604391203</v>
      </c>
      <c r="Q739" s="36">
        <v>1385.3937481073101</v>
      </c>
      <c r="R739" s="40">
        <f t="shared" si="130"/>
        <v>0.25895382921572391</v>
      </c>
      <c r="S739" s="68"/>
      <c r="T739" s="65">
        <v>250</v>
      </c>
      <c r="U739" s="69"/>
      <c r="V739" s="69"/>
      <c r="W739" s="69"/>
      <c r="X739" s="3"/>
      <c r="Y739" s="37">
        <f t="shared" si="132"/>
        <v>2.5895382921572391E-3</v>
      </c>
      <c r="Z739" s="37">
        <f t="shared" si="135"/>
        <v>-5.9562756847382428</v>
      </c>
      <c r="AA739" s="149">
        <f t="shared" si="136"/>
        <v>-1.5424003964274759E-2</v>
      </c>
      <c r="AB739" s="3"/>
      <c r="AC739" s="3"/>
    </row>
    <row r="740" spans="1:31" customFormat="1" ht="20.25" customHeight="1">
      <c r="A740" s="35">
        <v>42928</v>
      </c>
      <c r="B740" s="53">
        <v>5</v>
      </c>
      <c r="C740" s="36"/>
      <c r="D740" s="36"/>
      <c r="E740" s="36"/>
      <c r="F740" s="36"/>
      <c r="G740" s="65"/>
      <c r="H740" s="65"/>
      <c r="I740" s="36"/>
      <c r="J740" s="36">
        <v>1</v>
      </c>
      <c r="K740" s="36"/>
      <c r="L740" s="36" t="s">
        <v>657</v>
      </c>
      <c r="M740" s="67">
        <v>386</v>
      </c>
      <c r="N740" s="67">
        <f t="shared" si="137"/>
        <v>0.2590673575129534</v>
      </c>
      <c r="O740" s="67">
        <v>1384.7866419295001</v>
      </c>
      <c r="P740" s="8">
        <f t="shared" si="134"/>
        <v>3.5875301604391203</v>
      </c>
      <c r="Q740" s="36">
        <v>1385.3937481073101</v>
      </c>
      <c r="R740" s="40">
        <f t="shared" si="130"/>
        <v>0.25895382921572391</v>
      </c>
      <c r="S740" s="68"/>
      <c r="T740" s="65">
        <v>250</v>
      </c>
      <c r="U740" s="69"/>
      <c r="V740" s="69"/>
      <c r="W740" s="69"/>
      <c r="X740" s="3"/>
      <c r="Y740" s="37">
        <f t="shared" si="132"/>
        <v>2.5895382921572391E-3</v>
      </c>
      <c r="Z740" s="37">
        <f t="shared" si="135"/>
        <v>-5.9562756847382428</v>
      </c>
      <c r="AA740" s="149">
        <f t="shared" si="136"/>
        <v>-1.5424003964274759E-2</v>
      </c>
      <c r="AB740" s="3"/>
      <c r="AC740" s="3"/>
    </row>
    <row r="741" spans="1:31" customFormat="1" ht="20.25" customHeight="1">
      <c r="A741" s="35">
        <v>42928</v>
      </c>
      <c r="B741" s="53">
        <v>5</v>
      </c>
      <c r="C741" s="36" t="s">
        <v>223</v>
      </c>
      <c r="D741" s="36" t="s">
        <v>224</v>
      </c>
      <c r="E741" s="36" t="s">
        <v>225</v>
      </c>
      <c r="F741" s="36" t="s">
        <v>248</v>
      </c>
      <c r="G741" s="65" t="s">
        <v>249</v>
      </c>
      <c r="H741" s="65" t="s">
        <v>250</v>
      </c>
      <c r="I741" s="36"/>
      <c r="J741" s="36">
        <v>17</v>
      </c>
      <c r="K741" s="36" t="s">
        <v>229</v>
      </c>
      <c r="L741" s="36" t="s">
        <v>250</v>
      </c>
      <c r="M741" s="67">
        <v>386</v>
      </c>
      <c r="N741" s="67">
        <f t="shared" si="137"/>
        <v>4.4041450777202069</v>
      </c>
      <c r="O741" s="67">
        <v>1384.7866419295001</v>
      </c>
      <c r="P741" s="8">
        <f t="shared" si="134"/>
        <v>60.988012727465026</v>
      </c>
      <c r="Q741" s="36">
        <v>1385.3937481073101</v>
      </c>
      <c r="R741" s="40">
        <f t="shared" si="130"/>
        <v>4.4022150966673053</v>
      </c>
      <c r="S741" s="68"/>
      <c r="T741" s="65">
        <v>250</v>
      </c>
      <c r="U741" s="69"/>
      <c r="V741" s="69"/>
      <c r="W741" s="69"/>
      <c r="X741" s="3"/>
      <c r="Y741" s="37">
        <f t="shared" si="132"/>
        <v>4.402215096667305E-2</v>
      </c>
      <c r="Z741" s="37">
        <f t="shared" si="135"/>
        <v>-3.123062340682027</v>
      </c>
      <c r="AA741" s="149">
        <f t="shared" si="136"/>
        <v>-0.13748392183983549</v>
      </c>
      <c r="AB741" s="3"/>
      <c r="AC741" s="3"/>
    </row>
    <row r="742" spans="1:31" customFormat="1" ht="20.25" customHeight="1">
      <c r="A742" s="35">
        <v>42928</v>
      </c>
      <c r="B742" s="53">
        <v>5</v>
      </c>
      <c r="C742" s="65" t="s">
        <v>223</v>
      </c>
      <c r="D742" s="65" t="s">
        <v>224</v>
      </c>
      <c r="E742" s="65" t="s">
        <v>225</v>
      </c>
      <c r="F742" s="65" t="s">
        <v>226</v>
      </c>
      <c r="G742" s="65" t="s">
        <v>239</v>
      </c>
      <c r="H742" s="36" t="s">
        <v>258</v>
      </c>
      <c r="I742" s="36" t="s">
        <v>259</v>
      </c>
      <c r="J742" s="36">
        <v>2</v>
      </c>
      <c r="K742" s="36" t="s">
        <v>247</v>
      </c>
      <c r="L742" s="36" t="s">
        <v>260</v>
      </c>
      <c r="M742" s="67">
        <v>386</v>
      </c>
      <c r="N742" s="67">
        <f t="shared" si="137"/>
        <v>0.5181347150259068</v>
      </c>
      <c r="O742" s="67">
        <v>1384.7866419295001</v>
      </c>
      <c r="P742" s="8">
        <f t="shared" si="134"/>
        <v>7.1750603208782406</v>
      </c>
      <c r="Q742" s="36">
        <v>1385.3937481073101</v>
      </c>
      <c r="R742" s="40">
        <f t="shared" si="130"/>
        <v>0.51790765843144781</v>
      </c>
      <c r="S742" s="68"/>
      <c r="T742" s="65">
        <v>250</v>
      </c>
      <c r="U742" s="69"/>
      <c r="V742" s="69"/>
      <c r="W742" s="69"/>
      <c r="X742" s="3"/>
      <c r="Y742" s="37">
        <f t="shared" si="132"/>
        <v>5.1790765843144782E-3</v>
      </c>
      <c r="Z742" s="37">
        <f t="shared" si="135"/>
        <v>-5.2631285041782974</v>
      </c>
      <c r="AA742" s="149">
        <f t="shared" si="136"/>
        <v>-2.7258145596227905E-2</v>
      </c>
      <c r="AB742" s="3"/>
      <c r="AC742" s="3"/>
    </row>
    <row r="743" spans="1:31" customFormat="1" ht="20.25" customHeight="1">
      <c r="A743" s="35">
        <v>42928</v>
      </c>
      <c r="B743" s="53">
        <v>5</v>
      </c>
      <c r="C743" s="65" t="s">
        <v>328</v>
      </c>
      <c r="D743" s="65"/>
      <c r="E743" s="65"/>
      <c r="F743" s="65"/>
      <c r="G743" s="65"/>
      <c r="H743" s="36"/>
      <c r="I743" s="36"/>
      <c r="J743" s="36">
        <v>3</v>
      </c>
      <c r="K743" s="36"/>
      <c r="L743" s="36" t="s">
        <v>370</v>
      </c>
      <c r="M743" s="67">
        <v>386</v>
      </c>
      <c r="N743" s="67">
        <f t="shared" si="137"/>
        <v>0.77720207253886009</v>
      </c>
      <c r="O743" s="67">
        <v>1384.7866419295001</v>
      </c>
      <c r="P743" s="8">
        <f t="shared" si="134"/>
        <v>10.762590481317359</v>
      </c>
      <c r="Q743" s="36">
        <v>1385.3937481073101</v>
      </c>
      <c r="R743" s="40">
        <f t="shared" si="130"/>
        <v>0.77686148764717167</v>
      </c>
      <c r="S743" s="68"/>
      <c r="T743" s="65">
        <v>250</v>
      </c>
      <c r="U743" s="69"/>
      <c r="V743" s="69"/>
      <c r="W743" s="69"/>
      <c r="X743" s="3"/>
      <c r="Y743" s="37">
        <f t="shared" si="132"/>
        <v>7.7686148764717165E-3</v>
      </c>
      <c r="Z743" s="37">
        <f t="shared" si="135"/>
        <v>-4.8576633960701328</v>
      </c>
      <c r="AA743" s="149">
        <f t="shared" si="136"/>
        <v>-3.7737316123602552E-2</v>
      </c>
      <c r="AB743" s="3"/>
      <c r="AC743" s="3"/>
    </row>
    <row r="744" spans="1:31" customFormat="1" ht="20.25" customHeight="1">
      <c r="A744" s="13">
        <v>42928</v>
      </c>
      <c r="B744" s="53">
        <v>8</v>
      </c>
      <c r="C744" s="36" t="s">
        <v>223</v>
      </c>
      <c r="D744" s="36" t="s">
        <v>267</v>
      </c>
      <c r="E744" s="36" t="s">
        <v>278</v>
      </c>
      <c r="F744" s="36" t="s">
        <v>279</v>
      </c>
      <c r="G744" s="36" t="s">
        <v>280</v>
      </c>
      <c r="H744" s="36" t="s">
        <v>284</v>
      </c>
      <c r="I744" s="36" t="s">
        <v>285</v>
      </c>
      <c r="J744" s="36">
        <v>15</v>
      </c>
      <c r="K744" s="36" t="s">
        <v>247</v>
      </c>
      <c r="L744" s="36" t="s">
        <v>24</v>
      </c>
      <c r="M744" s="3">
        <v>26</v>
      </c>
      <c r="N744" s="3">
        <f t="shared" si="137"/>
        <v>57.692307692307686</v>
      </c>
      <c r="O744" s="36">
        <v>1.7738589947659333</v>
      </c>
      <c r="P744" s="8">
        <f t="shared" si="134"/>
        <v>1.0233801892880383</v>
      </c>
      <c r="Q744" s="36">
        <v>4678.616496876356</v>
      </c>
      <c r="R744" s="40">
        <f t="shared" si="130"/>
        <v>2.1873564331919289E-2</v>
      </c>
      <c r="S744" s="109"/>
      <c r="T744" s="36">
        <v>1000</v>
      </c>
      <c r="U744" s="3"/>
      <c r="V744" s="3"/>
      <c r="W744" s="3"/>
      <c r="X744" s="3"/>
      <c r="Y744" s="37">
        <f t="shared" si="132"/>
        <v>2.1873564331919288E-4</v>
      </c>
      <c r="Z744" s="37">
        <f t="shared" si="135"/>
        <v>-8.427646665421161</v>
      </c>
      <c r="AA744" s="149">
        <f t="shared" si="136"/>
        <v>-1.8434267150277484E-3</v>
      </c>
      <c r="AB744" s="3">
        <f>SUM(AA744:AA760)*(-1)</f>
        <v>1.821423123882584</v>
      </c>
      <c r="AC744" s="3">
        <v>15</v>
      </c>
      <c r="AD744" s="98">
        <f t="shared" ref="AD744" si="139">LN(AC744)</f>
        <v>2.7080502011022101</v>
      </c>
      <c r="AE744" s="98">
        <f>(AB744/AD744)</f>
        <v>0.67259577504923729</v>
      </c>
    </row>
    <row r="745" spans="1:31" customFormat="1" ht="20.25" customHeight="1">
      <c r="A745" s="13">
        <v>42928</v>
      </c>
      <c r="B745" s="53">
        <v>8</v>
      </c>
      <c r="C745" s="36" t="s">
        <v>223</v>
      </c>
      <c r="D745" s="36" t="s">
        <v>267</v>
      </c>
      <c r="E745" s="36"/>
      <c r="F745" s="36" t="s">
        <v>273</v>
      </c>
      <c r="G745" s="36" t="s">
        <v>274</v>
      </c>
      <c r="H745" s="36" t="s">
        <v>275</v>
      </c>
      <c r="I745" s="36" t="s">
        <v>276</v>
      </c>
      <c r="J745" s="36">
        <v>9</v>
      </c>
      <c r="K745" s="36" t="s">
        <v>247</v>
      </c>
      <c r="L745" s="36" t="s">
        <v>275</v>
      </c>
      <c r="M745" s="3">
        <v>26</v>
      </c>
      <c r="N745" s="3">
        <f t="shared" si="137"/>
        <v>34.615384615384613</v>
      </c>
      <c r="O745" s="36">
        <v>1.7738589947659333</v>
      </c>
      <c r="P745" s="8">
        <f t="shared" si="134"/>
        <v>0.61402811357282305</v>
      </c>
      <c r="Q745" s="36">
        <v>4678.616496876356</v>
      </c>
      <c r="R745" s="40">
        <f t="shared" si="130"/>
        <v>1.3124138599151576E-2</v>
      </c>
      <c r="S745" s="109"/>
      <c r="T745" s="36">
        <v>1000</v>
      </c>
      <c r="U745" s="3"/>
      <c r="V745" s="3"/>
      <c r="W745" s="3"/>
      <c r="X745" s="3"/>
      <c r="Y745" s="37">
        <f t="shared" si="132"/>
        <v>1.3124138599151575E-4</v>
      </c>
      <c r="Z745" s="37">
        <f t="shared" si="135"/>
        <v>-8.9384722891871515</v>
      </c>
      <c r="AA745" s="149">
        <f t="shared" si="136"/>
        <v>-1.1730974918796784E-3</v>
      </c>
      <c r="AB745" s="3"/>
      <c r="AC745" s="3"/>
    </row>
    <row r="746" spans="1:31" customFormat="1" ht="20.25" customHeight="1">
      <c r="A746" s="13">
        <v>42928</v>
      </c>
      <c r="B746" s="53">
        <v>8</v>
      </c>
      <c r="C746" s="36" t="s">
        <v>223</v>
      </c>
      <c r="D746" s="36" t="s">
        <v>267</v>
      </c>
      <c r="E746" s="3"/>
      <c r="F746" s="36" t="s">
        <v>652</v>
      </c>
      <c r="G746" s="3"/>
      <c r="H746" s="36" t="s">
        <v>649</v>
      </c>
      <c r="I746" s="36" t="s">
        <v>650</v>
      </c>
      <c r="J746" s="36">
        <v>1</v>
      </c>
      <c r="K746" s="36" t="s">
        <v>247</v>
      </c>
      <c r="L746" s="36" t="s">
        <v>651</v>
      </c>
      <c r="M746" s="3">
        <v>26</v>
      </c>
      <c r="N746" s="3">
        <f t="shared" si="137"/>
        <v>3.8461538461538463</v>
      </c>
      <c r="O746" s="36">
        <v>1.7738589947659333</v>
      </c>
      <c r="P746" s="8">
        <f t="shared" si="134"/>
        <v>6.8225345952535904E-2</v>
      </c>
      <c r="Q746" s="36">
        <v>4678.616496876356</v>
      </c>
      <c r="R746" s="40">
        <f t="shared" si="130"/>
        <v>1.4582376221279529E-3</v>
      </c>
      <c r="S746" s="109"/>
      <c r="T746" s="36">
        <v>1000</v>
      </c>
      <c r="U746" s="3"/>
      <c r="V746" s="3"/>
      <c r="W746" s="3"/>
      <c r="X746" s="3"/>
      <c r="Y746" s="37">
        <f t="shared" si="132"/>
        <v>1.458237622127953E-5</v>
      </c>
      <c r="Z746" s="37">
        <f t="shared" si="135"/>
        <v>-11.135696866523372</v>
      </c>
      <c r="AA746" s="149">
        <f t="shared" si="136"/>
        <v>-1.6238492119376738E-4</v>
      </c>
      <c r="AB746" s="3"/>
      <c r="AC746" s="3"/>
    </row>
    <row r="747" spans="1:31" customFormat="1" ht="20.25" customHeight="1">
      <c r="A747" s="71">
        <v>42928</v>
      </c>
      <c r="B747" s="53">
        <v>8</v>
      </c>
      <c r="C747" s="36" t="s">
        <v>223</v>
      </c>
      <c r="D747" s="36" t="s">
        <v>267</v>
      </c>
      <c r="E747" s="36" t="s">
        <v>278</v>
      </c>
      <c r="F747" s="36" t="s">
        <v>269</v>
      </c>
      <c r="G747" s="36"/>
      <c r="H747" s="36"/>
      <c r="I747" s="36"/>
      <c r="J747" s="36">
        <v>1</v>
      </c>
      <c r="K747" s="36" t="s">
        <v>508</v>
      </c>
      <c r="L747" s="36" t="s">
        <v>270</v>
      </c>
      <c r="M747" s="3">
        <v>26</v>
      </c>
      <c r="N747" s="3">
        <f t="shared" si="137"/>
        <v>3.8461538461538463</v>
      </c>
      <c r="O747" s="36">
        <v>1.7738589947659333</v>
      </c>
      <c r="P747" s="8">
        <f t="shared" si="134"/>
        <v>6.8225345952535904E-2</v>
      </c>
      <c r="Q747" s="36">
        <v>4678.6164968763596</v>
      </c>
      <c r="R747" s="40">
        <f t="shared" si="130"/>
        <v>1.4582376221279518E-3</v>
      </c>
      <c r="S747" s="109"/>
      <c r="T747" s="36">
        <v>1000</v>
      </c>
      <c r="U747" s="3"/>
      <c r="V747" s="3"/>
      <c r="W747" s="3"/>
      <c r="X747" s="3"/>
      <c r="Y747" s="37">
        <f t="shared" si="132"/>
        <v>1.4582376221279518E-5</v>
      </c>
      <c r="Z747" s="37">
        <f t="shared" si="135"/>
        <v>-11.135696866523372</v>
      </c>
      <c r="AA747" s="149">
        <f t="shared" si="136"/>
        <v>-1.6238492119376725E-4</v>
      </c>
      <c r="AB747" s="3"/>
      <c r="AC747" s="3"/>
    </row>
    <row r="748" spans="1:31" customFormat="1" ht="20.25" customHeight="1">
      <c r="A748" s="71">
        <v>42928</v>
      </c>
      <c r="B748" s="53">
        <v>8</v>
      </c>
      <c r="C748" s="3" t="s">
        <v>223</v>
      </c>
      <c r="D748" s="3" t="s">
        <v>224</v>
      </c>
      <c r="E748" s="3" t="s">
        <v>225</v>
      </c>
      <c r="F748" s="3" t="s">
        <v>226</v>
      </c>
      <c r="G748" s="3" t="s">
        <v>227</v>
      </c>
      <c r="H748" s="3" t="s">
        <v>228</v>
      </c>
      <c r="I748" s="3"/>
      <c r="J748" s="36">
        <v>77</v>
      </c>
      <c r="K748" s="3" t="s">
        <v>229</v>
      </c>
      <c r="L748" s="36" t="s">
        <v>228</v>
      </c>
      <c r="M748" s="3">
        <v>319</v>
      </c>
      <c r="N748" s="3">
        <f t="shared" si="137"/>
        <v>24.137931034482758</v>
      </c>
      <c r="O748" s="36">
        <v>4676.8426378815902</v>
      </c>
      <c r="P748" s="8">
        <f t="shared" si="134"/>
        <v>1128.8930505231424</v>
      </c>
      <c r="Q748" s="36">
        <v>4678.6164968763596</v>
      </c>
      <c r="R748" s="40">
        <f t="shared" si="130"/>
        <v>24.12877933630249</v>
      </c>
      <c r="S748" s="109"/>
      <c r="T748" s="36">
        <v>250</v>
      </c>
      <c r="U748" s="3"/>
      <c r="V748" s="3"/>
      <c r="W748" s="3"/>
      <c r="X748" s="3"/>
      <c r="Y748" s="37">
        <f t="shared" si="132"/>
        <v>0.24128779336302489</v>
      </c>
      <c r="Z748" s="37">
        <f t="shared" si="135"/>
        <v>-1.4217648946053323</v>
      </c>
      <c r="AA748" s="149">
        <f t="shared" si="136"/>
        <v>-0.34305451410033427</v>
      </c>
      <c r="AB748" s="3"/>
      <c r="AC748" s="3"/>
    </row>
    <row r="749" spans="1:31" customFormat="1" ht="20.25" customHeight="1">
      <c r="A749" s="13">
        <v>42928</v>
      </c>
      <c r="B749" s="53">
        <v>8</v>
      </c>
      <c r="C749" s="36" t="s">
        <v>223</v>
      </c>
      <c r="D749" s="36" t="s">
        <v>224</v>
      </c>
      <c r="E749" s="36" t="s">
        <v>225</v>
      </c>
      <c r="F749" s="36" t="s">
        <v>226</v>
      </c>
      <c r="G749" s="36" t="s">
        <v>239</v>
      </c>
      <c r="H749" s="36" t="s">
        <v>240</v>
      </c>
      <c r="I749" s="3"/>
      <c r="J749" s="36">
        <v>58</v>
      </c>
      <c r="K749" s="3" t="s">
        <v>229</v>
      </c>
      <c r="L749" s="36" t="s">
        <v>240</v>
      </c>
      <c r="M749" s="3">
        <v>319</v>
      </c>
      <c r="N749" s="3">
        <f t="shared" si="137"/>
        <v>18.181818181818183</v>
      </c>
      <c r="O749" s="36">
        <v>4676.8426378815902</v>
      </c>
      <c r="P749" s="8">
        <f t="shared" si="134"/>
        <v>850.33502506938009</v>
      </c>
      <c r="Q749" s="36">
        <v>4678.6164968763596</v>
      </c>
      <c r="R749" s="40">
        <f t="shared" si="130"/>
        <v>18.174924694877202</v>
      </c>
      <c r="S749" s="109"/>
      <c r="T749" s="36">
        <v>250</v>
      </c>
      <c r="U749" s="3"/>
      <c r="V749" s="3"/>
      <c r="W749" s="3"/>
      <c r="X749" s="3"/>
      <c r="Y749" s="37">
        <f t="shared" si="132"/>
        <v>0.18174924694877201</v>
      </c>
      <c r="Z749" s="37">
        <f t="shared" si="135"/>
        <v>-1.7051273059125966</v>
      </c>
      <c r="AA749" s="149">
        <f t="shared" si="136"/>
        <v>-0.30990560380140286</v>
      </c>
      <c r="AB749" s="3"/>
      <c r="AC749" s="3"/>
    </row>
    <row r="750" spans="1:31" customFormat="1" ht="20.25" customHeight="1">
      <c r="A750" s="13">
        <v>42928</v>
      </c>
      <c r="B750" s="53">
        <v>8</v>
      </c>
      <c r="C750" s="36" t="s">
        <v>223</v>
      </c>
      <c r="D750" s="36" t="s">
        <v>303</v>
      </c>
      <c r="E750" s="36" t="s">
        <v>304</v>
      </c>
      <c r="F750" s="36" t="s">
        <v>305</v>
      </c>
      <c r="G750" s="36" t="s">
        <v>306</v>
      </c>
      <c r="H750" s="36" t="s">
        <v>307</v>
      </c>
      <c r="I750" s="36"/>
      <c r="J750" s="36">
        <v>102</v>
      </c>
      <c r="K750" s="3" t="s">
        <v>229</v>
      </c>
      <c r="L750" s="3" t="s">
        <v>307</v>
      </c>
      <c r="M750" s="3">
        <v>319</v>
      </c>
      <c r="N750" s="3">
        <f t="shared" si="137"/>
        <v>31.974921630094045</v>
      </c>
      <c r="O750" s="36">
        <v>4676.8426378815902</v>
      </c>
      <c r="P750" s="8">
        <f t="shared" si="134"/>
        <v>1495.4167682254615</v>
      </c>
      <c r="Q750" s="36">
        <v>4678.6164968763596</v>
      </c>
      <c r="R750" s="40">
        <f t="shared" si="130"/>
        <v>31.962798601335766</v>
      </c>
      <c r="S750" s="109"/>
      <c r="T750" s="36">
        <v>250</v>
      </c>
      <c r="U750" s="3" t="s">
        <v>308</v>
      </c>
      <c r="V750" s="3"/>
      <c r="W750" s="3"/>
      <c r="X750" s="3"/>
      <c r="Y750" s="37">
        <f t="shared" si="132"/>
        <v>0.31962798601335768</v>
      </c>
      <c r="Z750" s="37">
        <f t="shared" si="135"/>
        <v>-1.1405975031747448</v>
      </c>
      <c r="AA750" s="149">
        <f t="shared" si="136"/>
        <v>-0.36456688279160804</v>
      </c>
      <c r="AB750" s="3"/>
      <c r="AC750" s="3"/>
    </row>
    <row r="751" spans="1:31" customFormat="1" ht="20.25" customHeight="1">
      <c r="A751" s="13">
        <v>42928</v>
      </c>
      <c r="B751" s="53">
        <v>8</v>
      </c>
      <c r="C751" s="36" t="s">
        <v>223</v>
      </c>
      <c r="D751" s="36" t="s">
        <v>303</v>
      </c>
      <c r="E751" s="36" t="s">
        <v>304</v>
      </c>
      <c r="F751" s="36" t="s">
        <v>305</v>
      </c>
      <c r="G751" s="36" t="s">
        <v>306</v>
      </c>
      <c r="H751" s="36" t="s">
        <v>307</v>
      </c>
      <c r="I751" s="36"/>
      <c r="J751" s="36">
        <v>2</v>
      </c>
      <c r="K751" s="3" t="s">
        <v>229</v>
      </c>
      <c r="L751" s="3" t="s">
        <v>307</v>
      </c>
      <c r="M751" s="3">
        <v>319</v>
      </c>
      <c r="N751" s="3">
        <f t="shared" si="137"/>
        <v>0.62695924764890276</v>
      </c>
      <c r="O751" s="36">
        <v>4676.8426378815902</v>
      </c>
      <c r="P751" s="8">
        <f t="shared" si="134"/>
        <v>29.321897416185518</v>
      </c>
      <c r="Q751" s="36">
        <v>4678.6164968763596</v>
      </c>
      <c r="R751" s="40">
        <f t="shared" si="130"/>
        <v>0.6267215412026621</v>
      </c>
      <c r="S751" s="109"/>
      <c r="T751" s="36">
        <v>250</v>
      </c>
      <c r="U751" s="3" t="s">
        <v>309</v>
      </c>
      <c r="V751" s="3"/>
      <c r="W751" s="3"/>
      <c r="X751" s="3"/>
      <c r="Y751" s="37">
        <f t="shared" si="132"/>
        <v>6.2672154120266207E-3</v>
      </c>
      <c r="Z751" s="37">
        <f t="shared" si="135"/>
        <v>-5.0724231358990703</v>
      </c>
      <c r="AA751" s="149">
        <f t="shared" si="136"/>
        <v>-3.1789968453627054E-2</v>
      </c>
      <c r="AB751" s="3"/>
      <c r="AC751" s="3"/>
    </row>
    <row r="752" spans="1:31" customFormat="1" ht="20.25" customHeight="1">
      <c r="A752" s="13">
        <v>42928</v>
      </c>
      <c r="B752" s="53">
        <v>8</v>
      </c>
      <c r="C752" s="65" t="s">
        <v>223</v>
      </c>
      <c r="D752" s="65" t="s">
        <v>224</v>
      </c>
      <c r="E752" s="65" t="s">
        <v>225</v>
      </c>
      <c r="F752" s="65" t="s">
        <v>226</v>
      </c>
      <c r="G752" s="65" t="s">
        <v>261</v>
      </c>
      <c r="H752" s="36" t="s">
        <v>262</v>
      </c>
      <c r="I752" s="36"/>
      <c r="J752" s="36">
        <v>6</v>
      </c>
      <c r="K752" s="3" t="s">
        <v>229</v>
      </c>
      <c r="L752" s="36" t="s">
        <v>264</v>
      </c>
      <c r="M752" s="3">
        <v>319</v>
      </c>
      <c r="N752" s="3">
        <f t="shared" si="137"/>
        <v>1.8808777429467085</v>
      </c>
      <c r="O752" s="36">
        <v>4676.8426378815902</v>
      </c>
      <c r="P752" s="8">
        <f t="shared" ref="P752:P786" si="140">(N752/100)*O752</f>
        <v>87.965692248556564</v>
      </c>
      <c r="Q752" s="36">
        <v>4678.6164968763596</v>
      </c>
      <c r="R752" s="40">
        <f t="shared" si="130"/>
        <v>1.8801646236079863</v>
      </c>
      <c r="S752" s="109"/>
      <c r="T752" s="36">
        <v>250</v>
      </c>
      <c r="U752" s="3"/>
      <c r="V752" s="3"/>
      <c r="W752" s="3"/>
      <c r="X752" s="3"/>
      <c r="Y752" s="37">
        <f t="shared" si="132"/>
        <v>1.8801646236079862E-2</v>
      </c>
      <c r="Z752" s="37">
        <f t="shared" si="135"/>
        <v>-3.9738108472309612</v>
      </c>
      <c r="AA752" s="149">
        <f t="shared" si="136"/>
        <v>-7.4714185758733329E-2</v>
      </c>
      <c r="AB752" s="3"/>
      <c r="AC752" s="3"/>
    </row>
    <row r="753" spans="1:32" customFormat="1" ht="20.25" customHeight="1">
      <c r="A753" s="13">
        <v>42928</v>
      </c>
      <c r="B753" s="53">
        <v>8</v>
      </c>
      <c r="C753" s="51" t="s">
        <v>223</v>
      </c>
      <c r="D753" s="51" t="s">
        <v>224</v>
      </c>
      <c r="E753" s="51" t="s">
        <v>225</v>
      </c>
      <c r="F753" s="51" t="s">
        <v>226</v>
      </c>
      <c r="G753" s="51" t="s">
        <v>239</v>
      </c>
      <c r="H753" s="3" t="s">
        <v>258</v>
      </c>
      <c r="I753" s="3" t="s">
        <v>259</v>
      </c>
      <c r="J753" s="3">
        <v>4</v>
      </c>
      <c r="K753" s="3" t="s">
        <v>247</v>
      </c>
      <c r="L753" s="3" t="s">
        <v>260</v>
      </c>
      <c r="M753" s="3">
        <v>319</v>
      </c>
      <c r="N753" s="3">
        <f t="shared" ref="N753:N787" si="141">J753/M753*100</f>
        <v>1.2539184952978055</v>
      </c>
      <c r="O753" s="36">
        <v>4676.8426378815902</v>
      </c>
      <c r="P753" s="8">
        <f t="shared" si="140"/>
        <v>58.643794832371036</v>
      </c>
      <c r="Q753" s="36">
        <v>4678.6164968763596</v>
      </c>
      <c r="R753" s="40">
        <f t="shared" si="130"/>
        <v>1.2534430824053242</v>
      </c>
      <c r="S753" s="109"/>
      <c r="T753" s="36">
        <v>250</v>
      </c>
      <c r="U753" s="3"/>
      <c r="V753" s="3"/>
      <c r="W753" s="3"/>
      <c r="X753" s="3"/>
      <c r="Y753" s="37">
        <f t="shared" si="132"/>
        <v>1.2534430824053241E-2</v>
      </c>
      <c r="Z753" s="37">
        <f t="shared" si="135"/>
        <v>-4.3792759553391258</v>
      </c>
      <c r="AA753" s="149">
        <f t="shared" si="136"/>
        <v>-5.4891731521637947E-2</v>
      </c>
      <c r="AB753" s="3"/>
      <c r="AC753" s="3"/>
    </row>
    <row r="754" spans="1:32" customFormat="1" ht="20.25" customHeight="1">
      <c r="A754" s="13">
        <v>42928</v>
      </c>
      <c r="B754" s="53">
        <v>8</v>
      </c>
      <c r="C754" s="51" t="s">
        <v>223</v>
      </c>
      <c r="D754" s="51" t="s">
        <v>224</v>
      </c>
      <c r="E754" s="51" t="s">
        <v>225</v>
      </c>
      <c r="F754" s="51" t="s">
        <v>226</v>
      </c>
      <c r="G754" s="51" t="s">
        <v>355</v>
      </c>
      <c r="H754" s="3" t="s">
        <v>356</v>
      </c>
      <c r="I754" s="3"/>
      <c r="J754" s="3">
        <v>2</v>
      </c>
      <c r="K754" s="3" t="s">
        <v>229</v>
      </c>
      <c r="L754" s="3" t="s">
        <v>356</v>
      </c>
      <c r="M754" s="3">
        <v>319</v>
      </c>
      <c r="N754" s="3">
        <f t="shared" si="141"/>
        <v>0.62695924764890276</v>
      </c>
      <c r="O754" s="36">
        <v>4676.8426378815902</v>
      </c>
      <c r="P754" s="8">
        <f t="shared" si="140"/>
        <v>29.321897416185518</v>
      </c>
      <c r="Q754" s="36">
        <v>4678.6164968763596</v>
      </c>
      <c r="R754" s="40">
        <f t="shared" si="130"/>
        <v>0.6267215412026621</v>
      </c>
      <c r="S754" s="109"/>
      <c r="T754" s="36">
        <v>250</v>
      </c>
      <c r="U754" s="3"/>
      <c r="V754" s="3"/>
      <c r="W754" s="3"/>
      <c r="X754" s="3"/>
      <c r="Y754" s="37">
        <f t="shared" si="132"/>
        <v>6.2672154120266207E-3</v>
      </c>
      <c r="Z754" s="37">
        <f t="shared" si="135"/>
        <v>-5.0724231358990703</v>
      </c>
      <c r="AA754" s="149">
        <f t="shared" si="136"/>
        <v>-3.1789968453627054E-2</v>
      </c>
      <c r="AB754" s="3"/>
      <c r="AC754" s="3"/>
    </row>
    <row r="755" spans="1:32" customFormat="1" ht="20.25" customHeight="1">
      <c r="A755" s="13">
        <v>42928</v>
      </c>
      <c r="B755" s="53">
        <v>8</v>
      </c>
      <c r="C755" s="3" t="s">
        <v>223</v>
      </c>
      <c r="D755" s="3" t="s">
        <v>224</v>
      </c>
      <c r="E755" s="3" t="s">
        <v>225</v>
      </c>
      <c r="F755" s="3" t="s">
        <v>226</v>
      </c>
      <c r="G755" s="3" t="s">
        <v>235</v>
      </c>
      <c r="H755" s="3" t="s">
        <v>236</v>
      </c>
      <c r="I755" s="3"/>
      <c r="J755" s="36">
        <v>14</v>
      </c>
      <c r="K755" s="3" t="s">
        <v>229</v>
      </c>
      <c r="L755" s="36" t="s">
        <v>236</v>
      </c>
      <c r="M755" s="3">
        <v>319</v>
      </c>
      <c r="N755" s="3">
        <f t="shared" si="141"/>
        <v>4.3887147335423196</v>
      </c>
      <c r="O755" s="36">
        <v>4676.8426378815902</v>
      </c>
      <c r="P755" s="8">
        <f t="shared" si="140"/>
        <v>205.25328191329862</v>
      </c>
      <c r="Q755" s="36">
        <v>4678.6164968763596</v>
      </c>
      <c r="R755" s="40">
        <f t="shared" si="130"/>
        <v>4.3870507884186347</v>
      </c>
      <c r="S755" s="109"/>
      <c r="T755" s="36">
        <v>250</v>
      </c>
      <c r="U755" s="3"/>
      <c r="V755" s="3"/>
      <c r="W755" s="3"/>
      <c r="X755" s="3"/>
      <c r="Y755" s="37">
        <f t="shared" si="132"/>
        <v>4.3870507884186345E-2</v>
      </c>
      <c r="Z755" s="37">
        <f t="shared" si="135"/>
        <v>-3.1265129868437573</v>
      </c>
      <c r="AA755" s="149">
        <f t="shared" si="136"/>
        <v>-0.13716171263934004</v>
      </c>
      <c r="AB755" s="3"/>
      <c r="AC755" s="3"/>
    </row>
    <row r="756" spans="1:32" customFormat="1" ht="20.25" customHeight="1">
      <c r="A756" s="13">
        <v>42928</v>
      </c>
      <c r="B756" s="53">
        <v>8</v>
      </c>
      <c r="C756" s="36" t="s">
        <v>223</v>
      </c>
      <c r="D756" s="36" t="s">
        <v>224</v>
      </c>
      <c r="E756" s="36" t="s">
        <v>225</v>
      </c>
      <c r="F756" s="36" t="s">
        <v>226</v>
      </c>
      <c r="G756" s="36" t="s">
        <v>253</v>
      </c>
      <c r="H756" s="36" t="s">
        <v>256</v>
      </c>
      <c r="I756" s="3"/>
      <c r="J756" s="36">
        <v>34</v>
      </c>
      <c r="K756" s="3" t="s">
        <v>229</v>
      </c>
      <c r="L756" s="36" t="s">
        <v>256</v>
      </c>
      <c r="M756" s="3">
        <v>319</v>
      </c>
      <c r="N756" s="3">
        <f t="shared" si="141"/>
        <v>10.658307210031348</v>
      </c>
      <c r="O756" s="36">
        <v>4676.8426378815902</v>
      </c>
      <c r="P756" s="8">
        <f t="shared" si="140"/>
        <v>498.47225607515384</v>
      </c>
      <c r="Q756" s="36">
        <v>4678.6164968763596</v>
      </c>
      <c r="R756" s="40">
        <f t="shared" si="130"/>
        <v>10.654266200445257</v>
      </c>
      <c r="S756" s="109"/>
      <c r="T756" s="36">
        <v>250</v>
      </c>
      <c r="U756" s="3"/>
      <c r="V756" s="3"/>
      <c r="W756" s="3"/>
      <c r="X756" s="3"/>
      <c r="Y756" s="37">
        <f t="shared" si="132"/>
        <v>0.10654266200445256</v>
      </c>
      <c r="Z756" s="37">
        <f t="shared" si="135"/>
        <v>-2.2392097918428546</v>
      </c>
      <c r="AA756" s="149">
        <f t="shared" si="136"/>
        <v>-0.23857137200937384</v>
      </c>
      <c r="AB756" s="3"/>
      <c r="AC756" s="3"/>
    </row>
    <row r="757" spans="1:32" customFormat="1" ht="20.25" customHeight="1">
      <c r="A757" s="13">
        <v>42928</v>
      </c>
      <c r="B757" s="53">
        <v>8</v>
      </c>
      <c r="C757" s="36" t="s">
        <v>223</v>
      </c>
      <c r="D757" s="36" t="s">
        <v>317</v>
      </c>
      <c r="E757" s="36" t="s">
        <v>314</v>
      </c>
      <c r="F757" s="36" t="s">
        <v>346</v>
      </c>
      <c r="G757" s="36" t="s">
        <v>315</v>
      </c>
      <c r="H757" s="36" t="s">
        <v>365</v>
      </c>
      <c r="I757" s="36"/>
      <c r="J757" s="3">
        <v>5</v>
      </c>
      <c r="K757" s="3" t="s">
        <v>229</v>
      </c>
      <c r="L757" s="36" t="s">
        <v>345</v>
      </c>
      <c r="M757" s="3">
        <v>319</v>
      </c>
      <c r="N757" s="3">
        <f t="shared" si="141"/>
        <v>1.5673981191222568</v>
      </c>
      <c r="O757" s="36">
        <v>4676.8426378815902</v>
      </c>
      <c r="P757" s="8">
        <f t="shared" si="140"/>
        <v>73.304743540463789</v>
      </c>
      <c r="Q757" s="36">
        <v>4678.6164968763596</v>
      </c>
      <c r="R757" s="40">
        <f t="shared" si="130"/>
        <v>1.5668038530066548</v>
      </c>
      <c r="S757" s="109"/>
      <c r="T757" s="36">
        <v>250</v>
      </c>
      <c r="U757" s="3"/>
      <c r="V757" s="3"/>
      <c r="W757" s="3"/>
      <c r="X757" s="3"/>
      <c r="Y757" s="37">
        <f t="shared" si="132"/>
        <v>1.5668038530066548E-2</v>
      </c>
      <c r="Z757" s="37">
        <f t="shared" si="135"/>
        <v>-4.1561324040249161</v>
      </c>
      <c r="AA757" s="149">
        <f t="shared" si="136"/>
        <v>-6.5118442642320501E-2</v>
      </c>
      <c r="AB757" s="3"/>
      <c r="AC757" s="3"/>
    </row>
    <row r="758" spans="1:32" customFormat="1" ht="20.25" customHeight="1">
      <c r="A758" s="13">
        <v>42928</v>
      </c>
      <c r="B758" s="53">
        <v>8</v>
      </c>
      <c r="C758" s="36" t="s">
        <v>216</v>
      </c>
      <c r="D758" s="36" t="s">
        <v>217</v>
      </c>
      <c r="E758" s="36"/>
      <c r="F758" s="36"/>
      <c r="G758" s="36"/>
      <c r="H758" s="36"/>
      <c r="I758" s="36"/>
      <c r="J758" s="36">
        <v>13</v>
      </c>
      <c r="K758" s="36" t="s">
        <v>221</v>
      </c>
      <c r="L758" s="36" t="s">
        <v>219</v>
      </c>
      <c r="M758" s="3">
        <v>319</v>
      </c>
      <c r="N758" s="3">
        <f t="shared" si="141"/>
        <v>4.0752351097178678</v>
      </c>
      <c r="O758" s="36">
        <v>4676.8426378815902</v>
      </c>
      <c r="P758" s="8">
        <f t="shared" si="140"/>
        <v>190.59233320520585</v>
      </c>
      <c r="Q758" s="36">
        <v>4678.6164968763596</v>
      </c>
      <c r="R758" s="40">
        <f t="shared" si="130"/>
        <v>4.0736900178173032</v>
      </c>
      <c r="S758" s="109"/>
      <c r="T758" s="36">
        <v>250</v>
      </c>
      <c r="U758" s="3"/>
      <c r="V758" s="3"/>
      <c r="W758" s="3"/>
      <c r="X758" s="3"/>
      <c r="Y758" s="37">
        <f t="shared" si="132"/>
        <v>4.0736900178173031E-2</v>
      </c>
      <c r="Z758" s="37">
        <f t="shared" si="135"/>
        <v>-3.2006209589974794</v>
      </c>
      <c r="AA758" s="149">
        <f t="shared" si="136"/>
        <v>-0.13038337651484877</v>
      </c>
      <c r="AB758" s="3"/>
      <c r="AC758" s="3"/>
    </row>
    <row r="759" spans="1:32" customFormat="1" ht="20.25" customHeight="1">
      <c r="A759" s="13">
        <v>42928</v>
      </c>
      <c r="B759" s="53">
        <v>8</v>
      </c>
      <c r="C759" s="36" t="s">
        <v>223</v>
      </c>
      <c r="D759" s="36" t="s">
        <v>317</v>
      </c>
      <c r="E759" s="36" t="s">
        <v>314</v>
      </c>
      <c r="F759" s="36" t="s">
        <v>346</v>
      </c>
      <c r="G759" s="3"/>
      <c r="H759" s="36" t="s">
        <v>316</v>
      </c>
      <c r="I759" s="3"/>
      <c r="J759" s="3">
        <v>1</v>
      </c>
      <c r="K759" s="3" t="s">
        <v>229</v>
      </c>
      <c r="L759" s="36" t="s">
        <v>482</v>
      </c>
      <c r="M759" s="3">
        <v>319</v>
      </c>
      <c r="N759" s="3">
        <f t="shared" si="141"/>
        <v>0.31347962382445138</v>
      </c>
      <c r="O759" s="36">
        <v>4676.8426378815902</v>
      </c>
      <c r="P759" s="8">
        <f t="shared" si="140"/>
        <v>14.660948708092759</v>
      </c>
      <c r="Q759" s="36">
        <v>4678.6164968763596</v>
      </c>
      <c r="R759" s="40">
        <f t="shared" si="130"/>
        <v>0.31336077060133105</v>
      </c>
      <c r="S759" s="109"/>
      <c r="T759" s="36">
        <v>250</v>
      </c>
      <c r="U759" s="3"/>
      <c r="V759" s="3"/>
      <c r="W759" s="3"/>
      <c r="X759" s="3"/>
      <c r="Y759" s="37">
        <f t="shared" si="132"/>
        <v>3.1336077060133104E-3</v>
      </c>
      <c r="Z759" s="37">
        <f t="shared" si="135"/>
        <v>-5.7655703164590157</v>
      </c>
      <c r="AA759" s="149">
        <f t="shared" si="136"/>
        <v>-1.8067035573217573E-2</v>
      </c>
      <c r="AB759" s="3"/>
      <c r="AC759" s="3"/>
    </row>
    <row r="760" spans="1:32" customFormat="1" ht="20.25" customHeight="1">
      <c r="A760" s="13">
        <v>42928</v>
      </c>
      <c r="B760" s="53">
        <v>8</v>
      </c>
      <c r="C760" s="3" t="s">
        <v>295</v>
      </c>
      <c r="D760" s="3" t="s">
        <v>296</v>
      </c>
      <c r="E760" s="3"/>
      <c r="F760" s="3" t="s">
        <v>297</v>
      </c>
      <c r="G760" s="3" t="s">
        <v>298</v>
      </c>
      <c r="H760" s="3" t="s">
        <v>299</v>
      </c>
      <c r="I760" s="3"/>
      <c r="J760" s="3">
        <v>1</v>
      </c>
      <c r="K760" s="3" t="s">
        <v>229</v>
      </c>
      <c r="L760" s="3" t="s">
        <v>479</v>
      </c>
      <c r="M760" s="3">
        <v>319</v>
      </c>
      <c r="N760" s="3">
        <f t="shared" si="141"/>
        <v>0.31347962382445138</v>
      </c>
      <c r="O760" s="36">
        <v>4676.8426378815902</v>
      </c>
      <c r="P760" s="8">
        <f t="shared" si="140"/>
        <v>14.660948708092759</v>
      </c>
      <c r="Q760" s="36">
        <v>4678.6164968763596</v>
      </c>
      <c r="R760" s="40">
        <f t="shared" si="130"/>
        <v>0.31336077060133105</v>
      </c>
      <c r="S760" s="109"/>
      <c r="T760" s="36">
        <v>250</v>
      </c>
      <c r="U760" s="3"/>
      <c r="V760" s="3"/>
      <c r="W760" s="3"/>
      <c r="X760" s="3"/>
      <c r="Y760" s="37">
        <f t="shared" si="132"/>
        <v>3.1336077060133104E-3</v>
      </c>
      <c r="Z760" s="37">
        <f t="shared" si="135"/>
        <v>-5.7655703164590157</v>
      </c>
      <c r="AA760" s="149">
        <f t="shared" si="136"/>
        <v>-1.8067035573217573E-2</v>
      </c>
      <c r="AB760" s="3"/>
      <c r="AC760" s="3"/>
    </row>
    <row r="761" spans="1:32" ht="20.25" customHeight="1">
      <c r="A761" s="35">
        <v>43019</v>
      </c>
      <c r="B761" s="53">
        <v>2</v>
      </c>
      <c r="C761" s="65" t="s">
        <v>223</v>
      </c>
      <c r="D761" s="65" t="s">
        <v>267</v>
      </c>
      <c r="E761" s="65" t="s">
        <v>278</v>
      </c>
      <c r="F761" s="65" t="s">
        <v>279</v>
      </c>
      <c r="G761" s="65" t="s">
        <v>280</v>
      </c>
      <c r="H761" s="36" t="s">
        <v>284</v>
      </c>
      <c r="I761" s="36" t="s">
        <v>285</v>
      </c>
      <c r="J761" s="36">
        <v>299</v>
      </c>
      <c r="K761" s="36" t="s">
        <v>247</v>
      </c>
      <c r="L761" s="36" t="s">
        <v>24</v>
      </c>
      <c r="M761" s="36">
        <v>317</v>
      </c>
      <c r="N761" s="3">
        <f t="shared" si="141"/>
        <v>94.321766561514195</v>
      </c>
      <c r="O761" s="36">
        <v>22.285545562340928</v>
      </c>
      <c r="P761" s="8">
        <f t="shared" si="140"/>
        <v>21.020120262271096</v>
      </c>
      <c r="Q761" s="36">
        <v>2086.9554571104859</v>
      </c>
      <c r="R761" s="40">
        <f t="shared" ref="R761:R764" si="142">P761/Q761*100</f>
        <v>1.0072146097154706</v>
      </c>
      <c r="S761" s="36"/>
      <c r="T761" s="53">
        <v>1000</v>
      </c>
      <c r="U761" s="53"/>
      <c r="V761" s="36">
        <v>1000</v>
      </c>
      <c r="W761" s="36"/>
      <c r="X761" s="36"/>
      <c r="Y761" s="37">
        <f t="shared" si="132"/>
        <v>1.0072146097154707E-2</v>
      </c>
      <c r="Z761" s="37">
        <f t="shared" si="135"/>
        <v>-4.5979814770678189</v>
      </c>
      <c r="AA761" s="149">
        <f t="shared" si="136"/>
        <v>-4.6311541189038269E-2</v>
      </c>
      <c r="AB761" s="36">
        <f>SUM(AA761:AA767)*(-1)</f>
        <v>0.69958715074006528</v>
      </c>
      <c r="AC761" s="36">
        <v>7</v>
      </c>
      <c r="AD761" s="98">
        <f t="shared" ref="AD761" si="143">LN(AC761)</f>
        <v>1.9459101490553132</v>
      </c>
      <c r="AE761" s="98">
        <f>(AB761/AD761)</f>
        <v>0.35951667710849644</v>
      </c>
      <c r="AF761" s="38" t="s">
        <v>710</v>
      </c>
    </row>
    <row r="762" spans="1:32" ht="20.25" customHeight="1">
      <c r="A762" s="35">
        <v>43019</v>
      </c>
      <c r="B762" s="53">
        <v>2</v>
      </c>
      <c r="C762" s="36" t="s">
        <v>223</v>
      </c>
      <c r="D762" s="36" t="s">
        <v>267</v>
      </c>
      <c r="E762" s="36"/>
      <c r="F762" s="36" t="s">
        <v>273</v>
      </c>
      <c r="G762" s="36"/>
      <c r="H762" s="36"/>
      <c r="I762" s="36"/>
      <c r="J762" s="36">
        <v>1</v>
      </c>
      <c r="K762" s="36" t="s">
        <v>508</v>
      </c>
      <c r="L762" s="36" t="s">
        <v>705</v>
      </c>
      <c r="M762" s="36">
        <v>317</v>
      </c>
      <c r="N762" s="3">
        <f t="shared" si="141"/>
        <v>0.31545741324921134</v>
      </c>
      <c r="O762" s="36">
        <v>22.285545562340928</v>
      </c>
      <c r="P762" s="8">
        <f t="shared" si="140"/>
        <v>7.0301405559435107E-2</v>
      </c>
      <c r="Q762" s="36">
        <v>2086.9554571104859</v>
      </c>
      <c r="R762" s="40">
        <f t="shared" si="142"/>
        <v>3.3686107348343502E-3</v>
      </c>
      <c r="S762" s="36"/>
      <c r="T762" s="53">
        <v>1000</v>
      </c>
      <c r="U762" s="53"/>
      <c r="V762" s="36">
        <v>1000</v>
      </c>
      <c r="W762" s="36"/>
      <c r="X762" s="36"/>
      <c r="Y762" s="37">
        <f t="shared" si="132"/>
        <v>3.3686107348343501E-5</v>
      </c>
      <c r="Z762" s="37">
        <f t="shared" si="135"/>
        <v>-10.298425050458505</v>
      </c>
      <c r="AA762" s="149">
        <f t="shared" si="136"/>
        <v>-3.4691385176861502E-4</v>
      </c>
      <c r="AB762" s="36"/>
      <c r="AC762" s="36"/>
      <c r="AD762" s="36"/>
      <c r="AE762" s="36"/>
    </row>
    <row r="763" spans="1:32" ht="20.25" customHeight="1">
      <c r="A763" s="35">
        <v>43019</v>
      </c>
      <c r="B763" s="53">
        <v>2</v>
      </c>
      <c r="C763" s="36" t="s">
        <v>223</v>
      </c>
      <c r="D763" s="36" t="s">
        <v>224</v>
      </c>
      <c r="E763" s="36" t="s">
        <v>225</v>
      </c>
      <c r="F763" s="36" t="s">
        <v>521</v>
      </c>
      <c r="G763" s="36" t="s">
        <v>522</v>
      </c>
      <c r="H763" s="36" t="s">
        <v>523</v>
      </c>
      <c r="I763" s="36" t="s">
        <v>551</v>
      </c>
      <c r="J763" s="36">
        <v>1</v>
      </c>
      <c r="K763" s="36" t="s">
        <v>247</v>
      </c>
      <c r="L763" s="36" t="s">
        <v>524</v>
      </c>
      <c r="M763" s="36">
        <v>317</v>
      </c>
      <c r="N763" s="3">
        <f t="shared" si="141"/>
        <v>0.31545741324921134</v>
      </c>
      <c r="O763" s="36">
        <v>22.285545562340928</v>
      </c>
      <c r="P763" s="8">
        <f t="shared" si="140"/>
        <v>7.0301405559435107E-2</v>
      </c>
      <c r="Q763" s="36">
        <v>2086.9554571104859</v>
      </c>
      <c r="R763" s="40">
        <f t="shared" si="142"/>
        <v>3.3686107348343502E-3</v>
      </c>
      <c r="S763" s="36"/>
      <c r="T763" s="53">
        <v>1000</v>
      </c>
      <c r="U763" s="53"/>
      <c r="V763" s="36">
        <v>1000</v>
      </c>
      <c r="W763" s="36"/>
      <c r="X763" s="36"/>
      <c r="Y763" s="37">
        <f t="shared" si="132"/>
        <v>3.3686107348343501E-5</v>
      </c>
      <c r="Z763" s="37">
        <f t="shared" si="135"/>
        <v>-10.298425050458505</v>
      </c>
      <c r="AA763" s="149">
        <f t="shared" si="136"/>
        <v>-3.4691385176861502E-4</v>
      </c>
      <c r="AB763" s="36"/>
      <c r="AC763" s="36"/>
      <c r="AD763" s="36"/>
      <c r="AE763" s="36"/>
    </row>
    <row r="764" spans="1:32" ht="20.25" customHeight="1">
      <c r="A764" s="35">
        <v>43019</v>
      </c>
      <c r="B764" s="53">
        <v>2</v>
      </c>
      <c r="C764" s="36" t="s">
        <v>328</v>
      </c>
      <c r="D764" s="36" t="s">
        <v>706</v>
      </c>
      <c r="E764" s="36"/>
      <c r="F764" s="36"/>
      <c r="G764" s="36"/>
      <c r="H764" s="36"/>
      <c r="I764" s="36"/>
      <c r="J764" s="36">
        <v>16</v>
      </c>
      <c r="K764" s="36" t="s">
        <v>328</v>
      </c>
      <c r="L764" s="36" t="s">
        <v>328</v>
      </c>
      <c r="M764" s="36">
        <v>317</v>
      </c>
      <c r="N764" s="3">
        <f t="shared" si="141"/>
        <v>5.0473186119873814</v>
      </c>
      <c r="O764" s="36">
        <v>22.285545562340928</v>
      </c>
      <c r="P764" s="8">
        <f t="shared" si="140"/>
        <v>1.1248224889509617</v>
      </c>
      <c r="Q764" s="36">
        <v>2086.9554571104859</v>
      </c>
      <c r="R764" s="40">
        <f t="shared" si="142"/>
        <v>5.3897771757349604E-2</v>
      </c>
      <c r="S764" s="36"/>
      <c r="T764" s="53">
        <v>1000</v>
      </c>
      <c r="U764" s="53"/>
      <c r="V764" s="36">
        <v>1000</v>
      </c>
      <c r="W764" s="36"/>
      <c r="X764" s="36"/>
      <c r="Y764" s="37">
        <f t="shared" si="132"/>
        <v>5.3897771757349601E-4</v>
      </c>
      <c r="Z764" s="37">
        <f t="shared" si="135"/>
        <v>-7.5258363282187242</v>
      </c>
      <c r="AA764" s="149">
        <f t="shared" si="136"/>
        <v>-4.0562580870150281E-3</v>
      </c>
      <c r="AB764" s="36"/>
      <c r="AC764" s="36"/>
      <c r="AD764" s="36"/>
      <c r="AE764" s="36"/>
    </row>
    <row r="765" spans="1:32" customFormat="1" ht="20.25" customHeight="1">
      <c r="A765" s="31">
        <v>43019</v>
      </c>
      <c r="B765" s="39">
        <v>2</v>
      </c>
      <c r="C765" s="32" t="s">
        <v>223</v>
      </c>
      <c r="D765" s="32" t="s">
        <v>224</v>
      </c>
      <c r="E765" s="32" t="s">
        <v>225</v>
      </c>
      <c r="F765" s="32" t="s">
        <v>226</v>
      </c>
      <c r="G765" s="32" t="s">
        <v>227</v>
      </c>
      <c r="H765" s="32" t="s">
        <v>228</v>
      </c>
      <c r="I765" s="32"/>
      <c r="J765" s="32">
        <v>104</v>
      </c>
      <c r="K765" s="32" t="s">
        <v>229</v>
      </c>
      <c r="L765" s="32" t="s">
        <v>228</v>
      </c>
      <c r="M765" s="32">
        <v>150</v>
      </c>
      <c r="N765" s="32">
        <f t="shared" si="141"/>
        <v>69.333333333333343</v>
      </c>
      <c r="O765" s="32">
        <v>2064.6699115481451</v>
      </c>
      <c r="P765" s="116">
        <f t="shared" si="140"/>
        <v>1431.5044720067142</v>
      </c>
      <c r="Q765" s="32">
        <v>2064.6699115481451</v>
      </c>
      <c r="R765" s="40">
        <f t="shared" ref="R765:R818" si="144">P765/Q765*100</f>
        <v>69.333333333333343</v>
      </c>
      <c r="S765" s="116"/>
      <c r="T765" s="32">
        <v>250</v>
      </c>
      <c r="U765" s="32"/>
      <c r="V765" s="32"/>
      <c r="W765" s="32"/>
      <c r="X765" s="3"/>
      <c r="Y765" s="37">
        <f t="shared" si="132"/>
        <v>0.69333333333333347</v>
      </c>
      <c r="Z765" s="37">
        <f t="shared" si="135"/>
        <v>-0.36624439495488287</v>
      </c>
      <c r="AA765" s="149">
        <f t="shared" si="136"/>
        <v>-0.25392944716871885</v>
      </c>
      <c r="AB765" s="3"/>
      <c r="AC765" s="3"/>
    </row>
    <row r="766" spans="1:32" customFormat="1" ht="20.25" customHeight="1">
      <c r="A766" s="31">
        <v>43019</v>
      </c>
      <c r="B766" s="39">
        <v>2</v>
      </c>
      <c r="C766" s="32" t="s">
        <v>223</v>
      </c>
      <c r="D766" s="32" t="s">
        <v>224</v>
      </c>
      <c r="E766" s="32" t="s">
        <v>225</v>
      </c>
      <c r="F766" s="32" t="s">
        <v>226</v>
      </c>
      <c r="G766" s="32" t="s">
        <v>239</v>
      </c>
      <c r="H766" s="32" t="s">
        <v>240</v>
      </c>
      <c r="I766" s="32"/>
      <c r="J766" s="32">
        <v>45</v>
      </c>
      <c r="K766" s="32" t="s">
        <v>229</v>
      </c>
      <c r="L766" s="32" t="s">
        <v>240</v>
      </c>
      <c r="M766" s="32">
        <v>150</v>
      </c>
      <c r="N766" s="32">
        <f t="shared" si="141"/>
        <v>30</v>
      </c>
      <c r="O766" s="32">
        <v>2064.6699115481451</v>
      </c>
      <c r="P766" s="116">
        <f t="shared" si="140"/>
        <v>619.4009734644435</v>
      </c>
      <c r="Q766" s="32">
        <v>2064.6699115481451</v>
      </c>
      <c r="R766" s="40">
        <f t="shared" si="144"/>
        <v>30</v>
      </c>
      <c r="S766" s="116"/>
      <c r="T766" s="32">
        <v>250</v>
      </c>
      <c r="U766" s="32"/>
      <c r="V766" s="32"/>
      <c r="W766" s="32"/>
      <c r="X766" s="3"/>
      <c r="Y766" s="37">
        <f t="shared" si="132"/>
        <v>0.3</v>
      </c>
      <c r="Z766" s="37">
        <f t="shared" si="135"/>
        <v>-1.2039728043259361</v>
      </c>
      <c r="AA766" s="149">
        <f t="shared" si="136"/>
        <v>-0.36119184129778081</v>
      </c>
      <c r="AB766" s="3"/>
      <c r="AC766" s="3"/>
    </row>
    <row r="767" spans="1:32" customFormat="1" ht="20.25" customHeight="1">
      <c r="A767" s="31">
        <v>43019</v>
      </c>
      <c r="B767" s="39">
        <v>2</v>
      </c>
      <c r="C767" s="32" t="s">
        <v>223</v>
      </c>
      <c r="D767" s="32" t="s">
        <v>317</v>
      </c>
      <c r="E767" s="32" t="s">
        <v>314</v>
      </c>
      <c r="F767" s="32" t="s">
        <v>346</v>
      </c>
      <c r="G767" s="32" t="s">
        <v>315</v>
      </c>
      <c r="H767" s="32" t="s">
        <v>347</v>
      </c>
      <c r="I767" s="32"/>
      <c r="J767" s="32">
        <v>1</v>
      </c>
      <c r="K767" s="32" t="s">
        <v>229</v>
      </c>
      <c r="L767" s="32" t="s">
        <v>345</v>
      </c>
      <c r="M767" s="32">
        <v>150</v>
      </c>
      <c r="N767" s="32">
        <f t="shared" si="141"/>
        <v>0.66666666666666674</v>
      </c>
      <c r="O767" s="32">
        <v>2064.6699115481451</v>
      </c>
      <c r="P767" s="116">
        <f t="shared" si="140"/>
        <v>13.764466076987635</v>
      </c>
      <c r="Q767" s="32">
        <v>2064.6699115481451</v>
      </c>
      <c r="R767" s="40">
        <f t="shared" si="144"/>
        <v>0.66666666666666674</v>
      </c>
      <c r="S767" s="116"/>
      <c r="T767" s="32">
        <v>250</v>
      </c>
      <c r="U767" s="32"/>
      <c r="V767" s="32"/>
      <c r="W767" s="32"/>
      <c r="X767" s="3"/>
      <c r="Y767" s="37">
        <f t="shared" si="132"/>
        <v>6.6666666666666671E-3</v>
      </c>
      <c r="Z767" s="37">
        <f t="shared" si="135"/>
        <v>-5.0106352940962555</v>
      </c>
      <c r="AA767" s="149">
        <f t="shared" si="136"/>
        <v>-3.3404235293975036E-2</v>
      </c>
      <c r="AB767" s="3"/>
      <c r="AC767" s="3"/>
    </row>
    <row r="768" spans="1:32" customFormat="1" ht="20.25" customHeight="1">
      <c r="A768" s="13">
        <v>43019</v>
      </c>
      <c r="B768" s="53">
        <v>4</v>
      </c>
      <c r="C768" s="36" t="s">
        <v>223</v>
      </c>
      <c r="D768" s="36" t="s">
        <v>267</v>
      </c>
      <c r="E768" s="3"/>
      <c r="F768" s="36" t="s">
        <v>652</v>
      </c>
      <c r="G768" s="3"/>
      <c r="H768" s="36" t="s">
        <v>649</v>
      </c>
      <c r="I768" s="36" t="s">
        <v>650</v>
      </c>
      <c r="J768" s="36">
        <v>1</v>
      </c>
      <c r="K768" s="36" t="s">
        <v>247</v>
      </c>
      <c r="L768" s="36" t="s">
        <v>651</v>
      </c>
      <c r="M768" s="3">
        <v>214</v>
      </c>
      <c r="N768" s="3">
        <f t="shared" si="141"/>
        <v>0.46728971962616817</v>
      </c>
      <c r="O768" s="36">
        <v>25.215975616701474</v>
      </c>
      <c r="P768" s="8">
        <f t="shared" si="140"/>
        <v>0.11783166176028725</v>
      </c>
      <c r="Q768" s="36">
        <v>1869.4253510962228</v>
      </c>
      <c r="R768" s="40">
        <f t="shared" si="144"/>
        <v>6.303095317028373E-3</v>
      </c>
      <c r="S768" s="109"/>
      <c r="T768" s="36">
        <v>1000</v>
      </c>
      <c r="U768" s="3"/>
      <c r="V768" s="3"/>
      <c r="W768" s="3"/>
      <c r="X768" s="3"/>
      <c r="Y768" s="37">
        <f t="shared" si="132"/>
        <v>6.3030953170283734E-5</v>
      </c>
      <c r="Z768" s="37">
        <f t="shared" si="135"/>
        <v>-9.671884632067739</v>
      </c>
      <c r="AA768" s="149">
        <f t="shared" si="136"/>
        <v>-6.0962810731224858E-4</v>
      </c>
      <c r="AB768" s="3">
        <f>SUM(AA768:AA783)*(-1)</f>
        <v>1.6372715793296624</v>
      </c>
      <c r="AC768" s="3">
        <v>16</v>
      </c>
      <c r="AD768" s="98">
        <f t="shared" ref="AD768" si="145">LN(AC768)</f>
        <v>2.7725887222397811</v>
      </c>
      <c r="AE768" s="98">
        <f>(AB768/AD768)</f>
        <v>0.5905208970218363</v>
      </c>
    </row>
    <row r="769" spans="1:31" customFormat="1" ht="20.25" customHeight="1">
      <c r="A769" s="13">
        <v>43019</v>
      </c>
      <c r="B769" s="53">
        <v>4</v>
      </c>
      <c r="C769" s="36" t="s">
        <v>223</v>
      </c>
      <c r="D769" s="36" t="s">
        <v>224</v>
      </c>
      <c r="E769" s="36" t="s">
        <v>225</v>
      </c>
      <c r="F769" s="36" t="s">
        <v>555</v>
      </c>
      <c r="G769" s="36" t="s">
        <v>556</v>
      </c>
      <c r="H769" s="36" t="s">
        <v>557</v>
      </c>
      <c r="I769" s="36"/>
      <c r="J769" s="36">
        <v>1</v>
      </c>
      <c r="K769" s="36" t="s">
        <v>229</v>
      </c>
      <c r="L769" s="36" t="s">
        <v>557</v>
      </c>
      <c r="M769" s="3">
        <v>214</v>
      </c>
      <c r="N769" s="3">
        <f t="shared" si="141"/>
        <v>0.46728971962616817</v>
      </c>
      <c r="O769" s="36">
        <v>25.215975616701474</v>
      </c>
      <c r="P769" s="8">
        <f t="shared" si="140"/>
        <v>0.11783166176028725</v>
      </c>
      <c r="Q769" s="36">
        <v>1869.4253510962228</v>
      </c>
      <c r="R769" s="40">
        <f t="shared" si="144"/>
        <v>6.303095317028373E-3</v>
      </c>
      <c r="S769" s="109"/>
      <c r="T769" s="36">
        <v>1000</v>
      </c>
      <c r="U769" s="3"/>
      <c r="V769" s="3"/>
      <c r="W769" s="3"/>
      <c r="X769" s="3"/>
      <c r="Y769" s="37">
        <f t="shared" si="132"/>
        <v>6.3030953170283734E-5</v>
      </c>
      <c r="Z769" s="37">
        <f t="shared" si="135"/>
        <v>-9.671884632067739</v>
      </c>
      <c r="AA769" s="149">
        <f t="shared" si="136"/>
        <v>-6.0962810731224858E-4</v>
      </c>
      <c r="AB769" s="3"/>
      <c r="AC769" s="3"/>
    </row>
    <row r="770" spans="1:31" customFormat="1" ht="20.25" customHeight="1">
      <c r="A770" s="13">
        <v>43019</v>
      </c>
      <c r="B770" s="53">
        <v>4</v>
      </c>
      <c r="C770" s="36" t="s">
        <v>526</v>
      </c>
      <c r="D770" s="36" t="s">
        <v>267</v>
      </c>
      <c r="E770" s="36" t="s">
        <v>278</v>
      </c>
      <c r="F770" s="36" t="s">
        <v>272</v>
      </c>
      <c r="G770" s="36" t="s">
        <v>527</v>
      </c>
      <c r="H770" s="36" t="s">
        <v>528</v>
      </c>
      <c r="I770" s="36" t="s">
        <v>529</v>
      </c>
      <c r="J770" s="36">
        <v>1</v>
      </c>
      <c r="K770" s="36" t="s">
        <v>247</v>
      </c>
      <c r="L770" s="36" t="s">
        <v>530</v>
      </c>
      <c r="M770" s="3">
        <v>214</v>
      </c>
      <c r="N770" s="3">
        <f t="shared" si="141"/>
        <v>0.46728971962616817</v>
      </c>
      <c r="O770" s="36">
        <v>25.215975616701474</v>
      </c>
      <c r="P770" s="8">
        <f t="shared" si="140"/>
        <v>0.11783166176028725</v>
      </c>
      <c r="Q770" s="36">
        <v>1869.4253510962228</v>
      </c>
      <c r="R770" s="40">
        <f t="shared" si="144"/>
        <v>6.303095317028373E-3</v>
      </c>
      <c r="S770" s="109"/>
      <c r="T770" s="36">
        <v>1000</v>
      </c>
      <c r="U770" s="3"/>
      <c r="V770" s="3"/>
      <c r="W770" s="3"/>
      <c r="X770" s="3"/>
      <c r="Y770" s="37">
        <f t="shared" si="132"/>
        <v>6.3030953170283734E-5</v>
      </c>
      <c r="Z770" s="37">
        <f t="shared" si="135"/>
        <v>-9.671884632067739</v>
      </c>
      <c r="AA770" s="149">
        <f t="shared" si="136"/>
        <v>-6.0962810731224858E-4</v>
      </c>
      <c r="AB770" s="3"/>
      <c r="AC770" s="3"/>
    </row>
    <row r="771" spans="1:31" customFormat="1" ht="20.25" customHeight="1">
      <c r="A771" s="13">
        <v>43019</v>
      </c>
      <c r="B771" s="53">
        <v>4</v>
      </c>
      <c r="C771" s="36" t="s">
        <v>223</v>
      </c>
      <c r="D771" s="36" t="s">
        <v>224</v>
      </c>
      <c r="E771" s="36" t="s">
        <v>225</v>
      </c>
      <c r="F771" s="36" t="s">
        <v>521</v>
      </c>
      <c r="G771" s="36" t="s">
        <v>522</v>
      </c>
      <c r="H771" s="36" t="s">
        <v>523</v>
      </c>
      <c r="I771" s="36" t="s">
        <v>551</v>
      </c>
      <c r="J771" s="36">
        <v>1</v>
      </c>
      <c r="K771" s="36" t="s">
        <v>247</v>
      </c>
      <c r="L771" s="36" t="s">
        <v>524</v>
      </c>
      <c r="M771" s="3">
        <v>214</v>
      </c>
      <c r="N771" s="3">
        <f t="shared" si="141"/>
        <v>0.46728971962616817</v>
      </c>
      <c r="O771" s="36">
        <v>25.215975616701474</v>
      </c>
      <c r="P771" s="8">
        <f t="shared" si="140"/>
        <v>0.11783166176028725</v>
      </c>
      <c r="Q771" s="36">
        <v>1869.4253510962228</v>
      </c>
      <c r="R771" s="40">
        <f t="shared" si="144"/>
        <v>6.303095317028373E-3</v>
      </c>
      <c r="S771" s="109"/>
      <c r="T771" s="36">
        <v>1000</v>
      </c>
      <c r="U771" s="3"/>
      <c r="V771" s="3"/>
      <c r="W771" s="3"/>
      <c r="X771" s="3"/>
      <c r="Y771" s="37">
        <f t="shared" si="132"/>
        <v>6.3030953170283734E-5</v>
      </c>
      <c r="Z771" s="37">
        <f t="shared" si="135"/>
        <v>-9.671884632067739</v>
      </c>
      <c r="AA771" s="149">
        <f t="shared" si="136"/>
        <v>-6.0962810731224858E-4</v>
      </c>
      <c r="AB771" s="3"/>
      <c r="AC771" s="3"/>
    </row>
    <row r="772" spans="1:31" customFormat="1" ht="20.25" customHeight="1">
      <c r="A772" s="13">
        <v>43019</v>
      </c>
      <c r="B772" s="53">
        <v>4</v>
      </c>
      <c r="C772" s="65" t="s">
        <v>223</v>
      </c>
      <c r="D772" s="65" t="s">
        <v>267</v>
      </c>
      <c r="E772" s="65" t="s">
        <v>278</v>
      </c>
      <c r="F772" s="65" t="s">
        <v>279</v>
      </c>
      <c r="G772" s="65" t="s">
        <v>280</v>
      </c>
      <c r="H772" s="36" t="s">
        <v>284</v>
      </c>
      <c r="I772" s="36" t="s">
        <v>285</v>
      </c>
      <c r="J772" s="36">
        <v>193</v>
      </c>
      <c r="K772" s="36" t="s">
        <v>247</v>
      </c>
      <c r="L772" s="36" t="s">
        <v>24</v>
      </c>
      <c r="M772" s="3">
        <v>214</v>
      </c>
      <c r="N772" s="3">
        <f t="shared" si="141"/>
        <v>90.186915887850475</v>
      </c>
      <c r="O772" s="36">
        <v>25.215975616701474</v>
      </c>
      <c r="P772" s="8">
        <f t="shared" si="140"/>
        <v>22.741510719735444</v>
      </c>
      <c r="Q772" s="36">
        <v>1869.4253510962228</v>
      </c>
      <c r="R772" s="40">
        <f t="shared" si="144"/>
        <v>1.2164973961864765</v>
      </c>
      <c r="S772" s="109"/>
      <c r="T772" s="36">
        <v>1000</v>
      </c>
      <c r="U772" s="3"/>
      <c r="V772" s="3"/>
      <c r="W772" s="3"/>
      <c r="X772" s="3"/>
      <c r="Y772" s="37">
        <f t="shared" ref="Y772:Y818" si="146">(R772/100)</f>
        <v>1.2164973961864764E-2</v>
      </c>
      <c r="Z772" s="37">
        <f t="shared" si="135"/>
        <v>-4.4091944431628534</v>
      </c>
      <c r="AA772" s="149">
        <f t="shared" si="136"/>
        <v>-5.363773559387492E-2</v>
      </c>
      <c r="AB772" s="3"/>
      <c r="AC772" s="3"/>
    </row>
    <row r="773" spans="1:31" customFormat="1" ht="20.25" customHeight="1">
      <c r="A773" s="13">
        <v>43019</v>
      </c>
      <c r="B773" s="53">
        <v>4</v>
      </c>
      <c r="C773" s="36" t="s">
        <v>223</v>
      </c>
      <c r="D773" s="36" t="s">
        <v>267</v>
      </c>
      <c r="E773" s="36"/>
      <c r="F773" s="36" t="s">
        <v>273</v>
      </c>
      <c r="G773" s="36" t="s">
        <v>274</v>
      </c>
      <c r="H773" s="36" t="s">
        <v>275</v>
      </c>
      <c r="I773" s="36" t="s">
        <v>276</v>
      </c>
      <c r="J773" s="36">
        <v>17</v>
      </c>
      <c r="K773" s="36" t="s">
        <v>247</v>
      </c>
      <c r="L773" s="36" t="s">
        <v>275</v>
      </c>
      <c r="M773" s="3">
        <v>214</v>
      </c>
      <c r="N773" s="3">
        <f t="shared" si="141"/>
        <v>7.9439252336448591</v>
      </c>
      <c r="O773" s="36">
        <v>25.215975616701474</v>
      </c>
      <c r="P773" s="8">
        <f t="shared" si="140"/>
        <v>2.0031382499248833</v>
      </c>
      <c r="Q773" s="36">
        <v>1869.4253510962228</v>
      </c>
      <c r="R773" s="40">
        <f t="shared" si="144"/>
        <v>0.10715262038948235</v>
      </c>
      <c r="S773" s="109"/>
      <c r="T773" s="36">
        <v>1000</v>
      </c>
      <c r="U773" s="3"/>
      <c r="V773" s="3"/>
      <c r="W773" s="3"/>
      <c r="X773" s="3"/>
      <c r="Y773" s="37">
        <f t="shared" si="146"/>
        <v>1.0715262038948235E-3</v>
      </c>
      <c r="Z773" s="37">
        <f t="shared" si="135"/>
        <v>-6.8386712880115237</v>
      </c>
      <c r="AA773" s="149">
        <f t="shared" si="136"/>
        <v>-7.327815484927511E-3</v>
      </c>
      <c r="AB773" s="3"/>
      <c r="AC773" s="3"/>
    </row>
    <row r="774" spans="1:31" customFormat="1" ht="20.25" customHeight="1">
      <c r="A774" s="13">
        <v>43019</v>
      </c>
      <c r="B774" s="53">
        <v>4</v>
      </c>
      <c r="C774" s="3" t="s">
        <v>223</v>
      </c>
      <c r="D774" s="3" t="s">
        <v>224</v>
      </c>
      <c r="E774" s="3" t="s">
        <v>225</v>
      </c>
      <c r="F774" s="3" t="s">
        <v>226</v>
      </c>
      <c r="G774" s="3" t="s">
        <v>227</v>
      </c>
      <c r="H774" s="3" t="s">
        <v>228</v>
      </c>
      <c r="I774" s="3"/>
      <c r="J774" s="36">
        <v>63</v>
      </c>
      <c r="K774" s="3" t="s">
        <v>229</v>
      </c>
      <c r="L774" s="36" t="s">
        <v>228</v>
      </c>
      <c r="M774" s="3">
        <v>248</v>
      </c>
      <c r="N774" s="3">
        <f t="shared" si="141"/>
        <v>25.403225806451612</v>
      </c>
      <c r="O774" s="36">
        <v>1844.2093754795214</v>
      </c>
      <c r="P774" s="8">
        <f t="shared" si="140"/>
        <v>468.48867199681393</v>
      </c>
      <c r="Q774" s="36">
        <v>1869.4253510962228</v>
      </c>
      <c r="R774" s="40">
        <f t="shared" si="144"/>
        <v>25.060571245708967</v>
      </c>
      <c r="S774" s="109"/>
      <c r="T774" s="36">
        <v>250</v>
      </c>
      <c r="U774" s="3"/>
      <c r="V774" s="3"/>
      <c r="W774" s="3"/>
      <c r="X774" s="3"/>
      <c r="Y774" s="37">
        <f t="shared" si="146"/>
        <v>0.25060571245708968</v>
      </c>
      <c r="Z774" s="37">
        <f t="shared" si="135"/>
        <v>-1.3838744416599034</v>
      </c>
      <c r="AA774" s="149">
        <f t="shared" si="136"/>
        <v>-0.34680684040333726</v>
      </c>
      <c r="AB774" s="3"/>
      <c r="AC774" s="3"/>
    </row>
    <row r="775" spans="1:31" customFormat="1" ht="20.25" customHeight="1">
      <c r="A775" s="13">
        <v>43019</v>
      </c>
      <c r="B775" s="53">
        <v>4</v>
      </c>
      <c r="C775" s="36" t="s">
        <v>223</v>
      </c>
      <c r="D775" s="36" t="s">
        <v>224</v>
      </c>
      <c r="E775" s="36" t="s">
        <v>225</v>
      </c>
      <c r="F775" s="36" t="s">
        <v>226</v>
      </c>
      <c r="G775" s="36" t="s">
        <v>239</v>
      </c>
      <c r="H775" s="36" t="s">
        <v>240</v>
      </c>
      <c r="I775" s="3"/>
      <c r="J775" s="36">
        <v>105</v>
      </c>
      <c r="K775" s="3" t="s">
        <v>229</v>
      </c>
      <c r="L775" s="36" t="s">
        <v>240</v>
      </c>
      <c r="M775" s="3">
        <v>248</v>
      </c>
      <c r="N775" s="3">
        <f t="shared" si="141"/>
        <v>42.338709677419359</v>
      </c>
      <c r="O775" s="36">
        <v>1844.2093754795214</v>
      </c>
      <c r="P775" s="8">
        <f t="shared" si="140"/>
        <v>780.81445332802332</v>
      </c>
      <c r="Q775" s="36">
        <v>1869.4253510962228</v>
      </c>
      <c r="R775" s="40">
        <f t="shared" si="144"/>
        <v>41.767618742848285</v>
      </c>
      <c r="S775" s="109"/>
      <c r="T775" s="36">
        <v>250</v>
      </c>
      <c r="U775" s="3"/>
      <c r="V775" s="3"/>
      <c r="W775" s="3"/>
      <c r="X775" s="3"/>
      <c r="Y775" s="37">
        <f t="shared" si="146"/>
        <v>0.41767618742848284</v>
      </c>
      <c r="Z775" s="37">
        <f t="shared" si="135"/>
        <v>-0.87304881789391264</v>
      </c>
      <c r="AA775" s="149">
        <f t="shared" si="136"/>
        <v>-0.36465170169687322</v>
      </c>
      <c r="AB775" s="3"/>
      <c r="AC775" s="3"/>
    </row>
    <row r="776" spans="1:31" customFormat="1" ht="20.25" customHeight="1">
      <c r="A776" s="13">
        <v>43019</v>
      </c>
      <c r="B776" s="53">
        <v>4</v>
      </c>
      <c r="C776" s="36" t="s">
        <v>223</v>
      </c>
      <c r="D776" s="36" t="s">
        <v>303</v>
      </c>
      <c r="E776" s="36" t="s">
        <v>304</v>
      </c>
      <c r="F776" s="36" t="s">
        <v>305</v>
      </c>
      <c r="G776" s="36" t="s">
        <v>306</v>
      </c>
      <c r="H776" s="36" t="s">
        <v>307</v>
      </c>
      <c r="I776" s="36"/>
      <c r="J776" s="36">
        <v>3</v>
      </c>
      <c r="K776" s="3" t="s">
        <v>229</v>
      </c>
      <c r="L776" s="3" t="s">
        <v>307</v>
      </c>
      <c r="M776" s="3">
        <v>248</v>
      </c>
      <c r="N776" s="3">
        <f t="shared" si="141"/>
        <v>1.2096774193548387</v>
      </c>
      <c r="O776" s="36">
        <v>1844.2093754795214</v>
      </c>
      <c r="P776" s="8">
        <f t="shared" si="140"/>
        <v>22.308984380800663</v>
      </c>
      <c r="Q776" s="36">
        <v>1869.4253510962228</v>
      </c>
      <c r="R776" s="40">
        <f t="shared" si="144"/>
        <v>1.1933605355099508</v>
      </c>
      <c r="S776" s="109"/>
      <c r="T776" s="36">
        <v>250</v>
      </c>
      <c r="U776" s="3" t="s">
        <v>659</v>
      </c>
      <c r="V776" s="3"/>
      <c r="W776" s="3"/>
      <c r="X776" s="3"/>
      <c r="Y776" s="37">
        <f t="shared" si="146"/>
        <v>1.1933605355099509E-2</v>
      </c>
      <c r="Z776" s="37">
        <f t="shared" si="135"/>
        <v>-4.4283968793833264</v>
      </c>
      <c r="AA776" s="149">
        <f t="shared" si="136"/>
        <v>-5.2846740714314819E-2</v>
      </c>
      <c r="AB776" s="3"/>
      <c r="AC776" s="3"/>
    </row>
    <row r="777" spans="1:31" customFormat="1" ht="20.25" customHeight="1">
      <c r="A777" s="13">
        <v>43019</v>
      </c>
      <c r="B777" s="53">
        <v>4</v>
      </c>
      <c r="C777" s="65" t="s">
        <v>223</v>
      </c>
      <c r="D777" s="65" t="s">
        <v>224</v>
      </c>
      <c r="E777" s="65" t="s">
        <v>225</v>
      </c>
      <c r="F777" s="65" t="s">
        <v>226</v>
      </c>
      <c r="G777" s="65" t="s">
        <v>261</v>
      </c>
      <c r="H777" s="36" t="s">
        <v>262</v>
      </c>
      <c r="I777" s="36"/>
      <c r="J777" s="36">
        <v>9</v>
      </c>
      <c r="K777" s="3" t="s">
        <v>229</v>
      </c>
      <c r="L777" s="36" t="s">
        <v>264</v>
      </c>
      <c r="M777" s="3">
        <v>248</v>
      </c>
      <c r="N777" s="3">
        <f t="shared" si="141"/>
        <v>3.6290322580645165</v>
      </c>
      <c r="O777" s="36">
        <v>1844.2093754795214</v>
      </c>
      <c r="P777" s="8">
        <f t="shared" si="140"/>
        <v>66.926953142401999</v>
      </c>
      <c r="Q777" s="36">
        <v>1869.4253510962228</v>
      </c>
      <c r="R777" s="40">
        <f t="shared" si="144"/>
        <v>3.5800816065298529</v>
      </c>
      <c r="S777" s="109"/>
      <c r="T777" s="36">
        <v>250</v>
      </c>
      <c r="U777" s="3"/>
      <c r="V777" s="3"/>
      <c r="W777" s="3"/>
      <c r="X777" s="3"/>
      <c r="Y777" s="37">
        <f t="shared" si="146"/>
        <v>3.580081606529853E-2</v>
      </c>
      <c r="Z777" s="37">
        <f t="shared" si="135"/>
        <v>-3.3297845907152164</v>
      </c>
      <c r="AA777" s="149">
        <f t="shared" si="136"/>
        <v>-0.11920900566926081</v>
      </c>
      <c r="AB777" s="3"/>
      <c r="AC777" s="3"/>
    </row>
    <row r="778" spans="1:31" customFormat="1" ht="20.25" customHeight="1">
      <c r="A778" s="13">
        <v>43019</v>
      </c>
      <c r="B778" s="53">
        <v>4</v>
      </c>
      <c r="C778" s="3" t="s">
        <v>223</v>
      </c>
      <c r="D778" s="3" t="s">
        <v>224</v>
      </c>
      <c r="E778" s="3" t="s">
        <v>225</v>
      </c>
      <c r="F778" s="3" t="s">
        <v>248</v>
      </c>
      <c r="G778" s="3" t="s">
        <v>249</v>
      </c>
      <c r="H778" s="3" t="s">
        <v>250</v>
      </c>
      <c r="I778" s="3"/>
      <c r="J778" s="3">
        <v>1</v>
      </c>
      <c r="K778" s="3" t="s">
        <v>229</v>
      </c>
      <c r="L778" s="3" t="s">
        <v>250</v>
      </c>
      <c r="M778" s="3">
        <v>248</v>
      </c>
      <c r="N778" s="3">
        <f t="shared" si="141"/>
        <v>0.40322580645161288</v>
      </c>
      <c r="O778" s="36">
        <v>1844.2093754795214</v>
      </c>
      <c r="P778" s="8">
        <f t="shared" si="140"/>
        <v>7.4363281269335539</v>
      </c>
      <c r="Q778" s="36">
        <v>1869.4253510962228</v>
      </c>
      <c r="R778" s="40">
        <f t="shared" si="144"/>
        <v>0.39778684516998364</v>
      </c>
      <c r="S778" s="109"/>
      <c r="T778" s="36">
        <v>250</v>
      </c>
      <c r="U778" s="3"/>
      <c r="V778" s="3"/>
      <c r="W778" s="3"/>
      <c r="X778" s="3"/>
      <c r="Y778" s="37">
        <f t="shared" si="146"/>
        <v>3.9778684516998362E-3</v>
      </c>
      <c r="Z778" s="37">
        <f t="shared" si="135"/>
        <v>-5.5270091680514364</v>
      </c>
      <c r="AA778" s="149">
        <f t="shared" si="136"/>
        <v>-2.1985715401847569E-2</v>
      </c>
      <c r="AB778" s="3"/>
      <c r="AC778" s="3"/>
    </row>
    <row r="779" spans="1:31" customFormat="1" ht="20.25" customHeight="1">
      <c r="A779" s="13">
        <v>43019</v>
      </c>
      <c r="B779" s="53">
        <v>4</v>
      </c>
      <c r="C779" s="36" t="s">
        <v>223</v>
      </c>
      <c r="D779" s="36" t="s">
        <v>224</v>
      </c>
      <c r="E779" s="36" t="s">
        <v>225</v>
      </c>
      <c r="F779" s="36" t="s">
        <v>226</v>
      </c>
      <c r="G779" s="36" t="s">
        <v>253</v>
      </c>
      <c r="H779" s="36" t="s">
        <v>256</v>
      </c>
      <c r="I779" s="3"/>
      <c r="J779" s="36">
        <v>4</v>
      </c>
      <c r="K779" s="3" t="s">
        <v>229</v>
      </c>
      <c r="L779" s="36" t="s">
        <v>256</v>
      </c>
      <c r="M779" s="3">
        <v>248</v>
      </c>
      <c r="N779" s="3">
        <f t="shared" si="141"/>
        <v>1.6129032258064515</v>
      </c>
      <c r="O779" s="36">
        <v>1844.2093754795214</v>
      </c>
      <c r="P779" s="8">
        <f t="shared" si="140"/>
        <v>29.745312507734216</v>
      </c>
      <c r="Q779" s="36">
        <v>1869.4253510962228</v>
      </c>
      <c r="R779" s="40">
        <f t="shared" si="144"/>
        <v>1.5911473806799346</v>
      </c>
      <c r="S779" s="109"/>
      <c r="T779" s="36">
        <v>250</v>
      </c>
      <c r="U779" s="3"/>
      <c r="V779" s="3"/>
      <c r="W779" s="3"/>
      <c r="X779" s="3"/>
      <c r="Y779" s="37">
        <f t="shared" si="146"/>
        <v>1.5911473806799345E-2</v>
      </c>
      <c r="Z779" s="37">
        <f t="shared" si="135"/>
        <v>-4.1407148069315456</v>
      </c>
      <c r="AA779" s="149">
        <f t="shared" si="136"/>
        <v>-6.5884875191917491E-2</v>
      </c>
      <c r="AB779" s="3"/>
      <c r="AC779" s="3"/>
    </row>
    <row r="780" spans="1:31" customFormat="1" ht="20.25" customHeight="1">
      <c r="A780" s="13">
        <v>43019</v>
      </c>
      <c r="B780" s="53">
        <v>4</v>
      </c>
      <c r="C780" s="65" t="s">
        <v>223</v>
      </c>
      <c r="D780" s="65" t="s">
        <v>224</v>
      </c>
      <c r="E780" s="65" t="s">
        <v>225</v>
      </c>
      <c r="F780" s="65" t="s">
        <v>226</v>
      </c>
      <c r="G780" s="146" t="s">
        <v>487</v>
      </c>
      <c r="H780" s="36" t="s">
        <v>486</v>
      </c>
      <c r="I780" s="3"/>
      <c r="J780" s="3">
        <v>39</v>
      </c>
      <c r="K780" s="3" t="s">
        <v>229</v>
      </c>
      <c r="L780" s="3" t="s">
        <v>488</v>
      </c>
      <c r="M780" s="3">
        <v>248</v>
      </c>
      <c r="N780" s="3">
        <f t="shared" si="141"/>
        <v>15.725806451612904</v>
      </c>
      <c r="O780" s="36">
        <v>1844.2093754795214</v>
      </c>
      <c r="P780" s="8">
        <f t="shared" si="140"/>
        <v>290.0167969504086</v>
      </c>
      <c r="Q780" s="36">
        <v>1869.4253510962228</v>
      </c>
      <c r="R780" s="40">
        <f t="shared" si="144"/>
        <v>15.513686961629361</v>
      </c>
      <c r="S780" s="109"/>
      <c r="T780" s="36">
        <v>250</v>
      </c>
      <c r="U780" s="3"/>
      <c r="V780" s="3"/>
      <c r="W780" s="3"/>
      <c r="X780" s="3"/>
      <c r="Y780" s="37">
        <f t="shared" si="146"/>
        <v>0.15513686961629361</v>
      </c>
      <c r="Z780" s="37">
        <f t="shared" si="135"/>
        <v>-1.8634475219217896</v>
      </c>
      <c r="AA780" s="149">
        <f t="shared" si="136"/>
        <v>-0.28908941524518611</v>
      </c>
      <c r="AB780" s="3"/>
      <c r="AC780" s="3"/>
    </row>
    <row r="781" spans="1:31" customFormat="1" ht="20.25" customHeight="1">
      <c r="A781" s="13">
        <v>43019</v>
      </c>
      <c r="B781" s="53">
        <v>4</v>
      </c>
      <c r="C781" s="3" t="s">
        <v>223</v>
      </c>
      <c r="D781" s="3" t="s">
        <v>224</v>
      </c>
      <c r="E781" s="3" t="s">
        <v>225</v>
      </c>
      <c r="F781" s="3" t="s">
        <v>226</v>
      </c>
      <c r="G781" s="3" t="s">
        <v>235</v>
      </c>
      <c r="H781" s="3" t="s">
        <v>236</v>
      </c>
      <c r="I781" s="3"/>
      <c r="J781" s="36">
        <v>7</v>
      </c>
      <c r="K781" s="3" t="s">
        <v>229</v>
      </c>
      <c r="L781" s="36" t="s">
        <v>236</v>
      </c>
      <c r="M781" s="3">
        <v>248</v>
      </c>
      <c r="N781" s="3">
        <f t="shared" si="141"/>
        <v>2.82258064516129</v>
      </c>
      <c r="O781" s="36">
        <v>1844.2093754795214</v>
      </c>
      <c r="P781" s="8">
        <f t="shared" si="140"/>
        <v>52.054296888534871</v>
      </c>
      <c r="Q781" s="36">
        <v>1869.4253510962228</v>
      </c>
      <c r="R781" s="40">
        <f t="shared" si="144"/>
        <v>2.7845079161898845</v>
      </c>
      <c r="S781" s="109"/>
      <c r="T781" s="36">
        <v>250</v>
      </c>
      <c r="U781" s="3"/>
      <c r="V781" s="3"/>
      <c r="W781" s="3"/>
      <c r="X781" s="3"/>
      <c r="Y781" s="37">
        <f t="shared" si="146"/>
        <v>2.7845079161898843E-2</v>
      </c>
      <c r="Z781" s="37">
        <f t="shared" si="135"/>
        <v>-3.5810990189961229</v>
      </c>
      <c r="AA781" s="149">
        <f t="shared" si="136"/>
        <v>-9.9715985670545335E-2</v>
      </c>
      <c r="AB781" s="3"/>
      <c r="AC781" s="3"/>
    </row>
    <row r="782" spans="1:31" customFormat="1" ht="20.25" customHeight="1">
      <c r="A782" s="13">
        <v>43019</v>
      </c>
      <c r="B782" s="53">
        <v>4</v>
      </c>
      <c r="C782" s="36" t="s">
        <v>216</v>
      </c>
      <c r="D782" s="36" t="s">
        <v>217</v>
      </c>
      <c r="E782" s="36"/>
      <c r="F782" s="36"/>
      <c r="G782" s="36"/>
      <c r="H782" s="36"/>
      <c r="I782" s="36"/>
      <c r="J782" s="36">
        <v>3</v>
      </c>
      <c r="K782" s="36" t="s">
        <v>221</v>
      </c>
      <c r="L782" s="36" t="s">
        <v>219</v>
      </c>
      <c r="M782" s="3">
        <v>248</v>
      </c>
      <c r="N782" s="3">
        <f t="shared" si="141"/>
        <v>1.2096774193548387</v>
      </c>
      <c r="O782" s="36">
        <v>1844.2093754795214</v>
      </c>
      <c r="P782" s="8">
        <f t="shared" si="140"/>
        <v>22.308984380800663</v>
      </c>
      <c r="Q782" s="36">
        <v>1869.4253510962228</v>
      </c>
      <c r="R782" s="40">
        <f t="shared" si="144"/>
        <v>1.1933605355099508</v>
      </c>
      <c r="S782" s="109"/>
      <c r="T782" s="36">
        <v>250</v>
      </c>
      <c r="U782" s="3"/>
      <c r="V782" s="3"/>
      <c r="W782" s="3"/>
      <c r="X782" s="3"/>
      <c r="Y782" s="37">
        <f t="shared" si="146"/>
        <v>1.1933605355099509E-2</v>
      </c>
      <c r="Z782" s="37">
        <f t="shared" si="135"/>
        <v>-4.4283968793833264</v>
      </c>
      <c r="AA782" s="149">
        <f t="shared" si="136"/>
        <v>-5.2846740714314819E-2</v>
      </c>
      <c r="AB782" s="3"/>
      <c r="AC782" s="3"/>
    </row>
    <row r="783" spans="1:31" customFormat="1" ht="20.25" customHeight="1">
      <c r="A783" s="13">
        <v>43019</v>
      </c>
      <c r="B783" s="53">
        <v>4</v>
      </c>
      <c r="C783" s="36" t="s">
        <v>323</v>
      </c>
      <c r="D783" s="36" t="s">
        <v>489</v>
      </c>
      <c r="E783" s="36"/>
      <c r="F783" s="36" t="s">
        <v>490</v>
      </c>
      <c r="G783" s="36" t="s">
        <v>491</v>
      </c>
      <c r="H783" s="36" t="s">
        <v>371</v>
      </c>
      <c r="I783" s="3" t="s">
        <v>372</v>
      </c>
      <c r="J783" s="3">
        <v>14</v>
      </c>
      <c r="K783" s="3" t="s">
        <v>247</v>
      </c>
      <c r="L783" s="3" t="s">
        <v>371</v>
      </c>
      <c r="M783" s="3">
        <v>248</v>
      </c>
      <c r="N783" s="3">
        <f t="shared" si="141"/>
        <v>5.6451612903225801</v>
      </c>
      <c r="O783" s="36">
        <v>1844.2093754795214</v>
      </c>
      <c r="P783" s="8">
        <f t="shared" si="140"/>
        <v>104.10859377706974</v>
      </c>
      <c r="Q783" s="36">
        <v>1869.4253510962228</v>
      </c>
      <c r="R783" s="40">
        <f t="shared" si="144"/>
        <v>5.5690158323797689</v>
      </c>
      <c r="S783" s="109"/>
      <c r="T783" s="36">
        <v>250</v>
      </c>
      <c r="U783" s="3"/>
      <c r="V783" s="3"/>
      <c r="W783" s="3"/>
      <c r="X783" s="3"/>
      <c r="Y783" s="37">
        <f t="shared" si="146"/>
        <v>5.5690158323797687E-2</v>
      </c>
      <c r="Z783" s="37">
        <f t="shared" si="135"/>
        <v>-2.887951838436178</v>
      </c>
      <c r="AA783" s="149">
        <f t="shared" si="136"/>
        <v>-0.16083049511401334</v>
      </c>
      <c r="AB783" s="3"/>
      <c r="AC783" s="3"/>
    </row>
    <row r="784" spans="1:31" customFormat="1" ht="20.25" customHeight="1">
      <c r="A784" s="13">
        <v>43019</v>
      </c>
      <c r="B784" s="53">
        <v>5</v>
      </c>
      <c r="C784" s="36" t="s">
        <v>288</v>
      </c>
      <c r="D784" s="36" t="s">
        <v>289</v>
      </c>
      <c r="E784" s="36"/>
      <c r="F784" s="36"/>
      <c r="G784" s="36"/>
      <c r="H784" s="36"/>
      <c r="I784" s="36"/>
      <c r="J784" s="36">
        <v>1</v>
      </c>
      <c r="K784" s="36" t="s">
        <v>221</v>
      </c>
      <c r="L784" s="36" t="s">
        <v>499</v>
      </c>
      <c r="M784" s="3">
        <v>3</v>
      </c>
      <c r="N784" s="3">
        <f t="shared" si="141"/>
        <v>33.333333333333329</v>
      </c>
      <c r="O784" s="36">
        <v>0.27612359292019106</v>
      </c>
      <c r="P784" s="8">
        <f t="shared" si="140"/>
        <v>9.2041197640063674E-2</v>
      </c>
      <c r="Q784" s="36">
        <v>1245.3490748224071</v>
      </c>
      <c r="R784" s="40">
        <f t="shared" si="144"/>
        <v>7.390795038988502E-3</v>
      </c>
      <c r="S784" s="109"/>
      <c r="T784" s="36">
        <v>1000</v>
      </c>
      <c r="U784" s="3"/>
      <c r="V784" s="3"/>
      <c r="W784" s="3"/>
      <c r="X784" s="3"/>
      <c r="Y784" s="37">
        <f t="shared" si="146"/>
        <v>7.3907950389885018E-5</v>
      </c>
      <c r="Z784" s="37">
        <f t="shared" si="135"/>
        <v>-9.5126901527130681</v>
      </c>
      <c r="AA784" s="149">
        <f t="shared" si="136"/>
        <v>-7.0306343188106517E-4</v>
      </c>
      <c r="AB784" s="3">
        <f>SUM(AA784:AA803)*(-1)</f>
        <v>2.0329950943169113</v>
      </c>
      <c r="AC784" s="3">
        <v>18</v>
      </c>
      <c r="AD784" s="98">
        <f t="shared" ref="AD784" si="147">LN(AC784)</f>
        <v>2.8903717578961645</v>
      </c>
      <c r="AE784" s="98">
        <f>(AB784/AD784)</f>
        <v>0.70336803172913709</v>
      </c>
    </row>
    <row r="785" spans="1:29" customFormat="1" ht="20.25" customHeight="1">
      <c r="A785" s="13">
        <v>43019</v>
      </c>
      <c r="B785" s="53">
        <v>5</v>
      </c>
      <c r="C785" s="65" t="s">
        <v>209</v>
      </c>
      <c r="D785" s="65" t="s">
        <v>210</v>
      </c>
      <c r="E785" s="65"/>
      <c r="F785" s="65" t="s">
        <v>211</v>
      </c>
      <c r="G785" s="65" t="s">
        <v>212</v>
      </c>
      <c r="H785" s="36" t="s">
        <v>213</v>
      </c>
      <c r="I785" s="36" t="s">
        <v>214</v>
      </c>
      <c r="J785" s="36">
        <v>1</v>
      </c>
      <c r="K785" s="36" t="s">
        <v>247</v>
      </c>
      <c r="L785" s="36" t="s">
        <v>215</v>
      </c>
      <c r="M785" s="3">
        <v>3</v>
      </c>
      <c r="N785" s="3">
        <f t="shared" si="141"/>
        <v>33.333333333333329</v>
      </c>
      <c r="O785" s="36">
        <v>0.27612359292019106</v>
      </c>
      <c r="P785" s="8">
        <f t="shared" si="140"/>
        <v>9.2041197640063674E-2</v>
      </c>
      <c r="Q785" s="36">
        <v>1245.3490748224071</v>
      </c>
      <c r="R785" s="40">
        <f t="shared" si="144"/>
        <v>7.390795038988502E-3</v>
      </c>
      <c r="S785" s="109"/>
      <c r="T785" s="36">
        <v>1000</v>
      </c>
      <c r="U785" s="3"/>
      <c r="V785" s="3"/>
      <c r="W785" s="3"/>
      <c r="X785" s="3"/>
      <c r="Y785" s="37">
        <f t="shared" si="146"/>
        <v>7.3907950389885018E-5</v>
      </c>
      <c r="Z785" s="37">
        <f t="shared" si="135"/>
        <v>-9.5126901527130681</v>
      </c>
      <c r="AA785" s="149">
        <f t="shared" si="136"/>
        <v>-7.0306343188106517E-4</v>
      </c>
      <c r="AB785" s="3"/>
      <c r="AC785" s="3"/>
    </row>
    <row r="786" spans="1:29" customFormat="1" ht="20.25" customHeight="1">
      <c r="A786" s="13">
        <v>43019</v>
      </c>
      <c r="B786" s="53">
        <v>5</v>
      </c>
      <c r="C786" s="65" t="s">
        <v>223</v>
      </c>
      <c r="D786" s="65" t="s">
        <v>267</v>
      </c>
      <c r="E786" s="65"/>
      <c r="F786" s="65" t="s">
        <v>273</v>
      </c>
      <c r="G786" s="65"/>
      <c r="H786" s="36"/>
      <c r="I786" s="36"/>
      <c r="J786" s="36">
        <v>1</v>
      </c>
      <c r="K786" s="36" t="s">
        <v>508</v>
      </c>
      <c r="L786" s="36" t="s">
        <v>335</v>
      </c>
      <c r="M786" s="3">
        <v>3</v>
      </c>
      <c r="N786" s="3">
        <f t="shared" si="141"/>
        <v>33.333333333333329</v>
      </c>
      <c r="O786" s="36">
        <v>0.27612359292019106</v>
      </c>
      <c r="P786" s="8">
        <f t="shared" si="140"/>
        <v>9.2041197640063674E-2</v>
      </c>
      <c r="Q786" s="36">
        <v>1245.3490748224101</v>
      </c>
      <c r="R786" s="40">
        <f t="shared" si="144"/>
        <v>7.3907950389884838E-3</v>
      </c>
      <c r="S786" s="109"/>
      <c r="T786" s="36">
        <v>1000</v>
      </c>
      <c r="U786" s="3"/>
      <c r="V786" s="3"/>
      <c r="W786" s="3"/>
      <c r="X786" s="3"/>
      <c r="Y786" s="37">
        <f t="shared" si="146"/>
        <v>7.3907950389884842E-5</v>
      </c>
      <c r="Z786" s="37">
        <f t="shared" si="135"/>
        <v>-9.5126901527130716</v>
      </c>
      <c r="AA786" s="149">
        <f t="shared" si="136"/>
        <v>-7.0306343188106376E-4</v>
      </c>
      <c r="AB786" s="3"/>
      <c r="AC786" s="3"/>
    </row>
    <row r="787" spans="1:29" customFormat="1" ht="20.25" customHeight="1">
      <c r="A787" s="13">
        <v>43019</v>
      </c>
      <c r="B787" s="53">
        <v>5</v>
      </c>
      <c r="C787" s="3" t="s">
        <v>223</v>
      </c>
      <c r="D787" s="3" t="s">
        <v>224</v>
      </c>
      <c r="E787" s="3" t="s">
        <v>225</v>
      </c>
      <c r="F787" s="3" t="s">
        <v>226</v>
      </c>
      <c r="G787" s="3" t="s">
        <v>227</v>
      </c>
      <c r="H787" s="3" t="s">
        <v>228</v>
      </c>
      <c r="I787" s="3"/>
      <c r="J787" s="36">
        <v>105</v>
      </c>
      <c r="K787" s="3" t="s">
        <v>229</v>
      </c>
      <c r="L787" s="36" t="s">
        <v>228</v>
      </c>
      <c r="M787" s="3">
        <v>255</v>
      </c>
      <c r="N787" s="3">
        <f t="shared" si="141"/>
        <v>41.17647058823529</v>
      </c>
      <c r="O787" s="36">
        <v>1245.072951229487</v>
      </c>
      <c r="P787" s="8">
        <f t="shared" ref="P787:P818" si="148">(N787/100)*O787</f>
        <v>512.67709756508282</v>
      </c>
      <c r="Q787" s="36">
        <v>1245.3490748224101</v>
      </c>
      <c r="R787" s="40">
        <f t="shared" si="144"/>
        <v>41.167340782598792</v>
      </c>
      <c r="S787" s="109"/>
      <c r="T787" s="3">
        <v>250</v>
      </c>
      <c r="U787" s="3"/>
      <c r="V787" s="3"/>
      <c r="W787" s="3"/>
      <c r="X787" s="3"/>
      <c r="Y787" s="37">
        <f t="shared" si="146"/>
        <v>0.41167340782598794</v>
      </c>
      <c r="Z787" s="37">
        <f t="shared" ref="Z787:Z818" si="149">LN(Y787)</f>
        <v>-0.88752494343644206</v>
      </c>
      <c r="AA787" s="149">
        <f t="shared" ref="AA787:AA818" si="150">(Y787*Z787)</f>
        <v>-0.36537041799504727</v>
      </c>
      <c r="AB787" s="3"/>
      <c r="AC787" s="3"/>
    </row>
    <row r="788" spans="1:29" customFormat="1" ht="20.25" customHeight="1">
      <c r="A788" s="13">
        <v>43019</v>
      </c>
      <c r="B788" s="53">
        <v>5</v>
      </c>
      <c r="C788" s="36" t="s">
        <v>223</v>
      </c>
      <c r="D788" s="36" t="s">
        <v>224</v>
      </c>
      <c r="E788" s="36" t="s">
        <v>225</v>
      </c>
      <c r="F788" s="36" t="s">
        <v>226</v>
      </c>
      <c r="G788" s="36" t="s">
        <v>239</v>
      </c>
      <c r="H788" s="36" t="s">
        <v>240</v>
      </c>
      <c r="I788" s="3"/>
      <c r="J788" s="36">
        <v>31</v>
      </c>
      <c r="K788" s="3" t="s">
        <v>229</v>
      </c>
      <c r="L788" s="36" t="s">
        <v>240</v>
      </c>
      <c r="M788" s="3">
        <v>255</v>
      </c>
      <c r="N788" s="3">
        <f t="shared" ref="N788:N818" si="151">J788/M788*100</f>
        <v>12.156862745098039</v>
      </c>
      <c r="O788" s="36">
        <v>1245.072951229487</v>
      </c>
      <c r="P788" s="8">
        <f t="shared" si="148"/>
        <v>151.36180975731017</v>
      </c>
      <c r="Q788" s="36">
        <v>1245.3490748224101</v>
      </c>
      <c r="R788" s="40">
        <f t="shared" si="144"/>
        <v>12.154167278672027</v>
      </c>
      <c r="S788" s="109"/>
      <c r="T788" s="3">
        <v>250</v>
      </c>
      <c r="U788" s="3"/>
      <c r="V788" s="3"/>
      <c r="W788" s="3"/>
      <c r="X788" s="3"/>
      <c r="Y788" s="37">
        <f t="shared" si="146"/>
        <v>0.12154167278672028</v>
      </c>
      <c r="Z788" s="37">
        <f t="shared" si="149"/>
        <v>-2.1074980891088191</v>
      </c>
      <c r="AA788" s="149">
        <f t="shared" si="150"/>
        <v>-0.25614884314510233</v>
      </c>
      <c r="AB788" s="3"/>
      <c r="AC788" s="3"/>
    </row>
    <row r="789" spans="1:29" customFormat="1" ht="20.25" customHeight="1">
      <c r="A789" s="13">
        <v>43019</v>
      </c>
      <c r="B789" s="53">
        <v>5</v>
      </c>
      <c r="C789" s="65" t="s">
        <v>223</v>
      </c>
      <c r="D789" s="65" t="s">
        <v>224</v>
      </c>
      <c r="E789" s="65" t="s">
        <v>225</v>
      </c>
      <c r="F789" s="65" t="s">
        <v>226</v>
      </c>
      <c r="G789" s="65" t="s">
        <v>261</v>
      </c>
      <c r="H789" s="36" t="s">
        <v>262</v>
      </c>
      <c r="I789" s="36"/>
      <c r="J789" s="36">
        <v>4</v>
      </c>
      <c r="K789" s="3" t="s">
        <v>229</v>
      </c>
      <c r="L789" s="36" t="s">
        <v>264</v>
      </c>
      <c r="M789" s="3">
        <v>255</v>
      </c>
      <c r="N789" s="3">
        <f t="shared" si="151"/>
        <v>1.5686274509803921</v>
      </c>
      <c r="O789" s="36">
        <v>1245.072951229487</v>
      </c>
      <c r="P789" s="8">
        <f t="shared" si="148"/>
        <v>19.530556097717444</v>
      </c>
      <c r="Q789" s="36">
        <v>1245.3490748224101</v>
      </c>
      <c r="R789" s="40">
        <f t="shared" si="144"/>
        <v>1.5682796488609068</v>
      </c>
      <c r="S789" s="109"/>
      <c r="T789" s="3">
        <v>250</v>
      </c>
      <c r="U789" s="3"/>
      <c r="V789" s="3"/>
      <c r="W789" s="3"/>
      <c r="X789" s="3"/>
      <c r="Y789" s="37">
        <f t="shared" si="146"/>
        <v>1.5682796488609069E-2</v>
      </c>
      <c r="Z789" s="37">
        <f t="shared" si="149"/>
        <v>-4.1551909324740741</v>
      </c>
      <c r="AA789" s="149">
        <f t="shared" si="150"/>
        <v>-6.5165013765304647E-2</v>
      </c>
      <c r="AB789" s="3"/>
      <c r="AC789" s="3"/>
    </row>
    <row r="790" spans="1:29" customFormat="1" ht="20.25" customHeight="1">
      <c r="A790" s="13">
        <v>43019</v>
      </c>
      <c r="B790" s="53">
        <v>5</v>
      </c>
      <c r="C790" s="3" t="s">
        <v>223</v>
      </c>
      <c r="D790" s="3" t="s">
        <v>224</v>
      </c>
      <c r="E790" s="3" t="s">
        <v>225</v>
      </c>
      <c r="F790" s="3" t="s">
        <v>248</v>
      </c>
      <c r="G790" s="3" t="s">
        <v>249</v>
      </c>
      <c r="H790" s="3" t="s">
        <v>250</v>
      </c>
      <c r="I790" s="3"/>
      <c r="J790" s="3">
        <v>7</v>
      </c>
      <c r="K790" s="3" t="s">
        <v>229</v>
      </c>
      <c r="L790" s="3" t="s">
        <v>250</v>
      </c>
      <c r="M790" s="3">
        <v>255</v>
      </c>
      <c r="N790" s="3">
        <f t="shared" si="151"/>
        <v>2.7450980392156863</v>
      </c>
      <c r="O790" s="36">
        <v>1245.072951229487</v>
      </c>
      <c r="P790" s="8">
        <f t="shared" si="148"/>
        <v>34.178473171005521</v>
      </c>
      <c r="Q790" s="36">
        <v>1245.3490748224101</v>
      </c>
      <c r="R790" s="40">
        <f t="shared" si="144"/>
        <v>2.7444893855065864</v>
      </c>
      <c r="S790" s="109"/>
      <c r="T790" s="3">
        <v>250</v>
      </c>
      <c r="U790" s="3"/>
      <c r="V790" s="3"/>
      <c r="W790" s="3"/>
      <c r="X790" s="3"/>
      <c r="Y790" s="37">
        <f t="shared" si="146"/>
        <v>2.7444893855065863E-2</v>
      </c>
      <c r="Z790" s="37">
        <f t="shared" si="149"/>
        <v>-3.5955751445386519</v>
      </c>
      <c r="AA790" s="149">
        <f t="shared" si="150"/>
        <v>-9.8680178189776396E-2</v>
      </c>
      <c r="AB790" s="3"/>
      <c r="AC790" s="3"/>
    </row>
    <row r="791" spans="1:29" customFormat="1" ht="20.25" customHeight="1">
      <c r="A791" s="13">
        <v>43019</v>
      </c>
      <c r="B791" s="53">
        <v>5</v>
      </c>
      <c r="C791" s="36" t="s">
        <v>223</v>
      </c>
      <c r="D791" s="36" t="s">
        <v>224</v>
      </c>
      <c r="E791" s="36" t="s">
        <v>225</v>
      </c>
      <c r="F791" s="36" t="s">
        <v>226</v>
      </c>
      <c r="G791" s="36" t="s">
        <v>253</v>
      </c>
      <c r="H791" s="36" t="s">
        <v>256</v>
      </c>
      <c r="I791" s="3"/>
      <c r="J791" s="36">
        <v>20</v>
      </c>
      <c r="K791" s="3" t="s">
        <v>229</v>
      </c>
      <c r="L791" s="36" t="s">
        <v>256</v>
      </c>
      <c r="M791" s="3">
        <v>255</v>
      </c>
      <c r="N791" s="3">
        <f t="shared" si="151"/>
        <v>7.8431372549019605</v>
      </c>
      <c r="O791" s="36">
        <v>1245.072951229487</v>
      </c>
      <c r="P791" s="8">
        <f t="shared" si="148"/>
        <v>97.652780488587211</v>
      </c>
      <c r="Q791" s="36">
        <v>1245.3490748224101</v>
      </c>
      <c r="R791" s="40">
        <f t="shared" si="144"/>
        <v>7.8413982443045329</v>
      </c>
      <c r="S791" s="109"/>
      <c r="T791" s="3">
        <v>250</v>
      </c>
      <c r="U791" s="3"/>
      <c r="V791" s="3"/>
      <c r="W791" s="3"/>
      <c r="X791" s="3"/>
      <c r="Y791" s="37">
        <f t="shared" si="146"/>
        <v>7.841398244304533E-2</v>
      </c>
      <c r="Z791" s="37">
        <f t="shared" si="149"/>
        <v>-2.5457530200399745</v>
      </c>
      <c r="AA791" s="149">
        <f t="shared" si="150"/>
        <v>-0.19962263261774418</v>
      </c>
      <c r="AB791" s="3"/>
      <c r="AC791" s="3"/>
    </row>
    <row r="792" spans="1:29" customFormat="1" ht="20.25" customHeight="1">
      <c r="A792" s="13">
        <v>43019</v>
      </c>
      <c r="B792" s="53">
        <v>5</v>
      </c>
      <c r="C792" s="51" t="s">
        <v>223</v>
      </c>
      <c r="D792" s="51" t="s">
        <v>224</v>
      </c>
      <c r="E792" s="51" t="s">
        <v>225</v>
      </c>
      <c r="F792" s="51" t="s">
        <v>226</v>
      </c>
      <c r="G792" s="51" t="s">
        <v>239</v>
      </c>
      <c r="H792" s="3" t="s">
        <v>258</v>
      </c>
      <c r="I792" s="3" t="s">
        <v>259</v>
      </c>
      <c r="J792" s="3">
        <v>6</v>
      </c>
      <c r="K792" s="3" t="s">
        <v>247</v>
      </c>
      <c r="L792" s="3" t="s">
        <v>260</v>
      </c>
      <c r="M792" s="3">
        <v>255</v>
      </c>
      <c r="N792" s="3">
        <f t="shared" si="151"/>
        <v>2.3529411764705883</v>
      </c>
      <c r="O792" s="36">
        <v>1245.072951229487</v>
      </c>
      <c r="P792" s="8">
        <f t="shared" si="148"/>
        <v>29.295834146576166</v>
      </c>
      <c r="Q792" s="36">
        <v>1245.3490748224101</v>
      </c>
      <c r="R792" s="40">
        <f t="shared" si="144"/>
        <v>2.3524194732913601</v>
      </c>
      <c r="S792" s="109"/>
      <c r="T792" s="3">
        <v>250</v>
      </c>
      <c r="U792" s="3"/>
      <c r="V792" s="3"/>
      <c r="W792" s="3"/>
      <c r="X792" s="3"/>
      <c r="Y792" s="37">
        <f t="shared" si="146"/>
        <v>2.3524194732913603E-2</v>
      </c>
      <c r="Z792" s="37">
        <f t="shared" si="149"/>
        <v>-3.74972582436591</v>
      </c>
      <c r="AA792" s="149">
        <f t="shared" si="150"/>
        <v>-8.8209280487418662E-2</v>
      </c>
      <c r="AB792" s="3"/>
      <c r="AC792" s="3"/>
    </row>
    <row r="793" spans="1:29" customFormat="1" ht="20.25" customHeight="1">
      <c r="A793" s="13">
        <v>43019</v>
      </c>
      <c r="B793" s="53">
        <v>5</v>
      </c>
      <c r="C793" s="36" t="s">
        <v>223</v>
      </c>
      <c r="D793" s="36" t="s">
        <v>303</v>
      </c>
      <c r="E793" s="36" t="s">
        <v>304</v>
      </c>
      <c r="F793" s="36" t="s">
        <v>305</v>
      </c>
      <c r="G793" s="36" t="s">
        <v>306</v>
      </c>
      <c r="H793" s="36" t="s">
        <v>307</v>
      </c>
      <c r="I793" s="36"/>
      <c r="J793" s="36">
        <v>3</v>
      </c>
      <c r="K793" s="3" t="s">
        <v>229</v>
      </c>
      <c r="L793" s="3" t="s">
        <v>307</v>
      </c>
      <c r="M793" s="3">
        <v>255</v>
      </c>
      <c r="N793" s="3">
        <f t="shared" si="151"/>
        <v>1.1764705882352942</v>
      </c>
      <c r="O793" s="36">
        <v>1245.072951229487</v>
      </c>
      <c r="P793" s="8">
        <f t="shared" si="148"/>
        <v>14.647917073288083</v>
      </c>
      <c r="Q793" s="36">
        <v>1245.3490748224101</v>
      </c>
      <c r="R793" s="40">
        <f t="shared" si="144"/>
        <v>1.1762097366456801</v>
      </c>
      <c r="S793" s="109"/>
      <c r="T793" s="3">
        <v>250</v>
      </c>
      <c r="U793" s="3" t="s">
        <v>308</v>
      </c>
      <c r="V793" s="3"/>
      <c r="W793" s="3"/>
      <c r="X793" s="3"/>
      <c r="Y793" s="37">
        <f t="shared" si="146"/>
        <v>1.1762097366456802E-2</v>
      </c>
      <c r="Z793" s="37">
        <f t="shared" si="149"/>
        <v>-4.4428730049258558</v>
      </c>
      <c r="AA793" s="149">
        <f t="shared" si="150"/>
        <v>-5.2257504870740427E-2</v>
      </c>
      <c r="AB793" s="3"/>
      <c r="AC793" s="3"/>
    </row>
    <row r="794" spans="1:29" customFormat="1" ht="20.25" customHeight="1">
      <c r="A794" s="13">
        <v>43019</v>
      </c>
      <c r="B794" s="53">
        <v>5</v>
      </c>
      <c r="C794" s="36" t="s">
        <v>223</v>
      </c>
      <c r="D794" s="36" t="s">
        <v>303</v>
      </c>
      <c r="E794" s="36" t="s">
        <v>304</v>
      </c>
      <c r="F794" s="36" t="s">
        <v>305</v>
      </c>
      <c r="G794" s="36" t="s">
        <v>306</v>
      </c>
      <c r="H794" s="36" t="s">
        <v>307</v>
      </c>
      <c r="I794" s="36"/>
      <c r="J794" s="36">
        <v>2</v>
      </c>
      <c r="K794" s="3" t="s">
        <v>229</v>
      </c>
      <c r="L794" s="3" t="s">
        <v>307</v>
      </c>
      <c r="M794" s="3">
        <v>255</v>
      </c>
      <c r="N794" s="3">
        <f t="shared" si="151"/>
        <v>0.78431372549019607</v>
      </c>
      <c r="O794" s="36">
        <v>1245.072951229487</v>
      </c>
      <c r="P794" s="8">
        <f t="shared" si="148"/>
        <v>9.7652780488587219</v>
      </c>
      <c r="Q794" s="36">
        <v>1245.3490748224101</v>
      </c>
      <c r="R794" s="40">
        <f t="shared" si="144"/>
        <v>0.78413982443045338</v>
      </c>
      <c r="S794" s="109"/>
      <c r="T794" s="3">
        <v>250</v>
      </c>
      <c r="U794" s="3" t="s">
        <v>309</v>
      </c>
      <c r="V794" s="3"/>
      <c r="W794" s="3"/>
      <c r="X794" s="3"/>
      <c r="Y794" s="37">
        <f t="shared" si="146"/>
        <v>7.8413982443045344E-3</v>
      </c>
      <c r="Z794" s="37">
        <f t="shared" si="149"/>
        <v>-4.8483381130340195</v>
      </c>
      <c r="AA794" s="149">
        <f t="shared" si="150"/>
        <v>-3.8017749967339719E-2</v>
      </c>
      <c r="AB794" s="3"/>
      <c r="AC794" s="3"/>
    </row>
    <row r="795" spans="1:29" customFormat="1" ht="20.25" customHeight="1">
      <c r="A795" s="13">
        <v>43019</v>
      </c>
      <c r="B795" s="53">
        <v>5</v>
      </c>
      <c r="C795" s="3" t="s">
        <v>223</v>
      </c>
      <c r="D795" s="3" t="s">
        <v>224</v>
      </c>
      <c r="E795" s="3" t="s">
        <v>225</v>
      </c>
      <c r="F795" s="3" t="s">
        <v>226</v>
      </c>
      <c r="G795" s="3" t="s">
        <v>235</v>
      </c>
      <c r="H795" s="3" t="s">
        <v>236</v>
      </c>
      <c r="I795" s="3"/>
      <c r="J795" s="36">
        <v>2</v>
      </c>
      <c r="K795" s="3" t="s">
        <v>229</v>
      </c>
      <c r="L795" s="36" t="s">
        <v>236</v>
      </c>
      <c r="M795" s="3">
        <v>255</v>
      </c>
      <c r="N795" s="3">
        <f t="shared" si="151"/>
        <v>0.78431372549019607</v>
      </c>
      <c r="O795" s="36">
        <v>1245.072951229487</v>
      </c>
      <c r="P795" s="8">
        <f t="shared" si="148"/>
        <v>9.7652780488587219</v>
      </c>
      <c r="Q795" s="36">
        <v>1245.3490748224101</v>
      </c>
      <c r="R795" s="40">
        <f t="shared" si="144"/>
        <v>0.78413982443045338</v>
      </c>
      <c r="S795" s="109"/>
      <c r="T795" s="3">
        <v>250</v>
      </c>
      <c r="U795" s="3"/>
      <c r="V795" s="3"/>
      <c r="W795" s="3"/>
      <c r="X795" s="3"/>
      <c r="Y795" s="37">
        <f t="shared" si="146"/>
        <v>7.8413982443045344E-3</v>
      </c>
      <c r="Z795" s="37">
        <f t="shared" si="149"/>
        <v>-4.8483381130340195</v>
      </c>
      <c r="AA795" s="149">
        <f t="shared" si="150"/>
        <v>-3.8017749967339719E-2</v>
      </c>
      <c r="AB795" s="3"/>
      <c r="AC795" s="3"/>
    </row>
    <row r="796" spans="1:29" customFormat="1" ht="20.25" customHeight="1">
      <c r="A796" s="13">
        <v>43019</v>
      </c>
      <c r="B796" s="53">
        <v>5</v>
      </c>
      <c r="C796" s="65" t="s">
        <v>216</v>
      </c>
      <c r="D796" s="65" t="s">
        <v>217</v>
      </c>
      <c r="E796" s="65"/>
      <c r="F796" s="65"/>
      <c r="G796" s="65"/>
      <c r="H796" s="36"/>
      <c r="I796" s="36"/>
      <c r="J796" s="36">
        <v>26</v>
      </c>
      <c r="K796" s="36" t="s">
        <v>221</v>
      </c>
      <c r="L796" s="36" t="s">
        <v>219</v>
      </c>
      <c r="M796" s="3">
        <v>255</v>
      </c>
      <c r="N796" s="3">
        <f t="shared" si="151"/>
        <v>10.196078431372548</v>
      </c>
      <c r="O796" s="36">
        <v>1245.072951229487</v>
      </c>
      <c r="P796" s="8">
        <f t="shared" si="148"/>
        <v>126.94861463516338</v>
      </c>
      <c r="Q796" s="36">
        <v>1245.3490748224101</v>
      </c>
      <c r="R796" s="40">
        <f t="shared" si="144"/>
        <v>10.193817717595893</v>
      </c>
      <c r="S796" s="109"/>
      <c r="T796" s="3">
        <v>250</v>
      </c>
      <c r="U796" s="3"/>
      <c r="V796" s="3"/>
      <c r="W796" s="3"/>
      <c r="X796" s="3"/>
      <c r="Y796" s="37">
        <f t="shared" si="146"/>
        <v>0.10193817717595893</v>
      </c>
      <c r="Z796" s="37">
        <f t="shared" si="149"/>
        <v>-2.2833887555724832</v>
      </c>
      <c r="AA796" s="149">
        <f t="shared" si="150"/>
        <v>-0.23276448752714018</v>
      </c>
      <c r="AB796" s="3"/>
      <c r="AC796" s="3"/>
    </row>
    <row r="797" spans="1:29" customFormat="1" ht="20.25" customHeight="1">
      <c r="A797" s="13">
        <v>43019</v>
      </c>
      <c r="B797" s="53">
        <v>5</v>
      </c>
      <c r="C797" s="36" t="s">
        <v>223</v>
      </c>
      <c r="D797" s="36" t="s">
        <v>224</v>
      </c>
      <c r="E797" s="36" t="s">
        <v>225</v>
      </c>
      <c r="F797" s="36" t="s">
        <v>226</v>
      </c>
      <c r="G797" s="54" t="s">
        <v>487</v>
      </c>
      <c r="H797" s="36" t="s">
        <v>486</v>
      </c>
      <c r="I797" s="3"/>
      <c r="J797" s="3">
        <v>1</v>
      </c>
      <c r="K797" s="3" t="s">
        <v>229</v>
      </c>
      <c r="L797" s="3" t="s">
        <v>488</v>
      </c>
      <c r="M797" s="3">
        <v>255</v>
      </c>
      <c r="N797" s="3">
        <f t="shared" si="151"/>
        <v>0.39215686274509803</v>
      </c>
      <c r="O797" s="36">
        <v>1245.072951229487</v>
      </c>
      <c r="P797" s="8">
        <f t="shared" si="148"/>
        <v>4.8826390244293609</v>
      </c>
      <c r="Q797" s="36">
        <v>1245.3490748224101</v>
      </c>
      <c r="R797" s="40">
        <f t="shared" si="144"/>
        <v>0.39206991221522669</v>
      </c>
      <c r="S797" s="109"/>
      <c r="T797" s="3">
        <v>250</v>
      </c>
      <c r="U797" s="3"/>
      <c r="V797" s="3"/>
      <c r="W797" s="3"/>
      <c r="X797" s="3"/>
      <c r="Y797" s="37">
        <f t="shared" si="146"/>
        <v>3.9206991221522672E-3</v>
      </c>
      <c r="Z797" s="37">
        <f t="shared" si="149"/>
        <v>-5.5414852935939649</v>
      </c>
      <c r="AA797" s="149">
        <f t="shared" si="150"/>
        <v>-2.1726496526013557E-2</v>
      </c>
      <c r="AB797" s="3"/>
      <c r="AC797" s="3"/>
    </row>
    <row r="798" spans="1:29" customFormat="1" ht="20.25" customHeight="1">
      <c r="A798" s="13">
        <v>43019</v>
      </c>
      <c r="B798" s="53">
        <v>5</v>
      </c>
      <c r="C798" s="36" t="s">
        <v>223</v>
      </c>
      <c r="D798" s="36" t="s">
        <v>317</v>
      </c>
      <c r="E798" s="36" t="s">
        <v>314</v>
      </c>
      <c r="F798" s="36" t="s">
        <v>346</v>
      </c>
      <c r="G798" s="53" t="s">
        <v>315</v>
      </c>
      <c r="H798" s="53" t="s">
        <v>660</v>
      </c>
      <c r="I798" s="36"/>
      <c r="J798" s="3">
        <v>18</v>
      </c>
      <c r="K798" s="3" t="s">
        <v>229</v>
      </c>
      <c r="L798" s="36" t="s">
        <v>345</v>
      </c>
      <c r="M798" s="3">
        <v>255</v>
      </c>
      <c r="N798" s="3">
        <f t="shared" si="151"/>
        <v>7.0588235294117645</v>
      </c>
      <c r="O798" s="36">
        <v>1245.072951229487</v>
      </c>
      <c r="P798" s="8">
        <f t="shared" si="148"/>
        <v>87.887502439728493</v>
      </c>
      <c r="Q798" s="36">
        <v>1245.3490748224101</v>
      </c>
      <c r="R798" s="40">
        <f t="shared" si="144"/>
        <v>7.0572584198740795</v>
      </c>
      <c r="S798" s="109"/>
      <c r="T798" s="3">
        <v>250</v>
      </c>
      <c r="U798" s="3"/>
      <c r="V798" s="3"/>
      <c r="W798" s="3"/>
      <c r="X798" s="3"/>
      <c r="Y798" s="37">
        <f t="shared" si="146"/>
        <v>7.0572584198740795E-2</v>
      </c>
      <c r="Z798" s="37">
        <f t="shared" si="149"/>
        <v>-2.6511135356978008</v>
      </c>
      <c r="AA798" s="149">
        <f t="shared" si="150"/>
        <v>-0.18709593321845447</v>
      </c>
      <c r="AB798" s="3"/>
      <c r="AC798" s="3"/>
    </row>
    <row r="799" spans="1:29" customFormat="1" ht="20.25" customHeight="1">
      <c r="A799" s="13">
        <v>43019</v>
      </c>
      <c r="B799" s="53">
        <v>5</v>
      </c>
      <c r="C799" s="36" t="s">
        <v>223</v>
      </c>
      <c r="D799" s="36" t="s">
        <v>317</v>
      </c>
      <c r="E799" s="36" t="s">
        <v>314</v>
      </c>
      <c r="F799" s="36" t="s">
        <v>346</v>
      </c>
      <c r="G799" s="3"/>
      <c r="H799" s="36" t="s">
        <v>316</v>
      </c>
      <c r="I799" s="3"/>
      <c r="J799" s="3">
        <v>1</v>
      </c>
      <c r="K799" s="3" t="s">
        <v>229</v>
      </c>
      <c r="L799" s="36" t="s">
        <v>482</v>
      </c>
      <c r="M799" s="3">
        <v>255</v>
      </c>
      <c r="N799" s="3">
        <f t="shared" si="151"/>
        <v>0.39215686274509803</v>
      </c>
      <c r="O799" s="36">
        <v>1245.072951229487</v>
      </c>
      <c r="P799" s="8">
        <f t="shared" si="148"/>
        <v>4.8826390244293609</v>
      </c>
      <c r="Q799" s="36">
        <v>1245.3490748224101</v>
      </c>
      <c r="R799" s="40">
        <f t="shared" si="144"/>
        <v>0.39206991221522669</v>
      </c>
      <c r="S799" s="109"/>
      <c r="T799" s="3">
        <v>250</v>
      </c>
      <c r="U799" s="3"/>
      <c r="V799" s="3"/>
      <c r="W799" s="3"/>
      <c r="X799" s="3"/>
      <c r="Y799" s="37">
        <f t="shared" si="146"/>
        <v>3.9206991221522672E-3</v>
      </c>
      <c r="Z799" s="37">
        <f t="shared" si="149"/>
        <v>-5.5414852935939649</v>
      </c>
      <c r="AA799" s="149">
        <f t="shared" si="150"/>
        <v>-2.1726496526013557E-2</v>
      </c>
      <c r="AB799" s="3"/>
      <c r="AC799" s="3"/>
    </row>
    <row r="800" spans="1:29" customFormat="1" ht="20.25" customHeight="1">
      <c r="A800" s="13">
        <v>43019</v>
      </c>
      <c r="B800" s="53">
        <v>5</v>
      </c>
      <c r="C800" s="3" t="s">
        <v>295</v>
      </c>
      <c r="D800" s="3" t="s">
        <v>296</v>
      </c>
      <c r="E800" s="3"/>
      <c r="F800" s="3" t="s">
        <v>297</v>
      </c>
      <c r="G800" s="3" t="s">
        <v>298</v>
      </c>
      <c r="H800" s="3" t="s">
        <v>299</v>
      </c>
      <c r="I800" s="3"/>
      <c r="J800" s="3">
        <v>17</v>
      </c>
      <c r="K800" s="3" t="s">
        <v>229</v>
      </c>
      <c r="L800" s="3" t="s">
        <v>479</v>
      </c>
      <c r="M800" s="3">
        <v>255</v>
      </c>
      <c r="N800" s="3">
        <f t="shared" si="151"/>
        <v>6.666666666666667</v>
      </c>
      <c r="O800" s="36">
        <v>1245.072951229487</v>
      </c>
      <c r="P800" s="8">
        <f t="shared" si="148"/>
        <v>83.004863415299127</v>
      </c>
      <c r="Q800" s="36">
        <v>1245.3490748224101</v>
      </c>
      <c r="R800" s="40">
        <f t="shared" si="144"/>
        <v>6.6651885076588533</v>
      </c>
      <c r="S800" s="109"/>
      <c r="T800" s="3">
        <v>250</v>
      </c>
      <c r="U800" s="3"/>
      <c r="V800" s="3"/>
      <c r="W800" s="3"/>
      <c r="X800" s="3"/>
      <c r="Y800" s="37">
        <f t="shared" si="146"/>
        <v>6.6651885076588535E-2</v>
      </c>
      <c r="Z800" s="37">
        <f t="shared" si="149"/>
        <v>-2.7082719495377492</v>
      </c>
      <c r="AA800" s="149">
        <f t="shared" si="150"/>
        <v>-0.18051143073673845</v>
      </c>
      <c r="AB800" s="3"/>
      <c r="AC800" s="3"/>
    </row>
    <row r="801" spans="1:31" customFormat="1" ht="20.25" customHeight="1">
      <c r="A801" s="13">
        <v>43019</v>
      </c>
      <c r="B801" s="53">
        <v>5</v>
      </c>
      <c r="C801" s="65" t="s">
        <v>300</v>
      </c>
      <c r="D801" s="65" t="s">
        <v>301</v>
      </c>
      <c r="E801" s="65"/>
      <c r="F801" s="65"/>
      <c r="G801" s="65"/>
      <c r="H801" s="36"/>
      <c r="I801" s="36"/>
      <c r="J801" s="36">
        <v>7</v>
      </c>
      <c r="K801" s="36" t="s">
        <v>221</v>
      </c>
      <c r="L801" s="36" t="s">
        <v>302</v>
      </c>
      <c r="M801" s="3">
        <v>255</v>
      </c>
      <c r="N801" s="3">
        <f t="shared" si="151"/>
        <v>2.7450980392156863</v>
      </c>
      <c r="O801" s="36">
        <v>1245.072951229487</v>
      </c>
      <c r="P801" s="8">
        <f t="shared" si="148"/>
        <v>34.178473171005521</v>
      </c>
      <c r="Q801" s="36">
        <v>1245.3490748224101</v>
      </c>
      <c r="R801" s="40">
        <f t="shared" si="144"/>
        <v>2.7444893855065864</v>
      </c>
      <c r="S801" s="109"/>
      <c r="T801" s="3">
        <v>250</v>
      </c>
      <c r="U801" s="3"/>
      <c r="V801" s="3"/>
      <c r="W801" s="3"/>
      <c r="X801" s="3"/>
      <c r="Y801" s="37">
        <f t="shared" si="146"/>
        <v>2.7444893855065863E-2</v>
      </c>
      <c r="Z801" s="37">
        <f t="shared" si="149"/>
        <v>-3.5955751445386519</v>
      </c>
      <c r="AA801" s="149">
        <f t="shared" si="150"/>
        <v>-9.8680178189776396E-2</v>
      </c>
      <c r="AB801" s="3"/>
      <c r="AC801" s="3"/>
    </row>
    <row r="802" spans="1:31" customFormat="1" ht="20.25" customHeight="1">
      <c r="A802" s="13">
        <v>43019</v>
      </c>
      <c r="B802" s="53">
        <v>5</v>
      </c>
      <c r="C802" s="36" t="s">
        <v>323</v>
      </c>
      <c r="D802" s="36" t="s">
        <v>489</v>
      </c>
      <c r="E802" s="36"/>
      <c r="F802" s="36" t="s">
        <v>490</v>
      </c>
      <c r="G802" s="36" t="s">
        <v>491</v>
      </c>
      <c r="H802" s="36" t="s">
        <v>371</v>
      </c>
      <c r="I802" s="3" t="s">
        <v>372</v>
      </c>
      <c r="J802" s="3">
        <v>4</v>
      </c>
      <c r="K802" s="3" t="s">
        <v>247</v>
      </c>
      <c r="L802" s="3" t="s">
        <v>371</v>
      </c>
      <c r="M802" s="3">
        <v>255</v>
      </c>
      <c r="N802" s="3">
        <f t="shared" si="151"/>
        <v>1.5686274509803921</v>
      </c>
      <c r="O802" s="36">
        <v>1245.072951229487</v>
      </c>
      <c r="P802" s="8">
        <f t="shared" si="148"/>
        <v>19.530556097717444</v>
      </c>
      <c r="Q802" s="36">
        <v>1245.3490748224101</v>
      </c>
      <c r="R802" s="40">
        <f t="shared" si="144"/>
        <v>1.5682796488609068</v>
      </c>
      <c r="S802" s="109"/>
      <c r="T802" s="3">
        <v>250</v>
      </c>
      <c r="U802" s="3"/>
      <c r="V802" s="3"/>
      <c r="W802" s="3"/>
      <c r="X802" s="3"/>
      <c r="Y802" s="37">
        <f t="shared" si="146"/>
        <v>1.5682796488609069E-2</v>
      </c>
      <c r="Z802" s="37">
        <f t="shared" si="149"/>
        <v>-4.1551909324740741</v>
      </c>
      <c r="AA802" s="149">
        <f t="shared" si="150"/>
        <v>-6.5165013765304647E-2</v>
      </c>
      <c r="AB802" s="3"/>
      <c r="AC802" s="3"/>
    </row>
    <row r="803" spans="1:31" customFormat="1" ht="20.25" customHeight="1">
      <c r="A803" s="13">
        <v>43019</v>
      </c>
      <c r="B803" s="53">
        <v>5</v>
      </c>
      <c r="C803" s="65" t="s">
        <v>300</v>
      </c>
      <c r="D803" s="65" t="s">
        <v>320</v>
      </c>
      <c r="E803" s="65"/>
      <c r="F803" s="65"/>
      <c r="G803" s="65"/>
      <c r="H803" s="36"/>
      <c r="I803" s="36"/>
      <c r="J803" s="36">
        <v>1</v>
      </c>
      <c r="K803" s="36" t="s">
        <v>221</v>
      </c>
      <c r="L803" s="36" t="s">
        <v>322</v>
      </c>
      <c r="M803" s="3">
        <v>255</v>
      </c>
      <c r="N803" s="3">
        <f t="shared" si="151"/>
        <v>0.39215686274509803</v>
      </c>
      <c r="O803" s="36">
        <v>1245.072951229487</v>
      </c>
      <c r="P803" s="8">
        <f t="shared" si="148"/>
        <v>4.8826390244293609</v>
      </c>
      <c r="Q803" s="36">
        <v>1245.3490748224101</v>
      </c>
      <c r="R803" s="40">
        <f t="shared" si="144"/>
        <v>0.39206991221522669</v>
      </c>
      <c r="S803" s="109"/>
      <c r="T803" s="3">
        <v>250</v>
      </c>
      <c r="U803" s="3"/>
      <c r="V803" s="3"/>
      <c r="W803" s="3"/>
      <c r="X803" s="3"/>
      <c r="Y803" s="37">
        <f t="shared" si="146"/>
        <v>3.9206991221522672E-3</v>
      </c>
      <c r="Z803" s="37">
        <f t="shared" si="149"/>
        <v>-5.5414852935939649</v>
      </c>
      <c r="AA803" s="149">
        <f t="shared" si="150"/>
        <v>-2.1726496526013557E-2</v>
      </c>
      <c r="AB803" s="3"/>
      <c r="AC803" s="3"/>
    </row>
    <row r="804" spans="1:31" customFormat="1" ht="20.25" customHeight="1">
      <c r="A804" s="13">
        <v>43019</v>
      </c>
      <c r="B804" s="53">
        <v>8</v>
      </c>
      <c r="C804" s="36" t="s">
        <v>223</v>
      </c>
      <c r="D804" s="36" t="s">
        <v>267</v>
      </c>
      <c r="E804" s="36" t="s">
        <v>278</v>
      </c>
      <c r="F804" s="36" t="s">
        <v>279</v>
      </c>
      <c r="G804" s="36" t="s">
        <v>280</v>
      </c>
      <c r="H804" s="36" t="s">
        <v>284</v>
      </c>
      <c r="I804" s="36" t="s">
        <v>285</v>
      </c>
      <c r="J804" s="36">
        <v>313</v>
      </c>
      <c r="K804" s="36" t="s">
        <v>247</v>
      </c>
      <c r="L804" s="36" t="s">
        <v>24</v>
      </c>
      <c r="M804" s="3">
        <v>313</v>
      </c>
      <c r="N804" s="3">
        <f t="shared" si="151"/>
        <v>100</v>
      </c>
      <c r="O804" s="36">
        <v>38.360507061356344</v>
      </c>
      <c r="P804" s="8">
        <f t="shared" si="148"/>
        <v>38.360507061356344</v>
      </c>
      <c r="Q804" s="36">
        <v>978.53907848992776</v>
      </c>
      <c r="R804" s="40">
        <f t="shared" si="144"/>
        <v>3.9201814117177531</v>
      </c>
      <c r="S804" s="109"/>
      <c r="T804" s="36">
        <v>1000</v>
      </c>
      <c r="U804" s="3"/>
      <c r="V804" s="3"/>
      <c r="W804" s="3"/>
      <c r="X804" s="3"/>
      <c r="Y804" s="37">
        <f t="shared" si="146"/>
        <v>3.9201814117177533E-2</v>
      </c>
      <c r="Z804" s="37">
        <f t="shared" si="149"/>
        <v>-3.23903225475711</v>
      </c>
      <c r="AA804" s="149">
        <f t="shared" si="150"/>
        <v>-0.12697594037053064</v>
      </c>
      <c r="AB804" s="3">
        <f>SUM(AA804:AA818)*(-1)</f>
        <v>1.7757670635837277</v>
      </c>
      <c r="AC804" s="3">
        <v>14</v>
      </c>
      <c r="AD804" s="98">
        <f t="shared" ref="AD804" si="152">LN(AC804)</f>
        <v>2.6390573296152584</v>
      </c>
      <c r="AE804" s="98">
        <f>(AB804/AD804)</f>
        <v>0.67287930567336796</v>
      </c>
    </row>
    <row r="805" spans="1:31" customFormat="1" ht="20.25" customHeight="1">
      <c r="A805" s="13">
        <v>43019</v>
      </c>
      <c r="B805" s="53">
        <v>8</v>
      </c>
      <c r="C805" s="3" t="s">
        <v>223</v>
      </c>
      <c r="D805" s="3" t="s">
        <v>224</v>
      </c>
      <c r="E805" s="3" t="s">
        <v>225</v>
      </c>
      <c r="F805" s="3" t="s">
        <v>226</v>
      </c>
      <c r="G805" s="3" t="s">
        <v>227</v>
      </c>
      <c r="H805" s="3" t="s">
        <v>228</v>
      </c>
      <c r="I805" s="3"/>
      <c r="J805" s="36">
        <v>161</v>
      </c>
      <c r="K805" s="3" t="s">
        <v>229</v>
      </c>
      <c r="L805" s="36" t="s">
        <v>228</v>
      </c>
      <c r="M805" s="3">
        <v>288</v>
      </c>
      <c r="N805" s="3">
        <f t="shared" si="151"/>
        <v>55.902777777777779</v>
      </c>
      <c r="O805" s="36">
        <v>940.17857142857144</v>
      </c>
      <c r="P805" s="8">
        <f t="shared" si="148"/>
        <v>525.5859375</v>
      </c>
      <c r="Q805" s="36">
        <v>978.53907848992776</v>
      </c>
      <c r="R805" s="40">
        <f t="shared" si="144"/>
        <v>53.711287474699454</v>
      </c>
      <c r="S805" s="109"/>
      <c r="T805" s="3">
        <v>250</v>
      </c>
      <c r="U805" s="3"/>
      <c r="V805" s="3"/>
      <c r="W805" s="3"/>
      <c r="X805" s="3"/>
      <c r="Y805" s="37">
        <f t="shared" si="146"/>
        <v>0.53711287474699454</v>
      </c>
      <c r="Z805" s="37">
        <f t="shared" si="149"/>
        <v>-0.62154701150157865</v>
      </c>
      <c r="AA805" s="149">
        <f t="shared" si="150"/>
        <v>-0.3338409021380162</v>
      </c>
      <c r="AB805" s="3"/>
      <c r="AC805" s="3"/>
    </row>
    <row r="806" spans="1:31" customFormat="1" ht="20.25" customHeight="1">
      <c r="A806" s="13">
        <v>43019</v>
      </c>
      <c r="B806" s="53">
        <v>8</v>
      </c>
      <c r="C806" s="36" t="s">
        <v>223</v>
      </c>
      <c r="D806" s="36" t="s">
        <v>224</v>
      </c>
      <c r="E806" s="36" t="s">
        <v>225</v>
      </c>
      <c r="F806" s="36" t="s">
        <v>226</v>
      </c>
      <c r="G806" s="36" t="s">
        <v>239</v>
      </c>
      <c r="H806" s="36" t="s">
        <v>240</v>
      </c>
      <c r="I806" s="3"/>
      <c r="J806" s="36">
        <v>37</v>
      </c>
      <c r="K806" s="3" t="s">
        <v>229</v>
      </c>
      <c r="L806" s="36" t="s">
        <v>240</v>
      </c>
      <c r="M806" s="3">
        <v>288</v>
      </c>
      <c r="N806" s="3">
        <f t="shared" si="151"/>
        <v>12.847222222222221</v>
      </c>
      <c r="O806" s="36">
        <v>940.17857142857144</v>
      </c>
      <c r="P806" s="8">
        <f t="shared" si="148"/>
        <v>120.78683035714285</v>
      </c>
      <c r="Q806" s="36">
        <v>978.53907848992799</v>
      </c>
      <c r="R806" s="40">
        <f t="shared" si="144"/>
        <v>12.34358780474459</v>
      </c>
      <c r="S806" s="109"/>
      <c r="T806" s="3">
        <v>250</v>
      </c>
      <c r="U806" s="3"/>
      <c r="V806" s="3"/>
      <c r="W806" s="3"/>
      <c r="X806" s="3"/>
      <c r="Y806" s="37">
        <f t="shared" si="146"/>
        <v>0.12343587804744591</v>
      </c>
      <c r="Z806" s="37">
        <f t="shared" si="149"/>
        <v>-2.0920334638418177</v>
      </c>
      <c r="AA806" s="149">
        <f t="shared" si="150"/>
        <v>-0.25823198751395443</v>
      </c>
      <c r="AB806" s="3"/>
      <c r="AC806" s="3"/>
    </row>
    <row r="807" spans="1:31" customFormat="1" ht="20.25" customHeight="1">
      <c r="A807" s="13">
        <v>43019</v>
      </c>
      <c r="B807" s="53">
        <v>8</v>
      </c>
      <c r="C807" s="65" t="s">
        <v>223</v>
      </c>
      <c r="D807" s="65" t="s">
        <v>224</v>
      </c>
      <c r="E807" s="65" t="s">
        <v>225</v>
      </c>
      <c r="F807" s="65" t="s">
        <v>226</v>
      </c>
      <c r="G807" s="65" t="s">
        <v>261</v>
      </c>
      <c r="H807" s="65" t="s">
        <v>262</v>
      </c>
      <c r="I807" s="36"/>
      <c r="J807" s="36">
        <v>5</v>
      </c>
      <c r="K807" s="3" t="s">
        <v>229</v>
      </c>
      <c r="L807" s="36" t="s">
        <v>264</v>
      </c>
      <c r="M807" s="3">
        <v>288</v>
      </c>
      <c r="N807" s="3">
        <f t="shared" si="151"/>
        <v>1.7361111111111112</v>
      </c>
      <c r="O807" s="36">
        <v>940.17857142857099</v>
      </c>
      <c r="P807" s="8">
        <f t="shared" si="148"/>
        <v>16.322544642857135</v>
      </c>
      <c r="Q807" s="36">
        <v>978.53907848992799</v>
      </c>
      <c r="R807" s="40">
        <f t="shared" si="144"/>
        <v>1.6680524060465656</v>
      </c>
      <c r="S807" s="109"/>
      <c r="T807" s="3">
        <v>250</v>
      </c>
      <c r="U807" s="3"/>
      <c r="V807" s="3"/>
      <c r="W807" s="3"/>
      <c r="X807" s="3"/>
      <c r="Y807" s="37">
        <f t="shared" si="146"/>
        <v>1.6680524060465655E-2</v>
      </c>
      <c r="Z807" s="37">
        <f t="shared" si="149"/>
        <v>-4.0935134640519424</v>
      </c>
      <c r="AA807" s="149">
        <f t="shared" si="150"/>
        <v>-6.8281949828958535E-2</v>
      </c>
      <c r="AB807" s="3"/>
      <c r="AC807" s="3"/>
    </row>
    <row r="808" spans="1:31" customFormat="1" ht="20.25" customHeight="1">
      <c r="A808" s="13">
        <v>43019</v>
      </c>
      <c r="B808" s="53">
        <v>8</v>
      </c>
      <c r="C808" s="3" t="s">
        <v>223</v>
      </c>
      <c r="D808" s="3" t="s">
        <v>224</v>
      </c>
      <c r="E808" s="3" t="s">
        <v>225</v>
      </c>
      <c r="F808" s="3" t="s">
        <v>248</v>
      </c>
      <c r="G808" s="3" t="s">
        <v>249</v>
      </c>
      <c r="H808" s="3" t="s">
        <v>250</v>
      </c>
      <c r="I808" s="3"/>
      <c r="J808" s="3">
        <v>12</v>
      </c>
      <c r="K808" s="3" t="s">
        <v>229</v>
      </c>
      <c r="L808" s="3" t="s">
        <v>250</v>
      </c>
      <c r="M808" s="3">
        <v>288</v>
      </c>
      <c r="N808" s="3">
        <f t="shared" si="151"/>
        <v>4.1666666666666661</v>
      </c>
      <c r="O808" s="36">
        <v>940.17857142857099</v>
      </c>
      <c r="P808" s="8">
        <f t="shared" si="148"/>
        <v>39.174107142857117</v>
      </c>
      <c r="Q808" s="36">
        <v>978.53907848992799</v>
      </c>
      <c r="R808" s="40">
        <f t="shared" si="144"/>
        <v>4.0033257745117563</v>
      </c>
      <c r="S808" s="109"/>
      <c r="T808" s="3">
        <v>250</v>
      </c>
      <c r="U808" s="3"/>
      <c r="V808" s="3"/>
      <c r="W808" s="3"/>
      <c r="X808" s="3"/>
      <c r="Y808" s="37">
        <f t="shared" si="146"/>
        <v>4.0033257745117561E-2</v>
      </c>
      <c r="Z808" s="37">
        <f t="shared" si="149"/>
        <v>-3.2180447266980425</v>
      </c>
      <c r="AA808" s="149">
        <f t="shared" si="150"/>
        <v>-0.12882881397921914</v>
      </c>
      <c r="AB808" s="3"/>
      <c r="AC808" s="3"/>
    </row>
    <row r="809" spans="1:31" customFormat="1" ht="20.25" customHeight="1">
      <c r="A809" s="13">
        <v>43019</v>
      </c>
      <c r="B809" s="53">
        <v>8</v>
      </c>
      <c r="C809" s="36" t="s">
        <v>223</v>
      </c>
      <c r="D809" s="36" t="s">
        <v>224</v>
      </c>
      <c r="E809" s="36" t="s">
        <v>225</v>
      </c>
      <c r="F809" s="36" t="s">
        <v>226</v>
      </c>
      <c r="G809" s="36" t="s">
        <v>253</v>
      </c>
      <c r="H809" s="36" t="s">
        <v>256</v>
      </c>
      <c r="I809" s="3"/>
      <c r="J809" s="36">
        <v>8</v>
      </c>
      <c r="K809" s="3" t="s">
        <v>229</v>
      </c>
      <c r="L809" s="36" t="s">
        <v>256</v>
      </c>
      <c r="M809" s="3">
        <v>288</v>
      </c>
      <c r="N809" s="3">
        <f t="shared" si="151"/>
        <v>2.7777777777777777</v>
      </c>
      <c r="O809" s="36">
        <v>940.17857142857099</v>
      </c>
      <c r="P809" s="8">
        <f t="shared" si="148"/>
        <v>26.116071428571416</v>
      </c>
      <c r="Q809" s="36">
        <v>978.53907848992799</v>
      </c>
      <c r="R809" s="40">
        <f t="shared" si="144"/>
        <v>2.6688838496745051</v>
      </c>
      <c r="S809" s="109"/>
      <c r="T809" s="3">
        <v>250</v>
      </c>
      <c r="U809" s="3"/>
      <c r="V809" s="3"/>
      <c r="W809" s="3"/>
      <c r="X809" s="3"/>
      <c r="Y809" s="37">
        <f t="shared" si="146"/>
        <v>2.6688838496745051E-2</v>
      </c>
      <c r="Z809" s="37">
        <f t="shared" si="149"/>
        <v>-3.6235098348062063</v>
      </c>
      <c r="AA809" s="149">
        <f t="shared" si="150"/>
        <v>-9.670726877251018E-2</v>
      </c>
      <c r="AB809" s="3"/>
      <c r="AC809" s="3"/>
    </row>
    <row r="810" spans="1:31" customFormat="1" ht="20.25" customHeight="1">
      <c r="A810" s="13">
        <v>43019</v>
      </c>
      <c r="B810" s="53">
        <v>8</v>
      </c>
      <c r="C810" s="51" t="s">
        <v>223</v>
      </c>
      <c r="D810" s="51" t="s">
        <v>224</v>
      </c>
      <c r="E810" s="51" t="s">
        <v>225</v>
      </c>
      <c r="F810" s="51" t="s">
        <v>226</v>
      </c>
      <c r="G810" s="51" t="s">
        <v>239</v>
      </c>
      <c r="H810" s="3" t="s">
        <v>258</v>
      </c>
      <c r="I810" s="3" t="s">
        <v>259</v>
      </c>
      <c r="J810" s="3">
        <v>2</v>
      </c>
      <c r="K810" s="3" t="s">
        <v>247</v>
      </c>
      <c r="L810" s="3" t="s">
        <v>260</v>
      </c>
      <c r="M810" s="3">
        <v>288</v>
      </c>
      <c r="N810" s="3">
        <f t="shared" si="151"/>
        <v>0.69444444444444442</v>
      </c>
      <c r="O810" s="36">
        <v>940.17857142857099</v>
      </c>
      <c r="P810" s="8">
        <f t="shared" si="148"/>
        <v>6.5290178571428541</v>
      </c>
      <c r="Q810" s="36">
        <v>978.53907848992799</v>
      </c>
      <c r="R810" s="40">
        <f t="shared" si="144"/>
        <v>0.66722096241862627</v>
      </c>
      <c r="S810" s="109"/>
      <c r="T810" s="3">
        <v>250</v>
      </c>
      <c r="U810" s="3"/>
      <c r="V810" s="3"/>
      <c r="W810" s="3"/>
      <c r="X810" s="3"/>
      <c r="Y810" s="37">
        <f t="shared" si="146"/>
        <v>6.6722096241862627E-3</v>
      </c>
      <c r="Z810" s="37">
        <f t="shared" si="149"/>
        <v>-5.0098041959260966</v>
      </c>
      <c r="AA810" s="149">
        <f t="shared" si="150"/>
        <v>-3.3426463771346823E-2</v>
      </c>
      <c r="AB810" s="3"/>
      <c r="AC810" s="3"/>
    </row>
    <row r="811" spans="1:31" customFormat="1" ht="20.25" customHeight="1">
      <c r="A811" s="13">
        <v>43019</v>
      </c>
      <c r="B811" s="53">
        <v>8</v>
      </c>
      <c r="C811" s="36" t="s">
        <v>223</v>
      </c>
      <c r="D811" s="36" t="s">
        <v>303</v>
      </c>
      <c r="E811" s="36" t="s">
        <v>304</v>
      </c>
      <c r="F811" s="36" t="s">
        <v>305</v>
      </c>
      <c r="G811" s="36" t="s">
        <v>306</v>
      </c>
      <c r="H811" s="36" t="s">
        <v>307</v>
      </c>
      <c r="I811" s="36"/>
      <c r="J811" s="36">
        <v>1</v>
      </c>
      <c r="K811" s="3" t="s">
        <v>229</v>
      </c>
      <c r="L811" s="3" t="s">
        <v>307</v>
      </c>
      <c r="M811" s="3">
        <v>288</v>
      </c>
      <c r="N811" s="3">
        <f t="shared" si="151"/>
        <v>0.34722222222222221</v>
      </c>
      <c r="O811" s="36">
        <v>940.17857142857099</v>
      </c>
      <c r="P811" s="8">
        <f t="shared" si="148"/>
        <v>3.264508928571427</v>
      </c>
      <c r="Q811" s="36">
        <v>978.53907848992799</v>
      </c>
      <c r="R811" s="40">
        <f t="shared" si="144"/>
        <v>0.33361048120931314</v>
      </c>
      <c r="S811" s="109"/>
      <c r="T811" s="3">
        <v>250</v>
      </c>
      <c r="U811" s="3" t="s">
        <v>308</v>
      </c>
      <c r="V811" s="3"/>
      <c r="W811" s="3"/>
      <c r="X811" s="3"/>
      <c r="Y811" s="37">
        <f t="shared" si="146"/>
        <v>3.3361048120931313E-3</v>
      </c>
      <c r="Z811" s="37">
        <f t="shared" si="149"/>
        <v>-5.702951376486042</v>
      </c>
      <c r="AA811" s="149">
        <f t="shared" si="150"/>
        <v>-1.9025643530228231E-2</v>
      </c>
      <c r="AB811" s="3"/>
      <c r="AC811" s="3"/>
    </row>
    <row r="812" spans="1:31" customFormat="1" ht="20.25" customHeight="1">
      <c r="A812" s="13">
        <v>43019</v>
      </c>
      <c r="B812" s="53">
        <v>8</v>
      </c>
      <c r="C812" s="3" t="s">
        <v>223</v>
      </c>
      <c r="D812" s="3" t="s">
        <v>224</v>
      </c>
      <c r="E812" s="3" t="s">
        <v>225</v>
      </c>
      <c r="F812" s="3" t="s">
        <v>226</v>
      </c>
      <c r="G812" s="3" t="s">
        <v>235</v>
      </c>
      <c r="H812" s="3" t="s">
        <v>236</v>
      </c>
      <c r="I812" s="3"/>
      <c r="J812" s="36">
        <v>17</v>
      </c>
      <c r="K812" s="3" t="s">
        <v>229</v>
      </c>
      <c r="L812" s="36" t="s">
        <v>236</v>
      </c>
      <c r="M812" s="3">
        <v>288</v>
      </c>
      <c r="N812" s="3">
        <f t="shared" si="151"/>
        <v>5.9027777777777777</v>
      </c>
      <c r="O812" s="36">
        <v>940.17857142857099</v>
      </c>
      <c r="P812" s="8">
        <f t="shared" si="148"/>
        <v>55.496651785714256</v>
      </c>
      <c r="Q812" s="36">
        <v>978.53907848992799</v>
      </c>
      <c r="R812" s="40">
        <f t="shared" si="144"/>
        <v>5.6713781805583228</v>
      </c>
      <c r="S812" s="109"/>
      <c r="T812" s="3">
        <v>250</v>
      </c>
      <c r="U812" s="3"/>
      <c r="V812" s="3"/>
      <c r="W812" s="3"/>
      <c r="X812" s="3"/>
      <c r="Y812" s="37">
        <f t="shared" si="146"/>
        <v>5.671378180558323E-2</v>
      </c>
      <c r="Z812" s="37">
        <f t="shared" si="149"/>
        <v>-2.8697380324298263</v>
      </c>
      <c r="AA812" s="149">
        <f t="shared" si="150"/>
        <v>-0.16275369661040889</v>
      </c>
      <c r="AB812" s="3"/>
      <c r="AC812" s="3"/>
    </row>
    <row r="813" spans="1:31" customFormat="1" ht="20.25" customHeight="1">
      <c r="A813" s="13">
        <v>43019</v>
      </c>
      <c r="B813" s="53">
        <v>8</v>
      </c>
      <c r="C813" s="36" t="s">
        <v>216</v>
      </c>
      <c r="D813" s="36" t="s">
        <v>217</v>
      </c>
      <c r="E813" s="36"/>
      <c r="F813" s="36"/>
      <c r="G813" s="36"/>
      <c r="H813" s="36"/>
      <c r="I813" s="36"/>
      <c r="J813" s="36">
        <v>10</v>
      </c>
      <c r="K813" s="36" t="s">
        <v>221</v>
      </c>
      <c r="L813" s="36" t="s">
        <v>219</v>
      </c>
      <c r="M813" s="3">
        <v>288</v>
      </c>
      <c r="N813" s="3">
        <f t="shared" si="151"/>
        <v>3.4722222222222223</v>
      </c>
      <c r="O813" s="36">
        <v>940.17857142857099</v>
      </c>
      <c r="P813" s="8">
        <f t="shared" si="148"/>
        <v>32.64508928571427</v>
      </c>
      <c r="Q813" s="36">
        <v>978.53907848992799</v>
      </c>
      <c r="R813" s="40">
        <f t="shared" si="144"/>
        <v>3.3361048120931311</v>
      </c>
      <c r="S813" s="109"/>
      <c r="T813" s="3">
        <v>250</v>
      </c>
      <c r="U813" s="3"/>
      <c r="V813" s="3"/>
      <c r="W813" s="3"/>
      <c r="X813" s="3"/>
      <c r="Y813" s="37">
        <f t="shared" si="146"/>
        <v>3.3361048120931311E-2</v>
      </c>
      <c r="Z813" s="37">
        <f t="shared" si="149"/>
        <v>-3.4003662834919965</v>
      </c>
      <c r="AA813" s="149">
        <f t="shared" si="150"/>
        <v>-0.11343978321236886</v>
      </c>
      <c r="AB813" s="3"/>
      <c r="AC813" s="3"/>
    </row>
    <row r="814" spans="1:31" customFormat="1" ht="20.25" customHeight="1">
      <c r="A814" s="13">
        <v>43019</v>
      </c>
      <c r="B814" s="53">
        <v>8</v>
      </c>
      <c r="C814" s="36" t="s">
        <v>223</v>
      </c>
      <c r="D814" s="36" t="s">
        <v>317</v>
      </c>
      <c r="E814" s="36" t="s">
        <v>314</v>
      </c>
      <c r="F814" s="36" t="s">
        <v>346</v>
      </c>
      <c r="G814" s="36" t="s">
        <v>315</v>
      </c>
      <c r="H814" s="36" t="s">
        <v>660</v>
      </c>
      <c r="I814" s="36"/>
      <c r="J814" s="3">
        <v>10</v>
      </c>
      <c r="K814" s="3" t="s">
        <v>229</v>
      </c>
      <c r="L814" s="36" t="s">
        <v>345</v>
      </c>
      <c r="M814" s="3">
        <v>288</v>
      </c>
      <c r="N814" s="3">
        <f t="shared" si="151"/>
        <v>3.4722222222222223</v>
      </c>
      <c r="O814" s="36">
        <v>940.17857142857099</v>
      </c>
      <c r="P814" s="8">
        <f t="shared" si="148"/>
        <v>32.64508928571427</v>
      </c>
      <c r="Q814" s="36">
        <v>978.53907848992799</v>
      </c>
      <c r="R814" s="40">
        <f t="shared" si="144"/>
        <v>3.3361048120931311</v>
      </c>
      <c r="S814" s="109"/>
      <c r="T814" s="3">
        <v>250</v>
      </c>
      <c r="U814" s="3"/>
      <c r="V814" s="3"/>
      <c r="W814" s="3"/>
      <c r="X814" s="3"/>
      <c r="Y814" s="37">
        <f t="shared" si="146"/>
        <v>3.3361048120931311E-2</v>
      </c>
      <c r="Z814" s="37">
        <f t="shared" si="149"/>
        <v>-3.4003662834919965</v>
      </c>
      <c r="AA814" s="149">
        <f t="shared" si="150"/>
        <v>-0.11343978321236886</v>
      </c>
      <c r="AB814" s="3"/>
      <c r="AC814" s="3"/>
    </row>
    <row r="815" spans="1:31" customFormat="1" ht="20.25" customHeight="1">
      <c r="A815" s="13">
        <v>43019</v>
      </c>
      <c r="B815" s="53">
        <v>8</v>
      </c>
      <c r="C815" s="36" t="s">
        <v>223</v>
      </c>
      <c r="D815" s="36" t="s">
        <v>317</v>
      </c>
      <c r="E815" s="36" t="s">
        <v>314</v>
      </c>
      <c r="F815" s="36" t="s">
        <v>346</v>
      </c>
      <c r="G815" s="3"/>
      <c r="H815" s="36" t="s">
        <v>316</v>
      </c>
      <c r="I815" s="3"/>
      <c r="J815" s="3">
        <v>7</v>
      </c>
      <c r="K815" s="3" t="s">
        <v>229</v>
      </c>
      <c r="L815" s="36" t="s">
        <v>482</v>
      </c>
      <c r="M815" s="3">
        <v>288</v>
      </c>
      <c r="N815" s="3">
        <f t="shared" si="151"/>
        <v>2.4305555555555558</v>
      </c>
      <c r="O815" s="36">
        <v>940.17857142857099</v>
      </c>
      <c r="P815" s="8">
        <f t="shared" si="148"/>
        <v>22.851562499999993</v>
      </c>
      <c r="Q815" s="36">
        <v>978.53907848992799</v>
      </c>
      <c r="R815" s="40">
        <f t="shared" si="144"/>
        <v>2.3352733684651921</v>
      </c>
      <c r="S815" s="109"/>
      <c r="T815" s="3">
        <v>250</v>
      </c>
      <c r="U815" s="3"/>
      <c r="V815" s="3"/>
      <c r="W815" s="3"/>
      <c r="X815" s="3"/>
      <c r="Y815" s="37">
        <f t="shared" si="146"/>
        <v>2.3352733684651919E-2</v>
      </c>
      <c r="Z815" s="37">
        <f t="shared" si="149"/>
        <v>-3.757041227430729</v>
      </c>
      <c r="AA815" s="149">
        <f t="shared" si="150"/>
        <v>-8.7737183226447579E-2</v>
      </c>
      <c r="AB815" s="3"/>
      <c r="AC815" s="3"/>
    </row>
    <row r="816" spans="1:31" customFormat="1" ht="20.25" customHeight="1">
      <c r="A816" s="13">
        <v>43019</v>
      </c>
      <c r="B816" s="53">
        <v>8</v>
      </c>
      <c r="C816" s="3" t="s">
        <v>295</v>
      </c>
      <c r="D816" s="3" t="s">
        <v>296</v>
      </c>
      <c r="E816" s="3"/>
      <c r="F816" s="3" t="s">
        <v>297</v>
      </c>
      <c r="G816" s="3" t="s">
        <v>298</v>
      </c>
      <c r="H816" s="3" t="s">
        <v>299</v>
      </c>
      <c r="I816" s="3"/>
      <c r="J816" s="3">
        <v>7</v>
      </c>
      <c r="K816" s="3" t="s">
        <v>229</v>
      </c>
      <c r="L816" s="3" t="s">
        <v>479</v>
      </c>
      <c r="M816" s="3">
        <v>288</v>
      </c>
      <c r="N816" s="3">
        <f t="shared" si="151"/>
        <v>2.4305555555555558</v>
      </c>
      <c r="O816" s="36">
        <v>940.17857142857099</v>
      </c>
      <c r="P816" s="8">
        <f t="shared" si="148"/>
        <v>22.851562499999993</v>
      </c>
      <c r="Q816" s="36">
        <v>978.53907848992799</v>
      </c>
      <c r="R816" s="40">
        <f t="shared" si="144"/>
        <v>2.3352733684651921</v>
      </c>
      <c r="S816" s="109"/>
      <c r="T816" s="3">
        <v>250</v>
      </c>
      <c r="U816" s="3"/>
      <c r="V816" s="3"/>
      <c r="W816" s="3"/>
      <c r="X816" s="3"/>
      <c r="Y816" s="37">
        <f t="shared" si="146"/>
        <v>2.3352733684651919E-2</v>
      </c>
      <c r="Z816" s="37">
        <f t="shared" si="149"/>
        <v>-3.757041227430729</v>
      </c>
      <c r="AA816" s="149">
        <f t="shared" si="150"/>
        <v>-8.7737183226447579E-2</v>
      </c>
      <c r="AB816" s="3"/>
      <c r="AC816" s="3"/>
    </row>
    <row r="817" spans="1:29" customFormat="1" ht="20.25" customHeight="1">
      <c r="A817" s="13">
        <v>43019</v>
      </c>
      <c r="B817" s="53">
        <v>8</v>
      </c>
      <c r="C817" s="65" t="s">
        <v>300</v>
      </c>
      <c r="D817" s="65" t="s">
        <v>301</v>
      </c>
      <c r="E817" s="65"/>
      <c r="F817" s="65"/>
      <c r="G817" s="65"/>
      <c r="H817" s="36"/>
      <c r="I817" s="36"/>
      <c r="J817" s="36">
        <v>4</v>
      </c>
      <c r="K817" s="36" t="s">
        <v>221</v>
      </c>
      <c r="L817" s="36" t="s">
        <v>302</v>
      </c>
      <c r="M817" s="3">
        <v>288</v>
      </c>
      <c r="N817" s="3">
        <f t="shared" si="151"/>
        <v>1.3888888888888888</v>
      </c>
      <c r="O817" s="36">
        <v>940.17857142857099</v>
      </c>
      <c r="P817" s="8">
        <f t="shared" si="148"/>
        <v>13.058035714285708</v>
      </c>
      <c r="Q817" s="36">
        <v>978.53907848992799</v>
      </c>
      <c r="R817" s="40">
        <f t="shared" si="144"/>
        <v>1.3344419248372525</v>
      </c>
      <c r="S817" s="109"/>
      <c r="T817" s="3">
        <v>250</v>
      </c>
      <c r="U817" s="3"/>
      <c r="V817" s="3"/>
      <c r="W817" s="3"/>
      <c r="X817" s="3"/>
      <c r="Y817" s="37">
        <f t="shared" si="146"/>
        <v>1.3344419248372525E-2</v>
      </c>
      <c r="Z817" s="37">
        <f t="shared" si="149"/>
        <v>-4.3166570153661521</v>
      </c>
      <c r="AA817" s="149">
        <f t="shared" si="150"/>
        <v>-5.7603280964474375E-2</v>
      </c>
      <c r="AB817" s="3"/>
      <c r="AC817" s="3"/>
    </row>
    <row r="818" spans="1:29" customFormat="1" ht="20.25" customHeight="1">
      <c r="A818" s="13">
        <v>43019</v>
      </c>
      <c r="B818" s="53">
        <v>8</v>
      </c>
      <c r="C818" s="36" t="s">
        <v>323</v>
      </c>
      <c r="D818" s="36" t="s">
        <v>489</v>
      </c>
      <c r="E818" s="36"/>
      <c r="F818" s="36" t="s">
        <v>490</v>
      </c>
      <c r="G818" s="36" t="s">
        <v>491</v>
      </c>
      <c r="H818" s="36" t="s">
        <v>371</v>
      </c>
      <c r="I818" s="3" t="s">
        <v>372</v>
      </c>
      <c r="J818" s="3">
        <v>7</v>
      </c>
      <c r="K818" s="3" t="s">
        <v>247</v>
      </c>
      <c r="L818" s="3" t="s">
        <v>371</v>
      </c>
      <c r="M818" s="3">
        <v>288</v>
      </c>
      <c r="N818" s="3">
        <f t="shared" si="151"/>
        <v>2.4305555555555558</v>
      </c>
      <c r="O818" s="36">
        <v>940.17857142857099</v>
      </c>
      <c r="P818" s="8">
        <f t="shared" si="148"/>
        <v>22.851562499999993</v>
      </c>
      <c r="Q818" s="36">
        <v>978.53907848992799</v>
      </c>
      <c r="R818" s="40">
        <f t="shared" si="144"/>
        <v>2.3352733684651921</v>
      </c>
      <c r="S818" s="109"/>
      <c r="T818" s="3">
        <v>250</v>
      </c>
      <c r="U818" s="3"/>
      <c r="V818" s="3"/>
      <c r="W818" s="3"/>
      <c r="X818" s="3"/>
      <c r="Y818" s="37">
        <f t="shared" si="146"/>
        <v>2.3352733684651919E-2</v>
      </c>
      <c r="Z818" s="37">
        <f t="shared" si="149"/>
        <v>-3.757041227430729</v>
      </c>
      <c r="AA818" s="149">
        <f t="shared" si="150"/>
        <v>-8.7737183226447579E-2</v>
      </c>
      <c r="AB818" s="3"/>
      <c r="AC818" s="3"/>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53"/>
  <sheetViews>
    <sheetView workbookViewId="0">
      <pane ySplit="1" topLeftCell="A23" activePane="bottomLeft" state="frozen"/>
      <selection pane="bottomLeft" activeCell="D7" sqref="D7"/>
    </sheetView>
  </sheetViews>
  <sheetFormatPr baseColWidth="10" defaultRowHeight="22" customHeight="1" x14ac:dyDescent="0"/>
  <cols>
    <col min="4" max="4" width="19.83203125" bestFit="1" customWidth="1"/>
    <col min="8" max="11" width="10.83203125" style="47"/>
    <col min="12" max="13" width="10.83203125" style="38"/>
    <col min="14" max="14" width="60.33203125" style="38" customWidth="1"/>
    <col min="15" max="17" width="10.83203125" style="38"/>
  </cols>
  <sheetData>
    <row r="1" spans="1:17" ht="32" customHeight="1">
      <c r="A1" t="s">
        <v>667</v>
      </c>
      <c r="B1" s="100" t="s">
        <v>190</v>
      </c>
      <c r="C1" s="100" t="s">
        <v>191</v>
      </c>
      <c r="D1" s="100" t="s">
        <v>668</v>
      </c>
      <c r="E1" s="100" t="s">
        <v>626</v>
      </c>
      <c r="F1" s="100" t="s">
        <v>622</v>
      </c>
      <c r="G1" s="100" t="s">
        <v>623</v>
      </c>
      <c r="H1" s="94" t="s">
        <v>633</v>
      </c>
      <c r="I1" s="101" t="s">
        <v>631</v>
      </c>
      <c r="J1" s="101" t="s">
        <v>632</v>
      </c>
      <c r="K1" s="101" t="s">
        <v>630</v>
      </c>
      <c r="L1" s="47" t="s">
        <v>679</v>
      </c>
      <c r="M1" s="47"/>
      <c r="N1" s="156" t="s">
        <v>690</v>
      </c>
      <c r="O1" s="47"/>
      <c r="P1" s="47"/>
      <c r="Q1" s="47"/>
    </row>
    <row r="2" spans="1:17" ht="22" customHeight="1">
      <c r="A2">
        <v>16</v>
      </c>
      <c r="B2" s="102">
        <v>41761</v>
      </c>
      <c r="C2" s="100">
        <v>2</v>
      </c>
      <c r="D2" s="100"/>
      <c r="E2" s="100"/>
      <c r="F2" s="100"/>
      <c r="G2" s="100"/>
      <c r="H2" s="94">
        <v>2.4458452932518657</v>
      </c>
      <c r="I2" s="103">
        <v>13</v>
      </c>
      <c r="J2" s="103">
        <v>2.5649493574615367</v>
      </c>
      <c r="K2" s="103">
        <v>0.95356475017208719</v>
      </c>
      <c r="L2" s="47" t="s">
        <v>678</v>
      </c>
      <c r="M2" s="47"/>
      <c r="N2" s="47" t="s">
        <v>684</v>
      </c>
      <c r="O2" s="47"/>
      <c r="P2" s="47"/>
      <c r="Q2" s="47"/>
    </row>
    <row r="3" spans="1:17" ht="22" customHeight="1">
      <c r="A3">
        <v>2</v>
      </c>
      <c r="B3" s="102">
        <v>41422</v>
      </c>
      <c r="C3" s="100">
        <v>5</v>
      </c>
      <c r="D3" s="100"/>
      <c r="E3" s="100">
        <v>0.27500000000000002</v>
      </c>
      <c r="F3" s="100">
        <v>-1.290984181</v>
      </c>
      <c r="G3" s="100">
        <v>-0.35502064999999999</v>
      </c>
      <c r="H3" s="94">
        <v>2.1383427212995065</v>
      </c>
      <c r="I3" s="103">
        <v>12</v>
      </c>
      <c r="J3" s="103">
        <v>2.4849066497880004</v>
      </c>
      <c r="K3" s="103">
        <v>0.86053241536535752</v>
      </c>
      <c r="L3" s="47" t="s">
        <v>678</v>
      </c>
      <c r="M3" s="47"/>
      <c r="N3" s="47" t="s">
        <v>685</v>
      </c>
      <c r="O3" s="47"/>
      <c r="P3" s="47"/>
      <c r="Q3" s="47"/>
    </row>
    <row r="4" spans="1:17" ht="22" customHeight="1">
      <c r="A4">
        <v>4</v>
      </c>
      <c r="B4" s="102">
        <v>41422</v>
      </c>
      <c r="C4" s="100">
        <v>2</v>
      </c>
      <c r="D4" s="100"/>
      <c r="E4" s="100">
        <v>2.3601500000000001E-4</v>
      </c>
      <c r="F4" s="100">
        <v>-8.3516134389999994</v>
      </c>
      <c r="G4" s="100">
        <v>-1.9711099999999999E-3</v>
      </c>
      <c r="H4" s="94">
        <v>2.118424030815965</v>
      </c>
      <c r="I4" s="103">
        <v>12</v>
      </c>
      <c r="J4" s="103">
        <v>2.4849066497880004</v>
      </c>
      <c r="K4" s="103">
        <v>0.85251654463426152</v>
      </c>
      <c r="L4" s="47" t="s">
        <v>683</v>
      </c>
      <c r="M4" s="47"/>
      <c r="N4" s="47"/>
      <c r="O4" s="47"/>
      <c r="P4" s="47"/>
      <c r="Q4" s="47"/>
    </row>
    <row r="5" spans="1:17" ht="22" customHeight="1">
      <c r="A5">
        <v>3</v>
      </c>
      <c r="B5" s="102">
        <v>41422</v>
      </c>
      <c r="C5" s="100">
        <v>4</v>
      </c>
      <c r="D5" s="100"/>
      <c r="E5" s="100">
        <v>4.0230000000000002E-4</v>
      </c>
      <c r="F5" s="100">
        <v>-7.8183122870000004</v>
      </c>
      <c r="G5" s="100">
        <v>-3.1453079999999999E-3</v>
      </c>
      <c r="H5" s="94">
        <v>2.3573477770000002</v>
      </c>
      <c r="I5" s="103">
        <v>17</v>
      </c>
      <c r="J5" s="103">
        <v>2.8332133440562162</v>
      </c>
      <c r="K5" s="103">
        <v>0.83204033396174526</v>
      </c>
      <c r="L5" s="47" t="s">
        <v>678</v>
      </c>
      <c r="M5" s="47"/>
      <c r="N5" s="47"/>
      <c r="O5" s="47"/>
      <c r="P5" s="47"/>
      <c r="Q5" s="47"/>
    </row>
    <row r="6" spans="1:17" ht="22" customHeight="1">
      <c r="A6">
        <v>9</v>
      </c>
      <c r="B6" s="102">
        <v>41542</v>
      </c>
      <c r="C6" s="100">
        <v>8</v>
      </c>
      <c r="D6" s="100"/>
      <c r="E6" s="100">
        <v>3.0358500000000001E-5</v>
      </c>
      <c r="F6" s="100">
        <v>-10.4024351</v>
      </c>
      <c r="G6" s="100">
        <v>-3.1580200000000001E-4</v>
      </c>
      <c r="H6" s="94">
        <v>1.7843367964865728</v>
      </c>
      <c r="I6" s="103">
        <v>9</v>
      </c>
      <c r="J6" s="103">
        <v>2.1972245773362196</v>
      </c>
      <c r="K6" s="103">
        <v>0.81208667283787328</v>
      </c>
      <c r="L6" s="47" t="s">
        <v>678</v>
      </c>
      <c r="M6" s="104"/>
      <c r="N6" s="104"/>
      <c r="O6" s="104"/>
      <c r="P6" s="104"/>
      <c r="Q6" s="104"/>
    </row>
    <row r="7" spans="1:17" ht="22" customHeight="1">
      <c r="A7">
        <v>28</v>
      </c>
      <c r="B7" s="102">
        <v>42206</v>
      </c>
      <c r="C7" s="100">
        <v>8</v>
      </c>
      <c r="D7" s="100"/>
      <c r="E7" s="100">
        <v>2.4807699999999998E-4</v>
      </c>
      <c r="F7" s="100">
        <v>-8.3017728640000001</v>
      </c>
      <c r="G7" s="100">
        <v>-2.0594760000000002E-3</v>
      </c>
      <c r="H7" s="94">
        <v>2.1406199999129161</v>
      </c>
      <c r="I7" s="103">
        <v>14</v>
      </c>
      <c r="J7" s="103">
        <v>2.6390573296152584</v>
      </c>
      <c r="K7" s="103">
        <v>0.81113054115614525</v>
      </c>
      <c r="L7" s="47" t="s">
        <v>678</v>
      </c>
      <c r="M7" s="47"/>
      <c r="N7" s="47"/>
      <c r="O7" s="47"/>
      <c r="P7" s="47"/>
      <c r="Q7" s="47"/>
    </row>
    <row r="8" spans="1:17" ht="22" customHeight="1">
      <c r="A8">
        <v>1</v>
      </c>
      <c r="B8" s="102">
        <v>41422</v>
      </c>
      <c r="C8" s="100">
        <v>8</v>
      </c>
      <c r="D8" s="100"/>
      <c r="E8" s="100">
        <v>1.3380800000000001E-5</v>
      </c>
      <c r="F8" s="100">
        <v>-11.22169143</v>
      </c>
      <c r="G8" s="100">
        <v>-1.5015499999999999E-4</v>
      </c>
      <c r="H8" s="94">
        <v>2.148720796281558</v>
      </c>
      <c r="I8" s="103">
        <v>16</v>
      </c>
      <c r="J8" s="103">
        <v>2.7725887222397811</v>
      </c>
      <c r="K8" s="103">
        <v>0.77498720926259712</v>
      </c>
      <c r="L8" s="47" t="s">
        <v>678</v>
      </c>
      <c r="M8" s="47"/>
      <c r="N8" s="47"/>
      <c r="O8" s="47"/>
      <c r="P8" s="47"/>
      <c r="Q8" s="47"/>
    </row>
    <row r="9" spans="1:17" ht="22" customHeight="1">
      <c r="A9">
        <v>54</v>
      </c>
      <c r="B9" s="102">
        <v>42928</v>
      </c>
      <c r="C9" s="100">
        <v>5</v>
      </c>
      <c r="D9" s="100"/>
      <c r="E9" s="100"/>
      <c r="F9" s="100"/>
      <c r="G9" s="100"/>
      <c r="H9" s="147">
        <v>2.1143964399595472</v>
      </c>
      <c r="I9" s="161">
        <v>16</v>
      </c>
      <c r="J9" s="161">
        <v>2.7725887222397811</v>
      </c>
      <c r="K9" s="161">
        <v>0.76260731460072939</v>
      </c>
      <c r="L9" s="47" t="s">
        <v>703</v>
      </c>
      <c r="M9" s="47"/>
      <c r="N9" s="47"/>
      <c r="O9" s="47"/>
      <c r="P9" s="47"/>
      <c r="Q9" s="47"/>
    </row>
    <row r="10" spans="1:17" ht="22" customHeight="1">
      <c r="A10">
        <v>36</v>
      </c>
      <c r="B10" s="102">
        <v>42515</v>
      </c>
      <c r="C10" s="100">
        <v>8</v>
      </c>
      <c r="D10" s="100"/>
      <c r="E10" s="100">
        <v>2.0284599999999999E-5</v>
      </c>
      <c r="F10" s="100">
        <v>-10.805646729999999</v>
      </c>
      <c r="G10" s="100">
        <v>-2.19189E-4</v>
      </c>
      <c r="H10" s="94">
        <v>1.82673628</v>
      </c>
      <c r="I10" s="103">
        <v>13</v>
      </c>
      <c r="J10" s="103">
        <v>2.5649493574615367</v>
      </c>
      <c r="K10" s="103">
        <v>0.71219194812824993</v>
      </c>
      <c r="L10" s="47" t="s">
        <v>678</v>
      </c>
      <c r="M10" s="47"/>
      <c r="N10" s="47"/>
      <c r="O10" s="47"/>
      <c r="P10" s="47"/>
      <c r="Q10" s="47"/>
    </row>
    <row r="11" spans="1:17" ht="22" customHeight="1">
      <c r="A11">
        <v>58</v>
      </c>
      <c r="B11" s="102">
        <v>43019</v>
      </c>
      <c r="C11" s="100">
        <v>5</v>
      </c>
      <c r="D11" s="100"/>
      <c r="E11" s="100"/>
      <c r="F11" s="100"/>
      <c r="G11" s="100"/>
      <c r="H11" s="147">
        <v>2.0329950943169113</v>
      </c>
      <c r="I11" s="161">
        <v>18</v>
      </c>
      <c r="J11" s="161">
        <v>2.8903717578961645</v>
      </c>
      <c r="K11" s="161">
        <v>0.70336803172913709</v>
      </c>
      <c r="L11" s="47" t="s">
        <v>678</v>
      </c>
      <c r="M11" s="47"/>
      <c r="N11" s="47"/>
      <c r="O11" s="47"/>
      <c r="P11" s="47"/>
      <c r="Q11" s="47"/>
    </row>
    <row r="12" spans="1:17" ht="22" customHeight="1">
      <c r="A12">
        <v>30</v>
      </c>
      <c r="B12" s="102">
        <v>42206</v>
      </c>
      <c r="C12" s="100">
        <v>4</v>
      </c>
      <c r="D12" s="100"/>
      <c r="E12" s="100">
        <v>1.07654E-4</v>
      </c>
      <c r="F12" s="100">
        <v>-9.1365844749999994</v>
      </c>
      <c r="G12" s="100">
        <v>-9.8359399999999996E-4</v>
      </c>
      <c r="H12" s="94">
        <v>1.8425928570154837</v>
      </c>
      <c r="I12" s="103">
        <v>15</v>
      </c>
      <c r="J12" s="103">
        <v>2.7080502011022101</v>
      </c>
      <c r="K12" s="103">
        <v>0.68041310913125819</v>
      </c>
      <c r="L12" s="47" t="s">
        <v>678</v>
      </c>
      <c r="M12" s="47"/>
      <c r="N12" s="47"/>
      <c r="O12" s="47"/>
      <c r="P12" s="47"/>
      <c r="Q12" s="47"/>
    </row>
    <row r="13" spans="1:17" ht="22" customHeight="1">
      <c r="A13">
        <v>7</v>
      </c>
      <c r="B13" s="102">
        <v>41480</v>
      </c>
      <c r="C13" s="100">
        <v>4</v>
      </c>
      <c r="D13" s="100"/>
      <c r="E13" s="100">
        <v>4.8642900000000001E-5</v>
      </c>
      <c r="F13" s="100">
        <v>-9.9310042630000002</v>
      </c>
      <c r="G13" s="100">
        <v>-4.8307299999999999E-4</v>
      </c>
      <c r="H13" s="94">
        <v>1.8299095215303021</v>
      </c>
      <c r="I13" s="103">
        <v>15</v>
      </c>
      <c r="J13" s="103">
        <v>2.7080502011022101</v>
      </c>
      <c r="K13" s="103">
        <v>0.6757295417882232</v>
      </c>
      <c r="L13" s="47" t="s">
        <v>678</v>
      </c>
      <c r="M13" s="47"/>
      <c r="N13" s="47"/>
      <c r="O13" s="47"/>
      <c r="P13" s="47"/>
      <c r="Q13" s="47"/>
    </row>
    <row r="14" spans="1:17" ht="22" customHeight="1">
      <c r="A14">
        <v>59</v>
      </c>
      <c r="B14" s="102">
        <v>43019</v>
      </c>
      <c r="C14" s="100">
        <v>8</v>
      </c>
      <c r="D14" s="100"/>
      <c r="E14" s="100"/>
      <c r="F14" s="100"/>
      <c r="G14" s="100"/>
      <c r="H14" s="147">
        <v>1.7757670635837277</v>
      </c>
      <c r="I14" s="161">
        <v>14</v>
      </c>
      <c r="J14" s="161">
        <v>2.6390573296152584</v>
      </c>
      <c r="K14" s="161">
        <v>0.67287930567336796</v>
      </c>
      <c r="L14" s="47" t="s">
        <v>678</v>
      </c>
      <c r="M14" s="47"/>
      <c r="N14" s="47"/>
      <c r="O14" s="47"/>
      <c r="P14" s="47"/>
      <c r="Q14" s="47"/>
    </row>
    <row r="15" spans="1:17" ht="22" customHeight="1">
      <c r="A15">
        <v>55</v>
      </c>
      <c r="B15" s="102">
        <v>42928</v>
      </c>
      <c r="C15" s="100">
        <v>8</v>
      </c>
      <c r="D15" s="100"/>
      <c r="E15" s="100"/>
      <c r="F15" s="100"/>
      <c r="G15" s="100"/>
      <c r="H15" s="147">
        <v>1.821423123882584</v>
      </c>
      <c r="I15" s="161">
        <v>15</v>
      </c>
      <c r="J15" s="161">
        <v>2.7080502011022101</v>
      </c>
      <c r="K15" s="161">
        <v>0.67259577504923729</v>
      </c>
      <c r="L15" s="47" t="s">
        <v>691</v>
      </c>
      <c r="M15" s="47"/>
      <c r="N15" s="47"/>
      <c r="O15" s="47"/>
      <c r="P15" s="47"/>
      <c r="Q15" s="47"/>
    </row>
    <row r="16" spans="1:17" ht="22" customHeight="1">
      <c r="A16">
        <v>51</v>
      </c>
      <c r="B16" s="102">
        <v>42867</v>
      </c>
      <c r="C16" s="100">
        <v>8</v>
      </c>
      <c r="D16" s="100"/>
      <c r="E16" s="100"/>
      <c r="F16" s="100"/>
      <c r="G16" s="100"/>
      <c r="H16" s="147">
        <v>1.6656989357526397</v>
      </c>
      <c r="I16" s="161">
        <v>12</v>
      </c>
      <c r="J16" s="161">
        <v>2.4849066497880004</v>
      </c>
      <c r="K16" s="161">
        <v>0.67032656373419452</v>
      </c>
      <c r="L16" s="47" t="s">
        <v>678</v>
      </c>
      <c r="M16" s="47"/>
      <c r="N16" s="47"/>
      <c r="O16" s="47"/>
      <c r="P16" s="47"/>
      <c r="Q16" s="47"/>
    </row>
    <row r="17" spans="1:17" ht="22" customHeight="1">
      <c r="A17" s="38">
        <v>25</v>
      </c>
      <c r="B17" s="160">
        <v>42144</v>
      </c>
      <c r="C17" s="47">
        <v>5</v>
      </c>
      <c r="D17" s="47"/>
      <c r="E17" s="47">
        <v>2.2993310149473491E-4</v>
      </c>
      <c r="F17" s="47">
        <v>-8.3777221544163147</v>
      </c>
      <c r="G17" s="47">
        <v>-1.9263156384260957E-3</v>
      </c>
      <c r="H17" s="147">
        <v>1.5990590274137773</v>
      </c>
      <c r="I17" s="161">
        <v>11</v>
      </c>
      <c r="J17" s="161">
        <v>2.3978952727983707</v>
      </c>
      <c r="K17" s="161">
        <v>0.6699313566780366</v>
      </c>
      <c r="L17" s="47" t="s">
        <v>678</v>
      </c>
      <c r="M17" s="47"/>
      <c r="N17" s="47"/>
      <c r="O17" s="47"/>
      <c r="P17" s="47"/>
      <c r="Q17" s="47"/>
    </row>
    <row r="18" spans="1:17" ht="22" customHeight="1">
      <c r="A18">
        <v>32</v>
      </c>
      <c r="B18" s="102">
        <v>42263</v>
      </c>
      <c r="C18" s="100">
        <v>8</v>
      </c>
      <c r="D18" s="100"/>
      <c r="E18" s="100">
        <v>0.43442623000000002</v>
      </c>
      <c r="F18" s="100">
        <v>-0.83372913100000001</v>
      </c>
      <c r="G18" s="100">
        <v>-0.36219380299999998</v>
      </c>
      <c r="H18" s="94">
        <v>1.657305773</v>
      </c>
      <c r="I18" s="183">
        <v>12</v>
      </c>
      <c r="J18" s="183">
        <v>2.4849066497880004</v>
      </c>
      <c r="K18" s="183">
        <v>0.66694890658262551</v>
      </c>
      <c r="L18" s="47" t="s">
        <v>687</v>
      </c>
      <c r="M18" s="47"/>
      <c r="N18" s="47"/>
      <c r="O18" s="47"/>
      <c r="P18" s="47"/>
      <c r="Q18" s="47"/>
    </row>
    <row r="19" spans="1:17" ht="22" customHeight="1">
      <c r="A19">
        <v>22</v>
      </c>
      <c r="B19" s="102">
        <v>41912</v>
      </c>
      <c r="C19" s="100">
        <v>5</v>
      </c>
      <c r="D19" s="100"/>
      <c r="E19" s="100">
        <v>1.1151299999999999E-5</v>
      </c>
      <c r="F19" s="100">
        <v>-11.40395528</v>
      </c>
      <c r="G19" s="100">
        <v>-1.27169E-4</v>
      </c>
      <c r="H19" s="94">
        <v>1.9100429743472538</v>
      </c>
      <c r="I19" s="103">
        <v>19</v>
      </c>
      <c r="J19" s="103">
        <v>2.9444389791664403</v>
      </c>
      <c r="K19" s="103">
        <v>0.64869504440807935</v>
      </c>
      <c r="L19" s="47" t="s">
        <v>678</v>
      </c>
      <c r="M19" s="47"/>
      <c r="N19" s="47"/>
      <c r="O19" s="47"/>
      <c r="P19" s="47"/>
      <c r="Q19" s="47"/>
    </row>
    <row r="20" spans="1:17" ht="22" customHeight="1">
      <c r="A20">
        <v>33</v>
      </c>
      <c r="B20" s="102">
        <v>42263</v>
      </c>
      <c r="C20" s="100">
        <v>5</v>
      </c>
      <c r="D20" s="100"/>
      <c r="E20" s="100">
        <v>9.4220299999999996E-5</v>
      </c>
      <c r="F20" s="100">
        <v>-9.2698753249999992</v>
      </c>
      <c r="G20" s="100">
        <v>-8.7341000000000003E-4</v>
      </c>
      <c r="H20" s="94">
        <v>1.7464355718229725</v>
      </c>
      <c r="I20" s="103">
        <v>16</v>
      </c>
      <c r="J20" s="103">
        <v>2.7725887222397811</v>
      </c>
      <c r="K20" s="103">
        <v>0.62989348467527084</v>
      </c>
      <c r="L20" s="47" t="s">
        <v>678</v>
      </c>
      <c r="M20" s="47"/>
      <c r="N20" s="47"/>
      <c r="O20" s="47"/>
      <c r="P20" s="47"/>
      <c r="Q20" s="47"/>
    </row>
    <row r="21" spans="1:17" ht="22" customHeight="1">
      <c r="A21">
        <v>5</v>
      </c>
      <c r="B21" s="102">
        <v>41480</v>
      </c>
      <c r="C21" s="100">
        <v>8</v>
      </c>
      <c r="D21" s="100"/>
      <c r="E21" s="100">
        <v>2.96523E-6</v>
      </c>
      <c r="F21" s="100">
        <v>-12.728557309999999</v>
      </c>
      <c r="G21" s="100">
        <v>-3.7743000000000001E-5</v>
      </c>
      <c r="H21" s="94">
        <v>1.7834054770521544</v>
      </c>
      <c r="I21" s="135">
        <v>17</v>
      </c>
      <c r="J21" s="135">
        <v>2.8332133440562162</v>
      </c>
      <c r="K21" s="135">
        <v>0.62946388445951362</v>
      </c>
      <c r="L21" s="104" t="s">
        <v>678</v>
      </c>
      <c r="M21" s="47"/>
      <c r="N21" s="47"/>
      <c r="O21" s="47"/>
      <c r="P21" s="47"/>
      <c r="Q21" s="47"/>
    </row>
    <row r="22" spans="1:17" ht="22" customHeight="1">
      <c r="A22">
        <v>13</v>
      </c>
      <c r="B22" s="102">
        <v>41761</v>
      </c>
      <c r="C22" s="100">
        <v>8</v>
      </c>
      <c r="D22" s="100"/>
      <c r="E22" s="100">
        <v>3.1586299999999999E-4</v>
      </c>
      <c r="F22" s="100">
        <v>-8.0602028570000002</v>
      </c>
      <c r="G22" s="100">
        <v>-2.5459179999999999E-3</v>
      </c>
      <c r="H22" s="94">
        <v>1.4180853813006624</v>
      </c>
      <c r="I22" s="135">
        <v>10</v>
      </c>
      <c r="J22" s="135">
        <v>2.3025850929940459</v>
      </c>
      <c r="K22" s="135">
        <v>0.61586665596654644</v>
      </c>
      <c r="L22" s="47" t="s">
        <v>678</v>
      </c>
      <c r="M22" s="47"/>
      <c r="N22" s="47"/>
      <c r="O22" s="47"/>
      <c r="P22" s="47"/>
      <c r="Q22" s="47"/>
    </row>
    <row r="23" spans="1:17" ht="22" customHeight="1">
      <c r="A23">
        <v>17</v>
      </c>
      <c r="B23" s="102">
        <v>41851</v>
      </c>
      <c r="C23" s="100">
        <v>8</v>
      </c>
      <c r="D23" s="100"/>
      <c r="E23" s="100">
        <v>2.8661399999999998E-4</v>
      </c>
      <c r="F23" s="100">
        <v>-8.1573726129999997</v>
      </c>
      <c r="G23" s="100">
        <v>-2.338021E-3</v>
      </c>
      <c r="H23" s="94">
        <v>1.2729018166459476</v>
      </c>
      <c r="I23" s="103">
        <v>8</v>
      </c>
      <c r="J23" s="103">
        <v>2.0794415416798357</v>
      </c>
      <c r="K23" s="103">
        <v>0.61213637947122046</v>
      </c>
      <c r="L23" s="47" t="s">
        <v>678</v>
      </c>
      <c r="M23" s="47"/>
      <c r="N23" s="47"/>
      <c r="O23" s="47"/>
      <c r="P23" s="47"/>
      <c r="Q23" s="47"/>
    </row>
    <row r="24" spans="1:17" ht="22" customHeight="1">
      <c r="A24">
        <v>41</v>
      </c>
      <c r="B24" s="102">
        <v>42571</v>
      </c>
      <c r="C24" s="100">
        <v>5</v>
      </c>
      <c r="D24" s="100"/>
      <c r="E24" s="100">
        <v>4.7613700000000001E-5</v>
      </c>
      <c r="F24" s="100">
        <v>-9.9523905920000004</v>
      </c>
      <c r="G24" s="100">
        <v>-4.7386999999999999E-4</v>
      </c>
      <c r="H24" s="94">
        <v>1.3384691929999999</v>
      </c>
      <c r="I24" s="135">
        <v>9</v>
      </c>
      <c r="J24" s="135">
        <v>2.1972245773362196</v>
      </c>
      <c r="K24" s="135">
        <v>0.6091635816262897</v>
      </c>
      <c r="L24" s="47" t="s">
        <v>688</v>
      </c>
      <c r="M24" s="47"/>
      <c r="N24" s="47"/>
      <c r="O24" s="47"/>
      <c r="P24" s="47"/>
      <c r="Q24" s="47"/>
    </row>
    <row r="25" spans="1:17" ht="22" customHeight="1">
      <c r="A25">
        <v>29</v>
      </c>
      <c r="B25" s="102">
        <v>42206</v>
      </c>
      <c r="C25" s="100">
        <v>5</v>
      </c>
      <c r="D25" s="100"/>
      <c r="E25" s="100">
        <v>1.89809E-5</v>
      </c>
      <c r="F25" s="100">
        <v>-10.872079960000001</v>
      </c>
      <c r="G25" s="100">
        <v>-2.0636100000000001E-4</v>
      </c>
      <c r="H25" s="94">
        <v>1.6854016666989202</v>
      </c>
      <c r="I25" s="135">
        <v>16</v>
      </c>
      <c r="J25" s="135">
        <v>2.7725887222397811</v>
      </c>
      <c r="K25" s="135">
        <v>0.60788015661313144</v>
      </c>
      <c r="L25" s="47" t="s">
        <v>678</v>
      </c>
      <c r="M25" s="47"/>
      <c r="N25" s="47"/>
      <c r="O25" s="47"/>
      <c r="P25" s="47"/>
      <c r="Q25" s="47"/>
    </row>
    <row r="26" spans="1:17" s="38" customFormat="1" ht="22" customHeight="1">
      <c r="A26">
        <v>53</v>
      </c>
      <c r="B26" s="102">
        <v>42928</v>
      </c>
      <c r="C26" s="100">
        <v>4</v>
      </c>
      <c r="D26" s="100"/>
      <c r="E26" s="100"/>
      <c r="F26" s="100"/>
      <c r="G26" s="100"/>
      <c r="H26" s="147">
        <v>1.6711972602225176</v>
      </c>
      <c r="I26" s="161">
        <v>16</v>
      </c>
      <c r="J26" s="161">
        <v>2.7725887222397811</v>
      </c>
      <c r="K26" s="161">
        <v>0.60275699991756215</v>
      </c>
      <c r="L26" s="47" t="s">
        <v>678</v>
      </c>
      <c r="M26" s="47"/>
      <c r="N26" s="47"/>
      <c r="O26" s="47"/>
      <c r="P26" s="47"/>
      <c r="Q26" s="47"/>
    </row>
    <row r="27" spans="1:17" ht="22" customHeight="1">
      <c r="A27">
        <v>11</v>
      </c>
      <c r="B27" s="102">
        <v>41542</v>
      </c>
      <c r="C27" s="100">
        <v>4</v>
      </c>
      <c r="D27" s="100"/>
      <c r="E27" s="100">
        <v>2.0921199999999999E-5</v>
      </c>
      <c r="F27" s="100">
        <v>-10.774746110000001</v>
      </c>
      <c r="G27" s="100">
        <v>-2.2542100000000001E-4</v>
      </c>
      <c r="H27" s="94">
        <v>1.669523216</v>
      </c>
      <c r="I27" s="103">
        <v>16</v>
      </c>
      <c r="J27" s="103">
        <v>2.7725887222397811</v>
      </c>
      <c r="K27" s="103">
        <v>0.60215321602130645</v>
      </c>
      <c r="L27" s="47" t="s">
        <v>678</v>
      </c>
      <c r="M27" s="47"/>
      <c r="N27" s="47"/>
      <c r="O27" s="47"/>
      <c r="P27" s="47"/>
      <c r="Q27" s="47"/>
    </row>
    <row r="28" spans="1:17" ht="22" customHeight="1">
      <c r="A28">
        <v>10</v>
      </c>
      <c r="B28" s="102">
        <v>41542</v>
      </c>
      <c r="C28" s="100">
        <v>5</v>
      </c>
      <c r="D28" s="100"/>
      <c r="E28" s="100">
        <v>2.3570400000000001E-5</v>
      </c>
      <c r="F28" s="100">
        <v>-10.65551851</v>
      </c>
      <c r="G28" s="100">
        <v>-2.5115499999999998E-4</v>
      </c>
      <c r="H28" s="94">
        <v>1.612891809</v>
      </c>
      <c r="I28" s="103">
        <v>15</v>
      </c>
      <c r="J28" s="103">
        <v>2.7080502011022101</v>
      </c>
      <c r="K28" s="103">
        <v>0.59559154707973871</v>
      </c>
      <c r="L28" s="47" t="s">
        <v>678</v>
      </c>
      <c r="M28" s="47"/>
      <c r="N28" s="47"/>
      <c r="O28" s="47"/>
      <c r="P28" s="47"/>
      <c r="Q28" s="47"/>
    </row>
    <row r="29" spans="1:17" ht="22" customHeight="1">
      <c r="A29">
        <v>57</v>
      </c>
      <c r="B29" s="102">
        <v>43019</v>
      </c>
      <c r="C29" s="100">
        <v>4</v>
      </c>
      <c r="D29" s="100"/>
      <c r="E29" s="100"/>
      <c r="F29" s="100"/>
      <c r="G29" s="100"/>
      <c r="H29" s="147">
        <v>1.6372715793296624</v>
      </c>
      <c r="I29" s="161">
        <v>16</v>
      </c>
      <c r="J29" s="161">
        <v>2.7725887222397811</v>
      </c>
      <c r="K29" s="161">
        <v>0.5905208970218363</v>
      </c>
      <c r="L29" s="47" t="s">
        <v>678</v>
      </c>
      <c r="M29" s="47"/>
      <c r="N29" s="47"/>
      <c r="O29" s="47"/>
      <c r="P29" s="47"/>
      <c r="Q29" s="47"/>
    </row>
    <row r="30" spans="1:17" ht="22" customHeight="1">
      <c r="A30">
        <v>19</v>
      </c>
      <c r="B30" s="102">
        <v>41851</v>
      </c>
      <c r="C30" s="100">
        <v>4</v>
      </c>
      <c r="D30" s="100"/>
      <c r="E30" s="100">
        <v>3.8690699999999999E-5</v>
      </c>
      <c r="F30" s="100">
        <v>-10.15991051</v>
      </c>
      <c r="G30" s="100">
        <v>-3.9309399999999997E-4</v>
      </c>
      <c r="H30" s="94">
        <v>1.5594381369999999</v>
      </c>
      <c r="I30" s="103">
        <v>15</v>
      </c>
      <c r="J30" s="103">
        <v>2.7080502011022101</v>
      </c>
      <c r="K30" s="103">
        <v>0.57585274315454027</v>
      </c>
      <c r="L30" s="47" t="s">
        <v>678</v>
      </c>
      <c r="M30" s="47"/>
      <c r="N30" s="47"/>
      <c r="O30" s="47"/>
      <c r="P30" s="47"/>
      <c r="Q30" s="47"/>
    </row>
    <row r="31" spans="1:17" ht="22" customHeight="1">
      <c r="A31">
        <v>40</v>
      </c>
      <c r="B31" s="102">
        <v>42571</v>
      </c>
      <c r="C31" s="100">
        <v>8</v>
      </c>
      <c r="D31" s="100"/>
      <c r="E31" s="100">
        <v>4.6343800000000002E-5</v>
      </c>
      <c r="F31" s="100">
        <v>-9.97942237</v>
      </c>
      <c r="G31" s="100">
        <v>-4.62485E-4</v>
      </c>
      <c r="H31" s="94">
        <v>1.4503629300000001</v>
      </c>
      <c r="I31" s="182">
        <v>14</v>
      </c>
      <c r="J31" s="182">
        <v>2.6390573296152584</v>
      </c>
      <c r="K31" s="182">
        <v>0.54957613599797461</v>
      </c>
      <c r="L31" s="47" t="s">
        <v>688</v>
      </c>
      <c r="M31" s="47"/>
      <c r="N31" s="47"/>
      <c r="O31" s="47"/>
      <c r="P31" s="47"/>
      <c r="Q31" s="47"/>
    </row>
    <row r="32" spans="1:17" ht="22" customHeight="1">
      <c r="A32">
        <v>49</v>
      </c>
      <c r="B32" s="102">
        <v>42867</v>
      </c>
      <c r="C32" s="100">
        <v>4</v>
      </c>
      <c r="D32" s="100"/>
      <c r="E32" s="100"/>
      <c r="F32" s="100"/>
      <c r="G32" s="100"/>
      <c r="H32" s="147">
        <v>1.4397753723174895</v>
      </c>
      <c r="I32" s="147">
        <v>14</v>
      </c>
      <c r="J32" s="147">
        <v>2.6390573296152584</v>
      </c>
      <c r="K32" s="147">
        <v>0.5455642649973772</v>
      </c>
      <c r="L32" s="47" t="s">
        <v>678</v>
      </c>
      <c r="M32" s="47"/>
      <c r="N32" s="47"/>
      <c r="O32" s="47"/>
      <c r="P32" s="47"/>
      <c r="Q32" s="47"/>
    </row>
    <row r="33" spans="1:17" ht="22" customHeight="1">
      <c r="A33">
        <v>23</v>
      </c>
      <c r="B33" s="102">
        <v>41912</v>
      </c>
      <c r="C33" s="100">
        <v>4</v>
      </c>
      <c r="D33" s="100"/>
      <c r="E33" s="100">
        <v>7.4174700000000007E-5</v>
      </c>
      <c r="F33" s="100">
        <v>-9.5090869340000008</v>
      </c>
      <c r="G33" s="100">
        <v>-7.0533399999999995E-4</v>
      </c>
      <c r="H33" s="94">
        <v>1.429433688</v>
      </c>
      <c r="I33" s="98">
        <v>14</v>
      </c>
      <c r="J33" s="98">
        <f>LN(I33)</f>
        <v>2.6390573296152584</v>
      </c>
      <c r="K33" s="98">
        <f>(H33/J33)</f>
        <v>0.54164556107176098</v>
      </c>
      <c r="L33" s="47" t="s">
        <v>678</v>
      </c>
      <c r="M33" s="47"/>
      <c r="N33" s="47"/>
      <c r="O33" s="47"/>
      <c r="P33" s="47"/>
      <c r="Q33" s="47"/>
    </row>
    <row r="34" spans="1:17" ht="22" customHeight="1">
      <c r="A34">
        <v>15</v>
      </c>
      <c r="B34" s="102">
        <v>41761</v>
      </c>
      <c r="C34" s="100">
        <v>4</v>
      </c>
      <c r="D34" s="100"/>
      <c r="E34" s="100">
        <v>7.1899599999999996E-4</v>
      </c>
      <c r="F34" s="100">
        <v>-7.2376541320000003</v>
      </c>
      <c r="G34" s="100">
        <v>-5.2038479999999996E-3</v>
      </c>
      <c r="H34" s="94">
        <v>1.4289209596540986</v>
      </c>
      <c r="I34" s="103">
        <v>14</v>
      </c>
      <c r="J34" s="103">
        <v>2.6390573296152584</v>
      </c>
      <c r="K34" s="103">
        <v>0.54145127641558943</v>
      </c>
      <c r="L34" s="47" t="s">
        <v>678</v>
      </c>
      <c r="M34" s="47"/>
      <c r="N34" s="47"/>
      <c r="O34" s="47"/>
      <c r="P34" s="47"/>
      <c r="Q34" s="47"/>
    </row>
    <row r="35" spans="1:17" ht="22" customHeight="1">
      <c r="A35">
        <v>34</v>
      </c>
      <c r="B35" s="102">
        <v>42263</v>
      </c>
      <c r="C35" s="100">
        <v>4</v>
      </c>
      <c r="D35" s="100"/>
      <c r="E35" s="100">
        <v>9.6742600000000004E-5</v>
      </c>
      <c r="F35" s="100">
        <v>-9.2434568390000003</v>
      </c>
      <c r="G35" s="100">
        <v>-8.9423599999999997E-4</v>
      </c>
      <c r="H35" s="94">
        <v>1.342368043</v>
      </c>
      <c r="I35" s="103">
        <v>13</v>
      </c>
      <c r="J35" s="103">
        <v>2.5649493574615367</v>
      </c>
      <c r="K35" s="103">
        <v>0.52335070054653499</v>
      </c>
      <c r="L35" s="47" t="s">
        <v>678</v>
      </c>
      <c r="M35" s="47"/>
      <c r="N35" s="47"/>
      <c r="O35" s="47"/>
      <c r="P35" s="47"/>
      <c r="Q35" s="47"/>
    </row>
    <row r="36" spans="1:17" ht="22" customHeight="1">
      <c r="A36">
        <v>12</v>
      </c>
      <c r="B36" s="102">
        <v>41542</v>
      </c>
      <c r="C36" s="100">
        <v>2</v>
      </c>
      <c r="D36" s="100"/>
      <c r="E36" s="100">
        <v>3.6916699999999998E-5</v>
      </c>
      <c r="F36" s="100">
        <v>-10.20684756</v>
      </c>
      <c r="G36" s="100">
        <v>-3.7680299999999999E-4</v>
      </c>
      <c r="H36" s="94">
        <v>1.2220508569999999</v>
      </c>
      <c r="I36" s="103">
        <v>11</v>
      </c>
      <c r="J36" s="103">
        <v>2.3978952727983707</v>
      </c>
      <c r="K36" s="103">
        <v>0.50963479131400635</v>
      </c>
      <c r="L36" s="47" t="s">
        <v>678</v>
      </c>
      <c r="M36" s="47"/>
      <c r="N36" s="47"/>
      <c r="O36" s="47"/>
      <c r="P36" s="47"/>
      <c r="Q36" s="47"/>
    </row>
    <row r="37" spans="1:17" ht="22" customHeight="1">
      <c r="A37">
        <v>18</v>
      </c>
      <c r="B37" s="102">
        <v>41851</v>
      </c>
      <c r="C37" s="100">
        <v>5</v>
      </c>
      <c r="D37" s="100"/>
      <c r="E37" s="100">
        <v>4.9595899999999997E-5</v>
      </c>
      <c r="F37" s="100">
        <v>-9.9116014620000001</v>
      </c>
      <c r="G37" s="100">
        <v>-4.9157499999999995E-4</v>
      </c>
      <c r="H37" s="94">
        <v>1.2805719127790323</v>
      </c>
      <c r="I37" s="103">
        <v>13</v>
      </c>
      <c r="J37" s="103">
        <v>2.5649493574615367</v>
      </c>
      <c r="K37" s="103">
        <v>0.4992581662689749</v>
      </c>
      <c r="L37" s="47" t="s">
        <v>678</v>
      </c>
      <c r="M37" s="47"/>
      <c r="N37" s="47"/>
      <c r="O37" s="47"/>
      <c r="P37" s="47"/>
      <c r="Q37" s="47"/>
    </row>
    <row r="38" spans="1:17" ht="22" customHeight="1">
      <c r="A38">
        <v>21</v>
      </c>
      <c r="B38" s="102">
        <v>41912</v>
      </c>
      <c r="C38" s="100">
        <v>8</v>
      </c>
      <c r="D38" s="100"/>
      <c r="E38" s="100">
        <v>2.79632E-5</v>
      </c>
      <c r="F38" s="100">
        <v>-10.48461994</v>
      </c>
      <c r="G38" s="100">
        <v>-2.9318399999999999E-4</v>
      </c>
      <c r="H38" s="37">
        <v>1.2450019794330134</v>
      </c>
      <c r="I38" s="183">
        <v>13</v>
      </c>
      <c r="J38" s="183">
        <v>2.5649493574615367</v>
      </c>
      <c r="K38" s="183">
        <v>0.48539047206185748</v>
      </c>
      <c r="L38" s="47" t="s">
        <v>678</v>
      </c>
      <c r="M38" s="47"/>
      <c r="N38" s="47"/>
      <c r="O38" s="47"/>
      <c r="P38" s="47"/>
      <c r="Q38" s="47"/>
    </row>
    <row r="39" spans="1:17" ht="22" customHeight="1">
      <c r="A39">
        <v>6</v>
      </c>
      <c r="B39" s="102">
        <v>41480</v>
      </c>
      <c r="C39" s="100">
        <v>5</v>
      </c>
      <c r="D39" s="100"/>
      <c r="E39" s="100">
        <v>3.1333900000000001E-6</v>
      </c>
      <c r="F39" s="100">
        <v>-12.67339576</v>
      </c>
      <c r="G39" s="100">
        <v>-3.9710699999999999E-5</v>
      </c>
      <c r="H39" s="94">
        <v>1.337593854728047</v>
      </c>
      <c r="I39" s="103">
        <v>16</v>
      </c>
      <c r="J39" s="103">
        <v>2.7725887222397811</v>
      </c>
      <c r="K39" s="103">
        <v>0.4824350052349265</v>
      </c>
      <c r="L39" s="47" t="s">
        <v>678</v>
      </c>
      <c r="M39" s="47"/>
      <c r="N39" s="47"/>
      <c r="O39" s="47"/>
      <c r="P39" s="47"/>
      <c r="Q39" s="47"/>
    </row>
    <row r="40" spans="1:17" ht="22" customHeight="1">
      <c r="A40">
        <v>44</v>
      </c>
      <c r="B40" s="102">
        <v>42634</v>
      </c>
      <c r="C40" s="100">
        <v>8</v>
      </c>
      <c r="D40" s="100"/>
      <c r="E40" s="100">
        <v>1.7671699999999999E-5</v>
      </c>
      <c r="F40" s="100">
        <v>-10.94354395</v>
      </c>
      <c r="G40" s="100">
        <v>-1.9339100000000001E-4</v>
      </c>
      <c r="H40" s="94">
        <v>1.3502355270309769</v>
      </c>
      <c r="I40" s="103">
        <v>17</v>
      </c>
      <c r="J40" s="103">
        <v>2.8332133440562162</v>
      </c>
      <c r="K40" s="103">
        <v>0.47657389792534655</v>
      </c>
      <c r="L40" s="47" t="s">
        <v>678</v>
      </c>
      <c r="M40" s="47"/>
      <c r="N40" s="47"/>
      <c r="O40" s="47"/>
      <c r="P40" s="47"/>
      <c r="Q40" s="47"/>
    </row>
    <row r="41" spans="1:17" ht="22" customHeight="1">
      <c r="A41">
        <v>50</v>
      </c>
      <c r="B41" s="102">
        <v>42867</v>
      </c>
      <c r="C41" s="100">
        <v>5</v>
      </c>
      <c r="D41" s="100"/>
      <c r="E41" s="100"/>
      <c r="F41" s="100"/>
      <c r="G41" s="100"/>
      <c r="H41" s="147">
        <v>1.0861253440566947</v>
      </c>
      <c r="I41" s="147">
        <v>11</v>
      </c>
      <c r="J41" s="147">
        <v>2.3978952727983707</v>
      </c>
      <c r="K41" s="147">
        <v>0.45294944961844569</v>
      </c>
      <c r="L41" s="47" t="s">
        <v>678</v>
      </c>
      <c r="M41" s="47"/>
      <c r="N41" s="47"/>
      <c r="O41" s="47"/>
      <c r="P41" s="47"/>
      <c r="Q41" s="47"/>
    </row>
    <row r="42" spans="1:17" ht="22" customHeight="1">
      <c r="A42">
        <v>14</v>
      </c>
      <c r="B42" s="102">
        <v>41761</v>
      </c>
      <c r="C42" s="100">
        <v>5</v>
      </c>
      <c r="D42" s="100"/>
      <c r="E42" s="100">
        <v>2.1539899999999999E-4</v>
      </c>
      <c r="F42" s="100">
        <v>-8.4430207230000001</v>
      </c>
      <c r="G42" s="100">
        <v>-1.8186140000000001E-3</v>
      </c>
      <c r="H42" s="94">
        <v>1.1948728201780789</v>
      </c>
      <c r="I42" s="103">
        <v>14</v>
      </c>
      <c r="J42" s="103">
        <v>2.6390573296152584</v>
      </c>
      <c r="K42" s="103">
        <v>0.4527650107367226</v>
      </c>
      <c r="L42" s="47" t="s">
        <v>678</v>
      </c>
      <c r="M42" s="47"/>
      <c r="N42" s="47"/>
      <c r="O42" s="47"/>
      <c r="P42" s="47"/>
      <c r="Q42" s="47"/>
    </row>
    <row r="43" spans="1:17" ht="22" customHeight="1">
      <c r="A43">
        <v>35</v>
      </c>
      <c r="B43" s="102">
        <v>42263</v>
      </c>
      <c r="C43" s="100">
        <v>2</v>
      </c>
      <c r="D43" s="100"/>
      <c r="E43" s="100">
        <v>9.2801999999999997E-5</v>
      </c>
      <c r="F43" s="100">
        <v>-9.2850425730000001</v>
      </c>
      <c r="G43" s="100">
        <v>-8.6167000000000004E-4</v>
      </c>
      <c r="H43" s="94">
        <v>0.71729891199999996</v>
      </c>
      <c r="I43" s="103">
        <v>5</v>
      </c>
      <c r="J43" s="103">
        <v>1.6094379124341003</v>
      </c>
      <c r="K43" s="103">
        <v>0.44568287263704282</v>
      </c>
      <c r="L43" s="47" t="s">
        <v>678</v>
      </c>
      <c r="M43" s="47"/>
      <c r="N43" s="47"/>
      <c r="O43" s="47"/>
      <c r="P43" s="47"/>
      <c r="Q43" s="47"/>
    </row>
    <row r="44" spans="1:17" ht="22" customHeight="1">
      <c r="A44">
        <v>38</v>
      </c>
      <c r="B44" s="102">
        <v>42515</v>
      </c>
      <c r="C44" s="100">
        <v>4</v>
      </c>
      <c r="D44" s="100"/>
      <c r="E44" s="100">
        <v>4.6584800000000002E-5</v>
      </c>
      <c r="F44" s="100">
        <v>-9.9742364650000006</v>
      </c>
      <c r="G44" s="100">
        <v>-4.6464800000000001E-4</v>
      </c>
      <c r="H44" s="94">
        <v>1.1426031679999999</v>
      </c>
      <c r="I44" s="103">
        <v>15</v>
      </c>
      <c r="J44" s="103">
        <v>2.7080502011022101</v>
      </c>
      <c r="K44" s="103">
        <v>0.42192835533212858</v>
      </c>
      <c r="L44" s="47" t="s">
        <v>678</v>
      </c>
      <c r="M44" s="47"/>
      <c r="N44" s="47"/>
      <c r="O44" s="47"/>
      <c r="P44" s="47"/>
      <c r="Q44" s="47"/>
    </row>
    <row r="45" spans="1:17" ht="22" customHeight="1">
      <c r="A45">
        <v>42</v>
      </c>
      <c r="B45" s="102">
        <v>42571</v>
      </c>
      <c r="C45" s="100">
        <v>4</v>
      </c>
      <c r="D45" s="100"/>
      <c r="E45" s="100">
        <v>6.0250000000000001E-5</v>
      </c>
      <c r="F45" s="100">
        <v>-9.7170082040000008</v>
      </c>
      <c r="G45" s="100">
        <v>-5.8544999999999995E-4</v>
      </c>
      <c r="H45" s="94">
        <v>1.006231173</v>
      </c>
      <c r="I45" s="103">
        <v>11</v>
      </c>
      <c r="J45" s="103">
        <v>2.3978952727983707</v>
      </c>
      <c r="K45" s="103">
        <v>0.41963099237900187</v>
      </c>
      <c r="L45" s="47" t="s">
        <v>678</v>
      </c>
      <c r="M45" s="47"/>
      <c r="N45" s="47"/>
      <c r="O45" s="47"/>
      <c r="P45" s="47"/>
      <c r="Q45" s="47"/>
    </row>
    <row r="46" spans="1:17" ht="22" customHeight="1">
      <c r="A46">
        <v>37</v>
      </c>
      <c r="B46" s="102">
        <v>42515</v>
      </c>
      <c r="C46" s="100">
        <v>5</v>
      </c>
      <c r="D46" s="100"/>
      <c r="E46" s="100">
        <v>2.83648E-5</v>
      </c>
      <c r="F46" s="100">
        <v>-10.47036222</v>
      </c>
      <c r="G46" s="100">
        <v>-2.9699000000000001E-4</v>
      </c>
      <c r="H46" s="94">
        <v>1.028863565</v>
      </c>
      <c r="I46" s="103">
        <v>12</v>
      </c>
      <c r="J46" s="103">
        <v>2.4849066497880004</v>
      </c>
      <c r="K46" s="103">
        <v>0.41404515757268262</v>
      </c>
      <c r="L46" s="47" t="s">
        <v>678</v>
      </c>
      <c r="M46" s="47"/>
      <c r="N46" s="47"/>
      <c r="O46" s="47"/>
      <c r="P46" s="47"/>
      <c r="Q46" s="47"/>
    </row>
    <row r="47" spans="1:17" ht="22" customHeight="1">
      <c r="A47">
        <v>31</v>
      </c>
      <c r="B47" s="102">
        <v>42206</v>
      </c>
      <c r="C47" s="100">
        <v>2</v>
      </c>
      <c r="D47" s="100"/>
      <c r="E47" s="100">
        <v>1.09849E-4</v>
      </c>
      <c r="F47" s="100">
        <v>-9.1163999360000005</v>
      </c>
      <c r="G47" s="100">
        <v>-1.0014309999999999E-3</v>
      </c>
      <c r="H47" s="94">
        <v>0.94650093000000002</v>
      </c>
      <c r="I47" s="183">
        <v>10</v>
      </c>
      <c r="J47" s="183">
        <f>LN(I47)</f>
        <v>2.3025850929940459</v>
      </c>
      <c r="K47" s="183">
        <f>(H47/J47)</f>
        <v>0.41106013101529598</v>
      </c>
      <c r="L47" s="47" t="s">
        <v>678</v>
      </c>
      <c r="P47" s="47"/>
      <c r="Q47" s="47"/>
    </row>
    <row r="48" spans="1:17" ht="22" customHeight="1">
      <c r="A48">
        <v>47</v>
      </c>
      <c r="B48" s="102">
        <v>42634</v>
      </c>
      <c r="C48" s="100">
        <v>2</v>
      </c>
      <c r="D48" s="100"/>
      <c r="E48" s="100">
        <v>8.5500800000000006E-5</v>
      </c>
      <c r="F48" s="100">
        <v>-9.3669846069999991</v>
      </c>
      <c r="G48" s="100">
        <v>-8.0088499999999999E-4</v>
      </c>
      <c r="H48" s="94">
        <v>0.71906493199999999</v>
      </c>
      <c r="I48" s="135">
        <v>6</v>
      </c>
      <c r="J48" s="135">
        <v>1.791759469228055</v>
      </c>
      <c r="K48" s="135">
        <v>0.4013177796002933</v>
      </c>
      <c r="L48" s="47" t="s">
        <v>678</v>
      </c>
      <c r="M48" s="47"/>
      <c r="N48" s="47"/>
      <c r="O48" s="47"/>
    </row>
    <row r="49" spans="1:17" ht="22" customHeight="1">
      <c r="A49">
        <v>26</v>
      </c>
      <c r="B49" s="102">
        <v>42144</v>
      </c>
      <c r="C49" s="100">
        <v>4</v>
      </c>
      <c r="D49" s="100"/>
      <c r="E49" s="100">
        <v>4.2478899999999997E-5</v>
      </c>
      <c r="F49" s="100">
        <v>-10.06650297</v>
      </c>
      <c r="G49" s="100">
        <v>-4.2761399999999999E-4</v>
      </c>
      <c r="H49" s="180">
        <v>1.0970694506364438</v>
      </c>
      <c r="I49" s="181">
        <v>16</v>
      </c>
      <c r="J49" s="181">
        <v>2.7725887222397811</v>
      </c>
      <c r="K49" s="181">
        <v>0.39568416398599399</v>
      </c>
      <c r="L49" s="47" t="s">
        <v>678</v>
      </c>
      <c r="M49" s="47"/>
      <c r="N49" s="47"/>
      <c r="O49" s="47"/>
      <c r="P49" s="47"/>
      <c r="Q49" s="47"/>
    </row>
    <row r="50" spans="1:17" ht="22" customHeight="1">
      <c r="A50">
        <v>52</v>
      </c>
      <c r="B50" s="102">
        <v>42928</v>
      </c>
      <c r="C50" s="100">
        <v>2</v>
      </c>
      <c r="D50" s="100"/>
      <c r="E50" s="100"/>
      <c r="F50" s="100"/>
      <c r="G50" s="100"/>
      <c r="H50" s="47">
        <v>0.84839414222897003</v>
      </c>
      <c r="I50" s="47">
        <v>10</v>
      </c>
      <c r="J50" s="47">
        <v>2.3025850929940459</v>
      </c>
      <c r="K50" s="47">
        <v>0.36845289444908425</v>
      </c>
      <c r="L50" s="47" t="s">
        <v>678</v>
      </c>
      <c r="M50" s="47"/>
      <c r="N50" s="47"/>
      <c r="O50" s="47"/>
      <c r="P50" s="47"/>
      <c r="Q50" s="47"/>
    </row>
    <row r="51" spans="1:17" ht="22" customHeight="1">
      <c r="A51" s="38">
        <v>56</v>
      </c>
      <c r="B51" s="160">
        <v>43019</v>
      </c>
      <c r="C51" s="47">
        <v>2</v>
      </c>
      <c r="D51" s="47"/>
      <c r="E51" s="47"/>
      <c r="F51" s="47"/>
      <c r="G51" s="47"/>
      <c r="H51" s="47">
        <v>0.69958715074006528</v>
      </c>
      <c r="I51" s="47">
        <v>7</v>
      </c>
      <c r="J51" s="47">
        <v>1.9459101490553132</v>
      </c>
      <c r="K51" s="47">
        <v>0.35951667710849644</v>
      </c>
      <c r="L51" s="47" t="s">
        <v>707</v>
      </c>
      <c r="M51" s="47"/>
      <c r="N51" s="47"/>
      <c r="O51" s="47"/>
      <c r="P51" s="47"/>
      <c r="Q51" s="47"/>
    </row>
    <row r="52" spans="1:17" ht="22" customHeight="1">
      <c r="A52">
        <v>43</v>
      </c>
      <c r="B52" s="102">
        <v>42571</v>
      </c>
      <c r="C52" s="100">
        <v>2</v>
      </c>
      <c r="D52" s="100"/>
      <c r="E52" s="100">
        <v>3.9394100000000003E-5</v>
      </c>
      <c r="F52" s="100">
        <v>-10.141895359999999</v>
      </c>
      <c r="G52" s="100">
        <v>-3.9952999999999999E-4</v>
      </c>
      <c r="H52" s="180">
        <v>0.67643162899999998</v>
      </c>
      <c r="I52" s="181">
        <v>8</v>
      </c>
      <c r="J52" s="181">
        <v>2.0794415416798357</v>
      </c>
      <c r="K52" s="181">
        <v>0.32529485219728654</v>
      </c>
      <c r="L52" s="47" t="s">
        <v>678</v>
      </c>
      <c r="M52" s="47"/>
      <c r="N52" s="47"/>
      <c r="O52" s="47"/>
      <c r="P52" s="47"/>
      <c r="Q52" s="47"/>
    </row>
    <row r="53" spans="1:17" ht="22" customHeight="1">
      <c r="A53">
        <v>46</v>
      </c>
      <c r="B53" s="102">
        <v>42634</v>
      </c>
      <c r="C53" s="100">
        <v>4</v>
      </c>
      <c r="D53" s="100"/>
      <c r="E53" s="100">
        <v>2.02759E-5</v>
      </c>
      <c r="F53" s="100">
        <v>-10.80607743</v>
      </c>
      <c r="G53" s="100">
        <v>-2.1910300000000001E-4</v>
      </c>
      <c r="H53" s="180">
        <v>0.85232475299999999</v>
      </c>
      <c r="I53" s="181">
        <v>16</v>
      </c>
      <c r="J53" s="181">
        <v>2.7725887222397811</v>
      </c>
      <c r="K53" s="181">
        <v>0.30669376159269646</v>
      </c>
      <c r="L53" s="47" t="s">
        <v>678</v>
      </c>
      <c r="M53" s="47"/>
      <c r="N53" s="47"/>
      <c r="O53" s="47"/>
      <c r="P53" s="47"/>
      <c r="Q53" s="47"/>
    </row>
    <row r="54" spans="1:17" ht="22" customHeight="1">
      <c r="A54">
        <v>24</v>
      </c>
      <c r="B54" s="102">
        <v>41912</v>
      </c>
      <c r="C54" s="100">
        <v>2</v>
      </c>
      <c r="D54" s="100"/>
      <c r="E54" s="100">
        <v>1.2453899999999999E-5</v>
      </c>
      <c r="F54" s="100">
        <v>-11.29347952</v>
      </c>
      <c r="G54" s="100">
        <v>-1.4064700000000001E-4</v>
      </c>
      <c r="H54" s="180">
        <v>0.62994184499999994</v>
      </c>
      <c r="I54" s="177">
        <v>8</v>
      </c>
      <c r="J54" s="177">
        <v>2.0794415416798357</v>
      </c>
      <c r="K54" s="177">
        <v>0.30293799195290233</v>
      </c>
      <c r="L54" s="47" t="s">
        <v>678</v>
      </c>
      <c r="M54" s="47"/>
      <c r="N54" s="47"/>
      <c r="O54" s="47"/>
      <c r="P54" s="47"/>
      <c r="Q54" s="47"/>
    </row>
    <row r="55" spans="1:17" ht="22" customHeight="1">
      <c r="A55">
        <v>8</v>
      </c>
      <c r="B55" s="102">
        <v>41480</v>
      </c>
      <c r="C55" s="100">
        <v>2</v>
      </c>
      <c r="D55" s="100"/>
      <c r="E55" s="100">
        <v>1.9025499999999999E-4</v>
      </c>
      <c r="F55" s="100">
        <v>-8.5671465379999994</v>
      </c>
      <c r="G55" s="100">
        <v>-1.6299400000000001E-3</v>
      </c>
      <c r="H55" s="180">
        <v>0.58159546865096012</v>
      </c>
      <c r="I55" s="181">
        <v>9</v>
      </c>
      <c r="J55" s="181">
        <v>2.1972245773362196</v>
      </c>
      <c r="K55" s="181">
        <v>0.26469550479726145</v>
      </c>
      <c r="L55" s="47" t="s">
        <v>678</v>
      </c>
      <c r="M55" s="47"/>
      <c r="N55" s="47"/>
      <c r="O55" s="47"/>
      <c r="P55" s="47"/>
      <c r="Q55" s="47"/>
    </row>
    <row r="56" spans="1:17" ht="22" customHeight="1">
      <c r="A56">
        <v>39</v>
      </c>
      <c r="B56" s="102">
        <v>42515</v>
      </c>
      <c r="C56" s="100">
        <v>2</v>
      </c>
      <c r="D56" s="100"/>
      <c r="E56" s="100">
        <v>5.0081599999999996E-4</v>
      </c>
      <c r="F56" s="100">
        <v>-7.5992721750000003</v>
      </c>
      <c r="G56" s="100">
        <v>-3.8058359999999999E-3</v>
      </c>
      <c r="H56" s="180">
        <v>0.50621114599999995</v>
      </c>
      <c r="I56" s="181">
        <v>8</v>
      </c>
      <c r="J56" s="181">
        <v>2.0794415416798357</v>
      </c>
      <c r="K56" s="181">
        <v>0.24343610319845402</v>
      </c>
      <c r="L56" s="47" t="s">
        <v>678</v>
      </c>
      <c r="M56" s="47"/>
      <c r="N56" s="47"/>
      <c r="O56" s="47"/>
      <c r="P56" s="47"/>
      <c r="Q56" s="47"/>
    </row>
    <row r="57" spans="1:17" s="38" customFormat="1" ht="22" customHeight="1">
      <c r="A57">
        <v>27</v>
      </c>
      <c r="B57" s="102">
        <v>42144</v>
      </c>
      <c r="C57" s="100">
        <v>2</v>
      </c>
      <c r="D57" s="100"/>
      <c r="E57" s="100">
        <v>1.4840099999999999E-4</v>
      </c>
      <c r="F57" s="100">
        <v>-8.8155957879999995</v>
      </c>
      <c r="G57" s="100">
        <v>-1.3082390000000001E-3</v>
      </c>
      <c r="H57" s="180">
        <v>0.51094218899999999</v>
      </c>
      <c r="I57" s="181">
        <v>10</v>
      </c>
      <c r="J57" s="181">
        <v>2.3025850929940459</v>
      </c>
      <c r="K57" s="181">
        <v>0.221899373351573</v>
      </c>
      <c r="L57" s="47" t="s">
        <v>678</v>
      </c>
      <c r="M57" s="47"/>
      <c r="N57" s="47"/>
      <c r="O57" s="47"/>
      <c r="P57" s="47"/>
      <c r="Q57" s="47"/>
    </row>
    <row r="58" spans="1:17" ht="22" customHeight="1">
      <c r="A58">
        <v>45</v>
      </c>
      <c r="B58" s="102">
        <v>42634</v>
      </c>
      <c r="C58" s="100">
        <v>5</v>
      </c>
      <c r="D58" s="100"/>
      <c r="E58" s="100">
        <v>2.8239399999999999E-5</v>
      </c>
      <c r="F58" s="100">
        <v>-10.474791509999999</v>
      </c>
      <c r="G58" s="100">
        <v>-2.9580200000000001E-4</v>
      </c>
      <c r="H58" s="180">
        <v>0.60360833410057368</v>
      </c>
      <c r="I58" s="181">
        <v>16</v>
      </c>
      <c r="J58" s="181">
        <v>2.7725887222397811</v>
      </c>
      <c r="K58" s="181">
        <v>0.21770568756153658</v>
      </c>
      <c r="L58" s="47" t="s">
        <v>678</v>
      </c>
      <c r="M58" s="47"/>
      <c r="N58" s="47"/>
      <c r="O58" s="47"/>
      <c r="P58" s="47"/>
      <c r="Q58" s="47"/>
    </row>
    <row r="59" spans="1:17" ht="22" customHeight="1">
      <c r="A59">
        <v>20</v>
      </c>
      <c r="B59" s="102">
        <v>41851</v>
      </c>
      <c r="C59" s="100">
        <v>2</v>
      </c>
      <c r="D59" s="100"/>
      <c r="E59" s="100">
        <v>2.2948200000000001E-4</v>
      </c>
      <c r="F59" s="100">
        <v>-8.3796877799999994</v>
      </c>
      <c r="G59" s="100">
        <v>-1.922984E-3</v>
      </c>
      <c r="H59" s="180">
        <v>0.32593735699999998</v>
      </c>
      <c r="I59" s="177">
        <v>9</v>
      </c>
      <c r="J59" s="177">
        <f>LN(I59)</f>
        <v>2.1972245773362196</v>
      </c>
      <c r="K59" s="177">
        <f>(H59/J59)</f>
        <v>0.14834048388223769</v>
      </c>
      <c r="L59" s="47" t="s">
        <v>678</v>
      </c>
      <c r="M59" s="47"/>
      <c r="N59" s="47"/>
      <c r="O59" s="47"/>
      <c r="P59" s="47"/>
      <c r="Q59" s="47"/>
    </row>
    <row r="60" spans="1:17" ht="22" customHeight="1">
      <c r="A60">
        <v>48</v>
      </c>
      <c r="B60" s="102">
        <v>42867</v>
      </c>
      <c r="C60" s="100">
        <v>2</v>
      </c>
      <c r="D60" s="100"/>
      <c r="E60" s="100"/>
      <c r="F60" s="100"/>
      <c r="G60" s="100"/>
      <c r="H60" s="47">
        <v>0.13204737514039491</v>
      </c>
      <c r="I60" s="47">
        <v>4</v>
      </c>
      <c r="J60" s="47">
        <v>1.3862943611198906</v>
      </c>
      <c r="K60" s="47">
        <v>9.5252046638726162E-2</v>
      </c>
      <c r="L60" s="47" t="s">
        <v>678</v>
      </c>
      <c r="M60" s="47"/>
      <c r="N60" s="47"/>
      <c r="O60" s="47"/>
      <c r="P60" s="47"/>
      <c r="Q60" s="47"/>
    </row>
    <row r="61" spans="1:17" ht="22" customHeight="1">
      <c r="B61" s="100"/>
      <c r="C61" s="100"/>
      <c r="D61" s="100"/>
      <c r="E61" s="100"/>
      <c r="F61" s="100"/>
      <c r="G61" s="100"/>
      <c r="L61" s="47"/>
      <c r="M61" s="47"/>
      <c r="N61" s="47"/>
      <c r="O61" s="47"/>
      <c r="P61" s="47"/>
      <c r="Q61" s="47"/>
    </row>
    <row r="62" spans="1:17" ht="22" customHeight="1">
      <c r="B62" s="100"/>
      <c r="C62" s="100"/>
      <c r="D62" s="100"/>
      <c r="E62" s="100"/>
      <c r="F62" s="100"/>
      <c r="G62" s="100"/>
      <c r="L62" s="47"/>
      <c r="M62" s="47"/>
      <c r="N62" s="47"/>
      <c r="O62" s="47"/>
      <c r="P62" s="47"/>
      <c r="Q62" s="47"/>
    </row>
    <row r="63" spans="1:17" ht="22" customHeight="1">
      <c r="B63" s="100"/>
      <c r="C63" s="100"/>
      <c r="D63" s="100"/>
      <c r="E63" s="100"/>
      <c r="F63" s="100"/>
      <c r="G63" s="100"/>
      <c r="L63" s="47"/>
      <c r="M63" s="47"/>
      <c r="N63" s="47"/>
      <c r="O63" s="47"/>
      <c r="P63" s="47"/>
      <c r="Q63" s="47"/>
    </row>
    <row r="64" spans="1:17" ht="22" customHeight="1">
      <c r="B64" s="100"/>
      <c r="C64" s="100"/>
      <c r="D64" s="100"/>
      <c r="E64" s="100"/>
      <c r="F64" s="100"/>
      <c r="G64" s="100"/>
      <c r="L64" s="47"/>
      <c r="M64" s="47"/>
      <c r="N64" s="47"/>
      <c r="O64" s="47"/>
      <c r="P64" s="47"/>
      <c r="Q64" s="47"/>
    </row>
    <row r="65" spans="2:17" ht="22" customHeight="1">
      <c r="B65" s="100"/>
      <c r="C65" s="100"/>
      <c r="D65" s="100"/>
      <c r="E65" s="100"/>
      <c r="F65" s="100"/>
      <c r="G65" s="100"/>
      <c r="L65" s="47"/>
      <c r="M65" s="47"/>
      <c r="N65" s="47"/>
      <c r="O65" s="47"/>
      <c r="P65" s="47"/>
      <c r="Q65" s="47"/>
    </row>
    <row r="66" spans="2:17" ht="22" customHeight="1">
      <c r="B66" s="100"/>
      <c r="C66" s="100"/>
      <c r="D66" s="100"/>
      <c r="E66" s="100"/>
      <c r="F66" s="100"/>
      <c r="G66" s="100"/>
      <c r="L66" s="47"/>
      <c r="M66" s="47"/>
      <c r="N66" s="47"/>
      <c r="O66" s="47"/>
      <c r="P66" s="47"/>
      <c r="Q66" s="47"/>
    </row>
    <row r="67" spans="2:17" ht="22" customHeight="1">
      <c r="B67" s="100"/>
      <c r="C67" s="100"/>
      <c r="D67" s="100"/>
      <c r="E67" s="100"/>
      <c r="F67" s="100"/>
      <c r="G67" s="100"/>
      <c r="L67" s="47"/>
      <c r="M67" s="47"/>
      <c r="N67" s="47"/>
      <c r="O67" s="47"/>
      <c r="P67" s="47"/>
      <c r="Q67" s="47"/>
    </row>
    <row r="68" spans="2:17" ht="22" customHeight="1">
      <c r="B68" s="100"/>
      <c r="C68" s="100"/>
      <c r="D68" s="100"/>
      <c r="E68" s="100"/>
      <c r="F68" s="100"/>
      <c r="G68" s="100"/>
      <c r="L68" s="47"/>
      <c r="M68" s="47"/>
      <c r="N68" s="47"/>
      <c r="O68" s="47"/>
      <c r="P68" s="47"/>
      <c r="Q68" s="47"/>
    </row>
    <row r="69" spans="2:17" ht="22" customHeight="1">
      <c r="B69" s="100"/>
      <c r="C69" s="100"/>
      <c r="D69" s="100"/>
      <c r="E69" s="100"/>
      <c r="F69" s="100"/>
      <c r="G69" s="100"/>
      <c r="L69" s="47"/>
      <c r="M69" s="47"/>
      <c r="N69" s="47"/>
      <c r="O69" s="47"/>
      <c r="P69" s="47"/>
      <c r="Q69" s="47"/>
    </row>
    <row r="70" spans="2:17" ht="22" customHeight="1">
      <c r="B70" s="100"/>
      <c r="C70" s="100"/>
      <c r="D70" s="100"/>
      <c r="E70" s="100"/>
      <c r="F70" s="100"/>
      <c r="G70" s="100"/>
      <c r="L70" s="47"/>
      <c r="M70" s="47"/>
      <c r="N70" s="47"/>
      <c r="O70" s="47"/>
      <c r="P70" s="47"/>
      <c r="Q70" s="47"/>
    </row>
    <row r="71" spans="2:17" ht="22" customHeight="1">
      <c r="B71" s="100"/>
      <c r="C71" s="100"/>
      <c r="D71" s="100"/>
      <c r="E71" s="100"/>
      <c r="F71" s="100"/>
      <c r="G71" s="100"/>
      <c r="L71" s="47"/>
      <c r="M71" s="47"/>
      <c r="N71" s="47"/>
      <c r="O71" s="47"/>
      <c r="P71" s="47"/>
      <c r="Q71" s="47"/>
    </row>
    <row r="72" spans="2:17" ht="22" customHeight="1">
      <c r="B72" s="100"/>
      <c r="C72" s="100"/>
      <c r="D72" s="100"/>
      <c r="E72" s="100"/>
      <c r="F72" s="100"/>
      <c r="G72" s="100"/>
      <c r="L72" s="47"/>
      <c r="M72" s="47"/>
      <c r="N72" s="47"/>
      <c r="O72" s="47"/>
      <c r="P72" s="47"/>
      <c r="Q72" s="47"/>
    </row>
    <row r="73" spans="2:17" ht="22" customHeight="1">
      <c r="B73" s="100"/>
      <c r="C73" s="100"/>
      <c r="D73" s="100"/>
      <c r="E73" s="100"/>
      <c r="F73" s="100"/>
      <c r="G73" s="100"/>
      <c r="L73" s="47"/>
      <c r="M73" s="47"/>
      <c r="N73" s="47"/>
      <c r="O73" s="47"/>
      <c r="P73" s="47"/>
      <c r="Q73" s="47"/>
    </row>
    <row r="74" spans="2:17" ht="22" customHeight="1">
      <c r="B74" s="100"/>
      <c r="C74" s="100"/>
      <c r="D74" s="100"/>
      <c r="E74" s="100"/>
      <c r="F74" s="100"/>
      <c r="G74" s="100"/>
      <c r="L74" s="47"/>
      <c r="M74" s="47"/>
      <c r="N74" s="47"/>
      <c r="O74" s="47"/>
      <c r="P74" s="47"/>
      <c r="Q74" s="47"/>
    </row>
    <row r="75" spans="2:17" ht="22" customHeight="1">
      <c r="B75" s="100"/>
      <c r="C75" s="100"/>
      <c r="D75" s="100"/>
      <c r="E75" s="100"/>
      <c r="F75" s="100"/>
      <c r="G75" s="100"/>
      <c r="L75" s="47"/>
      <c r="M75" s="47"/>
      <c r="N75" s="47"/>
      <c r="O75" s="47"/>
      <c r="P75" s="47"/>
      <c r="Q75" s="47"/>
    </row>
    <row r="76" spans="2:17" ht="22" customHeight="1">
      <c r="B76" s="100"/>
      <c r="C76" s="100"/>
      <c r="D76" s="100"/>
      <c r="E76" s="100"/>
      <c r="F76" s="100"/>
      <c r="G76" s="100"/>
      <c r="L76" s="47"/>
      <c r="M76" s="47"/>
      <c r="N76" s="47"/>
      <c r="O76" s="47"/>
      <c r="P76" s="47"/>
      <c r="Q76" s="47"/>
    </row>
    <row r="77" spans="2:17" ht="22" customHeight="1">
      <c r="B77" s="100"/>
      <c r="C77" s="100"/>
      <c r="D77" s="100"/>
      <c r="E77" s="100"/>
      <c r="F77" s="100"/>
      <c r="G77" s="100"/>
      <c r="L77" s="47"/>
      <c r="M77" s="47"/>
      <c r="N77" s="47"/>
      <c r="O77" s="47"/>
      <c r="P77" s="47"/>
      <c r="Q77" s="47"/>
    </row>
    <row r="78" spans="2:17" ht="22" customHeight="1">
      <c r="B78" s="100"/>
      <c r="C78" s="100"/>
      <c r="D78" s="100"/>
      <c r="E78" s="100"/>
      <c r="F78" s="100"/>
      <c r="G78" s="100"/>
      <c r="L78" s="47"/>
      <c r="M78" s="47"/>
      <c r="N78" s="47"/>
      <c r="O78" s="47"/>
      <c r="P78" s="47"/>
      <c r="Q78" s="47"/>
    </row>
    <row r="79" spans="2:17" ht="22" customHeight="1">
      <c r="B79" s="100"/>
      <c r="C79" s="100"/>
      <c r="D79" s="100"/>
      <c r="E79" s="100"/>
      <c r="F79" s="100"/>
      <c r="G79" s="100"/>
      <c r="L79" s="47"/>
      <c r="M79" s="47"/>
      <c r="N79" s="47"/>
      <c r="O79" s="47"/>
      <c r="P79" s="47"/>
      <c r="Q79" s="47"/>
    </row>
    <row r="80" spans="2:17" ht="22" customHeight="1">
      <c r="B80" s="100"/>
      <c r="C80" s="100"/>
      <c r="D80" s="100"/>
      <c r="E80" s="100"/>
      <c r="F80" s="100"/>
      <c r="G80" s="100"/>
      <c r="L80" s="47"/>
      <c r="M80" s="47"/>
      <c r="N80" s="47"/>
      <c r="O80" s="47"/>
      <c r="P80" s="47"/>
      <c r="Q80" s="47"/>
    </row>
    <row r="81" spans="2:17" ht="22" customHeight="1">
      <c r="B81" s="100"/>
      <c r="C81" s="100"/>
      <c r="D81" s="100"/>
      <c r="E81" s="100"/>
      <c r="F81" s="100"/>
      <c r="G81" s="100"/>
      <c r="L81" s="47"/>
      <c r="M81" s="47"/>
      <c r="N81" s="47"/>
      <c r="O81" s="47"/>
      <c r="P81" s="47"/>
      <c r="Q81" s="47"/>
    </row>
    <row r="82" spans="2:17" ht="22" customHeight="1">
      <c r="B82" s="100"/>
      <c r="C82" s="100"/>
      <c r="D82" s="100"/>
      <c r="E82" s="100"/>
      <c r="F82" s="100"/>
      <c r="G82" s="100"/>
      <c r="L82" s="47"/>
      <c r="M82" s="47"/>
      <c r="N82" s="47"/>
      <c r="O82" s="47"/>
      <c r="P82" s="47"/>
      <c r="Q82" s="47"/>
    </row>
    <row r="83" spans="2:17" ht="22" customHeight="1">
      <c r="B83" s="100"/>
      <c r="C83" s="100"/>
      <c r="D83" s="100"/>
      <c r="E83" s="100"/>
      <c r="F83" s="100"/>
      <c r="G83" s="100"/>
      <c r="L83" s="47"/>
      <c r="M83" s="47"/>
      <c r="N83" s="47"/>
      <c r="O83" s="47"/>
      <c r="P83" s="47"/>
      <c r="Q83" s="47"/>
    </row>
    <row r="84" spans="2:17" ht="22" customHeight="1">
      <c r="B84" s="100"/>
      <c r="C84" s="100"/>
      <c r="D84" s="100"/>
      <c r="E84" s="100"/>
      <c r="F84" s="100"/>
      <c r="G84" s="100"/>
      <c r="L84" s="47"/>
      <c r="M84" s="47"/>
      <c r="N84" s="47"/>
      <c r="O84" s="47"/>
      <c r="P84" s="47"/>
      <c r="Q84" s="47"/>
    </row>
    <row r="85" spans="2:17" ht="22" customHeight="1">
      <c r="B85" s="100"/>
      <c r="C85" s="100"/>
      <c r="D85" s="100"/>
      <c r="E85" s="100"/>
      <c r="F85" s="100"/>
      <c r="G85" s="100"/>
      <c r="L85" s="47"/>
      <c r="M85" s="47"/>
      <c r="N85" s="47"/>
      <c r="O85" s="47"/>
      <c r="P85" s="47"/>
      <c r="Q85" s="47"/>
    </row>
    <row r="86" spans="2:17" ht="22" customHeight="1">
      <c r="B86" s="100"/>
      <c r="C86" s="100"/>
      <c r="D86" s="100"/>
      <c r="E86" s="100"/>
      <c r="F86" s="100"/>
      <c r="G86" s="100"/>
      <c r="L86" s="47"/>
      <c r="M86" s="47"/>
      <c r="N86" s="47"/>
      <c r="O86" s="47"/>
      <c r="P86" s="47"/>
      <c r="Q86" s="47"/>
    </row>
    <row r="87" spans="2:17" ht="22" customHeight="1">
      <c r="B87" s="100"/>
      <c r="C87" s="100"/>
      <c r="D87" s="100"/>
      <c r="E87" s="100"/>
      <c r="F87" s="100"/>
      <c r="G87" s="100"/>
      <c r="L87" s="47"/>
      <c r="M87" s="47"/>
      <c r="N87" s="47"/>
      <c r="O87" s="47"/>
      <c r="P87" s="47"/>
      <c r="Q87" s="47"/>
    </row>
    <row r="88" spans="2:17" ht="22" customHeight="1">
      <c r="B88" s="100"/>
      <c r="C88" s="100"/>
      <c r="D88" s="100"/>
      <c r="E88" s="100"/>
      <c r="F88" s="100"/>
      <c r="G88" s="100"/>
      <c r="L88" s="47"/>
      <c r="M88" s="47"/>
      <c r="N88" s="47"/>
      <c r="O88" s="47"/>
      <c r="P88" s="47"/>
      <c r="Q88" s="47"/>
    </row>
    <row r="89" spans="2:17" ht="22" customHeight="1">
      <c r="B89" s="100"/>
      <c r="C89" s="100"/>
      <c r="D89" s="100"/>
      <c r="E89" s="100"/>
      <c r="F89" s="100"/>
      <c r="G89" s="100"/>
      <c r="L89" s="47"/>
      <c r="M89" s="47"/>
      <c r="N89" s="47"/>
      <c r="O89" s="47"/>
      <c r="P89" s="47"/>
      <c r="Q89" s="47"/>
    </row>
    <row r="90" spans="2:17" ht="22" customHeight="1">
      <c r="B90" s="100"/>
      <c r="C90" s="100"/>
      <c r="D90" s="100"/>
      <c r="E90" s="100"/>
      <c r="F90" s="100"/>
      <c r="G90" s="100"/>
      <c r="L90" s="47"/>
      <c r="M90" s="47"/>
      <c r="N90" s="47"/>
      <c r="O90" s="47"/>
      <c r="P90" s="47"/>
      <c r="Q90" s="47"/>
    </row>
    <row r="91" spans="2:17" ht="22" customHeight="1">
      <c r="B91" s="100"/>
      <c r="C91" s="100"/>
      <c r="D91" s="100"/>
      <c r="E91" s="100"/>
      <c r="F91" s="100"/>
      <c r="G91" s="100"/>
      <c r="L91" s="47"/>
      <c r="M91" s="47"/>
      <c r="N91" s="47"/>
      <c r="O91" s="47"/>
      <c r="P91" s="47"/>
      <c r="Q91" s="47"/>
    </row>
    <row r="92" spans="2:17" ht="22" customHeight="1">
      <c r="B92" s="100"/>
      <c r="C92" s="100"/>
      <c r="D92" s="100"/>
      <c r="E92" s="100"/>
      <c r="F92" s="100"/>
      <c r="G92" s="100"/>
      <c r="L92" s="47"/>
      <c r="M92" s="47"/>
      <c r="N92" s="47"/>
      <c r="O92" s="47"/>
      <c r="P92" s="47"/>
      <c r="Q92" s="47"/>
    </row>
    <row r="93" spans="2:17" ht="22" customHeight="1">
      <c r="B93" s="100"/>
      <c r="C93" s="100"/>
      <c r="D93" s="100"/>
      <c r="E93" s="100"/>
      <c r="F93" s="100"/>
      <c r="G93" s="100"/>
      <c r="L93" s="47"/>
      <c r="M93" s="47"/>
      <c r="N93" s="47"/>
      <c r="O93" s="47"/>
      <c r="P93" s="47"/>
      <c r="Q93" s="47"/>
    </row>
    <row r="94" spans="2:17" ht="22" customHeight="1">
      <c r="B94" s="100"/>
      <c r="C94" s="100"/>
      <c r="D94" s="100"/>
      <c r="E94" s="100"/>
      <c r="F94" s="100"/>
      <c r="G94" s="100"/>
      <c r="L94" s="47"/>
      <c r="M94" s="47"/>
      <c r="N94" s="47"/>
      <c r="O94" s="47"/>
      <c r="P94" s="47"/>
      <c r="Q94" s="47"/>
    </row>
    <row r="95" spans="2:17" ht="22" customHeight="1">
      <c r="B95" s="100"/>
      <c r="C95" s="100"/>
      <c r="D95" s="100"/>
      <c r="E95" s="100"/>
      <c r="F95" s="100"/>
      <c r="G95" s="100"/>
      <c r="L95" s="47"/>
      <c r="M95" s="47"/>
      <c r="N95" s="47"/>
      <c r="O95" s="47"/>
      <c r="P95" s="47"/>
      <c r="Q95" s="47"/>
    </row>
    <row r="96" spans="2:17" ht="22" customHeight="1">
      <c r="B96" s="100"/>
      <c r="C96" s="100"/>
      <c r="D96" s="100"/>
      <c r="E96" s="100"/>
      <c r="F96" s="100"/>
      <c r="G96" s="100"/>
      <c r="L96" s="47"/>
      <c r="M96" s="47"/>
      <c r="N96" s="47"/>
      <c r="O96" s="47"/>
      <c r="P96" s="47"/>
      <c r="Q96" s="47"/>
    </row>
    <row r="97" spans="2:17" ht="22" customHeight="1">
      <c r="B97" s="100"/>
      <c r="C97" s="100"/>
      <c r="D97" s="100"/>
      <c r="E97" s="100"/>
      <c r="F97" s="100"/>
      <c r="G97" s="100"/>
      <c r="L97" s="47"/>
      <c r="M97" s="47"/>
      <c r="N97" s="47"/>
      <c r="O97" s="47"/>
      <c r="P97" s="47"/>
      <c r="Q97" s="47"/>
    </row>
    <row r="98" spans="2:17" ht="22" customHeight="1">
      <c r="B98" s="100"/>
      <c r="C98" s="100"/>
      <c r="D98" s="100"/>
      <c r="E98" s="100"/>
      <c r="F98" s="100"/>
      <c r="G98" s="100"/>
      <c r="L98" s="47"/>
      <c r="M98" s="47"/>
      <c r="N98" s="47"/>
      <c r="O98" s="47"/>
      <c r="P98" s="47"/>
      <c r="Q98" s="47"/>
    </row>
    <row r="99" spans="2:17" ht="22" customHeight="1">
      <c r="B99" s="100"/>
      <c r="C99" s="100"/>
      <c r="D99" s="100"/>
      <c r="E99" s="100"/>
      <c r="F99" s="100"/>
      <c r="G99" s="100"/>
      <c r="L99" s="47"/>
      <c r="M99" s="47"/>
      <c r="N99" s="47"/>
      <c r="O99" s="47"/>
      <c r="P99" s="47"/>
      <c r="Q99" s="47"/>
    </row>
    <row r="100" spans="2:17" ht="22" customHeight="1">
      <c r="B100" s="100"/>
      <c r="C100" s="100"/>
      <c r="D100" s="100"/>
      <c r="E100" s="100"/>
      <c r="F100" s="100"/>
      <c r="G100" s="100"/>
      <c r="L100" s="47"/>
      <c r="M100" s="47"/>
      <c r="N100" s="47"/>
      <c r="O100" s="47"/>
      <c r="P100" s="47"/>
      <c r="Q100" s="47"/>
    </row>
    <row r="101" spans="2:17" ht="22" customHeight="1">
      <c r="B101" s="100"/>
      <c r="C101" s="100"/>
      <c r="D101" s="100"/>
      <c r="E101" s="100"/>
      <c r="F101" s="100"/>
      <c r="G101" s="100"/>
      <c r="L101" s="47"/>
      <c r="M101" s="47"/>
      <c r="N101" s="47"/>
      <c r="O101" s="47"/>
      <c r="P101" s="47"/>
      <c r="Q101" s="47"/>
    </row>
    <row r="102" spans="2:17" ht="22" customHeight="1">
      <c r="B102" s="100"/>
      <c r="C102" s="100"/>
      <c r="D102" s="100"/>
      <c r="E102" s="100"/>
      <c r="F102" s="100"/>
      <c r="G102" s="100"/>
      <c r="L102" s="47"/>
      <c r="M102" s="47"/>
      <c r="N102" s="47"/>
      <c r="O102" s="47"/>
      <c r="P102" s="47"/>
      <c r="Q102" s="47"/>
    </row>
    <row r="103" spans="2:17" ht="22" customHeight="1">
      <c r="B103" s="100"/>
      <c r="C103" s="100"/>
      <c r="D103" s="100"/>
      <c r="E103" s="100"/>
      <c r="F103" s="100"/>
      <c r="G103" s="100"/>
      <c r="L103" s="47"/>
      <c r="M103" s="47"/>
      <c r="N103" s="47"/>
      <c r="O103" s="47"/>
      <c r="P103" s="47"/>
      <c r="Q103" s="47"/>
    </row>
    <row r="104" spans="2:17" ht="22" customHeight="1">
      <c r="B104" s="100"/>
      <c r="C104" s="100"/>
      <c r="D104" s="100"/>
      <c r="E104" s="100"/>
      <c r="F104" s="100"/>
      <c r="G104" s="100"/>
      <c r="L104" s="47"/>
      <c r="M104" s="47"/>
      <c r="N104" s="47"/>
      <c r="O104" s="47"/>
      <c r="P104" s="47"/>
      <c r="Q104" s="47"/>
    </row>
    <row r="105" spans="2:17" ht="22" customHeight="1">
      <c r="B105" s="100"/>
      <c r="C105" s="100"/>
      <c r="D105" s="100"/>
      <c r="E105" s="100"/>
      <c r="F105" s="100"/>
      <c r="G105" s="100"/>
      <c r="L105" s="47"/>
      <c r="M105" s="47"/>
      <c r="N105" s="47"/>
      <c r="O105" s="47"/>
      <c r="P105" s="47"/>
      <c r="Q105" s="47"/>
    </row>
    <row r="106" spans="2:17" ht="22" customHeight="1">
      <c r="B106" s="100"/>
      <c r="C106" s="100"/>
      <c r="D106" s="100"/>
      <c r="E106" s="100"/>
      <c r="F106" s="100"/>
      <c r="G106" s="100"/>
      <c r="L106" s="47"/>
      <c r="M106" s="47"/>
      <c r="N106" s="47"/>
      <c r="O106" s="47"/>
      <c r="P106" s="47"/>
      <c r="Q106" s="47"/>
    </row>
    <row r="107" spans="2:17" ht="22" customHeight="1">
      <c r="B107" s="100"/>
      <c r="C107" s="100"/>
      <c r="D107" s="100"/>
      <c r="E107" s="100"/>
      <c r="F107" s="100"/>
      <c r="G107" s="100"/>
      <c r="L107" s="47"/>
      <c r="M107" s="47"/>
      <c r="N107" s="47"/>
      <c r="O107" s="47"/>
      <c r="P107" s="47"/>
      <c r="Q107" s="47"/>
    </row>
    <row r="108" spans="2:17" ht="22" customHeight="1">
      <c r="B108" s="100"/>
      <c r="C108" s="100"/>
      <c r="D108" s="100"/>
      <c r="E108" s="100"/>
      <c r="F108" s="100"/>
      <c r="G108" s="100"/>
      <c r="L108" s="47"/>
      <c r="M108" s="47"/>
      <c r="N108" s="47"/>
      <c r="O108" s="47"/>
      <c r="P108" s="47"/>
      <c r="Q108" s="47"/>
    </row>
    <row r="109" spans="2:17" ht="22" customHeight="1">
      <c r="B109" s="100"/>
      <c r="C109" s="100"/>
      <c r="D109" s="100"/>
      <c r="E109" s="100"/>
      <c r="F109" s="100"/>
      <c r="G109" s="100"/>
      <c r="L109" s="47"/>
      <c r="M109" s="47"/>
      <c r="N109" s="47"/>
      <c r="O109" s="47"/>
      <c r="P109" s="47"/>
      <c r="Q109" s="47"/>
    </row>
    <row r="110" spans="2:17" ht="22" customHeight="1">
      <c r="B110" s="100"/>
      <c r="C110" s="100"/>
      <c r="D110" s="100"/>
      <c r="E110" s="100"/>
      <c r="F110" s="100"/>
      <c r="G110" s="100"/>
      <c r="L110" s="47"/>
      <c r="M110" s="47"/>
      <c r="N110" s="47"/>
      <c r="O110" s="47"/>
      <c r="P110" s="47"/>
      <c r="Q110" s="47"/>
    </row>
    <row r="111" spans="2:17" ht="22" customHeight="1">
      <c r="B111" s="100"/>
      <c r="C111" s="100"/>
      <c r="D111" s="100"/>
      <c r="E111" s="100"/>
      <c r="F111" s="100"/>
      <c r="G111" s="100"/>
      <c r="L111" s="47"/>
      <c r="M111" s="47"/>
      <c r="N111" s="47"/>
      <c r="O111" s="47"/>
      <c r="P111" s="47"/>
      <c r="Q111" s="47"/>
    </row>
    <row r="112" spans="2:17" ht="22" customHeight="1">
      <c r="B112" s="100"/>
      <c r="C112" s="100"/>
      <c r="D112" s="100"/>
      <c r="E112" s="100"/>
      <c r="F112" s="100"/>
      <c r="G112" s="100"/>
      <c r="L112" s="47"/>
      <c r="M112" s="47"/>
      <c r="N112" s="47"/>
      <c r="O112" s="47"/>
      <c r="P112" s="47"/>
      <c r="Q112" s="47"/>
    </row>
    <row r="113" spans="2:17" ht="22" customHeight="1">
      <c r="B113" s="100"/>
      <c r="C113" s="100"/>
      <c r="D113" s="100"/>
      <c r="E113" s="100"/>
      <c r="F113" s="100"/>
      <c r="G113" s="100"/>
      <c r="L113" s="47"/>
      <c r="M113" s="47"/>
      <c r="N113" s="47"/>
      <c r="O113" s="47"/>
      <c r="P113" s="47"/>
      <c r="Q113" s="47"/>
    </row>
    <row r="114" spans="2:17" ht="22" customHeight="1">
      <c r="B114" s="100"/>
      <c r="C114" s="100"/>
      <c r="D114" s="100"/>
      <c r="E114" s="100"/>
      <c r="F114" s="100"/>
      <c r="G114" s="100"/>
      <c r="L114" s="47"/>
      <c r="M114" s="47"/>
      <c r="N114" s="47"/>
      <c r="O114" s="47"/>
      <c r="P114" s="47"/>
      <c r="Q114" s="47"/>
    </row>
    <row r="115" spans="2:17" ht="22" customHeight="1">
      <c r="B115" s="100"/>
      <c r="C115" s="100"/>
      <c r="D115" s="100"/>
      <c r="E115" s="100"/>
      <c r="F115" s="100"/>
      <c r="G115" s="100"/>
      <c r="L115" s="47"/>
      <c r="M115" s="47"/>
      <c r="N115" s="47"/>
      <c r="O115" s="47"/>
      <c r="P115" s="47"/>
      <c r="Q115" s="47"/>
    </row>
    <row r="116" spans="2:17" ht="22" customHeight="1">
      <c r="B116" s="100"/>
      <c r="C116" s="100"/>
      <c r="D116" s="100"/>
      <c r="E116" s="100"/>
      <c r="F116" s="100"/>
      <c r="G116" s="100"/>
      <c r="L116" s="47"/>
      <c r="M116" s="47"/>
      <c r="N116" s="47"/>
      <c r="O116" s="47"/>
      <c r="P116" s="47"/>
      <c r="Q116" s="47"/>
    </row>
    <row r="117" spans="2:17" ht="22" customHeight="1">
      <c r="B117" s="100"/>
      <c r="C117" s="100"/>
      <c r="D117" s="100"/>
      <c r="E117" s="100"/>
      <c r="F117" s="100"/>
      <c r="G117" s="100"/>
      <c r="L117" s="47"/>
      <c r="M117" s="47"/>
      <c r="N117" s="47"/>
      <c r="O117" s="47"/>
      <c r="P117" s="47"/>
      <c r="Q117" s="47"/>
    </row>
    <row r="118" spans="2:17" ht="22" customHeight="1">
      <c r="B118" s="100"/>
      <c r="C118" s="100"/>
      <c r="D118" s="100"/>
      <c r="E118" s="100"/>
      <c r="F118" s="100"/>
      <c r="G118" s="100"/>
      <c r="L118" s="47"/>
      <c r="M118" s="47"/>
      <c r="N118" s="47"/>
      <c r="O118" s="47"/>
      <c r="P118" s="47"/>
      <c r="Q118" s="47"/>
    </row>
    <row r="119" spans="2:17" ht="22" customHeight="1">
      <c r="B119" s="100"/>
      <c r="C119" s="100"/>
      <c r="D119" s="100"/>
      <c r="E119" s="100"/>
      <c r="F119" s="100"/>
      <c r="G119" s="100"/>
      <c r="L119" s="47"/>
      <c r="M119" s="47"/>
      <c r="N119" s="47"/>
      <c r="O119" s="47"/>
      <c r="P119" s="47"/>
      <c r="Q119" s="47"/>
    </row>
    <row r="120" spans="2:17" ht="22" customHeight="1">
      <c r="B120" s="100"/>
      <c r="C120" s="100"/>
      <c r="D120" s="100"/>
      <c r="E120" s="100"/>
      <c r="F120" s="100"/>
      <c r="G120" s="100"/>
      <c r="L120" s="47"/>
      <c r="M120" s="47"/>
      <c r="N120" s="47"/>
      <c r="O120" s="47"/>
      <c r="P120" s="47"/>
      <c r="Q120" s="47"/>
    </row>
    <row r="121" spans="2:17" ht="22" customHeight="1">
      <c r="B121" s="100"/>
      <c r="C121" s="100"/>
      <c r="D121" s="100"/>
      <c r="E121" s="100"/>
      <c r="F121" s="100"/>
      <c r="G121" s="100"/>
      <c r="L121" s="47"/>
      <c r="M121" s="47"/>
      <c r="N121" s="47"/>
      <c r="O121" s="47"/>
      <c r="P121" s="47"/>
      <c r="Q121" s="47"/>
    </row>
    <row r="122" spans="2:17" ht="22" customHeight="1">
      <c r="B122" s="100"/>
      <c r="C122" s="100"/>
      <c r="D122" s="100"/>
      <c r="E122" s="100"/>
      <c r="F122" s="100"/>
      <c r="G122" s="100"/>
      <c r="L122" s="47"/>
      <c r="M122" s="47"/>
      <c r="N122" s="47"/>
      <c r="O122" s="47"/>
      <c r="P122" s="47"/>
      <c r="Q122" s="47"/>
    </row>
    <row r="123" spans="2:17" ht="22" customHeight="1">
      <c r="B123" s="100"/>
      <c r="C123" s="100"/>
      <c r="D123" s="100"/>
      <c r="E123" s="100"/>
      <c r="F123" s="100"/>
      <c r="G123" s="100"/>
      <c r="L123" s="47"/>
      <c r="M123" s="47"/>
      <c r="N123" s="47"/>
      <c r="O123" s="47"/>
      <c r="P123" s="47"/>
      <c r="Q123" s="47"/>
    </row>
    <row r="124" spans="2:17" ht="22" customHeight="1">
      <c r="B124" s="100"/>
      <c r="C124" s="100"/>
      <c r="D124" s="100"/>
      <c r="E124" s="100"/>
      <c r="F124" s="100"/>
      <c r="G124" s="100"/>
      <c r="L124" s="47"/>
      <c r="M124" s="47"/>
      <c r="N124" s="47"/>
      <c r="O124" s="47"/>
      <c r="P124" s="47"/>
      <c r="Q124" s="47"/>
    </row>
    <row r="125" spans="2:17" ht="22" customHeight="1">
      <c r="B125" s="100"/>
      <c r="C125" s="100"/>
      <c r="D125" s="100"/>
      <c r="E125" s="100"/>
      <c r="F125" s="100"/>
      <c r="G125" s="100"/>
      <c r="L125" s="47"/>
      <c r="M125" s="47"/>
      <c r="N125" s="47"/>
      <c r="O125" s="47"/>
      <c r="P125" s="47"/>
      <c r="Q125" s="47"/>
    </row>
    <row r="126" spans="2:17" ht="22" customHeight="1">
      <c r="B126" s="100"/>
      <c r="C126" s="100"/>
      <c r="D126" s="100"/>
      <c r="E126" s="100"/>
      <c r="F126" s="100"/>
      <c r="G126" s="100"/>
      <c r="L126" s="47"/>
      <c r="M126" s="47"/>
      <c r="N126" s="47"/>
      <c r="O126" s="47"/>
      <c r="P126" s="47"/>
      <c r="Q126" s="47"/>
    </row>
    <row r="127" spans="2:17" ht="22" customHeight="1">
      <c r="B127" s="100"/>
      <c r="C127" s="100"/>
      <c r="D127" s="100"/>
      <c r="E127" s="100"/>
      <c r="F127" s="100"/>
      <c r="G127" s="100"/>
      <c r="L127" s="47"/>
      <c r="M127" s="47"/>
      <c r="N127" s="47"/>
      <c r="O127" s="47"/>
      <c r="P127" s="47"/>
      <c r="Q127" s="47"/>
    </row>
    <row r="128" spans="2:17" ht="22" customHeight="1">
      <c r="B128" s="100"/>
      <c r="C128" s="100"/>
      <c r="D128" s="100"/>
      <c r="E128" s="100"/>
      <c r="F128" s="100"/>
      <c r="G128" s="100"/>
      <c r="L128" s="47"/>
      <c r="M128" s="47"/>
      <c r="N128" s="47"/>
      <c r="O128" s="47"/>
      <c r="P128" s="47"/>
      <c r="Q128" s="47"/>
    </row>
    <row r="129" spans="2:17" ht="22" customHeight="1">
      <c r="B129" s="100"/>
      <c r="C129" s="100"/>
      <c r="D129" s="100"/>
      <c r="E129" s="100"/>
      <c r="F129" s="100"/>
      <c r="G129" s="100"/>
      <c r="L129" s="47"/>
      <c r="M129" s="47"/>
      <c r="N129" s="47"/>
      <c r="O129" s="47"/>
      <c r="P129" s="47"/>
      <c r="Q129" s="47"/>
    </row>
    <row r="130" spans="2:17" ht="22" customHeight="1">
      <c r="B130" s="100"/>
      <c r="C130" s="100"/>
      <c r="D130" s="100"/>
      <c r="E130" s="100"/>
      <c r="F130" s="100"/>
      <c r="G130" s="100"/>
      <c r="L130" s="47"/>
      <c r="M130" s="47"/>
      <c r="N130" s="47"/>
      <c r="O130" s="47"/>
      <c r="P130" s="47"/>
      <c r="Q130" s="47"/>
    </row>
    <row r="131" spans="2:17" ht="22" customHeight="1">
      <c r="B131" s="100"/>
      <c r="C131" s="100"/>
      <c r="D131" s="100"/>
      <c r="E131" s="100"/>
      <c r="F131" s="100"/>
      <c r="G131" s="100"/>
      <c r="L131" s="47"/>
      <c r="M131" s="47"/>
      <c r="N131" s="47"/>
      <c r="O131" s="47"/>
      <c r="P131" s="47"/>
      <c r="Q131" s="47"/>
    </row>
    <row r="132" spans="2:17" ht="22" customHeight="1">
      <c r="B132" s="100"/>
      <c r="C132" s="100"/>
      <c r="D132" s="100"/>
      <c r="E132" s="100"/>
      <c r="F132" s="100"/>
      <c r="G132" s="100"/>
      <c r="L132" s="47"/>
      <c r="M132" s="47"/>
      <c r="N132" s="47"/>
      <c r="O132" s="47"/>
      <c r="P132" s="47"/>
      <c r="Q132" s="47"/>
    </row>
    <row r="133" spans="2:17" ht="22" customHeight="1">
      <c r="B133" s="100"/>
      <c r="C133" s="100"/>
      <c r="D133" s="100"/>
      <c r="E133" s="100"/>
      <c r="F133" s="100"/>
      <c r="G133" s="100"/>
      <c r="L133" s="47"/>
      <c r="M133" s="47"/>
      <c r="N133" s="47"/>
      <c r="O133" s="47"/>
      <c r="P133" s="47"/>
      <c r="Q133" s="47"/>
    </row>
    <row r="134" spans="2:17" ht="22" customHeight="1">
      <c r="B134" s="100"/>
      <c r="C134" s="100"/>
      <c r="D134" s="100"/>
      <c r="E134" s="100"/>
      <c r="F134" s="100"/>
      <c r="G134" s="100"/>
      <c r="L134" s="47"/>
      <c r="M134" s="47"/>
      <c r="N134" s="47"/>
      <c r="O134" s="47"/>
      <c r="P134" s="47"/>
      <c r="Q134" s="47"/>
    </row>
    <row r="135" spans="2:17" ht="22" customHeight="1">
      <c r="B135" s="100"/>
      <c r="C135" s="100"/>
      <c r="D135" s="100"/>
      <c r="E135" s="100"/>
      <c r="F135" s="100"/>
      <c r="G135" s="100"/>
      <c r="L135" s="47"/>
      <c r="M135" s="47"/>
      <c r="N135" s="47"/>
      <c r="O135" s="47"/>
      <c r="P135" s="47"/>
      <c r="Q135" s="47"/>
    </row>
    <row r="136" spans="2:17" ht="22" customHeight="1">
      <c r="B136" s="100"/>
      <c r="C136" s="100"/>
      <c r="D136" s="100"/>
      <c r="E136" s="100"/>
      <c r="F136" s="100"/>
      <c r="G136" s="100"/>
      <c r="L136" s="47"/>
      <c r="M136" s="47"/>
      <c r="N136" s="47"/>
      <c r="O136" s="47"/>
      <c r="P136" s="47"/>
      <c r="Q136" s="47"/>
    </row>
    <row r="137" spans="2:17" ht="22" customHeight="1">
      <c r="B137" s="100"/>
      <c r="C137" s="100"/>
      <c r="D137" s="100"/>
      <c r="E137" s="100"/>
      <c r="F137" s="100"/>
      <c r="G137" s="100"/>
      <c r="L137" s="47"/>
      <c r="M137" s="47"/>
      <c r="N137" s="47"/>
      <c r="O137" s="47"/>
      <c r="P137" s="47"/>
      <c r="Q137" s="47"/>
    </row>
    <row r="138" spans="2:17" ht="22" customHeight="1">
      <c r="B138" s="100"/>
      <c r="C138" s="100"/>
      <c r="D138" s="100"/>
      <c r="E138" s="100"/>
      <c r="F138" s="100"/>
      <c r="G138" s="100"/>
      <c r="L138" s="47"/>
      <c r="M138" s="47"/>
      <c r="N138" s="47"/>
      <c r="O138" s="47"/>
      <c r="P138" s="47"/>
      <c r="Q138" s="47"/>
    </row>
    <row r="139" spans="2:17" ht="22" customHeight="1">
      <c r="B139" s="100"/>
      <c r="C139" s="100"/>
      <c r="D139" s="100"/>
      <c r="E139" s="100"/>
      <c r="F139" s="100"/>
      <c r="G139" s="100"/>
      <c r="L139" s="47"/>
      <c r="M139" s="47"/>
      <c r="N139" s="47"/>
      <c r="O139" s="47"/>
      <c r="P139" s="47"/>
      <c r="Q139" s="47"/>
    </row>
    <row r="140" spans="2:17" ht="22" customHeight="1">
      <c r="B140" s="100"/>
      <c r="C140" s="100"/>
      <c r="D140" s="100"/>
      <c r="E140" s="100"/>
      <c r="F140" s="100"/>
      <c r="G140" s="100"/>
      <c r="L140" s="47"/>
      <c r="M140" s="47"/>
      <c r="N140" s="47"/>
      <c r="O140" s="47"/>
      <c r="P140" s="47"/>
      <c r="Q140" s="47"/>
    </row>
    <row r="141" spans="2:17" ht="22" customHeight="1">
      <c r="B141" s="100"/>
      <c r="C141" s="100"/>
      <c r="D141" s="100"/>
      <c r="E141" s="100"/>
      <c r="F141" s="100"/>
      <c r="G141" s="100"/>
      <c r="L141" s="47"/>
      <c r="M141" s="47"/>
      <c r="N141" s="47"/>
      <c r="O141" s="47"/>
      <c r="P141" s="47"/>
      <c r="Q141" s="47"/>
    </row>
    <row r="142" spans="2:17" ht="22" customHeight="1">
      <c r="B142" s="100"/>
      <c r="C142" s="100"/>
      <c r="D142" s="100"/>
      <c r="E142" s="100"/>
      <c r="F142" s="100"/>
      <c r="G142" s="100"/>
      <c r="L142" s="47"/>
      <c r="M142" s="47"/>
      <c r="N142" s="47"/>
      <c r="O142" s="47"/>
      <c r="P142" s="47"/>
      <c r="Q142" s="47"/>
    </row>
    <row r="143" spans="2:17" ht="22" customHeight="1">
      <c r="B143" s="100"/>
      <c r="C143" s="100"/>
      <c r="D143" s="100"/>
      <c r="E143" s="100"/>
      <c r="F143" s="100"/>
      <c r="G143" s="100"/>
      <c r="L143" s="47"/>
      <c r="M143" s="47"/>
      <c r="N143" s="47"/>
      <c r="O143" s="47"/>
      <c r="P143" s="47"/>
      <c r="Q143" s="47"/>
    </row>
    <row r="144" spans="2:17" ht="22" customHeight="1">
      <c r="B144" s="100"/>
      <c r="C144" s="100"/>
      <c r="D144" s="100"/>
      <c r="E144" s="100"/>
      <c r="F144" s="100"/>
      <c r="G144" s="100"/>
      <c r="L144" s="47"/>
      <c r="M144" s="47"/>
      <c r="N144" s="47"/>
      <c r="O144" s="47"/>
      <c r="P144" s="47"/>
      <c r="Q144" s="47"/>
    </row>
    <row r="145" spans="2:17" ht="22" customHeight="1">
      <c r="B145" s="100"/>
      <c r="C145" s="100"/>
      <c r="D145" s="100"/>
      <c r="E145" s="100"/>
      <c r="F145" s="100"/>
      <c r="G145" s="100"/>
      <c r="L145" s="47"/>
      <c r="M145" s="47"/>
      <c r="N145" s="47"/>
      <c r="O145" s="47"/>
      <c r="P145" s="47"/>
      <c r="Q145" s="47"/>
    </row>
    <row r="146" spans="2:17" ht="22" customHeight="1">
      <c r="B146" s="100"/>
      <c r="C146" s="100"/>
      <c r="D146" s="100"/>
      <c r="E146" s="100"/>
      <c r="F146" s="100"/>
      <c r="G146" s="100"/>
      <c r="L146" s="47"/>
      <c r="M146" s="47"/>
      <c r="N146" s="47"/>
      <c r="O146" s="47"/>
      <c r="P146" s="47"/>
      <c r="Q146" s="47"/>
    </row>
    <row r="147" spans="2:17" ht="22" customHeight="1">
      <c r="B147" s="100"/>
      <c r="C147" s="100"/>
      <c r="D147" s="100"/>
      <c r="E147" s="100"/>
      <c r="F147" s="100"/>
      <c r="G147" s="100"/>
      <c r="L147" s="47"/>
      <c r="M147" s="47"/>
      <c r="N147" s="47"/>
      <c r="O147" s="47"/>
      <c r="P147" s="47"/>
      <c r="Q147" s="47"/>
    </row>
    <row r="148" spans="2:17" ht="22" customHeight="1">
      <c r="B148" s="100"/>
      <c r="C148" s="100"/>
      <c r="D148" s="100"/>
      <c r="E148" s="100"/>
      <c r="F148" s="100"/>
      <c r="G148" s="100"/>
      <c r="L148" s="47"/>
      <c r="M148" s="47"/>
      <c r="N148" s="47"/>
      <c r="O148" s="47"/>
      <c r="P148" s="47"/>
      <c r="Q148" s="47"/>
    </row>
    <row r="149" spans="2:17" ht="22" customHeight="1">
      <c r="B149" s="100"/>
      <c r="C149" s="100"/>
      <c r="D149" s="100"/>
      <c r="E149" s="100"/>
      <c r="F149" s="100"/>
      <c r="G149" s="100"/>
      <c r="L149" s="47"/>
      <c r="M149" s="47"/>
      <c r="N149" s="47"/>
      <c r="O149" s="47"/>
      <c r="P149" s="47"/>
      <c r="Q149" s="47"/>
    </row>
    <row r="150" spans="2:17" ht="22" customHeight="1">
      <c r="B150" s="100"/>
      <c r="C150" s="100"/>
      <c r="D150" s="100"/>
      <c r="E150" s="100"/>
      <c r="F150" s="100"/>
      <c r="G150" s="100"/>
      <c r="L150" s="47"/>
      <c r="M150" s="47"/>
      <c r="N150" s="47"/>
      <c r="O150" s="47"/>
      <c r="P150" s="47"/>
      <c r="Q150" s="47"/>
    </row>
    <row r="151" spans="2:17" ht="22" customHeight="1">
      <c r="B151" s="100"/>
      <c r="C151" s="100"/>
      <c r="D151" s="100"/>
      <c r="E151" s="100"/>
      <c r="F151" s="100"/>
      <c r="G151" s="100"/>
      <c r="L151" s="47"/>
      <c r="M151" s="47"/>
      <c r="N151" s="47"/>
      <c r="O151" s="47"/>
      <c r="P151" s="47"/>
      <c r="Q151" s="47"/>
    </row>
    <row r="152" spans="2:17" ht="22" customHeight="1">
      <c r="B152" s="100"/>
      <c r="C152" s="100"/>
      <c r="D152" s="100"/>
      <c r="E152" s="100"/>
      <c r="F152" s="100"/>
      <c r="G152" s="100"/>
      <c r="L152" s="47"/>
      <c r="M152" s="47"/>
      <c r="N152" s="47"/>
      <c r="O152" s="47"/>
      <c r="P152" s="47"/>
      <c r="Q152" s="47"/>
    </row>
    <row r="153" spans="2:17" ht="22" customHeight="1">
      <c r="B153" s="100"/>
      <c r="C153" s="100"/>
      <c r="D153" s="100"/>
      <c r="E153" s="100"/>
      <c r="F153" s="100"/>
      <c r="G153" s="100"/>
      <c r="L153" s="47"/>
      <c r="M153" s="47"/>
      <c r="N153" s="47"/>
      <c r="O153" s="47"/>
      <c r="P153" s="47"/>
      <c r="Q153" s="47"/>
    </row>
    <row r="154" spans="2:17" ht="22" customHeight="1">
      <c r="B154" s="100"/>
      <c r="C154" s="100"/>
      <c r="D154" s="100"/>
      <c r="E154" s="100"/>
      <c r="F154" s="100"/>
      <c r="G154" s="100"/>
      <c r="L154" s="47"/>
      <c r="M154" s="47"/>
      <c r="N154" s="47"/>
      <c r="O154" s="47"/>
      <c r="P154" s="47"/>
      <c r="Q154" s="47"/>
    </row>
    <row r="155" spans="2:17" ht="22" customHeight="1">
      <c r="B155" s="100"/>
      <c r="C155" s="100"/>
      <c r="D155" s="100"/>
      <c r="E155" s="100"/>
      <c r="F155" s="100"/>
      <c r="G155" s="100"/>
      <c r="L155" s="47"/>
      <c r="M155" s="47"/>
      <c r="N155" s="47"/>
      <c r="O155" s="47"/>
      <c r="P155" s="47"/>
      <c r="Q155" s="47"/>
    </row>
    <row r="156" spans="2:17" ht="22" customHeight="1">
      <c r="B156" s="100"/>
      <c r="C156" s="100"/>
      <c r="D156" s="100"/>
      <c r="E156" s="100"/>
      <c r="F156" s="100"/>
      <c r="G156" s="100"/>
      <c r="L156" s="47"/>
      <c r="M156" s="47"/>
      <c r="N156" s="47"/>
      <c r="O156" s="47"/>
      <c r="P156" s="47"/>
      <c r="Q156" s="47"/>
    </row>
    <row r="157" spans="2:17" ht="22" customHeight="1">
      <c r="B157" s="100"/>
      <c r="C157" s="100"/>
      <c r="D157" s="100"/>
      <c r="E157" s="100"/>
      <c r="F157" s="100"/>
      <c r="G157" s="100"/>
      <c r="L157" s="47"/>
      <c r="M157" s="47"/>
      <c r="N157" s="47"/>
      <c r="O157" s="47"/>
      <c r="P157" s="47"/>
      <c r="Q157" s="47"/>
    </row>
    <row r="158" spans="2:17" ht="22" customHeight="1">
      <c r="B158" s="100"/>
      <c r="C158" s="100"/>
      <c r="D158" s="100"/>
      <c r="E158" s="100"/>
      <c r="F158" s="100"/>
      <c r="G158" s="100"/>
      <c r="L158" s="47"/>
      <c r="M158" s="47"/>
      <c r="N158" s="47"/>
      <c r="O158" s="47"/>
      <c r="P158" s="47"/>
      <c r="Q158" s="47"/>
    </row>
    <row r="159" spans="2:17" ht="22" customHeight="1">
      <c r="B159" s="100"/>
      <c r="C159" s="100"/>
      <c r="D159" s="100"/>
      <c r="E159" s="100"/>
      <c r="F159" s="100"/>
      <c r="G159" s="100"/>
      <c r="L159" s="47"/>
      <c r="M159" s="47"/>
      <c r="N159" s="47"/>
      <c r="O159" s="47"/>
      <c r="P159" s="47"/>
      <c r="Q159" s="47"/>
    </row>
    <row r="160" spans="2:17" ht="22" customHeight="1">
      <c r="B160" s="100"/>
      <c r="C160" s="100"/>
      <c r="D160" s="100"/>
      <c r="E160" s="100"/>
      <c r="F160" s="100"/>
      <c r="G160" s="100"/>
      <c r="L160" s="47"/>
      <c r="M160" s="47"/>
      <c r="N160" s="47"/>
      <c r="O160" s="47"/>
      <c r="P160" s="47"/>
      <c r="Q160" s="47"/>
    </row>
    <row r="161" spans="2:17" ht="22" customHeight="1">
      <c r="B161" s="100"/>
      <c r="C161" s="100"/>
      <c r="D161" s="100"/>
      <c r="E161" s="100"/>
      <c r="F161" s="100"/>
      <c r="G161" s="100"/>
      <c r="L161" s="47"/>
      <c r="M161" s="47"/>
      <c r="N161" s="47"/>
      <c r="O161" s="47"/>
      <c r="P161" s="47"/>
      <c r="Q161" s="47"/>
    </row>
    <row r="162" spans="2:17" ht="22" customHeight="1">
      <c r="B162" s="100"/>
      <c r="C162" s="100"/>
      <c r="D162" s="100"/>
      <c r="E162" s="100"/>
      <c r="F162" s="100"/>
      <c r="G162" s="100"/>
      <c r="L162" s="47"/>
      <c r="M162" s="47"/>
      <c r="N162" s="47"/>
      <c r="O162" s="47"/>
      <c r="P162" s="47"/>
      <c r="Q162" s="47"/>
    </row>
    <row r="163" spans="2:17" ht="22" customHeight="1">
      <c r="B163" s="100"/>
      <c r="C163" s="100"/>
      <c r="D163" s="100"/>
      <c r="E163" s="100"/>
      <c r="F163" s="100"/>
      <c r="G163" s="100"/>
      <c r="L163" s="47"/>
      <c r="M163" s="47"/>
      <c r="N163" s="47"/>
      <c r="O163" s="47"/>
      <c r="P163" s="47"/>
      <c r="Q163" s="47"/>
    </row>
    <row r="164" spans="2:17" ht="22" customHeight="1">
      <c r="B164" s="100"/>
      <c r="C164" s="100"/>
      <c r="D164" s="100"/>
      <c r="E164" s="100"/>
      <c r="F164" s="100"/>
      <c r="G164" s="100"/>
      <c r="L164" s="47"/>
      <c r="M164" s="47"/>
      <c r="N164" s="47"/>
      <c r="O164" s="47"/>
      <c r="P164" s="47"/>
      <c r="Q164" s="47"/>
    </row>
    <row r="165" spans="2:17" ht="22" customHeight="1">
      <c r="B165" s="100"/>
      <c r="C165" s="100"/>
      <c r="D165" s="100"/>
      <c r="E165" s="100"/>
      <c r="F165" s="100"/>
      <c r="G165" s="100"/>
      <c r="L165" s="47"/>
      <c r="M165" s="47"/>
      <c r="N165" s="47"/>
      <c r="O165" s="47"/>
      <c r="P165" s="47"/>
      <c r="Q165" s="47"/>
    </row>
    <row r="166" spans="2:17" ht="22" customHeight="1">
      <c r="B166" s="100"/>
      <c r="C166" s="100"/>
      <c r="D166" s="100"/>
      <c r="E166" s="100"/>
      <c r="F166" s="100"/>
      <c r="G166" s="100"/>
      <c r="L166" s="47"/>
      <c r="M166" s="47"/>
      <c r="N166" s="47"/>
      <c r="O166" s="47"/>
      <c r="P166" s="47"/>
      <c r="Q166" s="47"/>
    </row>
    <row r="167" spans="2:17" ht="22" customHeight="1">
      <c r="B167" s="100"/>
      <c r="C167" s="100"/>
      <c r="D167" s="100"/>
      <c r="E167" s="100"/>
      <c r="F167" s="100"/>
      <c r="G167" s="100"/>
      <c r="L167" s="47"/>
      <c r="M167" s="47"/>
      <c r="N167" s="47"/>
      <c r="O167" s="47"/>
      <c r="P167" s="47"/>
      <c r="Q167" s="47"/>
    </row>
    <row r="168" spans="2:17" ht="22" customHeight="1">
      <c r="B168" s="100"/>
      <c r="C168" s="100"/>
      <c r="D168" s="100"/>
      <c r="E168" s="100"/>
      <c r="F168" s="100"/>
      <c r="G168" s="100"/>
      <c r="L168" s="47"/>
      <c r="M168" s="47"/>
      <c r="N168" s="47"/>
      <c r="O168" s="47"/>
      <c r="P168" s="47"/>
      <c r="Q168" s="47"/>
    </row>
    <row r="169" spans="2:17" ht="22" customHeight="1">
      <c r="B169" s="100"/>
      <c r="C169" s="100"/>
      <c r="D169" s="100"/>
      <c r="E169" s="100"/>
      <c r="F169" s="100"/>
      <c r="G169" s="100"/>
      <c r="L169" s="47"/>
      <c r="M169" s="47"/>
      <c r="N169" s="47"/>
      <c r="O169" s="47"/>
      <c r="P169" s="47"/>
      <c r="Q169" s="47"/>
    </row>
    <row r="170" spans="2:17" ht="22" customHeight="1">
      <c r="B170" s="100"/>
      <c r="C170" s="100"/>
      <c r="D170" s="100"/>
      <c r="E170" s="100"/>
      <c r="F170" s="100"/>
      <c r="G170" s="100"/>
      <c r="L170" s="47"/>
      <c r="M170" s="47"/>
      <c r="N170" s="47"/>
      <c r="O170" s="47"/>
      <c r="P170" s="47"/>
      <c r="Q170" s="47"/>
    </row>
    <row r="171" spans="2:17" ht="22" customHeight="1">
      <c r="B171" s="100"/>
      <c r="C171" s="100"/>
      <c r="D171" s="100"/>
      <c r="E171" s="100"/>
      <c r="F171" s="100"/>
      <c r="G171" s="100"/>
      <c r="L171" s="47"/>
      <c r="M171" s="47"/>
      <c r="N171" s="47"/>
      <c r="O171" s="47"/>
      <c r="P171" s="47"/>
      <c r="Q171" s="47"/>
    </row>
    <row r="172" spans="2:17" ht="22" customHeight="1">
      <c r="B172" s="100"/>
      <c r="C172" s="100"/>
      <c r="D172" s="100"/>
      <c r="E172" s="100"/>
      <c r="F172" s="100"/>
      <c r="G172" s="100"/>
      <c r="L172" s="47"/>
      <c r="M172" s="47"/>
      <c r="N172" s="47"/>
      <c r="O172" s="47"/>
      <c r="P172" s="47"/>
      <c r="Q172" s="47"/>
    </row>
    <row r="173" spans="2:17" ht="22" customHeight="1">
      <c r="B173" s="100"/>
      <c r="C173" s="100"/>
      <c r="D173" s="100"/>
      <c r="E173" s="100"/>
      <c r="F173" s="100"/>
      <c r="G173" s="100"/>
      <c r="L173" s="47"/>
      <c r="M173" s="47"/>
      <c r="N173" s="47"/>
      <c r="O173" s="47"/>
      <c r="P173" s="47"/>
      <c r="Q173" s="47"/>
    </row>
    <row r="174" spans="2:17" ht="22" customHeight="1">
      <c r="B174" s="100"/>
      <c r="C174" s="100"/>
      <c r="D174" s="100"/>
      <c r="E174" s="100"/>
      <c r="F174" s="100"/>
      <c r="G174" s="100"/>
      <c r="L174" s="47"/>
      <c r="M174" s="47"/>
      <c r="N174" s="47"/>
      <c r="O174" s="47"/>
      <c r="P174" s="47"/>
      <c r="Q174" s="47"/>
    </row>
    <row r="175" spans="2:17" ht="22" customHeight="1">
      <c r="B175" s="100"/>
      <c r="C175" s="100"/>
      <c r="D175" s="100"/>
      <c r="E175" s="100"/>
      <c r="F175" s="100"/>
      <c r="G175" s="100"/>
      <c r="L175" s="47"/>
      <c r="M175" s="47"/>
      <c r="N175" s="47"/>
      <c r="O175" s="47"/>
      <c r="P175" s="47"/>
      <c r="Q175" s="47"/>
    </row>
    <row r="176" spans="2:17" ht="22" customHeight="1">
      <c r="B176" s="100"/>
      <c r="C176" s="100"/>
      <c r="D176" s="100"/>
      <c r="E176" s="100"/>
      <c r="F176" s="100"/>
      <c r="G176" s="100"/>
      <c r="L176" s="47"/>
      <c r="M176" s="47"/>
      <c r="N176" s="47"/>
      <c r="O176" s="47"/>
      <c r="P176" s="47"/>
      <c r="Q176" s="47"/>
    </row>
    <row r="177" spans="2:17" ht="22" customHeight="1">
      <c r="B177" s="100"/>
      <c r="C177" s="100"/>
      <c r="D177" s="100"/>
      <c r="E177" s="100"/>
      <c r="F177" s="100"/>
      <c r="G177" s="100"/>
      <c r="L177" s="47"/>
      <c r="M177" s="47"/>
      <c r="N177" s="47"/>
      <c r="O177" s="47"/>
      <c r="P177" s="47"/>
      <c r="Q177" s="47"/>
    </row>
    <row r="178" spans="2:17" ht="22" customHeight="1">
      <c r="B178" s="100"/>
      <c r="C178" s="100"/>
      <c r="D178" s="100"/>
      <c r="E178" s="100"/>
      <c r="F178" s="100"/>
      <c r="G178" s="100"/>
      <c r="L178" s="47"/>
      <c r="M178" s="47"/>
      <c r="N178" s="47"/>
      <c r="O178" s="47"/>
      <c r="P178" s="47"/>
      <c r="Q178" s="47"/>
    </row>
    <row r="179" spans="2:17" ht="22" customHeight="1">
      <c r="B179" s="100"/>
      <c r="C179" s="100"/>
      <c r="D179" s="100"/>
      <c r="E179" s="100"/>
      <c r="F179" s="100"/>
      <c r="G179" s="100"/>
      <c r="L179" s="47"/>
      <c r="M179" s="47"/>
      <c r="N179" s="47"/>
      <c r="O179" s="47"/>
      <c r="P179" s="47"/>
      <c r="Q179" s="47"/>
    </row>
    <row r="180" spans="2:17" ht="22" customHeight="1">
      <c r="B180" s="100"/>
      <c r="C180" s="100"/>
      <c r="D180" s="100"/>
      <c r="E180" s="100"/>
      <c r="F180" s="100"/>
      <c r="G180" s="100"/>
      <c r="L180" s="47"/>
      <c r="M180" s="47"/>
      <c r="N180" s="47"/>
      <c r="O180" s="47"/>
      <c r="P180" s="47"/>
      <c r="Q180" s="47"/>
    </row>
    <row r="181" spans="2:17" ht="22" customHeight="1">
      <c r="B181" s="100"/>
      <c r="C181" s="100"/>
      <c r="D181" s="100"/>
      <c r="E181" s="100"/>
      <c r="F181" s="100"/>
      <c r="G181" s="100"/>
      <c r="L181" s="47"/>
      <c r="M181" s="47"/>
      <c r="N181" s="47"/>
      <c r="O181" s="47"/>
      <c r="P181" s="47"/>
      <c r="Q181" s="47"/>
    </row>
    <row r="182" spans="2:17" ht="22" customHeight="1">
      <c r="B182" s="100"/>
      <c r="C182" s="100"/>
      <c r="D182" s="100"/>
      <c r="E182" s="100"/>
      <c r="F182" s="100"/>
      <c r="G182" s="100"/>
      <c r="L182" s="47"/>
      <c r="M182" s="47"/>
      <c r="N182" s="47"/>
      <c r="O182" s="47"/>
      <c r="P182" s="47"/>
      <c r="Q182" s="47"/>
    </row>
    <row r="183" spans="2:17" ht="22" customHeight="1">
      <c r="B183" s="100"/>
      <c r="C183" s="100"/>
      <c r="D183" s="100"/>
      <c r="E183" s="100"/>
      <c r="F183" s="100"/>
      <c r="G183" s="100"/>
      <c r="L183" s="47"/>
      <c r="M183" s="47"/>
      <c r="N183" s="47"/>
      <c r="O183" s="47"/>
      <c r="P183" s="47"/>
      <c r="Q183" s="47"/>
    </row>
    <row r="184" spans="2:17" ht="22" customHeight="1">
      <c r="B184" s="100"/>
      <c r="C184" s="100"/>
      <c r="D184" s="100"/>
      <c r="E184" s="100"/>
      <c r="F184" s="100"/>
      <c r="G184" s="100"/>
      <c r="L184" s="47"/>
      <c r="M184" s="47"/>
      <c r="N184" s="47"/>
      <c r="O184" s="47"/>
      <c r="P184" s="47"/>
      <c r="Q184" s="47"/>
    </row>
    <row r="185" spans="2:17" ht="22" customHeight="1">
      <c r="B185" s="100"/>
      <c r="C185" s="100"/>
      <c r="D185" s="100"/>
      <c r="E185" s="100"/>
      <c r="F185" s="100"/>
      <c r="G185" s="100"/>
      <c r="L185" s="47"/>
      <c r="M185" s="47"/>
      <c r="N185" s="47"/>
      <c r="O185" s="47"/>
      <c r="P185" s="47"/>
      <c r="Q185" s="47"/>
    </row>
    <row r="186" spans="2:17" ht="22" customHeight="1">
      <c r="B186" s="100"/>
      <c r="C186" s="100"/>
      <c r="D186" s="100"/>
      <c r="E186" s="100"/>
      <c r="F186" s="100"/>
      <c r="G186" s="100"/>
      <c r="L186" s="47"/>
      <c r="M186" s="47"/>
      <c r="N186" s="47"/>
      <c r="O186" s="47"/>
      <c r="P186" s="47"/>
      <c r="Q186" s="47"/>
    </row>
    <row r="187" spans="2:17" ht="22" customHeight="1">
      <c r="B187" s="100"/>
      <c r="C187" s="100"/>
      <c r="D187" s="100"/>
      <c r="E187" s="100"/>
      <c r="F187" s="100"/>
      <c r="G187" s="100"/>
      <c r="L187" s="47"/>
      <c r="M187" s="47"/>
      <c r="N187" s="47"/>
      <c r="O187" s="47"/>
      <c r="P187" s="47"/>
      <c r="Q187" s="47"/>
    </row>
    <row r="188" spans="2:17" ht="22" customHeight="1">
      <c r="B188" s="100"/>
      <c r="C188" s="100"/>
      <c r="D188" s="100"/>
      <c r="E188" s="100"/>
      <c r="F188" s="100"/>
      <c r="G188" s="100"/>
      <c r="L188" s="47"/>
      <c r="M188" s="47"/>
      <c r="N188" s="47"/>
      <c r="O188" s="47"/>
      <c r="P188" s="47"/>
      <c r="Q188" s="47"/>
    </row>
    <row r="189" spans="2:17" ht="22" customHeight="1">
      <c r="B189" s="100"/>
      <c r="C189" s="100"/>
      <c r="D189" s="100"/>
      <c r="E189" s="100"/>
      <c r="F189" s="100"/>
      <c r="G189" s="100"/>
      <c r="L189" s="47"/>
      <c r="M189" s="47"/>
      <c r="N189" s="47"/>
      <c r="O189" s="47"/>
      <c r="P189" s="47"/>
      <c r="Q189" s="47"/>
    </row>
    <row r="190" spans="2:17" ht="22" customHeight="1">
      <c r="B190" s="100"/>
      <c r="C190" s="100"/>
      <c r="D190" s="100"/>
      <c r="E190" s="100"/>
      <c r="F190" s="100"/>
      <c r="G190" s="100"/>
      <c r="L190" s="47"/>
      <c r="M190" s="47"/>
      <c r="N190" s="47"/>
      <c r="O190" s="47"/>
      <c r="P190" s="47"/>
      <c r="Q190" s="47"/>
    </row>
    <row r="191" spans="2:17" ht="22" customHeight="1">
      <c r="B191" s="100"/>
      <c r="C191" s="100"/>
      <c r="D191" s="100"/>
      <c r="E191" s="100"/>
      <c r="F191" s="100"/>
      <c r="G191" s="100"/>
      <c r="L191" s="47"/>
      <c r="M191" s="47"/>
      <c r="N191" s="47"/>
      <c r="O191" s="47"/>
      <c r="P191" s="47"/>
      <c r="Q191" s="47"/>
    </row>
    <row r="192" spans="2:17" ht="22" customHeight="1">
      <c r="B192" s="100"/>
      <c r="C192" s="100"/>
      <c r="D192" s="100"/>
      <c r="E192" s="100"/>
      <c r="F192" s="100"/>
      <c r="G192" s="100"/>
      <c r="L192" s="47"/>
      <c r="M192" s="47"/>
      <c r="N192" s="47"/>
      <c r="O192" s="47"/>
      <c r="P192" s="47"/>
      <c r="Q192" s="47"/>
    </row>
    <row r="193" spans="2:17" ht="22" customHeight="1">
      <c r="B193" s="100"/>
      <c r="C193" s="100"/>
      <c r="D193" s="100"/>
      <c r="E193" s="100"/>
      <c r="F193" s="100"/>
      <c r="G193" s="100"/>
      <c r="L193" s="47"/>
      <c r="M193" s="47"/>
      <c r="N193" s="47"/>
      <c r="O193" s="47"/>
      <c r="P193" s="47"/>
      <c r="Q193" s="47"/>
    </row>
    <row r="194" spans="2:17" ht="22" customHeight="1">
      <c r="B194" s="100"/>
      <c r="C194" s="100"/>
      <c r="D194" s="100"/>
      <c r="E194" s="100"/>
      <c r="F194" s="100"/>
      <c r="G194" s="100"/>
      <c r="L194" s="47"/>
      <c r="M194" s="47"/>
      <c r="N194" s="47"/>
      <c r="O194" s="47"/>
      <c r="P194" s="47"/>
      <c r="Q194" s="47"/>
    </row>
    <row r="195" spans="2:17" ht="22" customHeight="1">
      <c r="B195" s="100"/>
      <c r="C195" s="100"/>
      <c r="D195" s="100"/>
      <c r="E195" s="100"/>
      <c r="F195" s="100"/>
      <c r="G195" s="100"/>
      <c r="L195" s="47"/>
      <c r="M195" s="47"/>
      <c r="N195" s="47"/>
      <c r="O195" s="47"/>
      <c r="P195" s="47"/>
      <c r="Q195" s="47"/>
    </row>
    <row r="196" spans="2:17" ht="22" customHeight="1">
      <c r="B196" s="100"/>
      <c r="C196" s="100"/>
      <c r="D196" s="100"/>
      <c r="E196" s="100"/>
      <c r="F196" s="100"/>
      <c r="G196" s="100"/>
      <c r="L196" s="47"/>
      <c r="M196" s="47"/>
      <c r="N196" s="47"/>
      <c r="O196" s="47"/>
      <c r="P196" s="47"/>
      <c r="Q196" s="47"/>
    </row>
    <row r="197" spans="2:17" ht="22" customHeight="1">
      <c r="B197" s="100"/>
      <c r="C197" s="100"/>
      <c r="D197" s="100"/>
      <c r="E197" s="100"/>
      <c r="F197" s="100"/>
      <c r="G197" s="100"/>
      <c r="L197" s="47"/>
      <c r="M197" s="47"/>
      <c r="N197" s="47"/>
      <c r="O197" s="47"/>
      <c r="P197" s="47"/>
      <c r="Q197" s="47"/>
    </row>
    <row r="198" spans="2:17" ht="22" customHeight="1">
      <c r="B198" s="100"/>
      <c r="C198" s="100"/>
      <c r="D198" s="100"/>
      <c r="E198" s="100"/>
      <c r="F198" s="100"/>
      <c r="G198" s="100"/>
      <c r="L198" s="47"/>
      <c r="M198" s="47"/>
      <c r="N198" s="47"/>
      <c r="O198" s="47"/>
      <c r="P198" s="47"/>
      <c r="Q198" s="47"/>
    </row>
    <row r="199" spans="2:17" ht="22" customHeight="1">
      <c r="B199" s="100"/>
      <c r="C199" s="100"/>
      <c r="D199" s="100"/>
      <c r="E199" s="100"/>
      <c r="F199" s="100"/>
      <c r="G199" s="100"/>
      <c r="L199" s="47"/>
      <c r="M199" s="47"/>
      <c r="N199" s="47"/>
      <c r="O199" s="47"/>
      <c r="P199" s="47"/>
      <c r="Q199" s="47"/>
    </row>
    <row r="200" spans="2:17" ht="22" customHeight="1">
      <c r="B200" s="100"/>
      <c r="C200" s="100"/>
      <c r="D200" s="100"/>
      <c r="E200" s="100"/>
      <c r="F200" s="100"/>
      <c r="G200" s="100"/>
      <c r="L200" s="47"/>
      <c r="M200" s="47"/>
      <c r="N200" s="47"/>
      <c r="O200" s="47"/>
      <c r="P200" s="47"/>
      <c r="Q200" s="47"/>
    </row>
    <row r="201" spans="2:17" ht="22" customHeight="1">
      <c r="B201" s="100"/>
      <c r="C201" s="100"/>
      <c r="D201" s="100"/>
      <c r="E201" s="100"/>
      <c r="F201" s="100"/>
      <c r="G201" s="100"/>
      <c r="L201" s="47"/>
      <c r="M201" s="47"/>
      <c r="N201" s="47"/>
      <c r="O201" s="47"/>
      <c r="P201" s="47"/>
      <c r="Q201" s="47"/>
    </row>
    <row r="202" spans="2:17" ht="22" customHeight="1">
      <c r="B202" s="100"/>
      <c r="C202" s="100"/>
      <c r="D202" s="100"/>
      <c r="E202" s="100"/>
      <c r="F202" s="100"/>
      <c r="G202" s="100"/>
      <c r="L202" s="47"/>
      <c r="M202" s="47"/>
      <c r="N202" s="47"/>
      <c r="O202" s="47"/>
      <c r="P202" s="47"/>
      <c r="Q202" s="47"/>
    </row>
    <row r="203" spans="2:17" ht="22" customHeight="1">
      <c r="B203" s="100"/>
      <c r="C203" s="100"/>
      <c r="D203" s="100"/>
      <c r="E203" s="100"/>
      <c r="F203" s="100"/>
      <c r="G203" s="100"/>
      <c r="L203" s="47"/>
      <c r="M203" s="47"/>
      <c r="N203" s="47"/>
      <c r="O203" s="47"/>
      <c r="P203" s="47"/>
      <c r="Q203" s="47"/>
    </row>
    <row r="204" spans="2:17" ht="22" customHeight="1">
      <c r="B204" s="100"/>
      <c r="C204" s="100"/>
      <c r="D204" s="100"/>
      <c r="E204" s="100"/>
      <c r="F204" s="100"/>
      <c r="G204" s="100"/>
      <c r="L204" s="47"/>
      <c r="M204" s="47"/>
      <c r="N204" s="47"/>
      <c r="O204" s="47"/>
      <c r="P204" s="47"/>
      <c r="Q204" s="47"/>
    </row>
    <row r="205" spans="2:17" ht="22" customHeight="1">
      <c r="B205" s="100"/>
      <c r="C205" s="100"/>
      <c r="D205" s="100"/>
      <c r="E205" s="100"/>
      <c r="F205" s="100"/>
      <c r="G205" s="100"/>
      <c r="L205" s="47"/>
      <c r="M205" s="47"/>
      <c r="N205" s="47"/>
      <c r="O205" s="47"/>
      <c r="P205" s="47"/>
      <c r="Q205" s="47"/>
    </row>
    <row r="206" spans="2:17" ht="22" customHeight="1">
      <c r="B206" s="100"/>
      <c r="C206" s="100"/>
      <c r="D206" s="100"/>
      <c r="E206" s="100"/>
      <c r="F206" s="100"/>
      <c r="G206" s="100"/>
      <c r="L206" s="47"/>
      <c r="M206" s="47"/>
      <c r="N206" s="47"/>
      <c r="O206" s="47"/>
      <c r="P206" s="47"/>
      <c r="Q206" s="47"/>
    </row>
    <row r="207" spans="2:17" ht="22" customHeight="1">
      <c r="B207" s="100"/>
      <c r="C207" s="100"/>
      <c r="D207" s="100"/>
      <c r="E207" s="100"/>
      <c r="F207" s="100"/>
      <c r="G207" s="100"/>
      <c r="L207" s="47"/>
      <c r="M207" s="47"/>
      <c r="N207" s="47"/>
      <c r="O207" s="47"/>
      <c r="P207" s="47"/>
      <c r="Q207" s="47"/>
    </row>
    <row r="208" spans="2:17" ht="22" customHeight="1">
      <c r="B208" s="100"/>
      <c r="C208" s="100"/>
      <c r="D208" s="100"/>
      <c r="E208" s="100"/>
      <c r="F208" s="100"/>
      <c r="G208" s="100"/>
      <c r="L208" s="47"/>
      <c r="M208" s="47"/>
      <c r="N208" s="47"/>
      <c r="O208" s="47"/>
      <c r="P208" s="47"/>
      <c r="Q208" s="47"/>
    </row>
    <row r="209" spans="2:17" ht="22" customHeight="1">
      <c r="B209" s="100"/>
      <c r="C209" s="100"/>
      <c r="D209" s="100"/>
      <c r="E209" s="100"/>
      <c r="F209" s="100"/>
      <c r="G209" s="100"/>
      <c r="L209" s="47"/>
      <c r="M209" s="47"/>
      <c r="N209" s="47"/>
      <c r="O209" s="47"/>
      <c r="P209" s="47"/>
      <c r="Q209" s="47"/>
    </row>
    <row r="210" spans="2:17" ht="22" customHeight="1">
      <c r="B210" s="100"/>
      <c r="C210" s="100"/>
      <c r="D210" s="100"/>
      <c r="E210" s="100"/>
      <c r="F210" s="100"/>
      <c r="G210" s="100"/>
      <c r="L210" s="47"/>
      <c r="M210" s="47"/>
      <c r="N210" s="47"/>
      <c r="O210" s="47"/>
      <c r="P210" s="47"/>
      <c r="Q210" s="47"/>
    </row>
    <row r="211" spans="2:17" ht="22" customHeight="1">
      <c r="B211" s="100"/>
      <c r="C211" s="100"/>
      <c r="D211" s="100"/>
      <c r="E211" s="100"/>
      <c r="F211" s="100"/>
      <c r="G211" s="100"/>
      <c r="L211" s="47"/>
      <c r="M211" s="47"/>
      <c r="N211" s="47"/>
      <c r="O211" s="47"/>
      <c r="P211" s="47"/>
      <c r="Q211" s="47"/>
    </row>
    <row r="212" spans="2:17" ht="22" customHeight="1">
      <c r="B212" s="100"/>
      <c r="C212" s="100"/>
      <c r="D212" s="100"/>
      <c r="E212" s="100"/>
      <c r="F212" s="100"/>
      <c r="G212" s="100"/>
      <c r="L212" s="47"/>
      <c r="M212" s="47"/>
      <c r="N212" s="47"/>
      <c r="O212" s="47"/>
      <c r="P212" s="47"/>
      <c r="Q212" s="47"/>
    </row>
    <row r="213" spans="2:17" ht="22" customHeight="1">
      <c r="B213" s="100"/>
      <c r="C213" s="100"/>
      <c r="D213" s="100"/>
      <c r="E213" s="100"/>
      <c r="F213" s="100"/>
      <c r="G213" s="100"/>
      <c r="L213" s="47"/>
      <c r="M213" s="47"/>
      <c r="N213" s="47"/>
      <c r="O213" s="47"/>
      <c r="P213" s="47"/>
      <c r="Q213" s="47"/>
    </row>
    <row r="214" spans="2:17" ht="22" customHeight="1">
      <c r="B214" s="100"/>
      <c r="C214" s="100"/>
      <c r="D214" s="100"/>
      <c r="E214" s="100"/>
      <c r="F214" s="100"/>
      <c r="G214" s="100"/>
      <c r="L214" s="47"/>
      <c r="M214" s="47"/>
      <c r="N214" s="47"/>
      <c r="O214" s="47"/>
      <c r="P214" s="47"/>
      <c r="Q214" s="47"/>
    </row>
    <row r="215" spans="2:17" ht="22" customHeight="1">
      <c r="B215" s="100"/>
      <c r="C215" s="100"/>
      <c r="D215" s="100"/>
      <c r="E215" s="100"/>
      <c r="F215" s="100"/>
      <c r="G215" s="100"/>
      <c r="L215" s="47"/>
      <c r="M215" s="47"/>
      <c r="N215" s="47"/>
      <c r="O215" s="47"/>
      <c r="P215" s="47"/>
      <c r="Q215" s="47"/>
    </row>
    <row r="216" spans="2:17" ht="22" customHeight="1">
      <c r="B216" s="100"/>
      <c r="C216" s="100"/>
      <c r="D216" s="100"/>
      <c r="E216" s="100"/>
      <c r="F216" s="100"/>
      <c r="G216" s="100"/>
      <c r="L216" s="47"/>
      <c r="M216" s="47"/>
      <c r="N216" s="47"/>
      <c r="O216" s="47"/>
      <c r="P216" s="47"/>
      <c r="Q216" s="47"/>
    </row>
    <row r="217" spans="2:17" ht="22" customHeight="1">
      <c r="B217" s="100"/>
      <c r="C217" s="100"/>
      <c r="D217" s="100"/>
      <c r="E217" s="100"/>
      <c r="F217" s="100"/>
      <c r="G217" s="100"/>
      <c r="L217" s="47"/>
      <c r="M217" s="47"/>
      <c r="N217" s="47"/>
      <c r="O217" s="47"/>
      <c r="P217" s="47"/>
      <c r="Q217" s="47"/>
    </row>
    <row r="218" spans="2:17" ht="22" customHeight="1">
      <c r="B218" s="100"/>
      <c r="C218" s="100"/>
      <c r="D218" s="100"/>
      <c r="E218" s="100"/>
      <c r="F218" s="100"/>
      <c r="G218" s="100"/>
      <c r="L218" s="47"/>
      <c r="M218" s="47"/>
      <c r="N218" s="47"/>
      <c r="O218" s="47"/>
      <c r="P218" s="47"/>
      <c r="Q218" s="47"/>
    </row>
    <row r="219" spans="2:17" ht="22" customHeight="1">
      <c r="B219" s="100"/>
      <c r="C219" s="100"/>
      <c r="D219" s="100"/>
      <c r="E219" s="100"/>
      <c r="F219" s="100"/>
      <c r="G219" s="100"/>
      <c r="L219" s="47"/>
      <c r="M219" s="47"/>
      <c r="N219" s="47"/>
      <c r="O219" s="47"/>
      <c r="P219" s="47"/>
      <c r="Q219" s="47"/>
    </row>
    <row r="220" spans="2:17" ht="22" customHeight="1">
      <c r="B220" s="100"/>
      <c r="C220" s="100"/>
      <c r="D220" s="100"/>
      <c r="E220" s="100"/>
      <c r="F220" s="100"/>
      <c r="G220" s="100"/>
      <c r="L220" s="47"/>
      <c r="M220" s="47"/>
      <c r="N220" s="47"/>
      <c r="O220" s="47"/>
      <c r="P220" s="47"/>
      <c r="Q220" s="47"/>
    </row>
    <row r="221" spans="2:17" ht="22" customHeight="1">
      <c r="B221" s="100"/>
      <c r="C221" s="100"/>
      <c r="D221" s="100"/>
      <c r="E221" s="100"/>
      <c r="F221" s="100"/>
      <c r="G221" s="100"/>
      <c r="L221" s="47"/>
      <c r="M221" s="47"/>
      <c r="N221" s="47"/>
      <c r="O221" s="47"/>
      <c r="P221" s="47"/>
      <c r="Q221" s="47"/>
    </row>
    <row r="222" spans="2:17" ht="22" customHeight="1">
      <c r="B222" s="100"/>
      <c r="C222" s="100"/>
      <c r="D222" s="100"/>
      <c r="E222" s="100"/>
      <c r="F222" s="100"/>
      <c r="G222" s="100"/>
      <c r="L222" s="47"/>
      <c r="M222" s="47"/>
      <c r="N222" s="47"/>
      <c r="O222" s="47"/>
      <c r="P222" s="47"/>
      <c r="Q222" s="47"/>
    </row>
    <row r="223" spans="2:17" ht="22" customHeight="1">
      <c r="B223" s="100"/>
      <c r="C223" s="100"/>
      <c r="D223" s="100"/>
      <c r="E223" s="100"/>
      <c r="F223" s="100"/>
      <c r="G223" s="100"/>
      <c r="L223" s="47"/>
      <c r="M223" s="47"/>
      <c r="N223" s="47"/>
      <c r="O223" s="47"/>
      <c r="P223" s="47"/>
      <c r="Q223" s="47"/>
    </row>
    <row r="224" spans="2:17" ht="22" customHeight="1">
      <c r="B224" s="100"/>
      <c r="C224" s="100"/>
      <c r="D224" s="100"/>
      <c r="E224" s="100"/>
      <c r="F224" s="100"/>
      <c r="G224" s="100"/>
      <c r="L224" s="47"/>
      <c r="M224" s="47"/>
      <c r="N224" s="47"/>
      <c r="O224" s="47"/>
      <c r="P224" s="47"/>
      <c r="Q224" s="47"/>
    </row>
    <row r="225" spans="2:17" ht="22" customHeight="1">
      <c r="B225" s="100"/>
      <c r="C225" s="100"/>
      <c r="D225" s="100"/>
      <c r="E225" s="100"/>
      <c r="F225" s="100"/>
      <c r="G225" s="100"/>
      <c r="L225" s="47"/>
      <c r="M225" s="47"/>
      <c r="N225" s="47"/>
      <c r="O225" s="47"/>
      <c r="P225" s="47"/>
      <c r="Q225" s="47"/>
    </row>
    <row r="226" spans="2:17" ht="22" customHeight="1">
      <c r="B226" s="100"/>
      <c r="C226" s="100"/>
      <c r="D226" s="100"/>
      <c r="E226" s="100"/>
      <c r="F226" s="100"/>
      <c r="G226" s="100"/>
      <c r="L226" s="47"/>
      <c r="M226" s="47"/>
      <c r="N226" s="47"/>
      <c r="O226" s="47"/>
      <c r="P226" s="47"/>
      <c r="Q226" s="47"/>
    </row>
    <row r="227" spans="2:17" ht="22" customHeight="1">
      <c r="B227" s="100"/>
      <c r="C227" s="100"/>
      <c r="D227" s="100"/>
      <c r="E227" s="100"/>
      <c r="F227" s="100"/>
      <c r="G227" s="100"/>
      <c r="L227" s="47"/>
      <c r="M227" s="47"/>
      <c r="N227" s="47"/>
      <c r="O227" s="47"/>
      <c r="P227" s="47"/>
      <c r="Q227" s="47"/>
    </row>
    <row r="228" spans="2:17" ht="22" customHeight="1">
      <c r="B228" s="100"/>
      <c r="C228" s="100"/>
      <c r="D228" s="100"/>
      <c r="E228" s="100"/>
      <c r="F228" s="100"/>
      <c r="G228" s="100"/>
      <c r="L228" s="47"/>
      <c r="M228" s="47"/>
      <c r="N228" s="47"/>
      <c r="O228" s="47"/>
      <c r="P228" s="47"/>
      <c r="Q228" s="47"/>
    </row>
    <row r="229" spans="2:17" ht="22" customHeight="1">
      <c r="B229" s="100"/>
      <c r="C229" s="100"/>
      <c r="D229" s="100"/>
      <c r="E229" s="100"/>
      <c r="F229" s="100"/>
      <c r="G229" s="100"/>
      <c r="L229" s="47"/>
      <c r="M229" s="47"/>
      <c r="N229" s="47"/>
      <c r="O229" s="47"/>
      <c r="P229" s="47"/>
      <c r="Q229" s="47"/>
    </row>
    <row r="230" spans="2:17" ht="22" customHeight="1">
      <c r="B230" s="100"/>
      <c r="C230" s="100"/>
      <c r="D230" s="100"/>
      <c r="E230" s="100"/>
      <c r="F230" s="100"/>
      <c r="G230" s="100"/>
      <c r="L230" s="47"/>
      <c r="M230" s="47"/>
      <c r="N230" s="47"/>
      <c r="O230" s="47"/>
      <c r="P230" s="47"/>
      <c r="Q230" s="47"/>
    </row>
    <row r="231" spans="2:17" ht="22" customHeight="1">
      <c r="B231" s="100"/>
      <c r="C231" s="100"/>
      <c r="D231" s="100"/>
      <c r="E231" s="100"/>
      <c r="F231" s="100"/>
      <c r="G231" s="100"/>
      <c r="L231" s="47"/>
      <c r="M231" s="47"/>
      <c r="N231" s="47"/>
      <c r="O231" s="47"/>
      <c r="P231" s="47"/>
      <c r="Q231" s="47"/>
    </row>
    <row r="232" spans="2:17" ht="22" customHeight="1">
      <c r="B232" s="100"/>
      <c r="C232" s="100"/>
      <c r="D232" s="100"/>
      <c r="E232" s="100"/>
      <c r="F232" s="100"/>
      <c r="G232" s="100"/>
      <c r="L232" s="47"/>
      <c r="M232" s="47"/>
      <c r="N232" s="47"/>
      <c r="O232" s="47"/>
      <c r="P232" s="47"/>
      <c r="Q232" s="47"/>
    </row>
    <row r="233" spans="2:17" ht="22" customHeight="1">
      <c r="B233" s="100"/>
      <c r="C233" s="100"/>
      <c r="D233" s="100"/>
      <c r="E233" s="100"/>
      <c r="F233" s="100"/>
      <c r="G233" s="100"/>
      <c r="L233" s="47"/>
      <c r="M233" s="47"/>
      <c r="N233" s="47"/>
      <c r="O233" s="47"/>
      <c r="P233" s="47"/>
      <c r="Q233" s="47"/>
    </row>
    <row r="234" spans="2:17" ht="22" customHeight="1">
      <c r="B234" s="100"/>
      <c r="C234" s="100"/>
      <c r="D234" s="100"/>
      <c r="E234" s="100"/>
      <c r="F234" s="100"/>
      <c r="G234" s="100"/>
      <c r="L234" s="47"/>
      <c r="M234" s="47"/>
      <c r="N234" s="47"/>
      <c r="O234" s="47"/>
      <c r="P234" s="47"/>
      <c r="Q234" s="47"/>
    </row>
    <row r="235" spans="2:17" ht="22" customHeight="1">
      <c r="B235" s="100"/>
      <c r="C235" s="100"/>
      <c r="D235" s="100"/>
      <c r="E235" s="100"/>
      <c r="F235" s="100"/>
      <c r="G235" s="100"/>
      <c r="L235" s="47"/>
      <c r="M235" s="47"/>
      <c r="N235" s="47"/>
      <c r="O235" s="47"/>
      <c r="P235" s="47"/>
      <c r="Q235" s="47"/>
    </row>
    <row r="236" spans="2:17" ht="22" customHeight="1">
      <c r="B236" s="100"/>
      <c r="C236" s="100"/>
      <c r="D236" s="100"/>
      <c r="E236" s="100"/>
      <c r="F236" s="100"/>
      <c r="G236" s="100"/>
      <c r="L236" s="47"/>
      <c r="M236" s="47"/>
      <c r="N236" s="47"/>
      <c r="O236" s="47"/>
      <c r="P236" s="47"/>
      <c r="Q236" s="47"/>
    </row>
    <row r="237" spans="2:17" ht="22" customHeight="1">
      <c r="B237" s="100"/>
      <c r="C237" s="100"/>
      <c r="D237" s="100"/>
      <c r="E237" s="100"/>
      <c r="F237" s="100"/>
      <c r="G237" s="100"/>
      <c r="L237" s="47"/>
      <c r="M237" s="47"/>
      <c r="N237" s="47"/>
      <c r="O237" s="47"/>
      <c r="P237" s="47"/>
      <c r="Q237" s="47"/>
    </row>
    <row r="238" spans="2:17" ht="22" customHeight="1">
      <c r="B238" s="100"/>
      <c r="C238" s="100"/>
      <c r="D238" s="100"/>
      <c r="E238" s="100"/>
      <c r="F238" s="100"/>
      <c r="G238" s="100"/>
      <c r="L238" s="47"/>
      <c r="M238" s="47"/>
      <c r="N238" s="47"/>
      <c r="O238" s="47"/>
      <c r="P238" s="47"/>
      <c r="Q238" s="47"/>
    </row>
    <row r="239" spans="2:17" ht="22" customHeight="1">
      <c r="B239" s="100"/>
      <c r="C239" s="100"/>
      <c r="D239" s="100"/>
      <c r="E239" s="100"/>
      <c r="F239" s="100"/>
      <c r="G239" s="100"/>
      <c r="L239" s="47"/>
      <c r="M239" s="47"/>
      <c r="N239" s="47"/>
      <c r="O239" s="47"/>
      <c r="P239" s="47"/>
      <c r="Q239" s="47"/>
    </row>
    <row r="240" spans="2:17" ht="22" customHeight="1">
      <c r="B240" s="100"/>
      <c r="C240" s="100"/>
      <c r="D240" s="100"/>
      <c r="E240" s="100"/>
      <c r="F240" s="100"/>
      <c r="G240" s="100"/>
      <c r="L240" s="47"/>
      <c r="M240" s="47"/>
      <c r="N240" s="47"/>
      <c r="O240" s="47"/>
      <c r="P240" s="47"/>
      <c r="Q240" s="47"/>
    </row>
    <row r="241" spans="2:17" ht="22" customHeight="1">
      <c r="B241" s="100"/>
      <c r="C241" s="100"/>
      <c r="D241" s="100"/>
      <c r="E241" s="100"/>
      <c r="F241" s="100"/>
      <c r="G241" s="100"/>
      <c r="L241" s="47"/>
      <c r="M241" s="47"/>
      <c r="N241" s="47"/>
      <c r="O241" s="47"/>
      <c r="P241" s="47"/>
      <c r="Q241" s="47"/>
    </row>
    <row r="242" spans="2:17" ht="22" customHeight="1">
      <c r="B242" s="100"/>
      <c r="C242" s="100"/>
      <c r="D242" s="100"/>
      <c r="E242" s="100"/>
      <c r="F242" s="100"/>
      <c r="G242" s="100"/>
      <c r="L242" s="47"/>
      <c r="M242" s="47"/>
      <c r="N242" s="47"/>
      <c r="O242" s="47"/>
      <c r="P242" s="47"/>
      <c r="Q242" s="47"/>
    </row>
    <row r="243" spans="2:17" ht="22" customHeight="1">
      <c r="B243" s="100"/>
      <c r="C243" s="100"/>
      <c r="D243" s="100"/>
      <c r="E243" s="100"/>
      <c r="F243" s="100"/>
      <c r="G243" s="100"/>
      <c r="L243" s="47"/>
      <c r="M243" s="47"/>
      <c r="N243" s="47"/>
      <c r="O243" s="47"/>
      <c r="P243" s="47"/>
      <c r="Q243" s="47"/>
    </row>
    <row r="244" spans="2:17" ht="22" customHeight="1">
      <c r="B244" s="100"/>
      <c r="C244" s="100"/>
      <c r="D244" s="100"/>
      <c r="E244" s="100"/>
      <c r="F244" s="100"/>
      <c r="G244" s="100"/>
      <c r="L244" s="47"/>
      <c r="M244" s="47"/>
      <c r="N244" s="47"/>
      <c r="O244" s="47"/>
      <c r="P244" s="47"/>
      <c r="Q244" s="47"/>
    </row>
    <row r="245" spans="2:17" ht="22" customHeight="1">
      <c r="B245" s="100"/>
      <c r="C245" s="100"/>
      <c r="D245" s="100"/>
      <c r="E245" s="100"/>
      <c r="F245" s="100"/>
      <c r="G245" s="100"/>
      <c r="L245" s="47"/>
      <c r="M245" s="47"/>
      <c r="N245" s="47"/>
      <c r="O245" s="47"/>
      <c r="P245" s="47"/>
      <c r="Q245" s="47"/>
    </row>
    <row r="246" spans="2:17" ht="22" customHeight="1">
      <c r="B246" s="100"/>
      <c r="C246" s="100"/>
      <c r="D246" s="100"/>
      <c r="E246" s="100"/>
      <c r="F246" s="100"/>
      <c r="G246" s="100"/>
      <c r="L246" s="47"/>
      <c r="M246" s="47"/>
      <c r="N246" s="47"/>
      <c r="O246" s="47"/>
      <c r="P246" s="47"/>
      <c r="Q246" s="47"/>
    </row>
    <row r="247" spans="2:17" ht="22" customHeight="1">
      <c r="B247" s="100"/>
      <c r="C247" s="100"/>
      <c r="D247" s="100"/>
      <c r="E247" s="100"/>
      <c r="F247" s="100"/>
      <c r="G247" s="100"/>
      <c r="L247" s="47"/>
      <c r="M247" s="47"/>
      <c r="N247" s="47"/>
      <c r="O247" s="47"/>
      <c r="P247" s="47"/>
      <c r="Q247" s="47"/>
    </row>
    <row r="248" spans="2:17" ht="22" customHeight="1">
      <c r="B248" s="100"/>
      <c r="C248" s="100"/>
      <c r="D248" s="100"/>
      <c r="E248" s="100"/>
      <c r="F248" s="100"/>
      <c r="G248" s="100"/>
      <c r="L248" s="47"/>
      <c r="M248" s="47"/>
      <c r="N248" s="47"/>
      <c r="O248" s="47"/>
      <c r="P248" s="47"/>
      <c r="Q248" s="47"/>
    </row>
    <row r="249" spans="2:17" ht="22" customHeight="1">
      <c r="B249" s="100"/>
      <c r="C249" s="100"/>
      <c r="D249" s="100"/>
      <c r="E249" s="100"/>
      <c r="F249" s="100"/>
      <c r="G249" s="100"/>
      <c r="L249" s="47"/>
      <c r="M249" s="47"/>
      <c r="N249" s="47"/>
      <c r="O249" s="47"/>
      <c r="P249" s="47"/>
      <c r="Q249" s="47"/>
    </row>
    <row r="250" spans="2:17" ht="22" customHeight="1">
      <c r="B250" s="100"/>
      <c r="C250" s="100"/>
      <c r="D250" s="100"/>
      <c r="E250" s="100"/>
      <c r="F250" s="100"/>
      <c r="G250" s="100"/>
      <c r="L250" s="47"/>
      <c r="M250" s="47"/>
      <c r="N250" s="47"/>
      <c r="O250" s="47"/>
      <c r="P250" s="47"/>
      <c r="Q250" s="47"/>
    </row>
    <row r="251" spans="2:17" ht="22" customHeight="1">
      <c r="B251" s="100"/>
      <c r="C251" s="100"/>
      <c r="D251" s="100"/>
      <c r="E251" s="100"/>
      <c r="F251" s="100"/>
      <c r="G251" s="100"/>
      <c r="L251" s="47"/>
      <c r="M251" s="47"/>
      <c r="N251" s="47"/>
      <c r="O251" s="47"/>
      <c r="P251" s="47"/>
      <c r="Q251" s="47"/>
    </row>
    <row r="252" spans="2:17" ht="22" customHeight="1">
      <c r="B252" s="100"/>
      <c r="C252" s="100"/>
      <c r="D252" s="100"/>
      <c r="E252" s="100"/>
      <c r="F252" s="100"/>
      <c r="G252" s="100"/>
      <c r="L252" s="47"/>
      <c r="M252" s="47"/>
      <c r="N252" s="47"/>
      <c r="O252" s="47"/>
      <c r="P252" s="47"/>
      <c r="Q252" s="47"/>
    </row>
    <row r="253" spans="2:17" ht="22" customHeight="1">
      <c r="B253" s="100"/>
      <c r="C253" s="100"/>
      <c r="D253" s="100"/>
      <c r="E253" s="100"/>
      <c r="F253" s="100"/>
      <c r="G253" s="100"/>
      <c r="L253" s="47"/>
      <c r="M253" s="47"/>
      <c r="N253" s="47"/>
      <c r="O253" s="47"/>
      <c r="P253" s="47"/>
      <c r="Q253" s="47"/>
    </row>
    <row r="254" spans="2:17" ht="22" customHeight="1">
      <c r="B254" s="100"/>
      <c r="C254" s="100"/>
      <c r="D254" s="100"/>
      <c r="E254" s="100"/>
      <c r="F254" s="100"/>
      <c r="G254" s="100"/>
      <c r="L254" s="47"/>
      <c r="M254" s="47"/>
      <c r="N254" s="47"/>
      <c r="O254" s="47"/>
      <c r="P254" s="47"/>
      <c r="Q254" s="47"/>
    </row>
    <row r="255" spans="2:17" ht="22" customHeight="1">
      <c r="B255" s="100"/>
      <c r="C255" s="100"/>
      <c r="D255" s="100"/>
      <c r="E255" s="100"/>
      <c r="F255" s="100"/>
      <c r="G255" s="100"/>
      <c r="L255" s="47"/>
      <c r="M255" s="47"/>
      <c r="N255" s="47"/>
      <c r="O255" s="47"/>
      <c r="P255" s="47"/>
      <c r="Q255" s="47"/>
    </row>
    <row r="256" spans="2:17" ht="22" customHeight="1">
      <c r="B256" s="100"/>
      <c r="C256" s="100"/>
      <c r="D256" s="100"/>
      <c r="E256" s="100"/>
      <c r="F256" s="100"/>
      <c r="G256" s="100"/>
      <c r="L256" s="47"/>
      <c r="M256" s="47"/>
      <c r="N256" s="47"/>
      <c r="O256" s="47"/>
      <c r="P256" s="47"/>
      <c r="Q256" s="47"/>
    </row>
    <row r="257" spans="2:17" ht="22" customHeight="1">
      <c r="B257" s="100"/>
      <c r="C257" s="100"/>
      <c r="D257" s="100"/>
      <c r="E257" s="100"/>
      <c r="F257" s="100"/>
      <c r="G257" s="100"/>
      <c r="L257" s="47"/>
      <c r="M257" s="47"/>
      <c r="N257" s="47"/>
      <c r="O257" s="47"/>
      <c r="P257" s="47"/>
      <c r="Q257" s="47"/>
    </row>
    <row r="258" spans="2:17" ht="22" customHeight="1">
      <c r="B258" s="100"/>
      <c r="C258" s="100"/>
      <c r="D258" s="100"/>
      <c r="E258" s="100"/>
      <c r="F258" s="100"/>
      <c r="G258" s="100"/>
      <c r="L258" s="47"/>
      <c r="M258" s="47"/>
      <c r="N258" s="47"/>
      <c r="O258" s="47"/>
      <c r="P258" s="47"/>
      <c r="Q258" s="47"/>
    </row>
    <row r="259" spans="2:17" ht="22" customHeight="1">
      <c r="B259" s="100"/>
      <c r="C259" s="100"/>
      <c r="D259" s="100"/>
      <c r="E259" s="100"/>
      <c r="F259" s="100"/>
      <c r="G259" s="100"/>
      <c r="L259" s="47"/>
      <c r="M259" s="47"/>
      <c r="N259" s="47"/>
      <c r="O259" s="47"/>
      <c r="P259" s="47"/>
      <c r="Q259" s="47"/>
    </row>
    <row r="260" spans="2:17" ht="22" customHeight="1">
      <c r="B260" s="100"/>
      <c r="C260" s="100"/>
      <c r="D260" s="100"/>
      <c r="E260" s="100"/>
      <c r="F260" s="100"/>
      <c r="G260" s="100"/>
      <c r="L260" s="47"/>
      <c r="M260" s="47"/>
      <c r="N260" s="47"/>
      <c r="O260" s="47"/>
      <c r="P260" s="47"/>
      <c r="Q260" s="47"/>
    </row>
    <row r="261" spans="2:17" ht="22" customHeight="1">
      <c r="B261" s="100"/>
      <c r="C261" s="100"/>
      <c r="D261" s="100"/>
      <c r="E261" s="100"/>
      <c r="F261" s="100"/>
      <c r="G261" s="100"/>
      <c r="L261" s="47"/>
      <c r="M261" s="47"/>
      <c r="N261" s="47"/>
      <c r="O261" s="47"/>
      <c r="P261" s="47"/>
      <c r="Q261" s="47"/>
    </row>
    <row r="262" spans="2:17" ht="22" customHeight="1">
      <c r="B262" s="100"/>
      <c r="C262" s="100"/>
      <c r="D262" s="100"/>
      <c r="E262" s="100"/>
      <c r="F262" s="100"/>
      <c r="G262" s="100"/>
      <c r="L262" s="47"/>
      <c r="M262" s="47"/>
      <c r="N262" s="47"/>
      <c r="O262" s="47"/>
      <c r="P262" s="47"/>
      <c r="Q262" s="47"/>
    </row>
    <row r="263" spans="2:17" ht="22" customHeight="1">
      <c r="B263" s="100"/>
      <c r="C263" s="100"/>
      <c r="D263" s="100"/>
      <c r="E263" s="100"/>
      <c r="F263" s="100"/>
      <c r="G263" s="100"/>
      <c r="L263" s="47"/>
      <c r="M263" s="47"/>
      <c r="N263" s="47"/>
      <c r="O263" s="47"/>
      <c r="P263" s="47"/>
      <c r="Q263" s="47"/>
    </row>
    <row r="264" spans="2:17" ht="22" customHeight="1">
      <c r="B264" s="100"/>
      <c r="C264" s="100"/>
      <c r="D264" s="100"/>
      <c r="E264" s="100"/>
      <c r="F264" s="100"/>
      <c r="G264" s="100"/>
      <c r="L264" s="47"/>
      <c r="M264" s="47"/>
      <c r="N264" s="47"/>
      <c r="O264" s="47"/>
      <c r="P264" s="47"/>
      <c r="Q264" s="47"/>
    </row>
    <row r="265" spans="2:17" ht="22" customHeight="1">
      <c r="B265" s="100"/>
      <c r="C265" s="100"/>
      <c r="D265" s="100"/>
      <c r="E265" s="100"/>
      <c r="F265" s="100"/>
      <c r="G265" s="100"/>
      <c r="L265" s="47"/>
      <c r="M265" s="47"/>
      <c r="N265" s="47"/>
      <c r="O265" s="47"/>
      <c r="P265" s="47"/>
      <c r="Q265" s="47"/>
    </row>
    <row r="266" spans="2:17" ht="22" customHeight="1">
      <c r="B266" s="100"/>
      <c r="C266" s="100"/>
      <c r="D266" s="100"/>
      <c r="E266" s="100"/>
      <c r="F266" s="100"/>
      <c r="G266" s="100"/>
      <c r="L266" s="47"/>
      <c r="M266" s="47"/>
      <c r="N266" s="47"/>
      <c r="O266" s="47"/>
      <c r="P266" s="47"/>
      <c r="Q266" s="47"/>
    </row>
    <row r="267" spans="2:17" ht="22" customHeight="1">
      <c r="B267" s="100"/>
      <c r="C267" s="100"/>
      <c r="D267" s="100"/>
      <c r="E267" s="100"/>
      <c r="F267" s="100"/>
      <c r="G267" s="100"/>
      <c r="L267" s="47"/>
      <c r="M267" s="47"/>
      <c r="N267" s="47"/>
      <c r="O267" s="47"/>
      <c r="P267" s="47"/>
      <c r="Q267" s="47"/>
    </row>
    <row r="268" spans="2:17" ht="22" customHeight="1">
      <c r="B268" s="100"/>
      <c r="C268" s="100"/>
      <c r="D268" s="100"/>
      <c r="E268" s="100"/>
      <c r="F268" s="100"/>
      <c r="G268" s="100"/>
      <c r="L268" s="47"/>
      <c r="M268" s="47"/>
      <c r="N268" s="47"/>
      <c r="O268" s="47"/>
      <c r="P268" s="47"/>
      <c r="Q268" s="47"/>
    </row>
    <row r="269" spans="2:17" ht="22" customHeight="1">
      <c r="B269" s="100"/>
      <c r="C269" s="100"/>
      <c r="D269" s="100"/>
      <c r="E269" s="100"/>
      <c r="F269" s="100"/>
      <c r="G269" s="100"/>
      <c r="L269" s="47"/>
      <c r="M269" s="47"/>
      <c r="N269" s="47"/>
      <c r="O269" s="47"/>
      <c r="P269" s="47"/>
      <c r="Q269" s="47"/>
    </row>
    <row r="270" spans="2:17" ht="22" customHeight="1">
      <c r="B270" s="100"/>
      <c r="C270" s="100"/>
      <c r="D270" s="100"/>
      <c r="E270" s="100"/>
      <c r="F270" s="100"/>
      <c r="G270" s="100"/>
      <c r="L270" s="47"/>
      <c r="M270" s="47"/>
      <c r="N270" s="47"/>
      <c r="O270" s="47"/>
      <c r="P270" s="47"/>
      <c r="Q270" s="47"/>
    </row>
    <row r="271" spans="2:17" ht="22" customHeight="1">
      <c r="B271" s="100"/>
      <c r="C271" s="100"/>
      <c r="D271" s="100"/>
      <c r="E271" s="100"/>
      <c r="F271" s="100"/>
      <c r="G271" s="100"/>
      <c r="L271" s="47"/>
      <c r="M271" s="47"/>
      <c r="N271" s="47"/>
      <c r="O271" s="47"/>
      <c r="P271" s="47"/>
      <c r="Q271" s="47"/>
    </row>
    <row r="272" spans="2:17" ht="22" customHeight="1">
      <c r="B272" s="100"/>
      <c r="C272" s="100"/>
      <c r="D272" s="100"/>
      <c r="E272" s="100"/>
      <c r="F272" s="100"/>
      <c r="G272" s="100"/>
      <c r="L272" s="47"/>
      <c r="M272" s="47"/>
      <c r="N272" s="47"/>
      <c r="O272" s="47"/>
      <c r="P272" s="47"/>
      <c r="Q272" s="47"/>
    </row>
    <row r="273" spans="2:17" ht="22" customHeight="1">
      <c r="B273" s="100"/>
      <c r="C273" s="100"/>
      <c r="D273" s="100"/>
      <c r="E273" s="100"/>
      <c r="F273" s="100"/>
      <c r="G273" s="100"/>
      <c r="L273" s="47"/>
      <c r="M273" s="47"/>
      <c r="N273" s="47"/>
      <c r="O273" s="47"/>
      <c r="P273" s="47"/>
      <c r="Q273" s="47"/>
    </row>
    <row r="274" spans="2:17" ht="22" customHeight="1">
      <c r="B274" s="100"/>
      <c r="C274" s="100"/>
      <c r="D274" s="100"/>
      <c r="E274" s="100"/>
      <c r="F274" s="100"/>
      <c r="G274" s="100"/>
      <c r="L274" s="47"/>
      <c r="M274" s="47"/>
      <c r="N274" s="47"/>
      <c r="O274" s="47"/>
      <c r="P274" s="47"/>
      <c r="Q274" s="47"/>
    </row>
    <row r="275" spans="2:17" ht="22" customHeight="1">
      <c r="B275" s="100"/>
      <c r="C275" s="100"/>
      <c r="D275" s="100"/>
      <c r="E275" s="100"/>
      <c r="F275" s="100"/>
      <c r="G275" s="100"/>
      <c r="L275" s="47"/>
      <c r="M275" s="47"/>
      <c r="N275" s="47"/>
      <c r="O275" s="47"/>
      <c r="P275" s="47"/>
      <c r="Q275" s="47"/>
    </row>
    <row r="276" spans="2:17" ht="22" customHeight="1">
      <c r="B276" s="100"/>
      <c r="C276" s="100"/>
      <c r="D276" s="100"/>
      <c r="E276" s="100"/>
      <c r="F276" s="100"/>
      <c r="G276" s="100"/>
      <c r="L276" s="47"/>
      <c r="M276" s="47"/>
      <c r="N276" s="47"/>
      <c r="O276" s="47"/>
      <c r="P276" s="47"/>
      <c r="Q276" s="47"/>
    </row>
    <row r="277" spans="2:17" ht="22" customHeight="1">
      <c r="B277" s="100"/>
      <c r="C277" s="100"/>
      <c r="D277" s="100"/>
      <c r="E277" s="100"/>
      <c r="F277" s="100"/>
      <c r="G277" s="100"/>
      <c r="L277" s="47"/>
      <c r="M277" s="47"/>
      <c r="N277" s="47"/>
      <c r="O277" s="47"/>
      <c r="P277" s="47"/>
      <c r="Q277" s="47"/>
    </row>
    <row r="278" spans="2:17" ht="22" customHeight="1">
      <c r="B278" s="100"/>
      <c r="C278" s="100"/>
      <c r="D278" s="100"/>
      <c r="E278" s="100"/>
      <c r="F278" s="100"/>
      <c r="G278" s="100"/>
      <c r="L278" s="47"/>
      <c r="M278" s="47"/>
      <c r="N278" s="47"/>
      <c r="O278" s="47"/>
      <c r="P278" s="47"/>
      <c r="Q278" s="47"/>
    </row>
    <row r="279" spans="2:17" ht="22" customHeight="1">
      <c r="B279" s="100"/>
      <c r="C279" s="100"/>
      <c r="D279" s="100"/>
      <c r="E279" s="100"/>
      <c r="F279" s="100"/>
      <c r="G279" s="100"/>
      <c r="L279" s="47"/>
      <c r="M279" s="47"/>
      <c r="N279" s="47"/>
      <c r="O279" s="47"/>
      <c r="P279" s="47"/>
      <c r="Q279" s="47"/>
    </row>
    <row r="280" spans="2:17" ht="22" customHeight="1">
      <c r="B280" s="100"/>
      <c r="C280" s="100"/>
      <c r="D280" s="100"/>
      <c r="E280" s="100"/>
      <c r="F280" s="100"/>
      <c r="G280" s="100"/>
      <c r="L280" s="47"/>
      <c r="M280" s="47"/>
      <c r="N280" s="47"/>
      <c r="O280" s="47"/>
      <c r="P280" s="47"/>
      <c r="Q280" s="47"/>
    </row>
    <row r="281" spans="2:17" ht="22" customHeight="1">
      <c r="B281" s="100"/>
      <c r="C281" s="100"/>
      <c r="D281" s="100"/>
      <c r="E281" s="100"/>
      <c r="F281" s="100"/>
      <c r="G281" s="100"/>
      <c r="L281" s="47"/>
      <c r="M281" s="47"/>
      <c r="N281" s="47"/>
      <c r="O281" s="47"/>
      <c r="P281" s="47"/>
      <c r="Q281" s="47"/>
    </row>
    <row r="282" spans="2:17" ht="22" customHeight="1">
      <c r="B282" s="100"/>
      <c r="C282" s="100"/>
      <c r="D282" s="100"/>
      <c r="E282" s="100"/>
      <c r="F282" s="100"/>
      <c r="G282" s="100"/>
      <c r="L282" s="47"/>
      <c r="M282" s="47"/>
      <c r="N282" s="47"/>
      <c r="O282" s="47"/>
      <c r="P282" s="47"/>
      <c r="Q282" s="47"/>
    </row>
    <row r="283" spans="2:17" ht="22" customHeight="1">
      <c r="B283" s="100"/>
      <c r="C283" s="100"/>
      <c r="D283" s="100"/>
      <c r="E283" s="100"/>
      <c r="F283" s="100"/>
      <c r="G283" s="100"/>
      <c r="L283" s="47"/>
      <c r="M283" s="47"/>
      <c r="N283" s="47"/>
      <c r="O283" s="47"/>
      <c r="P283" s="47"/>
      <c r="Q283" s="47"/>
    </row>
    <row r="284" spans="2:17" ht="22" customHeight="1">
      <c r="B284" s="100"/>
      <c r="C284" s="100"/>
      <c r="D284" s="100"/>
      <c r="E284" s="100"/>
      <c r="F284" s="100"/>
      <c r="G284" s="100"/>
      <c r="L284" s="47"/>
      <c r="M284" s="47"/>
      <c r="N284" s="47"/>
      <c r="O284" s="47"/>
      <c r="P284" s="47"/>
      <c r="Q284" s="47"/>
    </row>
    <row r="285" spans="2:17" ht="22" customHeight="1">
      <c r="B285" s="100"/>
      <c r="C285" s="100"/>
      <c r="D285" s="100"/>
      <c r="E285" s="100"/>
      <c r="F285" s="100"/>
      <c r="G285" s="100"/>
      <c r="L285" s="47"/>
      <c r="M285" s="47"/>
      <c r="N285" s="47"/>
      <c r="O285" s="47"/>
      <c r="P285" s="47"/>
      <c r="Q285" s="47"/>
    </row>
    <row r="286" spans="2:17" ht="22" customHeight="1">
      <c r="B286" s="100"/>
      <c r="C286" s="100"/>
      <c r="D286" s="100"/>
      <c r="E286" s="100"/>
      <c r="F286" s="100"/>
      <c r="G286" s="100"/>
      <c r="L286" s="47"/>
      <c r="M286" s="47"/>
      <c r="N286" s="47"/>
      <c r="O286" s="47"/>
      <c r="P286" s="47"/>
      <c r="Q286" s="47"/>
    </row>
    <row r="287" spans="2:17" ht="22" customHeight="1">
      <c r="B287" s="100"/>
      <c r="C287" s="100"/>
      <c r="D287" s="100"/>
      <c r="E287" s="100"/>
      <c r="F287" s="100"/>
      <c r="G287" s="100"/>
      <c r="L287" s="47"/>
      <c r="M287" s="47"/>
      <c r="N287" s="47"/>
      <c r="O287" s="47"/>
      <c r="P287" s="47"/>
      <c r="Q287" s="47"/>
    </row>
    <row r="288" spans="2:17" ht="22" customHeight="1">
      <c r="B288" s="100"/>
      <c r="C288" s="100"/>
      <c r="D288" s="100"/>
      <c r="E288" s="100"/>
      <c r="F288" s="100"/>
      <c r="G288" s="100"/>
      <c r="L288" s="47"/>
      <c r="M288" s="47"/>
      <c r="N288" s="47"/>
      <c r="O288" s="47"/>
      <c r="P288" s="47"/>
      <c r="Q288" s="47"/>
    </row>
    <row r="289" spans="2:17" ht="22" customHeight="1">
      <c r="B289" s="100"/>
      <c r="C289" s="100"/>
      <c r="D289" s="100"/>
      <c r="E289" s="100"/>
      <c r="F289" s="100"/>
      <c r="G289" s="100"/>
      <c r="L289" s="47"/>
      <c r="M289" s="47"/>
      <c r="N289" s="47"/>
      <c r="O289" s="47"/>
      <c r="P289" s="47"/>
      <c r="Q289" s="47"/>
    </row>
    <row r="290" spans="2:17" ht="22" customHeight="1">
      <c r="B290" s="100"/>
      <c r="C290" s="100"/>
      <c r="D290" s="100"/>
      <c r="E290" s="100"/>
      <c r="F290" s="100"/>
      <c r="G290" s="100"/>
      <c r="L290" s="47"/>
      <c r="M290" s="47"/>
      <c r="N290" s="47"/>
      <c r="O290" s="47"/>
      <c r="P290" s="47"/>
      <c r="Q290" s="47"/>
    </row>
    <row r="291" spans="2:17" ht="22" customHeight="1">
      <c r="B291" s="100"/>
      <c r="C291" s="100"/>
      <c r="D291" s="100"/>
      <c r="E291" s="100"/>
      <c r="F291" s="100"/>
      <c r="G291" s="100"/>
      <c r="L291" s="47"/>
      <c r="M291" s="47"/>
      <c r="N291" s="47"/>
      <c r="O291" s="47"/>
      <c r="P291" s="47"/>
      <c r="Q291" s="47"/>
    </row>
    <row r="292" spans="2:17" ht="22" customHeight="1">
      <c r="B292" s="100"/>
      <c r="C292" s="100"/>
      <c r="D292" s="100"/>
      <c r="E292" s="100"/>
      <c r="F292" s="100"/>
      <c r="G292" s="100"/>
      <c r="L292" s="47"/>
      <c r="M292" s="47"/>
      <c r="N292" s="47"/>
      <c r="O292" s="47"/>
      <c r="P292" s="47"/>
      <c r="Q292" s="47"/>
    </row>
    <row r="293" spans="2:17" ht="22" customHeight="1">
      <c r="B293" s="100"/>
      <c r="C293" s="100"/>
      <c r="D293" s="100"/>
      <c r="E293" s="100"/>
      <c r="F293" s="100"/>
      <c r="G293" s="100"/>
      <c r="L293" s="47"/>
      <c r="M293" s="47"/>
      <c r="N293" s="47"/>
      <c r="O293" s="47"/>
      <c r="P293" s="47"/>
      <c r="Q293" s="47"/>
    </row>
    <row r="294" spans="2:17" ht="22" customHeight="1">
      <c r="B294" s="100"/>
      <c r="C294" s="100"/>
      <c r="D294" s="100"/>
      <c r="E294" s="100"/>
      <c r="F294" s="100"/>
      <c r="G294" s="100"/>
      <c r="L294" s="47"/>
      <c r="M294" s="47"/>
      <c r="N294" s="47"/>
      <c r="O294" s="47"/>
      <c r="P294" s="47"/>
      <c r="Q294" s="47"/>
    </row>
    <row r="295" spans="2:17" ht="22" customHeight="1">
      <c r="B295" s="100"/>
      <c r="C295" s="100"/>
      <c r="D295" s="100"/>
      <c r="E295" s="100"/>
      <c r="F295" s="100"/>
      <c r="G295" s="100"/>
      <c r="L295" s="47"/>
      <c r="M295" s="47"/>
      <c r="N295" s="47"/>
      <c r="O295" s="47"/>
      <c r="P295" s="47"/>
      <c r="Q295" s="47"/>
    </row>
    <row r="296" spans="2:17" ht="22" customHeight="1">
      <c r="B296" s="100"/>
      <c r="C296" s="100"/>
      <c r="D296" s="100"/>
      <c r="E296" s="100"/>
      <c r="F296" s="100"/>
      <c r="G296" s="100"/>
      <c r="L296" s="47"/>
      <c r="M296" s="47"/>
      <c r="N296" s="47"/>
      <c r="O296" s="47"/>
      <c r="P296" s="47"/>
      <c r="Q296" s="47"/>
    </row>
    <row r="297" spans="2:17" ht="22" customHeight="1">
      <c r="B297" s="100"/>
      <c r="C297" s="100"/>
      <c r="D297" s="100"/>
      <c r="E297" s="100"/>
      <c r="F297" s="100"/>
      <c r="G297" s="100"/>
      <c r="L297" s="47"/>
      <c r="M297" s="47"/>
      <c r="N297" s="47"/>
      <c r="O297" s="47"/>
      <c r="P297" s="47"/>
      <c r="Q297" s="47"/>
    </row>
    <row r="298" spans="2:17" ht="22" customHeight="1">
      <c r="B298" s="100"/>
      <c r="C298" s="100"/>
      <c r="D298" s="100"/>
      <c r="E298" s="100"/>
      <c r="F298" s="100"/>
      <c r="G298" s="100"/>
      <c r="L298" s="47"/>
      <c r="M298" s="47"/>
      <c r="N298" s="47"/>
      <c r="O298" s="47"/>
      <c r="P298" s="47"/>
      <c r="Q298" s="47"/>
    </row>
    <row r="299" spans="2:17" ht="22" customHeight="1">
      <c r="B299" s="100"/>
      <c r="C299" s="100"/>
      <c r="D299" s="100"/>
      <c r="E299" s="100"/>
      <c r="F299" s="100"/>
      <c r="G299" s="100"/>
      <c r="L299" s="47"/>
      <c r="M299" s="47"/>
      <c r="N299" s="47"/>
      <c r="O299" s="47"/>
      <c r="P299" s="47"/>
      <c r="Q299" s="47"/>
    </row>
    <row r="300" spans="2:17" ht="22" customHeight="1">
      <c r="B300" s="100"/>
      <c r="C300" s="100"/>
      <c r="D300" s="100"/>
      <c r="E300" s="100"/>
      <c r="F300" s="100"/>
      <c r="G300" s="100"/>
      <c r="L300" s="47"/>
      <c r="M300" s="47"/>
      <c r="N300" s="47"/>
      <c r="O300" s="47"/>
      <c r="P300" s="47"/>
      <c r="Q300" s="47"/>
    </row>
    <row r="301" spans="2:17" ht="22" customHeight="1">
      <c r="B301" s="100"/>
      <c r="C301" s="100"/>
      <c r="D301" s="100"/>
      <c r="E301" s="100"/>
      <c r="F301" s="100"/>
      <c r="G301" s="100"/>
      <c r="L301" s="47"/>
      <c r="M301" s="47"/>
      <c r="N301" s="47"/>
      <c r="O301" s="47"/>
      <c r="P301" s="47"/>
      <c r="Q301" s="47"/>
    </row>
    <row r="302" spans="2:17" ht="22" customHeight="1">
      <c r="B302" s="100"/>
      <c r="C302" s="100"/>
      <c r="D302" s="100"/>
      <c r="E302" s="100"/>
      <c r="F302" s="100"/>
      <c r="G302" s="100"/>
      <c r="L302" s="47"/>
      <c r="M302" s="47"/>
      <c r="N302" s="47"/>
      <c r="O302" s="47"/>
      <c r="P302" s="47"/>
      <c r="Q302" s="47"/>
    </row>
    <row r="303" spans="2:17" ht="22" customHeight="1">
      <c r="B303" s="100"/>
      <c r="C303" s="100"/>
      <c r="D303" s="100"/>
      <c r="E303" s="100"/>
      <c r="F303" s="100"/>
      <c r="G303" s="100"/>
      <c r="L303" s="47"/>
      <c r="M303" s="47"/>
      <c r="N303" s="47"/>
      <c r="O303" s="47"/>
      <c r="P303" s="47"/>
      <c r="Q303" s="47"/>
    </row>
    <row r="304" spans="2:17" ht="22" customHeight="1">
      <c r="B304" s="100"/>
      <c r="C304" s="100"/>
      <c r="D304" s="100"/>
      <c r="E304" s="100"/>
      <c r="F304" s="100"/>
      <c r="G304" s="100"/>
      <c r="L304" s="47"/>
      <c r="M304" s="47"/>
      <c r="N304" s="47"/>
      <c r="O304" s="47"/>
      <c r="P304" s="47"/>
      <c r="Q304" s="47"/>
    </row>
    <row r="305" spans="2:17" ht="22" customHeight="1">
      <c r="B305" s="100"/>
      <c r="C305" s="100"/>
      <c r="D305" s="100"/>
      <c r="E305" s="100"/>
      <c r="F305" s="100"/>
      <c r="G305" s="100"/>
      <c r="L305" s="47"/>
      <c r="M305" s="47"/>
      <c r="N305" s="47"/>
      <c r="O305" s="47"/>
      <c r="P305" s="47"/>
      <c r="Q305" s="47"/>
    </row>
    <row r="306" spans="2:17" ht="22" customHeight="1">
      <c r="B306" s="100"/>
      <c r="C306" s="100"/>
      <c r="D306" s="100"/>
      <c r="E306" s="100"/>
      <c r="F306" s="100"/>
      <c r="G306" s="100"/>
      <c r="L306" s="47"/>
      <c r="M306" s="47"/>
      <c r="N306" s="47"/>
      <c r="O306" s="47"/>
      <c r="P306" s="47"/>
      <c r="Q306" s="47"/>
    </row>
    <row r="307" spans="2:17" ht="22" customHeight="1">
      <c r="B307" s="100"/>
      <c r="C307" s="100"/>
      <c r="D307" s="100"/>
      <c r="E307" s="100"/>
      <c r="F307" s="100"/>
      <c r="G307" s="100"/>
      <c r="L307" s="47"/>
      <c r="M307" s="47"/>
      <c r="N307" s="47"/>
      <c r="O307" s="47"/>
      <c r="P307" s="47"/>
      <c r="Q307" s="47"/>
    </row>
    <row r="308" spans="2:17" ht="22" customHeight="1">
      <c r="B308" s="100"/>
      <c r="C308" s="100"/>
      <c r="D308" s="100"/>
      <c r="E308" s="100"/>
      <c r="F308" s="100"/>
      <c r="G308" s="100"/>
      <c r="L308" s="47"/>
      <c r="M308" s="47"/>
      <c r="N308" s="47"/>
      <c r="O308" s="47"/>
      <c r="P308" s="47"/>
      <c r="Q308" s="47"/>
    </row>
    <row r="309" spans="2:17" ht="22" customHeight="1">
      <c r="B309" s="100"/>
      <c r="C309" s="100"/>
      <c r="D309" s="100"/>
      <c r="E309" s="100"/>
      <c r="F309" s="100"/>
      <c r="G309" s="100"/>
      <c r="L309" s="47"/>
      <c r="M309" s="47"/>
      <c r="N309" s="47"/>
      <c r="O309" s="47"/>
      <c r="P309" s="47"/>
      <c r="Q309" s="47"/>
    </row>
    <row r="310" spans="2:17" ht="22" customHeight="1">
      <c r="B310" s="100"/>
      <c r="C310" s="100"/>
      <c r="D310" s="100"/>
      <c r="E310" s="100"/>
      <c r="F310" s="100"/>
      <c r="G310" s="100"/>
      <c r="L310" s="47"/>
      <c r="M310" s="47"/>
      <c r="N310" s="47"/>
      <c r="O310" s="47"/>
      <c r="P310" s="47"/>
      <c r="Q310" s="47"/>
    </row>
    <row r="311" spans="2:17" ht="22" customHeight="1">
      <c r="B311" s="100"/>
      <c r="C311" s="100"/>
      <c r="D311" s="100"/>
      <c r="E311" s="100"/>
      <c r="F311" s="100"/>
      <c r="G311" s="100"/>
      <c r="L311" s="47"/>
      <c r="M311" s="47"/>
      <c r="N311" s="47"/>
      <c r="O311" s="47"/>
      <c r="P311" s="47"/>
      <c r="Q311" s="47"/>
    </row>
    <row r="312" spans="2:17" ht="22" customHeight="1">
      <c r="B312" s="100"/>
      <c r="C312" s="100"/>
      <c r="D312" s="100"/>
      <c r="E312" s="100"/>
      <c r="F312" s="100"/>
      <c r="G312" s="100"/>
      <c r="L312" s="47"/>
      <c r="M312" s="47"/>
      <c r="N312" s="47"/>
      <c r="O312" s="47"/>
      <c r="P312" s="47"/>
      <c r="Q312" s="47"/>
    </row>
    <row r="313" spans="2:17" ht="22" customHeight="1">
      <c r="B313" s="100"/>
      <c r="C313" s="100"/>
      <c r="D313" s="100"/>
      <c r="E313" s="100"/>
      <c r="F313" s="100"/>
      <c r="G313" s="100"/>
      <c r="L313" s="47"/>
      <c r="M313" s="47"/>
      <c r="N313" s="47"/>
      <c r="O313" s="47"/>
      <c r="P313" s="47"/>
      <c r="Q313" s="47"/>
    </row>
    <row r="314" spans="2:17" ht="22" customHeight="1">
      <c r="B314" s="100"/>
      <c r="C314" s="100"/>
      <c r="D314" s="100"/>
      <c r="E314" s="100"/>
      <c r="F314" s="100"/>
      <c r="G314" s="100"/>
      <c r="L314" s="47"/>
      <c r="M314" s="47"/>
      <c r="N314" s="47"/>
      <c r="O314" s="47"/>
      <c r="P314" s="47"/>
      <c r="Q314" s="47"/>
    </row>
    <row r="315" spans="2:17" ht="22" customHeight="1">
      <c r="B315" s="100"/>
      <c r="C315" s="100"/>
      <c r="D315" s="100"/>
      <c r="E315" s="100"/>
      <c r="F315" s="100"/>
      <c r="G315" s="100"/>
      <c r="L315" s="47"/>
      <c r="M315" s="47"/>
      <c r="N315" s="47"/>
      <c r="O315" s="47"/>
      <c r="P315" s="47"/>
      <c r="Q315" s="47"/>
    </row>
    <row r="316" spans="2:17" ht="22" customHeight="1">
      <c r="B316" s="100"/>
      <c r="C316" s="100"/>
      <c r="D316" s="100"/>
      <c r="E316" s="100"/>
      <c r="F316" s="100"/>
      <c r="G316" s="100"/>
      <c r="L316" s="47"/>
      <c r="M316" s="47"/>
      <c r="N316" s="47"/>
      <c r="O316" s="47"/>
      <c r="P316" s="47"/>
      <c r="Q316" s="47"/>
    </row>
    <row r="317" spans="2:17" ht="22" customHeight="1">
      <c r="B317" s="100"/>
      <c r="C317" s="100"/>
      <c r="D317" s="100"/>
      <c r="E317" s="100"/>
      <c r="F317" s="100"/>
      <c r="G317" s="100"/>
      <c r="L317" s="47"/>
      <c r="M317" s="47"/>
      <c r="N317" s="47"/>
      <c r="O317" s="47"/>
      <c r="P317" s="47"/>
      <c r="Q317" s="47"/>
    </row>
    <row r="318" spans="2:17" ht="22" customHeight="1">
      <c r="B318" s="100"/>
      <c r="C318" s="100"/>
      <c r="D318" s="100"/>
      <c r="E318" s="100"/>
      <c r="F318" s="100"/>
      <c r="G318" s="100"/>
      <c r="L318" s="47"/>
      <c r="M318" s="47"/>
      <c r="N318" s="47"/>
      <c r="O318" s="47"/>
      <c r="P318" s="47"/>
      <c r="Q318" s="47"/>
    </row>
    <row r="319" spans="2:17" ht="22" customHeight="1">
      <c r="B319" s="100"/>
      <c r="C319" s="100"/>
      <c r="D319" s="100"/>
      <c r="E319" s="100"/>
      <c r="F319" s="100"/>
      <c r="G319" s="100"/>
      <c r="L319" s="47"/>
      <c r="M319" s="47"/>
      <c r="N319" s="47"/>
      <c r="O319" s="47"/>
      <c r="P319" s="47"/>
      <c r="Q319" s="47"/>
    </row>
    <row r="320" spans="2:17" ht="22" customHeight="1">
      <c r="B320" s="100"/>
      <c r="C320" s="100"/>
      <c r="D320" s="100"/>
      <c r="E320" s="100"/>
      <c r="F320" s="100"/>
      <c r="G320" s="100"/>
      <c r="L320" s="47"/>
      <c r="M320" s="47"/>
      <c r="N320" s="47"/>
      <c r="O320" s="47"/>
      <c r="P320" s="47"/>
      <c r="Q320" s="47"/>
    </row>
    <row r="321" spans="2:17" ht="22" customHeight="1">
      <c r="B321" s="100"/>
      <c r="C321" s="100"/>
      <c r="D321" s="100"/>
      <c r="E321" s="100"/>
      <c r="F321" s="100"/>
      <c r="G321" s="100"/>
      <c r="L321" s="47"/>
      <c r="M321" s="47"/>
      <c r="N321" s="47"/>
      <c r="O321" s="47"/>
      <c r="P321" s="47"/>
      <c r="Q321" s="47"/>
    </row>
    <row r="322" spans="2:17" ht="22" customHeight="1">
      <c r="B322" s="100"/>
      <c r="C322" s="100"/>
      <c r="D322" s="100"/>
      <c r="E322" s="100"/>
      <c r="F322" s="100"/>
      <c r="G322" s="100"/>
      <c r="L322" s="47"/>
      <c r="M322" s="47"/>
      <c r="N322" s="47"/>
      <c r="O322" s="47"/>
      <c r="P322" s="47"/>
      <c r="Q322" s="47"/>
    </row>
    <row r="323" spans="2:17" ht="22" customHeight="1">
      <c r="B323" s="100"/>
      <c r="C323" s="100"/>
      <c r="D323" s="100"/>
      <c r="E323" s="100"/>
      <c r="F323" s="100"/>
      <c r="G323" s="100"/>
      <c r="L323" s="47"/>
      <c r="M323" s="47"/>
      <c r="N323" s="47"/>
      <c r="O323" s="47"/>
      <c r="P323" s="47"/>
      <c r="Q323" s="47"/>
    </row>
    <row r="324" spans="2:17" ht="22" customHeight="1">
      <c r="B324" s="100"/>
      <c r="C324" s="100"/>
      <c r="D324" s="100"/>
      <c r="E324" s="100"/>
      <c r="F324" s="100"/>
      <c r="G324" s="100"/>
      <c r="L324" s="47"/>
      <c r="M324" s="47"/>
      <c r="N324" s="47"/>
      <c r="O324" s="47"/>
      <c r="P324" s="47"/>
      <c r="Q324" s="47"/>
    </row>
    <row r="325" spans="2:17" ht="22" customHeight="1">
      <c r="B325" s="100"/>
      <c r="C325" s="100"/>
      <c r="D325" s="100"/>
      <c r="E325" s="100"/>
      <c r="F325" s="100"/>
      <c r="G325" s="100"/>
      <c r="L325" s="47"/>
      <c r="M325" s="47"/>
      <c r="N325" s="47"/>
      <c r="O325" s="47"/>
      <c r="P325" s="47"/>
      <c r="Q325" s="47"/>
    </row>
    <row r="326" spans="2:17" ht="22" customHeight="1">
      <c r="B326" s="100"/>
      <c r="C326" s="100"/>
      <c r="D326" s="100"/>
      <c r="E326" s="100"/>
      <c r="F326" s="100"/>
      <c r="G326" s="100"/>
      <c r="L326" s="47"/>
      <c r="M326" s="47"/>
      <c r="N326" s="47"/>
      <c r="O326" s="47"/>
      <c r="P326" s="47"/>
      <c r="Q326" s="47"/>
    </row>
    <row r="327" spans="2:17" ht="22" customHeight="1">
      <c r="B327" s="100"/>
      <c r="C327" s="100"/>
      <c r="D327" s="100"/>
      <c r="E327" s="100"/>
      <c r="F327" s="100"/>
      <c r="G327" s="100"/>
      <c r="L327" s="47"/>
      <c r="M327" s="47"/>
      <c r="N327" s="47"/>
      <c r="O327" s="47"/>
      <c r="P327" s="47"/>
      <c r="Q327" s="47"/>
    </row>
    <row r="328" spans="2:17" ht="22" customHeight="1">
      <c r="B328" s="100"/>
      <c r="C328" s="100"/>
      <c r="D328" s="100"/>
      <c r="E328" s="100"/>
      <c r="F328" s="100"/>
      <c r="G328" s="100"/>
      <c r="L328" s="47"/>
      <c r="M328" s="47"/>
      <c r="N328" s="47"/>
      <c r="O328" s="47"/>
      <c r="P328" s="47"/>
      <c r="Q328" s="47"/>
    </row>
    <row r="329" spans="2:17" ht="22" customHeight="1">
      <c r="B329" s="100"/>
      <c r="C329" s="100"/>
      <c r="D329" s="100"/>
      <c r="E329" s="100"/>
      <c r="F329" s="100"/>
      <c r="G329" s="100"/>
      <c r="L329" s="47"/>
      <c r="M329" s="47"/>
      <c r="N329" s="47"/>
      <c r="O329" s="47"/>
      <c r="P329" s="47"/>
      <c r="Q329" s="47"/>
    </row>
    <row r="330" spans="2:17" ht="22" customHeight="1">
      <c r="B330" s="100"/>
      <c r="C330" s="100"/>
      <c r="D330" s="100"/>
      <c r="E330" s="100"/>
      <c r="F330" s="100"/>
      <c r="G330" s="100"/>
      <c r="L330" s="47"/>
      <c r="M330" s="47"/>
      <c r="N330" s="47"/>
      <c r="O330" s="47"/>
      <c r="P330" s="47"/>
      <c r="Q330" s="47"/>
    </row>
    <row r="331" spans="2:17" ht="22" customHeight="1">
      <c r="B331" s="100"/>
      <c r="C331" s="100"/>
      <c r="D331" s="100"/>
      <c r="E331" s="100"/>
      <c r="F331" s="100"/>
      <c r="G331" s="100"/>
      <c r="L331" s="47"/>
      <c r="M331" s="47"/>
      <c r="N331" s="47"/>
      <c r="O331" s="47"/>
      <c r="P331" s="47"/>
      <c r="Q331" s="47"/>
    </row>
    <row r="332" spans="2:17" ht="22" customHeight="1">
      <c r="B332" s="100"/>
      <c r="C332" s="100"/>
      <c r="D332" s="100"/>
      <c r="E332" s="100"/>
      <c r="F332" s="100"/>
      <c r="G332" s="100"/>
      <c r="L332" s="47"/>
      <c r="M332" s="47"/>
      <c r="N332" s="47"/>
      <c r="O332" s="47"/>
      <c r="P332" s="47"/>
      <c r="Q332" s="47"/>
    </row>
    <row r="333" spans="2:17" ht="22" customHeight="1">
      <c r="B333" s="100"/>
      <c r="C333" s="100"/>
      <c r="D333" s="100"/>
      <c r="E333" s="100"/>
      <c r="F333" s="100"/>
      <c r="G333" s="100"/>
      <c r="L333" s="47"/>
      <c r="M333" s="47"/>
      <c r="N333" s="47"/>
      <c r="O333" s="47"/>
      <c r="P333" s="47"/>
      <c r="Q333" s="47"/>
    </row>
    <row r="334" spans="2:17" ht="22" customHeight="1">
      <c r="B334" s="100"/>
      <c r="C334" s="100"/>
      <c r="D334" s="100"/>
      <c r="E334" s="100"/>
      <c r="F334" s="100"/>
      <c r="G334" s="100"/>
      <c r="L334" s="47"/>
      <c r="M334" s="47"/>
      <c r="N334" s="47"/>
      <c r="O334" s="47"/>
      <c r="P334" s="47"/>
      <c r="Q334" s="47"/>
    </row>
    <row r="335" spans="2:17" ht="22" customHeight="1">
      <c r="B335" s="100"/>
      <c r="C335" s="100"/>
      <c r="D335" s="100"/>
      <c r="E335" s="100"/>
      <c r="F335" s="100"/>
      <c r="G335" s="100"/>
      <c r="L335" s="47"/>
      <c r="M335" s="47"/>
      <c r="N335" s="47"/>
      <c r="O335" s="47"/>
      <c r="P335" s="47"/>
      <c r="Q335" s="47"/>
    </row>
    <row r="336" spans="2:17" ht="22" customHeight="1">
      <c r="B336" s="100"/>
      <c r="C336" s="100"/>
      <c r="D336" s="100"/>
      <c r="E336" s="100"/>
      <c r="F336" s="100"/>
      <c r="G336" s="100"/>
      <c r="L336" s="47"/>
      <c r="M336" s="47"/>
      <c r="N336" s="47"/>
      <c r="O336" s="47"/>
      <c r="P336" s="47"/>
      <c r="Q336" s="47"/>
    </row>
    <row r="337" spans="2:17" ht="22" customHeight="1">
      <c r="B337" s="100"/>
      <c r="C337" s="100"/>
      <c r="D337" s="100"/>
      <c r="E337" s="100"/>
      <c r="F337" s="100"/>
      <c r="G337" s="100"/>
      <c r="L337" s="47"/>
      <c r="M337" s="47"/>
      <c r="N337" s="47"/>
      <c r="O337" s="47"/>
      <c r="P337" s="47"/>
      <c r="Q337" s="47"/>
    </row>
    <row r="338" spans="2:17" ht="22" customHeight="1">
      <c r="B338" s="100"/>
      <c r="C338" s="100"/>
      <c r="D338" s="100"/>
      <c r="E338" s="100"/>
      <c r="F338" s="100"/>
      <c r="G338" s="100"/>
      <c r="L338" s="47"/>
      <c r="M338" s="47"/>
      <c r="N338" s="47"/>
      <c r="O338" s="47"/>
      <c r="P338" s="47"/>
      <c r="Q338" s="47"/>
    </row>
    <row r="339" spans="2:17" ht="22" customHeight="1">
      <c r="B339" s="100"/>
      <c r="C339" s="100"/>
      <c r="D339" s="100"/>
      <c r="E339" s="100"/>
      <c r="F339" s="100"/>
      <c r="G339" s="100"/>
      <c r="L339" s="47"/>
      <c r="M339" s="47"/>
      <c r="N339" s="47"/>
      <c r="O339" s="47"/>
      <c r="P339" s="47"/>
      <c r="Q339" s="47"/>
    </row>
    <row r="340" spans="2:17" ht="22" customHeight="1">
      <c r="B340" s="100"/>
      <c r="C340" s="100"/>
      <c r="D340" s="100"/>
      <c r="E340" s="100"/>
      <c r="F340" s="100"/>
      <c r="G340" s="100"/>
      <c r="L340" s="47"/>
      <c r="M340" s="47"/>
      <c r="N340" s="47"/>
      <c r="O340" s="47"/>
      <c r="P340" s="47"/>
      <c r="Q340" s="47"/>
    </row>
    <row r="341" spans="2:17" ht="22" customHeight="1">
      <c r="B341" s="100"/>
      <c r="C341" s="100"/>
      <c r="D341" s="100"/>
      <c r="E341" s="100"/>
      <c r="F341" s="100"/>
      <c r="G341" s="100"/>
      <c r="L341" s="47"/>
      <c r="M341" s="47"/>
      <c r="N341" s="47"/>
      <c r="O341" s="47"/>
      <c r="P341" s="47"/>
      <c r="Q341" s="47"/>
    </row>
    <row r="342" spans="2:17" ht="22" customHeight="1">
      <c r="B342" s="100"/>
      <c r="C342" s="100"/>
      <c r="D342" s="100"/>
      <c r="E342" s="100"/>
      <c r="F342" s="100"/>
      <c r="G342" s="100"/>
      <c r="L342" s="47"/>
      <c r="M342" s="47"/>
      <c r="N342" s="47"/>
      <c r="O342" s="47"/>
      <c r="P342" s="47"/>
      <c r="Q342" s="47"/>
    </row>
    <row r="343" spans="2:17" ht="22" customHeight="1">
      <c r="B343" s="100"/>
      <c r="C343" s="100"/>
      <c r="D343" s="100"/>
      <c r="E343" s="100"/>
      <c r="F343" s="100"/>
      <c r="G343" s="100"/>
      <c r="L343" s="47"/>
      <c r="M343" s="47"/>
      <c r="N343" s="47"/>
      <c r="O343" s="47"/>
      <c r="P343" s="47"/>
      <c r="Q343" s="47"/>
    </row>
    <row r="344" spans="2:17" ht="22" customHeight="1">
      <c r="B344" s="100"/>
      <c r="C344" s="100"/>
      <c r="D344" s="100"/>
      <c r="E344" s="100"/>
      <c r="F344" s="100"/>
      <c r="G344" s="100"/>
      <c r="L344" s="47"/>
      <c r="M344" s="47"/>
      <c r="N344" s="47"/>
      <c r="O344" s="47"/>
      <c r="P344" s="47"/>
      <c r="Q344" s="47"/>
    </row>
    <row r="345" spans="2:17" ht="22" customHeight="1">
      <c r="B345" s="100"/>
      <c r="C345" s="100"/>
      <c r="D345" s="100"/>
      <c r="E345" s="100"/>
      <c r="F345" s="100"/>
      <c r="G345" s="100"/>
      <c r="L345" s="47"/>
      <c r="M345" s="47"/>
      <c r="N345" s="47"/>
      <c r="O345" s="47"/>
      <c r="P345" s="47"/>
      <c r="Q345" s="47"/>
    </row>
    <row r="346" spans="2:17" ht="22" customHeight="1">
      <c r="B346" s="100"/>
      <c r="C346" s="100"/>
      <c r="D346" s="100"/>
      <c r="E346" s="100"/>
      <c r="F346" s="100"/>
      <c r="G346" s="100"/>
      <c r="L346" s="47"/>
      <c r="M346" s="47"/>
      <c r="N346" s="47"/>
      <c r="O346" s="47"/>
      <c r="P346" s="47"/>
      <c r="Q346" s="47"/>
    </row>
    <row r="347" spans="2:17" ht="22" customHeight="1">
      <c r="B347" s="100"/>
      <c r="C347" s="100"/>
      <c r="D347" s="100"/>
      <c r="E347" s="100"/>
      <c r="F347" s="100"/>
      <c r="G347" s="100"/>
      <c r="L347" s="47"/>
      <c r="M347" s="47"/>
      <c r="N347" s="47"/>
      <c r="O347" s="47"/>
      <c r="P347" s="47"/>
      <c r="Q347" s="47"/>
    </row>
    <row r="348" spans="2:17" ht="22" customHeight="1">
      <c r="B348" s="100"/>
      <c r="C348" s="100"/>
      <c r="D348" s="100"/>
      <c r="E348" s="100"/>
      <c r="F348" s="100"/>
      <c r="G348" s="100"/>
      <c r="L348" s="47"/>
      <c r="M348" s="47"/>
      <c r="N348" s="47"/>
      <c r="O348" s="47"/>
      <c r="P348" s="47"/>
      <c r="Q348" s="47"/>
    </row>
    <row r="349" spans="2:17" ht="22" customHeight="1">
      <c r="B349" s="100"/>
      <c r="C349" s="100"/>
      <c r="D349" s="100"/>
      <c r="E349" s="100"/>
      <c r="F349" s="100"/>
      <c r="G349" s="100"/>
      <c r="L349" s="47"/>
      <c r="M349" s="47"/>
      <c r="N349" s="47"/>
      <c r="O349" s="47"/>
      <c r="P349" s="47"/>
      <c r="Q349" s="47"/>
    </row>
    <row r="350" spans="2:17" ht="22" customHeight="1">
      <c r="B350" s="100"/>
      <c r="C350" s="100"/>
      <c r="D350" s="100"/>
      <c r="E350" s="100"/>
      <c r="F350" s="100"/>
      <c r="G350" s="100"/>
      <c r="L350" s="47"/>
      <c r="M350" s="47"/>
      <c r="N350" s="47"/>
      <c r="O350" s="47"/>
      <c r="P350" s="47"/>
      <c r="Q350" s="47"/>
    </row>
    <row r="351" spans="2:17" ht="22" customHeight="1">
      <c r="B351" s="100"/>
      <c r="C351" s="100"/>
      <c r="D351" s="100"/>
      <c r="E351" s="100"/>
      <c r="F351" s="100"/>
      <c r="G351" s="100"/>
      <c r="L351" s="47"/>
      <c r="M351" s="47"/>
      <c r="N351" s="47"/>
      <c r="O351" s="47"/>
      <c r="P351" s="47"/>
      <c r="Q351" s="47"/>
    </row>
    <row r="352" spans="2:17" ht="22" customHeight="1">
      <c r="B352" s="100"/>
      <c r="C352" s="100"/>
      <c r="D352" s="100"/>
      <c r="E352" s="100"/>
      <c r="F352" s="100"/>
      <c r="G352" s="100"/>
      <c r="L352" s="47"/>
      <c r="M352" s="47"/>
      <c r="N352" s="47"/>
      <c r="O352" s="47"/>
      <c r="P352" s="47"/>
      <c r="Q352" s="47"/>
    </row>
    <row r="353" spans="2:17" ht="22" customHeight="1">
      <c r="B353" s="100"/>
      <c r="C353" s="100"/>
      <c r="D353" s="100"/>
      <c r="E353" s="100"/>
      <c r="F353" s="100"/>
      <c r="G353" s="100"/>
      <c r="P353" s="47"/>
      <c r="Q353" s="47"/>
    </row>
  </sheetData>
  <sortState ref="A2:L60">
    <sortCondition descending="1" ref="K2"/>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7"/>
  <sheetViews>
    <sheetView workbookViewId="0">
      <pane ySplit="1" topLeftCell="A280" activePane="bottomLeft" state="frozen"/>
      <selection pane="bottomLeft" activeCell="M302" sqref="M302"/>
    </sheetView>
  </sheetViews>
  <sheetFormatPr baseColWidth="10" defaultColWidth="14.5" defaultRowHeight="15" customHeight="1" x14ac:dyDescent="0"/>
  <cols>
    <col min="1" max="1" width="8.83203125" style="129" customWidth="1"/>
    <col min="2" max="11" width="8.83203125" customWidth="1"/>
    <col min="12" max="13" width="11.1640625" customWidth="1"/>
    <col min="14" max="17" width="8.83203125" customWidth="1"/>
    <col min="18" max="18" width="13.1640625" customWidth="1"/>
    <col min="19" max="19" width="25.6640625" customWidth="1"/>
    <col min="20" max="20" width="25.1640625" customWidth="1"/>
    <col min="21" max="21" width="25.6640625" customWidth="1"/>
    <col min="22" max="22" width="25.1640625" customWidth="1"/>
    <col min="23" max="23" width="25.6640625" customWidth="1"/>
    <col min="24" max="24" width="25.1640625" customWidth="1"/>
    <col min="25" max="27" width="8.83203125" customWidth="1"/>
  </cols>
  <sheetData>
    <row r="1" spans="1:27" ht="56">
      <c r="A1" s="128" t="s">
        <v>373</v>
      </c>
      <c r="B1" s="1" t="s">
        <v>374</v>
      </c>
      <c r="C1" s="1" t="s">
        <v>375</v>
      </c>
      <c r="D1" s="1" t="s">
        <v>376</v>
      </c>
      <c r="E1" s="1" t="s">
        <v>377</v>
      </c>
      <c r="F1" s="1" t="s">
        <v>378</v>
      </c>
      <c r="G1" s="1" t="s">
        <v>379</v>
      </c>
      <c r="H1" s="1" t="s">
        <v>380</v>
      </c>
      <c r="I1" s="20" t="s">
        <v>469</v>
      </c>
      <c r="J1" s="2" t="s">
        <v>381</v>
      </c>
      <c r="K1" s="2" t="s">
        <v>382</v>
      </c>
      <c r="L1" s="1" t="s">
        <v>383</v>
      </c>
      <c r="M1" s="1" t="s">
        <v>384</v>
      </c>
      <c r="N1" s="1" t="s">
        <v>385</v>
      </c>
      <c r="O1" s="1"/>
      <c r="P1" s="1"/>
      <c r="Q1" s="1"/>
      <c r="R1" s="1"/>
      <c r="S1" s="1"/>
      <c r="T1" s="1"/>
    </row>
    <row r="2" spans="1:27" ht="14">
      <c r="A2" s="129">
        <v>41422</v>
      </c>
      <c r="B2" s="1">
        <v>2</v>
      </c>
      <c r="C2" s="1"/>
      <c r="D2" s="1">
        <v>84</v>
      </c>
      <c r="E2" s="1">
        <v>132</v>
      </c>
      <c r="F2" s="1">
        <v>1840</v>
      </c>
      <c r="G2" s="1">
        <v>20</v>
      </c>
      <c r="H2">
        <f t="shared" ref="H2:H35" si="0">F2/G2</f>
        <v>92</v>
      </c>
      <c r="J2" s="4">
        <f t="shared" ref="J2:J35" si="1">D2*H2</f>
        <v>7728</v>
      </c>
      <c r="K2" s="4">
        <f t="shared" ref="K2:K34" si="2">E2*H2</f>
        <v>12144</v>
      </c>
      <c r="L2" s="1"/>
      <c r="M2" s="1"/>
      <c r="N2" s="1"/>
      <c r="O2" s="1"/>
      <c r="P2" s="1"/>
      <c r="Q2" s="1"/>
      <c r="R2" s="1"/>
      <c r="S2" s="1"/>
      <c r="T2" s="1"/>
    </row>
    <row r="3" spans="1:27" ht="14">
      <c r="A3" s="129">
        <v>41422</v>
      </c>
      <c r="B3" s="1">
        <v>2</v>
      </c>
      <c r="C3" s="1"/>
      <c r="D3" s="1">
        <v>99</v>
      </c>
      <c r="E3" s="1">
        <v>148</v>
      </c>
      <c r="F3" s="1">
        <v>1385</v>
      </c>
      <c r="G3" s="1">
        <v>20</v>
      </c>
      <c r="H3">
        <f t="shared" si="0"/>
        <v>69.25</v>
      </c>
      <c r="J3" s="4">
        <f t="shared" si="1"/>
        <v>6855.75</v>
      </c>
      <c r="K3" s="4">
        <f t="shared" si="2"/>
        <v>10249</v>
      </c>
      <c r="L3" s="1"/>
      <c r="M3" s="1"/>
      <c r="N3" s="1"/>
      <c r="O3" s="1"/>
      <c r="P3" s="1"/>
      <c r="Q3" s="1"/>
      <c r="R3" s="1"/>
      <c r="S3" s="1"/>
      <c r="T3" s="1"/>
    </row>
    <row r="4" spans="1:27" ht="14">
      <c r="A4" s="129">
        <v>41422</v>
      </c>
      <c r="B4" s="1">
        <v>4</v>
      </c>
      <c r="C4" s="1"/>
      <c r="D4" s="1">
        <v>133</v>
      </c>
      <c r="E4" s="1">
        <v>401</v>
      </c>
      <c r="F4" s="1">
        <v>1920</v>
      </c>
      <c r="G4" s="1">
        <v>10</v>
      </c>
      <c r="H4">
        <f t="shared" si="0"/>
        <v>192</v>
      </c>
      <c r="J4" s="4">
        <f t="shared" si="1"/>
        <v>25536</v>
      </c>
      <c r="K4" s="4">
        <f t="shared" si="2"/>
        <v>76992</v>
      </c>
      <c r="L4" s="1"/>
      <c r="M4" s="2">
        <f>AVERAGE(J4:J6)</f>
        <v>23680</v>
      </c>
      <c r="N4" s="1"/>
      <c r="O4" s="1"/>
      <c r="P4" s="1"/>
      <c r="Q4" s="1"/>
      <c r="R4" s="1"/>
      <c r="S4" s="1"/>
      <c r="T4" s="1"/>
    </row>
    <row r="5" spans="1:27" ht="14">
      <c r="A5" s="129">
        <v>41422</v>
      </c>
      <c r="B5" s="1">
        <v>4</v>
      </c>
      <c r="C5" s="1"/>
      <c r="D5" s="1">
        <v>110</v>
      </c>
      <c r="E5" s="1">
        <v>251</v>
      </c>
      <c r="F5" s="1">
        <v>1920</v>
      </c>
      <c r="G5" s="1">
        <v>10</v>
      </c>
      <c r="H5">
        <f t="shared" si="0"/>
        <v>192</v>
      </c>
      <c r="J5" s="4">
        <f t="shared" si="1"/>
        <v>21120</v>
      </c>
      <c r="K5" s="4">
        <f t="shared" si="2"/>
        <v>48192</v>
      </c>
      <c r="L5" s="1"/>
      <c r="M5" s="1"/>
      <c r="N5" s="1"/>
      <c r="O5" s="1"/>
      <c r="P5" s="1"/>
      <c r="Q5" s="1"/>
      <c r="R5" s="1"/>
      <c r="S5" s="1"/>
      <c r="T5" s="1"/>
    </row>
    <row r="6" spans="1:27" ht="14">
      <c r="A6" s="129">
        <v>41422</v>
      </c>
      <c r="B6" s="1">
        <v>4</v>
      </c>
      <c r="C6" s="1"/>
      <c r="D6" s="1">
        <v>127</v>
      </c>
      <c r="E6" s="1">
        <v>279</v>
      </c>
      <c r="F6" s="1">
        <v>1920</v>
      </c>
      <c r="G6" s="1">
        <v>10</v>
      </c>
      <c r="H6">
        <f t="shared" si="0"/>
        <v>192</v>
      </c>
      <c r="J6" s="4">
        <f t="shared" si="1"/>
        <v>24384</v>
      </c>
      <c r="K6" s="4">
        <f t="shared" si="2"/>
        <v>53568</v>
      </c>
      <c r="L6" s="1"/>
      <c r="M6" s="1"/>
      <c r="N6" s="1"/>
      <c r="O6" s="1"/>
      <c r="P6" s="1"/>
      <c r="Q6" s="1"/>
      <c r="R6" s="1"/>
      <c r="S6" s="1"/>
      <c r="T6" s="1"/>
    </row>
    <row r="7" spans="1:27" ht="14">
      <c r="A7" s="129">
        <v>41422</v>
      </c>
      <c r="B7">
        <v>5</v>
      </c>
      <c r="C7" t="s">
        <v>386</v>
      </c>
      <c r="D7">
        <v>159</v>
      </c>
      <c r="E7">
        <v>263</v>
      </c>
      <c r="F7">
        <v>1825</v>
      </c>
      <c r="G7">
        <v>5</v>
      </c>
      <c r="H7">
        <f t="shared" si="0"/>
        <v>365</v>
      </c>
      <c r="J7" s="4">
        <f t="shared" si="1"/>
        <v>58035</v>
      </c>
      <c r="K7" s="4">
        <f t="shared" si="2"/>
        <v>95995</v>
      </c>
    </row>
    <row r="8" spans="1:27" ht="14">
      <c r="A8" s="129">
        <v>41422</v>
      </c>
      <c r="B8">
        <v>5</v>
      </c>
      <c r="C8" t="s">
        <v>386</v>
      </c>
      <c r="D8">
        <v>140</v>
      </c>
      <c r="E8">
        <v>239</v>
      </c>
      <c r="F8">
        <v>1925</v>
      </c>
      <c r="G8">
        <v>5</v>
      </c>
      <c r="H8">
        <f t="shared" si="0"/>
        <v>385</v>
      </c>
      <c r="J8" s="4">
        <f t="shared" si="1"/>
        <v>53900</v>
      </c>
      <c r="K8" s="4">
        <f t="shared" si="2"/>
        <v>92015</v>
      </c>
    </row>
    <row r="9" spans="1:27" ht="14">
      <c r="A9" s="129">
        <v>41422</v>
      </c>
      <c r="B9">
        <v>8</v>
      </c>
      <c r="C9" t="s">
        <v>386</v>
      </c>
      <c r="D9">
        <v>100</v>
      </c>
      <c r="E9">
        <v>75</v>
      </c>
      <c r="F9">
        <v>2118</v>
      </c>
      <c r="G9">
        <v>5</v>
      </c>
      <c r="H9">
        <f t="shared" si="0"/>
        <v>423.6</v>
      </c>
      <c r="J9" s="4">
        <f t="shared" si="1"/>
        <v>42360</v>
      </c>
      <c r="K9" s="4">
        <f t="shared" si="2"/>
        <v>31770</v>
      </c>
      <c r="L9" t="s">
        <v>387</v>
      </c>
      <c r="N9" t="s">
        <v>388</v>
      </c>
    </row>
    <row r="10" spans="1:27" ht="14">
      <c r="A10" s="129">
        <v>41422</v>
      </c>
      <c r="B10">
        <v>8</v>
      </c>
      <c r="C10" t="s">
        <v>389</v>
      </c>
      <c r="D10">
        <v>78</v>
      </c>
      <c r="E10">
        <v>100</v>
      </c>
      <c r="F10">
        <v>2118</v>
      </c>
      <c r="G10">
        <v>5</v>
      </c>
      <c r="H10">
        <f t="shared" si="0"/>
        <v>423.6</v>
      </c>
      <c r="J10" s="4">
        <f t="shared" si="1"/>
        <v>33040.800000000003</v>
      </c>
      <c r="K10" s="4">
        <f t="shared" si="2"/>
        <v>42360</v>
      </c>
      <c r="L10" t="s">
        <v>390</v>
      </c>
    </row>
    <row r="11" spans="1:27" ht="14">
      <c r="A11" s="129">
        <v>41422</v>
      </c>
      <c r="B11">
        <v>8</v>
      </c>
      <c r="C11" t="s">
        <v>389</v>
      </c>
      <c r="D11">
        <v>106</v>
      </c>
      <c r="E11">
        <v>93</v>
      </c>
      <c r="F11">
        <v>2118</v>
      </c>
      <c r="G11">
        <v>5</v>
      </c>
      <c r="H11">
        <f t="shared" si="0"/>
        <v>423.6</v>
      </c>
      <c r="J11" s="4">
        <f t="shared" si="1"/>
        <v>44901.600000000006</v>
      </c>
      <c r="K11" s="4">
        <f t="shared" si="2"/>
        <v>39394.800000000003</v>
      </c>
      <c r="L11" s="6" t="s">
        <v>387</v>
      </c>
      <c r="M11" s="3"/>
    </row>
    <row r="12" spans="1:27" ht="14">
      <c r="A12" s="130">
        <v>41450</v>
      </c>
      <c r="B12">
        <v>2</v>
      </c>
      <c r="C12" t="s">
        <v>386</v>
      </c>
      <c r="D12">
        <v>172</v>
      </c>
      <c r="E12">
        <v>10</v>
      </c>
      <c r="F12">
        <v>1420</v>
      </c>
      <c r="G12">
        <v>5</v>
      </c>
      <c r="H12">
        <f t="shared" si="0"/>
        <v>284</v>
      </c>
      <c r="J12" s="4">
        <f t="shared" si="1"/>
        <v>48848</v>
      </c>
      <c r="K12" s="4">
        <f t="shared" si="2"/>
        <v>2840</v>
      </c>
      <c r="L12" s="4">
        <f>AVERAGE(J12:J14)</f>
        <v>36710.333333333336</v>
      </c>
      <c r="N12" t="s">
        <v>391</v>
      </c>
    </row>
    <row r="13" spans="1:27" ht="14">
      <c r="A13" s="130">
        <v>41450</v>
      </c>
      <c r="B13">
        <v>2</v>
      </c>
      <c r="C13" t="s">
        <v>386</v>
      </c>
      <c r="D13">
        <v>234</v>
      </c>
      <c r="E13">
        <v>14</v>
      </c>
      <c r="F13">
        <v>1520</v>
      </c>
      <c r="G13">
        <v>10</v>
      </c>
      <c r="H13">
        <f t="shared" si="0"/>
        <v>152</v>
      </c>
      <c r="J13" s="4">
        <f t="shared" si="1"/>
        <v>35568</v>
      </c>
      <c r="K13" s="4">
        <f t="shared" si="2"/>
        <v>2128</v>
      </c>
    </row>
    <row r="14" spans="1:27" ht="14">
      <c r="A14" s="130">
        <v>41450</v>
      </c>
      <c r="B14">
        <v>2</v>
      </c>
      <c r="C14" t="s">
        <v>389</v>
      </c>
      <c r="D14">
        <v>278</v>
      </c>
      <c r="E14">
        <v>42</v>
      </c>
      <c r="F14">
        <v>925</v>
      </c>
      <c r="G14">
        <v>10</v>
      </c>
      <c r="H14">
        <f t="shared" si="0"/>
        <v>92.5</v>
      </c>
      <c r="J14" s="4">
        <f t="shared" si="1"/>
        <v>25715</v>
      </c>
      <c r="K14" s="4">
        <f t="shared" si="2"/>
        <v>3885</v>
      </c>
    </row>
    <row r="15" spans="1:27" ht="14">
      <c r="A15" s="130">
        <v>41450</v>
      </c>
      <c r="B15" s="8">
        <v>4</v>
      </c>
      <c r="C15" s="8" t="s">
        <v>386</v>
      </c>
      <c r="D15" s="8">
        <v>284</v>
      </c>
      <c r="E15" s="8">
        <v>129</v>
      </c>
      <c r="F15" s="8">
        <v>1330</v>
      </c>
      <c r="G15" s="8">
        <v>5</v>
      </c>
      <c r="H15" s="8">
        <f t="shared" si="0"/>
        <v>266</v>
      </c>
      <c r="I15" s="8"/>
      <c r="J15" s="9">
        <f t="shared" si="1"/>
        <v>75544</v>
      </c>
      <c r="K15" s="9">
        <f t="shared" si="2"/>
        <v>34314</v>
      </c>
      <c r="L15" s="9"/>
      <c r="M15" s="9"/>
      <c r="N15" s="9" t="s">
        <v>392</v>
      </c>
      <c r="O15" s="8"/>
      <c r="P15" s="8"/>
      <c r="Q15" s="8"/>
      <c r="R15" s="8"/>
      <c r="S15" s="8"/>
      <c r="T15" s="8"/>
      <c r="U15" s="8"/>
      <c r="V15" s="8"/>
      <c r="W15" s="8"/>
      <c r="X15" s="8"/>
      <c r="Y15" s="8"/>
      <c r="Z15" s="8"/>
      <c r="AA15" s="8"/>
    </row>
    <row r="16" spans="1:27" ht="14">
      <c r="A16" s="130">
        <v>41450</v>
      </c>
      <c r="B16" s="8">
        <v>4</v>
      </c>
      <c r="C16" s="8" t="s">
        <v>386</v>
      </c>
      <c r="D16" s="8">
        <v>304</v>
      </c>
      <c r="E16" s="8">
        <v>116</v>
      </c>
      <c r="F16" s="8">
        <v>1330</v>
      </c>
      <c r="G16" s="8">
        <v>5</v>
      </c>
      <c r="H16" s="8">
        <f t="shared" si="0"/>
        <v>266</v>
      </c>
      <c r="I16" s="8"/>
      <c r="J16" s="9">
        <f t="shared" si="1"/>
        <v>80864</v>
      </c>
      <c r="K16" s="9">
        <f t="shared" si="2"/>
        <v>30856</v>
      </c>
      <c r="L16" s="8"/>
      <c r="M16" s="8"/>
      <c r="N16" s="8"/>
      <c r="O16" s="8"/>
      <c r="P16" s="8"/>
      <c r="Q16" s="8"/>
      <c r="R16" s="8"/>
      <c r="S16" s="8"/>
      <c r="T16" s="8"/>
      <c r="U16" s="8"/>
      <c r="V16" s="8"/>
      <c r="W16" s="8"/>
      <c r="X16" s="8"/>
      <c r="Y16" s="8"/>
      <c r="Z16" s="8"/>
      <c r="AA16" s="8"/>
    </row>
    <row r="17" spans="1:27" ht="14">
      <c r="A17" s="130">
        <v>41450</v>
      </c>
      <c r="B17" s="8">
        <v>4</v>
      </c>
      <c r="C17" s="8" t="s">
        <v>386</v>
      </c>
      <c r="D17" s="8">
        <v>276</v>
      </c>
      <c r="E17" s="8">
        <v>116</v>
      </c>
      <c r="F17" s="8">
        <v>1330</v>
      </c>
      <c r="G17" s="8">
        <v>5</v>
      </c>
      <c r="H17" s="8">
        <f t="shared" si="0"/>
        <v>266</v>
      </c>
      <c r="I17" s="8"/>
      <c r="J17" s="9">
        <f t="shared" si="1"/>
        <v>73416</v>
      </c>
      <c r="K17" s="9">
        <f t="shared" si="2"/>
        <v>30856</v>
      </c>
      <c r="L17" s="8"/>
      <c r="M17" s="8"/>
      <c r="N17" s="8"/>
      <c r="O17" s="8"/>
      <c r="P17" s="8"/>
      <c r="Q17" s="8"/>
      <c r="R17" s="8"/>
      <c r="S17" s="8"/>
      <c r="T17" s="8"/>
      <c r="U17" s="8"/>
      <c r="V17" s="8"/>
      <c r="W17" s="8"/>
      <c r="X17" s="8"/>
      <c r="Y17" s="8"/>
      <c r="Z17" s="8"/>
      <c r="AA17" s="8"/>
    </row>
    <row r="18" spans="1:27" ht="14">
      <c r="A18" s="130">
        <v>41450</v>
      </c>
      <c r="B18">
        <v>5</v>
      </c>
      <c r="C18" t="s">
        <v>386</v>
      </c>
      <c r="D18">
        <v>131</v>
      </c>
      <c r="E18">
        <v>21</v>
      </c>
      <c r="F18">
        <v>925</v>
      </c>
      <c r="G18">
        <v>5</v>
      </c>
      <c r="H18">
        <f t="shared" si="0"/>
        <v>185</v>
      </c>
      <c r="J18" s="4">
        <f t="shared" si="1"/>
        <v>24235</v>
      </c>
      <c r="K18" s="4">
        <f t="shared" si="2"/>
        <v>3885</v>
      </c>
    </row>
    <row r="19" spans="1:27" ht="14">
      <c r="A19" s="130">
        <v>41450</v>
      </c>
      <c r="B19">
        <v>5</v>
      </c>
      <c r="C19" t="s">
        <v>386</v>
      </c>
      <c r="D19">
        <v>288</v>
      </c>
      <c r="E19">
        <v>51</v>
      </c>
      <c r="F19">
        <v>925</v>
      </c>
      <c r="G19">
        <v>10</v>
      </c>
      <c r="H19">
        <f t="shared" si="0"/>
        <v>92.5</v>
      </c>
      <c r="J19" s="4">
        <f t="shared" si="1"/>
        <v>26640</v>
      </c>
      <c r="K19" s="4">
        <f t="shared" si="2"/>
        <v>4717.5</v>
      </c>
    </row>
    <row r="20" spans="1:27" ht="14">
      <c r="A20" s="130">
        <v>41450</v>
      </c>
      <c r="B20">
        <v>8</v>
      </c>
      <c r="C20" t="s">
        <v>386</v>
      </c>
      <c r="D20">
        <v>218</v>
      </c>
      <c r="E20">
        <v>75</v>
      </c>
      <c r="F20">
        <v>1800</v>
      </c>
      <c r="G20">
        <v>10</v>
      </c>
      <c r="H20">
        <f t="shared" si="0"/>
        <v>180</v>
      </c>
      <c r="J20" s="4">
        <f t="shared" si="1"/>
        <v>39240</v>
      </c>
      <c r="K20" s="4">
        <f t="shared" si="2"/>
        <v>13500</v>
      </c>
    </row>
    <row r="21" spans="1:27" ht="14">
      <c r="A21" s="130">
        <v>41450</v>
      </c>
      <c r="B21">
        <v>8</v>
      </c>
      <c r="C21" t="s">
        <v>386</v>
      </c>
      <c r="D21">
        <v>243</v>
      </c>
      <c r="E21">
        <v>58</v>
      </c>
      <c r="F21">
        <v>1800</v>
      </c>
      <c r="G21">
        <v>10</v>
      </c>
      <c r="H21">
        <f t="shared" si="0"/>
        <v>180</v>
      </c>
      <c r="J21" s="4">
        <f t="shared" si="1"/>
        <v>43740</v>
      </c>
      <c r="K21" s="4">
        <f t="shared" si="2"/>
        <v>10440</v>
      </c>
    </row>
    <row r="22" spans="1:27" ht="14">
      <c r="A22" s="130">
        <v>41450</v>
      </c>
      <c r="B22">
        <v>8</v>
      </c>
      <c r="C22" t="s">
        <v>386</v>
      </c>
      <c r="D22">
        <v>213</v>
      </c>
      <c r="E22">
        <v>41</v>
      </c>
      <c r="F22">
        <v>1800</v>
      </c>
      <c r="G22">
        <v>10</v>
      </c>
      <c r="H22">
        <f t="shared" si="0"/>
        <v>180</v>
      </c>
      <c r="J22" s="4">
        <f t="shared" si="1"/>
        <v>38340</v>
      </c>
      <c r="K22" s="4">
        <f t="shared" si="2"/>
        <v>7380</v>
      </c>
    </row>
    <row r="23" spans="1:27" ht="14">
      <c r="A23" s="130">
        <v>41480</v>
      </c>
      <c r="B23">
        <v>2</v>
      </c>
      <c r="C23" t="s">
        <v>386</v>
      </c>
      <c r="D23">
        <v>139</v>
      </c>
      <c r="E23">
        <v>187</v>
      </c>
      <c r="F23">
        <v>1693</v>
      </c>
      <c r="G23">
        <v>5</v>
      </c>
      <c r="H23">
        <f t="shared" si="0"/>
        <v>338.6</v>
      </c>
      <c r="J23" s="4">
        <f t="shared" si="1"/>
        <v>47065.4</v>
      </c>
      <c r="K23" s="4">
        <f t="shared" si="2"/>
        <v>63318.200000000004</v>
      </c>
    </row>
    <row r="24" spans="1:27" ht="14">
      <c r="A24" s="130">
        <v>41480</v>
      </c>
      <c r="B24">
        <v>2</v>
      </c>
      <c r="C24" t="s">
        <v>386</v>
      </c>
      <c r="D24">
        <v>277</v>
      </c>
      <c r="E24">
        <v>327</v>
      </c>
      <c r="F24">
        <v>1693</v>
      </c>
      <c r="G24">
        <v>10</v>
      </c>
      <c r="H24">
        <f t="shared" si="0"/>
        <v>169.3</v>
      </c>
      <c r="J24" s="4">
        <f t="shared" si="1"/>
        <v>46896.100000000006</v>
      </c>
      <c r="K24" s="4">
        <f t="shared" si="2"/>
        <v>55361.100000000006</v>
      </c>
    </row>
    <row r="25" spans="1:27" ht="14">
      <c r="A25" s="130">
        <v>41480</v>
      </c>
      <c r="B25">
        <v>2</v>
      </c>
      <c r="C25" t="s">
        <v>386</v>
      </c>
      <c r="D25">
        <v>300</v>
      </c>
      <c r="E25">
        <v>297</v>
      </c>
      <c r="F25">
        <v>1693</v>
      </c>
      <c r="G25">
        <v>10</v>
      </c>
      <c r="H25">
        <f t="shared" si="0"/>
        <v>169.3</v>
      </c>
      <c r="J25" s="4">
        <f t="shared" si="1"/>
        <v>50790</v>
      </c>
      <c r="K25" s="4">
        <f t="shared" si="2"/>
        <v>50282.100000000006</v>
      </c>
    </row>
    <row r="26" spans="1:27" ht="14">
      <c r="A26" s="130">
        <v>41480</v>
      </c>
      <c r="B26">
        <v>4</v>
      </c>
      <c r="C26" t="s">
        <v>386</v>
      </c>
      <c r="D26">
        <v>234</v>
      </c>
      <c r="E26">
        <v>109</v>
      </c>
      <c r="F26">
        <v>1095</v>
      </c>
      <c r="G26">
        <v>10</v>
      </c>
      <c r="H26">
        <f t="shared" si="0"/>
        <v>109.5</v>
      </c>
      <c r="J26" s="4">
        <f t="shared" si="1"/>
        <v>25623</v>
      </c>
      <c r="K26" s="4">
        <f t="shared" si="2"/>
        <v>11935.5</v>
      </c>
      <c r="L26" s="4">
        <f>AVERAGE(J26:J28)</f>
        <v>25842</v>
      </c>
      <c r="M26">
        <v>120152.7</v>
      </c>
    </row>
    <row r="27" spans="1:27" s="24" customFormat="1" ht="14">
      <c r="A27" s="130">
        <v>41480</v>
      </c>
      <c r="B27">
        <v>4</v>
      </c>
      <c r="C27" t="s">
        <v>386</v>
      </c>
      <c r="D27">
        <v>249</v>
      </c>
      <c r="E27">
        <v>135</v>
      </c>
      <c r="F27">
        <v>1095</v>
      </c>
      <c r="G27">
        <v>10</v>
      </c>
      <c r="H27">
        <f t="shared" si="0"/>
        <v>109.5</v>
      </c>
      <c r="I27"/>
      <c r="J27" s="4">
        <f t="shared" si="1"/>
        <v>27265.5</v>
      </c>
      <c r="K27" s="4">
        <f t="shared" si="2"/>
        <v>14782.5</v>
      </c>
      <c r="L27" s="4">
        <f>AVERAGE(J35:J37)</f>
        <v>197283.07692307691</v>
      </c>
      <c r="M27">
        <v>25787.3</v>
      </c>
      <c r="N27"/>
    </row>
    <row r="28" spans="1:27" ht="14">
      <c r="A28" s="130">
        <v>41480</v>
      </c>
      <c r="B28">
        <v>4</v>
      </c>
      <c r="C28" t="s">
        <v>386</v>
      </c>
      <c r="D28">
        <v>225</v>
      </c>
      <c r="E28">
        <v>137</v>
      </c>
      <c r="F28">
        <v>1095</v>
      </c>
      <c r="G28">
        <v>10</v>
      </c>
      <c r="H28">
        <f t="shared" si="0"/>
        <v>109.5</v>
      </c>
      <c r="J28" s="4">
        <f t="shared" si="1"/>
        <v>24637.5</v>
      </c>
      <c r="K28" s="4">
        <f t="shared" si="2"/>
        <v>15001.5</v>
      </c>
      <c r="L28" s="4">
        <f>AVERAGE(J42:J44)</f>
        <v>12102.71111111111</v>
      </c>
      <c r="M28">
        <v>48250.5</v>
      </c>
    </row>
    <row r="29" spans="1:27" ht="14">
      <c r="A29" s="130">
        <v>41480</v>
      </c>
      <c r="B29">
        <v>4</v>
      </c>
      <c r="C29" t="s">
        <v>395</v>
      </c>
      <c r="D29">
        <v>234</v>
      </c>
      <c r="E29">
        <v>225</v>
      </c>
      <c r="F29">
        <v>1095</v>
      </c>
      <c r="G29">
        <v>10</v>
      </c>
      <c r="H29">
        <f t="shared" si="0"/>
        <v>109.5</v>
      </c>
      <c r="J29" s="4">
        <f t="shared" si="1"/>
        <v>25623</v>
      </c>
      <c r="K29" s="4">
        <f t="shared" si="2"/>
        <v>24637.5</v>
      </c>
    </row>
    <row r="30" spans="1:27" ht="14">
      <c r="A30" s="130">
        <v>41480</v>
      </c>
      <c r="B30" s="8">
        <v>5</v>
      </c>
      <c r="C30" s="8" t="s">
        <v>386</v>
      </c>
      <c r="D30" s="8">
        <v>424</v>
      </c>
      <c r="E30" s="8">
        <v>4</v>
      </c>
      <c r="F30" s="8">
        <v>1780</v>
      </c>
      <c r="G30" s="8">
        <v>5</v>
      </c>
      <c r="H30" s="8">
        <f t="shared" si="0"/>
        <v>356</v>
      </c>
      <c r="I30" s="8"/>
      <c r="J30" s="9">
        <f t="shared" si="1"/>
        <v>150944</v>
      </c>
      <c r="K30" s="9">
        <f t="shared" si="2"/>
        <v>1424</v>
      </c>
      <c r="L30" s="9">
        <f>AVERAGE(J30:J31)</f>
        <v>152012</v>
      </c>
      <c r="M30" s="9">
        <v>152012</v>
      </c>
      <c r="N30" s="8" t="s">
        <v>394</v>
      </c>
      <c r="O30" s="8"/>
      <c r="P30" s="8"/>
      <c r="Q30" s="8"/>
      <c r="R30" s="8"/>
      <c r="S30" s="8"/>
      <c r="T30" s="8"/>
      <c r="U30" s="8"/>
      <c r="V30" s="8"/>
      <c r="W30" s="8"/>
      <c r="X30" s="8"/>
      <c r="Y30" s="8"/>
      <c r="Z30" s="8"/>
      <c r="AA30" s="8"/>
    </row>
    <row r="31" spans="1:27" ht="14">
      <c r="A31" s="130">
        <v>41480</v>
      </c>
      <c r="B31" s="8">
        <v>5</v>
      </c>
      <c r="C31" s="8" t="s">
        <v>386</v>
      </c>
      <c r="D31" s="8">
        <v>430</v>
      </c>
      <c r="E31" s="8">
        <v>0</v>
      </c>
      <c r="F31" s="8">
        <v>1780</v>
      </c>
      <c r="G31" s="8">
        <v>5</v>
      </c>
      <c r="H31" s="8">
        <f t="shared" si="0"/>
        <v>356</v>
      </c>
      <c r="I31" s="8"/>
      <c r="J31" s="9">
        <f t="shared" si="1"/>
        <v>153080</v>
      </c>
      <c r="K31" s="9">
        <f t="shared" si="2"/>
        <v>0</v>
      </c>
      <c r="L31" s="8"/>
      <c r="M31" s="8"/>
      <c r="N31" s="8"/>
      <c r="O31" s="8"/>
      <c r="P31" s="8"/>
      <c r="Q31" s="8"/>
      <c r="R31" s="8"/>
      <c r="S31" s="8"/>
      <c r="T31" s="8"/>
      <c r="U31" s="8"/>
      <c r="V31" s="8"/>
      <c r="W31" s="8"/>
      <c r="X31" s="8"/>
      <c r="Y31" s="8"/>
      <c r="Z31" s="8"/>
      <c r="AA31" s="8"/>
    </row>
    <row r="32" spans="1:27" ht="14">
      <c r="A32" s="130">
        <v>41480</v>
      </c>
      <c r="B32">
        <v>5</v>
      </c>
      <c r="C32" t="s">
        <v>389</v>
      </c>
      <c r="D32">
        <v>432</v>
      </c>
      <c r="E32">
        <v>4</v>
      </c>
      <c r="F32">
        <v>1600</v>
      </c>
      <c r="G32">
        <v>5</v>
      </c>
      <c r="H32">
        <f t="shared" si="0"/>
        <v>320</v>
      </c>
      <c r="J32" s="4">
        <f t="shared" si="1"/>
        <v>138240</v>
      </c>
      <c r="K32" s="4">
        <f t="shared" si="2"/>
        <v>1280</v>
      </c>
      <c r="M32" s="23"/>
    </row>
    <row r="33" spans="1:14" ht="14">
      <c r="A33" s="130">
        <v>41480</v>
      </c>
      <c r="B33">
        <v>5</v>
      </c>
      <c r="C33" t="s">
        <v>389</v>
      </c>
      <c r="D33">
        <v>378</v>
      </c>
      <c r="E33">
        <v>4</v>
      </c>
      <c r="F33">
        <v>1600</v>
      </c>
      <c r="G33">
        <v>5</v>
      </c>
      <c r="H33">
        <f t="shared" si="0"/>
        <v>320</v>
      </c>
      <c r="J33" s="4">
        <f t="shared" si="1"/>
        <v>120960</v>
      </c>
      <c r="K33" s="4">
        <f t="shared" si="2"/>
        <v>1280</v>
      </c>
    </row>
    <row r="34" spans="1:14" ht="14">
      <c r="A34" s="130">
        <v>41480</v>
      </c>
      <c r="B34">
        <v>5</v>
      </c>
      <c r="C34" t="s">
        <v>389</v>
      </c>
      <c r="D34">
        <v>338</v>
      </c>
      <c r="E34">
        <v>4</v>
      </c>
      <c r="F34">
        <v>1600</v>
      </c>
      <c r="G34">
        <v>5</v>
      </c>
      <c r="H34">
        <f t="shared" si="0"/>
        <v>320</v>
      </c>
      <c r="J34" s="4">
        <f t="shared" si="1"/>
        <v>108160</v>
      </c>
      <c r="K34" s="4">
        <f t="shared" si="2"/>
        <v>1280</v>
      </c>
    </row>
    <row r="35" spans="1:14" ht="14">
      <c r="A35" s="130">
        <v>41480</v>
      </c>
      <c r="B35">
        <v>5</v>
      </c>
      <c r="C35" t="s">
        <v>386</v>
      </c>
      <c r="D35">
        <f>562+525+235</f>
        <v>1322</v>
      </c>
      <c r="F35">
        <v>485</v>
      </c>
      <c r="G35">
        <v>3.25</v>
      </c>
      <c r="H35">
        <f t="shared" si="0"/>
        <v>149.23076923076923</v>
      </c>
      <c r="J35" s="4">
        <f t="shared" si="1"/>
        <v>197283.07692307691</v>
      </c>
      <c r="K35" s="4"/>
    </row>
    <row r="36" spans="1:14" ht="14">
      <c r="A36" s="130">
        <v>41480</v>
      </c>
      <c r="B36" s="52">
        <v>5</v>
      </c>
      <c r="C36" s="52" t="s">
        <v>386</v>
      </c>
      <c r="D36" s="52"/>
      <c r="E36" s="52"/>
      <c r="F36" s="52"/>
      <c r="G36" s="52"/>
      <c r="H36" s="52"/>
      <c r="I36" s="52"/>
      <c r="J36" s="125"/>
      <c r="K36" s="125"/>
      <c r="L36" s="52"/>
      <c r="M36" s="52"/>
      <c r="N36" s="52"/>
    </row>
    <row r="37" spans="1:14" ht="14">
      <c r="A37" s="130">
        <v>41480</v>
      </c>
      <c r="B37" s="52">
        <v>5</v>
      </c>
      <c r="C37" s="52" t="s">
        <v>386</v>
      </c>
      <c r="D37" s="52"/>
      <c r="E37" s="52"/>
      <c r="F37" s="52"/>
      <c r="G37" s="52"/>
      <c r="H37" s="52"/>
      <c r="I37" s="52"/>
      <c r="J37" s="125"/>
      <c r="K37" s="125"/>
      <c r="L37" s="52"/>
      <c r="M37" s="52"/>
      <c r="N37" s="52"/>
    </row>
    <row r="38" spans="1:14" ht="14">
      <c r="A38" s="130">
        <v>41480</v>
      </c>
      <c r="B38" s="52">
        <v>8</v>
      </c>
      <c r="C38" s="52" t="s">
        <v>389</v>
      </c>
      <c r="D38" s="52">
        <v>176</v>
      </c>
      <c r="E38" s="52">
        <v>4</v>
      </c>
      <c r="F38" s="52">
        <v>980</v>
      </c>
      <c r="G38" s="52">
        <v>5</v>
      </c>
      <c r="H38" s="52">
        <f t="shared" ref="H38:H69" si="3">F38/G38</f>
        <v>196</v>
      </c>
      <c r="I38" s="52"/>
      <c r="J38" s="125">
        <f t="shared" ref="J38:J69" si="4">D38*H38</f>
        <v>34496</v>
      </c>
      <c r="K38" s="125">
        <f t="shared" ref="K38:K74" si="5">E38*H38</f>
        <v>784</v>
      </c>
      <c r="L38" s="125"/>
      <c r="M38" s="52"/>
      <c r="N38" s="52"/>
    </row>
    <row r="39" spans="1:14" ht="14">
      <c r="A39" s="130">
        <v>41480</v>
      </c>
      <c r="B39" s="24">
        <v>8</v>
      </c>
      <c r="C39" s="24" t="s">
        <v>389</v>
      </c>
      <c r="D39" s="24">
        <v>507</v>
      </c>
      <c r="E39" s="24">
        <v>0</v>
      </c>
      <c r="F39" s="24">
        <v>415</v>
      </c>
      <c r="G39" s="24">
        <v>5</v>
      </c>
      <c r="H39" s="24">
        <f t="shared" si="3"/>
        <v>83</v>
      </c>
      <c r="I39" s="24"/>
      <c r="J39" s="25">
        <f t="shared" si="4"/>
        <v>42081</v>
      </c>
      <c r="K39" s="25">
        <f t="shared" si="5"/>
        <v>0</v>
      </c>
      <c r="L39" s="25"/>
      <c r="M39" s="26">
        <f>AVERAGE(J38:J40)</f>
        <v>36315.666666666664</v>
      </c>
      <c r="N39" s="24" t="s">
        <v>393</v>
      </c>
    </row>
    <row r="40" spans="1:14" ht="14">
      <c r="A40" s="130">
        <v>41480</v>
      </c>
      <c r="B40">
        <v>8</v>
      </c>
      <c r="C40" t="s">
        <v>389</v>
      </c>
      <c r="D40">
        <v>390</v>
      </c>
      <c r="E40">
        <v>0</v>
      </c>
      <c r="F40">
        <v>415</v>
      </c>
      <c r="G40">
        <v>5</v>
      </c>
      <c r="H40">
        <f t="shared" si="3"/>
        <v>83</v>
      </c>
      <c r="J40" s="4">
        <f t="shared" si="4"/>
        <v>32370</v>
      </c>
      <c r="K40" s="4">
        <f t="shared" si="5"/>
        <v>0</v>
      </c>
      <c r="L40" s="4"/>
    </row>
    <row r="41" spans="1:14" ht="14">
      <c r="A41" s="130">
        <v>41514</v>
      </c>
      <c r="B41">
        <v>2</v>
      </c>
      <c r="C41" t="s">
        <v>386</v>
      </c>
      <c r="D41">
        <v>278</v>
      </c>
      <c r="E41">
        <v>0</v>
      </c>
      <c r="F41">
        <v>538</v>
      </c>
      <c r="G41">
        <v>15</v>
      </c>
      <c r="H41">
        <f t="shared" si="3"/>
        <v>35.866666666666667</v>
      </c>
      <c r="J41" s="4">
        <f t="shared" si="4"/>
        <v>9970.9333333333343</v>
      </c>
      <c r="K41" s="4">
        <f t="shared" si="5"/>
        <v>0</v>
      </c>
    </row>
    <row r="42" spans="1:14" ht="14">
      <c r="A42" s="130">
        <v>41514</v>
      </c>
      <c r="B42">
        <v>2</v>
      </c>
      <c r="C42" t="s">
        <v>389</v>
      </c>
      <c r="D42">
        <v>237</v>
      </c>
      <c r="E42">
        <v>1</v>
      </c>
      <c r="F42">
        <v>538</v>
      </c>
      <c r="G42">
        <v>15</v>
      </c>
      <c r="H42">
        <f t="shared" si="3"/>
        <v>35.866666666666667</v>
      </c>
      <c r="J42" s="4">
        <f t="shared" si="4"/>
        <v>8500.4</v>
      </c>
      <c r="K42" s="4">
        <f t="shared" si="5"/>
        <v>35.866666666666667</v>
      </c>
    </row>
    <row r="43" spans="1:14" ht="14">
      <c r="A43" s="130">
        <v>41514</v>
      </c>
      <c r="B43">
        <v>2</v>
      </c>
      <c r="C43" t="s">
        <v>389</v>
      </c>
      <c r="D43">
        <v>257</v>
      </c>
      <c r="E43">
        <v>0</v>
      </c>
      <c r="F43">
        <v>538</v>
      </c>
      <c r="G43">
        <v>15</v>
      </c>
      <c r="H43">
        <f t="shared" si="3"/>
        <v>35.866666666666667</v>
      </c>
      <c r="J43" s="4">
        <f t="shared" si="4"/>
        <v>9217.7333333333336</v>
      </c>
      <c r="K43" s="4">
        <f t="shared" si="5"/>
        <v>0</v>
      </c>
    </row>
    <row r="44" spans="1:14" ht="14">
      <c r="A44" s="130">
        <v>41514</v>
      </c>
      <c r="B44">
        <v>4</v>
      </c>
      <c r="C44" t="s">
        <v>386</v>
      </c>
      <c r="D44">
        <v>143</v>
      </c>
      <c r="E44">
        <v>1</v>
      </c>
      <c r="F44">
        <v>1300</v>
      </c>
      <c r="G44">
        <v>10</v>
      </c>
      <c r="H44">
        <f t="shared" si="3"/>
        <v>130</v>
      </c>
      <c r="J44" s="4">
        <f t="shared" si="4"/>
        <v>18590</v>
      </c>
      <c r="K44" s="4">
        <f t="shared" si="5"/>
        <v>130</v>
      </c>
      <c r="N44" t="s">
        <v>396</v>
      </c>
    </row>
    <row r="45" spans="1:14" ht="14">
      <c r="A45" s="130">
        <v>41514</v>
      </c>
      <c r="B45">
        <v>4</v>
      </c>
      <c r="C45" t="s">
        <v>386</v>
      </c>
      <c r="D45">
        <v>269</v>
      </c>
      <c r="E45">
        <v>1</v>
      </c>
      <c r="F45">
        <v>950</v>
      </c>
      <c r="G45">
        <v>15</v>
      </c>
      <c r="H45">
        <f t="shared" si="3"/>
        <v>63.333333333333336</v>
      </c>
      <c r="J45" s="4">
        <f t="shared" si="4"/>
        <v>17036.666666666668</v>
      </c>
      <c r="K45" s="4">
        <f t="shared" si="5"/>
        <v>63.333333333333336</v>
      </c>
      <c r="N45" t="s">
        <v>397</v>
      </c>
    </row>
    <row r="46" spans="1:14" ht="14">
      <c r="A46" s="130">
        <v>41514</v>
      </c>
      <c r="B46">
        <v>5</v>
      </c>
      <c r="C46" t="s">
        <v>389</v>
      </c>
      <c r="D46">
        <v>311</v>
      </c>
      <c r="E46">
        <v>5</v>
      </c>
      <c r="F46">
        <v>796</v>
      </c>
      <c r="G46">
        <v>5</v>
      </c>
      <c r="H46">
        <f t="shared" si="3"/>
        <v>159.19999999999999</v>
      </c>
      <c r="J46" s="4">
        <f t="shared" si="4"/>
        <v>49511.199999999997</v>
      </c>
      <c r="K46" s="4">
        <f t="shared" si="5"/>
        <v>796</v>
      </c>
    </row>
    <row r="47" spans="1:14" ht="14">
      <c r="A47" s="130">
        <v>41514</v>
      </c>
      <c r="B47">
        <v>5</v>
      </c>
      <c r="C47" t="s">
        <v>389</v>
      </c>
      <c r="D47">
        <v>296</v>
      </c>
      <c r="E47">
        <v>3</v>
      </c>
      <c r="F47">
        <v>796</v>
      </c>
      <c r="G47">
        <v>5</v>
      </c>
      <c r="H47">
        <f t="shared" si="3"/>
        <v>159.19999999999999</v>
      </c>
      <c r="J47" s="4">
        <f t="shared" si="4"/>
        <v>47123.199999999997</v>
      </c>
      <c r="K47" s="4">
        <f t="shared" si="5"/>
        <v>477.59999999999997</v>
      </c>
    </row>
    <row r="48" spans="1:14" ht="14">
      <c r="A48" s="130">
        <v>41514</v>
      </c>
      <c r="B48" s="52">
        <v>5</v>
      </c>
      <c r="C48" s="52" t="s">
        <v>386</v>
      </c>
      <c r="D48" s="52">
        <v>310</v>
      </c>
      <c r="E48" s="52">
        <v>5</v>
      </c>
      <c r="F48" s="52">
        <v>796</v>
      </c>
      <c r="G48" s="52">
        <v>5</v>
      </c>
      <c r="H48" s="52">
        <f t="shared" si="3"/>
        <v>159.19999999999999</v>
      </c>
      <c r="I48" s="52"/>
      <c r="J48" s="125">
        <f t="shared" si="4"/>
        <v>49352</v>
      </c>
      <c r="K48" s="125">
        <f t="shared" si="5"/>
        <v>796</v>
      </c>
      <c r="L48" s="52"/>
      <c r="M48" s="52"/>
      <c r="N48" s="52"/>
    </row>
    <row r="49" spans="1:24" ht="14">
      <c r="A49" s="130">
        <v>41514</v>
      </c>
      <c r="B49" s="52">
        <v>8</v>
      </c>
      <c r="C49" s="52" t="s">
        <v>386</v>
      </c>
      <c r="D49" s="52">
        <v>127</v>
      </c>
      <c r="E49" s="52">
        <v>3</v>
      </c>
      <c r="F49" s="52">
        <v>725</v>
      </c>
      <c r="G49" s="52">
        <v>20</v>
      </c>
      <c r="H49" s="52">
        <f t="shared" si="3"/>
        <v>36.25</v>
      </c>
      <c r="I49" s="52"/>
      <c r="J49" s="125">
        <f t="shared" si="4"/>
        <v>4603.75</v>
      </c>
      <c r="K49" s="125">
        <f t="shared" si="5"/>
        <v>108.75</v>
      </c>
      <c r="L49" s="52"/>
      <c r="M49" s="52"/>
      <c r="N49" s="52" t="s">
        <v>398</v>
      </c>
    </row>
    <row r="50" spans="1:24" ht="14">
      <c r="A50" s="130">
        <v>41514</v>
      </c>
      <c r="B50">
        <v>8</v>
      </c>
      <c r="C50" t="s">
        <v>386</v>
      </c>
      <c r="D50">
        <v>241</v>
      </c>
      <c r="E50">
        <v>5</v>
      </c>
      <c r="F50">
        <v>455</v>
      </c>
      <c r="G50">
        <v>20</v>
      </c>
      <c r="H50">
        <f t="shared" si="3"/>
        <v>22.75</v>
      </c>
      <c r="J50" s="4">
        <f t="shared" si="4"/>
        <v>5482.75</v>
      </c>
      <c r="K50" s="4">
        <f t="shared" si="5"/>
        <v>113.75</v>
      </c>
    </row>
    <row r="51" spans="1:24" ht="14">
      <c r="A51" s="130">
        <v>41514</v>
      </c>
      <c r="B51">
        <v>8</v>
      </c>
      <c r="C51" t="s">
        <v>386</v>
      </c>
      <c r="D51">
        <v>206</v>
      </c>
      <c r="E51">
        <v>6</v>
      </c>
      <c r="F51">
        <v>505</v>
      </c>
      <c r="G51">
        <v>20</v>
      </c>
      <c r="H51">
        <f t="shared" si="3"/>
        <v>25.25</v>
      </c>
      <c r="J51" s="4">
        <f t="shared" si="4"/>
        <v>5201.5</v>
      </c>
      <c r="K51" s="4">
        <f t="shared" si="5"/>
        <v>151.5</v>
      </c>
    </row>
    <row r="52" spans="1:24" ht="14">
      <c r="A52" s="130">
        <v>41542</v>
      </c>
      <c r="B52">
        <v>2</v>
      </c>
      <c r="C52" t="s">
        <v>386</v>
      </c>
      <c r="D52">
        <v>171</v>
      </c>
      <c r="E52">
        <v>289</v>
      </c>
      <c r="F52">
        <v>890</v>
      </c>
      <c r="G52">
        <v>10</v>
      </c>
      <c r="H52">
        <f t="shared" si="3"/>
        <v>89</v>
      </c>
      <c r="J52" s="4">
        <f t="shared" si="4"/>
        <v>15219</v>
      </c>
      <c r="K52" s="4">
        <f t="shared" si="5"/>
        <v>25721</v>
      </c>
    </row>
    <row r="53" spans="1:24" ht="14">
      <c r="A53" s="130">
        <v>41542</v>
      </c>
      <c r="B53">
        <v>2</v>
      </c>
      <c r="C53" t="s">
        <v>386</v>
      </c>
      <c r="D53">
        <v>218</v>
      </c>
      <c r="E53">
        <v>284</v>
      </c>
      <c r="F53">
        <v>890</v>
      </c>
      <c r="G53">
        <v>10</v>
      </c>
      <c r="H53">
        <f t="shared" si="3"/>
        <v>89</v>
      </c>
      <c r="J53" s="4">
        <f t="shared" si="4"/>
        <v>19402</v>
      </c>
      <c r="K53" s="4">
        <f t="shared" si="5"/>
        <v>25276</v>
      </c>
    </row>
    <row r="54" spans="1:24" ht="14">
      <c r="A54" s="130">
        <v>41542</v>
      </c>
      <c r="B54" s="52">
        <v>2</v>
      </c>
      <c r="C54" s="52" t="s">
        <v>386</v>
      </c>
      <c r="D54" s="52">
        <v>207</v>
      </c>
      <c r="E54" s="52">
        <v>281</v>
      </c>
      <c r="F54" s="52">
        <v>890</v>
      </c>
      <c r="G54" s="52">
        <v>10</v>
      </c>
      <c r="H54" s="52">
        <f t="shared" si="3"/>
        <v>89</v>
      </c>
      <c r="I54" s="52"/>
      <c r="J54" s="125">
        <f t="shared" si="4"/>
        <v>18423</v>
      </c>
      <c r="K54" s="125">
        <f t="shared" si="5"/>
        <v>25009</v>
      </c>
      <c r="L54" s="52"/>
      <c r="M54" s="52"/>
      <c r="N54" s="52"/>
    </row>
    <row r="55" spans="1:24" ht="14">
      <c r="A55" s="130">
        <v>41542</v>
      </c>
      <c r="B55">
        <v>4</v>
      </c>
      <c r="C55" t="s">
        <v>386</v>
      </c>
      <c r="D55">
        <v>217</v>
      </c>
      <c r="E55">
        <v>0</v>
      </c>
      <c r="F55">
        <v>740</v>
      </c>
      <c r="G55">
        <v>10</v>
      </c>
      <c r="H55">
        <f t="shared" si="3"/>
        <v>74</v>
      </c>
      <c r="J55" s="4">
        <f t="shared" si="4"/>
        <v>16058</v>
      </c>
      <c r="K55" s="4">
        <f t="shared" si="5"/>
        <v>0</v>
      </c>
    </row>
    <row r="56" spans="1:24" ht="14">
      <c r="A56" s="130">
        <v>41542</v>
      </c>
      <c r="B56">
        <v>4</v>
      </c>
      <c r="C56" t="s">
        <v>386</v>
      </c>
      <c r="D56">
        <v>200</v>
      </c>
      <c r="E56">
        <v>6</v>
      </c>
      <c r="F56">
        <v>740</v>
      </c>
      <c r="G56">
        <v>10</v>
      </c>
      <c r="H56">
        <f t="shared" si="3"/>
        <v>74</v>
      </c>
      <c r="J56" s="4">
        <f t="shared" si="4"/>
        <v>14800</v>
      </c>
      <c r="K56" s="4">
        <f t="shared" si="5"/>
        <v>444</v>
      </c>
    </row>
    <row r="57" spans="1:24" ht="14">
      <c r="A57" s="130">
        <v>41542</v>
      </c>
      <c r="B57">
        <v>4</v>
      </c>
      <c r="C57" t="s">
        <v>386</v>
      </c>
      <c r="D57">
        <v>215</v>
      </c>
      <c r="E57">
        <v>6</v>
      </c>
      <c r="F57">
        <v>740</v>
      </c>
      <c r="G57">
        <v>10</v>
      </c>
      <c r="H57">
        <f t="shared" si="3"/>
        <v>74</v>
      </c>
      <c r="J57" s="4">
        <f t="shared" si="4"/>
        <v>15910</v>
      </c>
      <c r="K57" s="4">
        <f t="shared" si="5"/>
        <v>444</v>
      </c>
    </row>
    <row r="58" spans="1:24" ht="14">
      <c r="A58" s="130">
        <v>41542</v>
      </c>
      <c r="B58">
        <v>5</v>
      </c>
      <c r="C58" t="s">
        <v>386</v>
      </c>
      <c r="D58">
        <v>289</v>
      </c>
      <c r="E58">
        <v>9</v>
      </c>
      <c r="F58">
        <v>780</v>
      </c>
      <c r="G58">
        <v>5</v>
      </c>
      <c r="H58">
        <f t="shared" si="3"/>
        <v>156</v>
      </c>
      <c r="J58" s="4">
        <f t="shared" si="4"/>
        <v>45084</v>
      </c>
      <c r="K58" s="4">
        <f t="shared" si="5"/>
        <v>1404</v>
      </c>
    </row>
    <row r="59" spans="1:24" ht="14">
      <c r="A59" s="130">
        <v>41542</v>
      </c>
      <c r="B59">
        <v>5</v>
      </c>
      <c r="C59" t="s">
        <v>386</v>
      </c>
      <c r="D59">
        <v>228</v>
      </c>
      <c r="E59">
        <v>7</v>
      </c>
      <c r="F59">
        <v>780</v>
      </c>
      <c r="G59">
        <v>5</v>
      </c>
      <c r="H59">
        <f t="shared" si="3"/>
        <v>156</v>
      </c>
      <c r="J59" s="4">
        <f t="shared" si="4"/>
        <v>35568</v>
      </c>
      <c r="K59" s="4">
        <f t="shared" si="5"/>
        <v>1092</v>
      </c>
    </row>
    <row r="60" spans="1:24" ht="14">
      <c r="A60" s="130">
        <v>41542</v>
      </c>
      <c r="B60">
        <v>5</v>
      </c>
      <c r="C60" t="s">
        <v>386</v>
      </c>
      <c r="D60">
        <v>252</v>
      </c>
      <c r="E60">
        <v>4</v>
      </c>
      <c r="F60">
        <v>780</v>
      </c>
      <c r="G60">
        <v>5</v>
      </c>
      <c r="H60">
        <f t="shared" si="3"/>
        <v>156</v>
      </c>
      <c r="J60" s="4">
        <f t="shared" si="4"/>
        <v>39312</v>
      </c>
      <c r="K60" s="4">
        <f t="shared" si="5"/>
        <v>624</v>
      </c>
    </row>
    <row r="61" spans="1:24" ht="14">
      <c r="A61" s="130">
        <v>41542</v>
      </c>
      <c r="B61">
        <v>8</v>
      </c>
      <c r="C61" t="s">
        <v>386</v>
      </c>
      <c r="D61">
        <v>188</v>
      </c>
      <c r="E61">
        <v>6</v>
      </c>
      <c r="F61">
        <v>600</v>
      </c>
      <c r="G61">
        <v>10</v>
      </c>
      <c r="H61">
        <f t="shared" si="3"/>
        <v>60</v>
      </c>
      <c r="J61" s="4">
        <f t="shared" si="4"/>
        <v>11280</v>
      </c>
      <c r="K61" s="4">
        <f t="shared" si="5"/>
        <v>360</v>
      </c>
    </row>
    <row r="62" spans="1:24" ht="14">
      <c r="A62" s="130">
        <v>41542</v>
      </c>
      <c r="B62" s="52">
        <v>8</v>
      </c>
      <c r="C62" s="52" t="s">
        <v>386</v>
      </c>
      <c r="D62" s="52">
        <v>198</v>
      </c>
      <c r="E62" s="52">
        <v>0</v>
      </c>
      <c r="F62" s="52">
        <v>600</v>
      </c>
      <c r="G62" s="52">
        <v>10</v>
      </c>
      <c r="H62" s="52">
        <f t="shared" si="3"/>
        <v>60</v>
      </c>
      <c r="I62" s="52"/>
      <c r="J62" s="125">
        <f t="shared" si="4"/>
        <v>11880</v>
      </c>
      <c r="K62" s="125">
        <f t="shared" si="5"/>
        <v>0</v>
      </c>
      <c r="L62" s="52"/>
      <c r="M62" s="52"/>
      <c r="N62" s="52"/>
    </row>
    <row r="63" spans="1:24" ht="14">
      <c r="A63" s="130">
        <v>41542</v>
      </c>
      <c r="B63" s="52">
        <v>8</v>
      </c>
      <c r="C63" s="52" t="s">
        <v>386</v>
      </c>
      <c r="D63" s="52">
        <v>230</v>
      </c>
      <c r="E63" s="52">
        <v>4</v>
      </c>
      <c r="F63" s="52">
        <v>600</v>
      </c>
      <c r="G63" s="52">
        <v>10</v>
      </c>
      <c r="H63" s="52">
        <f t="shared" si="3"/>
        <v>60</v>
      </c>
      <c r="I63" s="52"/>
      <c r="J63" s="125">
        <f t="shared" si="4"/>
        <v>13800</v>
      </c>
      <c r="K63" s="125">
        <f t="shared" si="5"/>
        <v>240</v>
      </c>
      <c r="L63" s="52"/>
      <c r="M63" s="52"/>
      <c r="N63" s="52"/>
    </row>
    <row r="64" spans="1:24" s="38" customFormat="1" ht="14">
      <c r="A64" s="131">
        <v>41570</v>
      </c>
      <c r="B64" s="52">
        <v>2</v>
      </c>
      <c r="C64" s="52" t="s">
        <v>389</v>
      </c>
      <c r="D64" s="52">
        <v>269</v>
      </c>
      <c r="E64" s="52">
        <v>348</v>
      </c>
      <c r="F64" s="52">
        <v>1090</v>
      </c>
      <c r="G64" s="52">
        <v>20</v>
      </c>
      <c r="H64" s="52">
        <f t="shared" si="3"/>
        <v>54.5</v>
      </c>
      <c r="I64" s="52"/>
      <c r="J64" s="125">
        <f t="shared" si="4"/>
        <v>14660.5</v>
      </c>
      <c r="K64" s="125">
        <f t="shared" si="5"/>
        <v>18966</v>
      </c>
      <c r="L64" s="52"/>
      <c r="M64" s="52"/>
      <c r="N64" s="52"/>
      <c r="R64" s="134"/>
      <c r="S64" s="36"/>
      <c r="T64" s="36"/>
      <c r="U64" s="36"/>
      <c r="V64" s="36"/>
      <c r="W64" s="36"/>
      <c r="X64" s="36"/>
    </row>
    <row r="65" spans="1:24" s="38" customFormat="1" ht="14">
      <c r="A65" s="131">
        <v>41570</v>
      </c>
      <c r="B65" s="52">
        <v>2</v>
      </c>
      <c r="C65" s="52" t="s">
        <v>389</v>
      </c>
      <c r="D65" s="52">
        <v>264</v>
      </c>
      <c r="E65" s="52">
        <v>363</v>
      </c>
      <c r="F65" s="52">
        <v>1090</v>
      </c>
      <c r="G65" s="52">
        <v>20</v>
      </c>
      <c r="H65" s="52">
        <f t="shared" si="3"/>
        <v>54.5</v>
      </c>
      <c r="I65" s="52"/>
      <c r="J65" s="125">
        <f t="shared" si="4"/>
        <v>14388</v>
      </c>
      <c r="K65" s="125">
        <f t="shared" si="5"/>
        <v>19783.5</v>
      </c>
      <c r="L65" s="52"/>
      <c r="M65" s="52"/>
      <c r="N65" s="52"/>
      <c r="R65" s="134"/>
      <c r="S65" s="36"/>
      <c r="T65" s="36"/>
      <c r="U65" s="36"/>
      <c r="V65" s="36"/>
      <c r="W65" s="36"/>
      <c r="X65" s="36"/>
    </row>
    <row r="66" spans="1:24" ht="14">
      <c r="A66" s="131">
        <v>41570</v>
      </c>
      <c r="B66">
        <v>2</v>
      </c>
      <c r="C66" t="s">
        <v>386</v>
      </c>
      <c r="D66">
        <v>233</v>
      </c>
      <c r="E66">
        <v>326</v>
      </c>
      <c r="F66">
        <v>1090</v>
      </c>
      <c r="G66">
        <v>20</v>
      </c>
      <c r="H66">
        <f t="shared" si="3"/>
        <v>54.5</v>
      </c>
      <c r="J66" s="4">
        <f t="shared" si="4"/>
        <v>12698.5</v>
      </c>
      <c r="K66" s="4">
        <f t="shared" si="5"/>
        <v>17767</v>
      </c>
      <c r="R66" s="10"/>
      <c r="S66" s="3"/>
      <c r="T66" s="3"/>
      <c r="U66" s="3"/>
      <c r="V66" s="3"/>
      <c r="W66" s="3"/>
      <c r="X66" s="3"/>
    </row>
    <row r="67" spans="1:24" ht="14">
      <c r="A67" s="131">
        <v>41570</v>
      </c>
      <c r="B67">
        <v>4</v>
      </c>
      <c r="C67" t="s">
        <v>386</v>
      </c>
      <c r="D67">
        <v>121</v>
      </c>
      <c r="E67">
        <v>79</v>
      </c>
      <c r="F67">
        <v>920</v>
      </c>
      <c r="G67">
        <v>20</v>
      </c>
      <c r="H67">
        <f t="shared" si="3"/>
        <v>46</v>
      </c>
      <c r="J67" s="4">
        <f t="shared" si="4"/>
        <v>5566</v>
      </c>
      <c r="K67" s="4">
        <f t="shared" si="5"/>
        <v>3634</v>
      </c>
      <c r="N67" t="s">
        <v>400</v>
      </c>
      <c r="R67" s="10"/>
      <c r="S67" s="3"/>
      <c r="T67" s="3"/>
      <c r="U67" s="3"/>
      <c r="V67" s="3"/>
      <c r="W67" s="3"/>
      <c r="X67" s="3"/>
    </row>
    <row r="68" spans="1:24" ht="14">
      <c r="A68" s="131">
        <v>41570</v>
      </c>
      <c r="B68">
        <v>4</v>
      </c>
      <c r="C68" t="s">
        <v>389</v>
      </c>
      <c r="D68">
        <v>66</v>
      </c>
      <c r="E68">
        <v>53</v>
      </c>
      <c r="F68">
        <v>920</v>
      </c>
      <c r="G68">
        <v>10</v>
      </c>
      <c r="H68">
        <f t="shared" si="3"/>
        <v>92</v>
      </c>
      <c r="J68" s="4">
        <f t="shared" si="4"/>
        <v>6072</v>
      </c>
      <c r="K68" s="4">
        <f t="shared" si="5"/>
        <v>4876</v>
      </c>
      <c r="N68" t="s">
        <v>401</v>
      </c>
      <c r="R68" s="10"/>
      <c r="S68" s="3"/>
      <c r="T68" s="3"/>
      <c r="U68" s="3"/>
      <c r="V68" s="3"/>
      <c r="W68" s="3"/>
      <c r="X68" s="3"/>
    </row>
    <row r="69" spans="1:24" ht="14">
      <c r="A69" s="131">
        <v>41570</v>
      </c>
      <c r="B69">
        <v>5</v>
      </c>
      <c r="C69" t="s">
        <v>386</v>
      </c>
      <c r="D69">
        <v>328</v>
      </c>
      <c r="E69">
        <v>35</v>
      </c>
      <c r="F69">
        <v>1100</v>
      </c>
      <c r="G69">
        <v>10</v>
      </c>
      <c r="H69">
        <f t="shared" si="3"/>
        <v>110</v>
      </c>
      <c r="J69" s="4">
        <f t="shared" si="4"/>
        <v>36080</v>
      </c>
      <c r="K69" s="4">
        <f t="shared" si="5"/>
        <v>3850</v>
      </c>
      <c r="N69" t="s">
        <v>399</v>
      </c>
    </row>
    <row r="70" spans="1:24" ht="14">
      <c r="A70" s="131">
        <v>41570</v>
      </c>
      <c r="B70">
        <v>5</v>
      </c>
      <c r="C70" t="s">
        <v>386</v>
      </c>
      <c r="D70">
        <v>246</v>
      </c>
      <c r="E70">
        <v>40</v>
      </c>
      <c r="F70">
        <v>1100</v>
      </c>
      <c r="G70">
        <v>10</v>
      </c>
      <c r="H70">
        <f t="shared" ref="H70:H101" si="6">F70/G70</f>
        <v>110</v>
      </c>
      <c r="J70" s="4">
        <f t="shared" ref="J70:J101" si="7">D70*H70</f>
        <v>27060</v>
      </c>
      <c r="K70" s="4">
        <f t="shared" si="5"/>
        <v>4400</v>
      </c>
      <c r="N70" t="s">
        <v>399</v>
      </c>
    </row>
    <row r="71" spans="1:24" ht="14">
      <c r="A71" s="131">
        <v>41570</v>
      </c>
      <c r="B71">
        <v>5</v>
      </c>
      <c r="C71" t="s">
        <v>386</v>
      </c>
      <c r="D71">
        <v>270</v>
      </c>
      <c r="E71">
        <v>31</v>
      </c>
      <c r="F71">
        <v>1100</v>
      </c>
      <c r="G71">
        <v>10</v>
      </c>
      <c r="H71">
        <f t="shared" si="6"/>
        <v>110</v>
      </c>
      <c r="J71" s="4">
        <f t="shared" si="7"/>
        <v>29700</v>
      </c>
      <c r="K71" s="4">
        <f t="shared" si="5"/>
        <v>3410</v>
      </c>
      <c r="N71" t="s">
        <v>399</v>
      </c>
    </row>
    <row r="72" spans="1:24" ht="14">
      <c r="A72" s="131">
        <v>41570</v>
      </c>
      <c r="B72" s="52">
        <v>8</v>
      </c>
      <c r="C72" s="52" t="s">
        <v>386</v>
      </c>
      <c r="D72" s="52">
        <v>205</v>
      </c>
      <c r="E72" s="52">
        <v>5</v>
      </c>
      <c r="F72" s="52">
        <v>286</v>
      </c>
      <c r="G72" s="52">
        <v>10</v>
      </c>
      <c r="H72" s="52">
        <f t="shared" si="6"/>
        <v>28.6</v>
      </c>
      <c r="I72" s="52"/>
      <c r="J72" s="125">
        <f t="shared" si="7"/>
        <v>5863</v>
      </c>
      <c r="K72" s="125">
        <f t="shared" si="5"/>
        <v>143</v>
      </c>
      <c r="L72" s="52"/>
      <c r="M72" s="52"/>
      <c r="N72" s="52"/>
    </row>
    <row r="73" spans="1:24" ht="14">
      <c r="A73" s="131">
        <v>41570</v>
      </c>
      <c r="B73">
        <v>8</v>
      </c>
      <c r="C73" t="s">
        <v>386</v>
      </c>
      <c r="D73">
        <v>257</v>
      </c>
      <c r="E73">
        <v>3</v>
      </c>
      <c r="F73">
        <v>286</v>
      </c>
      <c r="G73">
        <v>10</v>
      </c>
      <c r="H73">
        <f t="shared" si="6"/>
        <v>28.6</v>
      </c>
      <c r="J73" s="4">
        <f t="shared" si="7"/>
        <v>7350.2000000000007</v>
      </c>
      <c r="K73" s="4">
        <f t="shared" si="5"/>
        <v>85.800000000000011</v>
      </c>
    </row>
    <row r="74" spans="1:24" ht="14">
      <c r="A74" s="131">
        <v>41570</v>
      </c>
      <c r="B74">
        <v>8</v>
      </c>
      <c r="C74" t="s">
        <v>386</v>
      </c>
      <c r="D74">
        <v>217</v>
      </c>
      <c r="E74">
        <v>9</v>
      </c>
      <c r="F74">
        <v>286</v>
      </c>
      <c r="G74">
        <v>10</v>
      </c>
      <c r="H74">
        <f t="shared" si="6"/>
        <v>28.6</v>
      </c>
      <c r="J74" s="4">
        <f t="shared" si="7"/>
        <v>6206.2000000000007</v>
      </c>
      <c r="K74" s="4">
        <f t="shared" si="5"/>
        <v>257.40000000000003</v>
      </c>
    </row>
    <row r="75" spans="1:24" ht="14">
      <c r="A75" s="130">
        <v>41586</v>
      </c>
      <c r="B75">
        <v>2</v>
      </c>
      <c r="C75" t="s">
        <v>402</v>
      </c>
      <c r="D75">
        <v>140</v>
      </c>
      <c r="F75">
        <v>330</v>
      </c>
      <c r="G75">
        <v>10</v>
      </c>
      <c r="H75">
        <f t="shared" si="6"/>
        <v>33</v>
      </c>
      <c r="J75" s="4">
        <f t="shared" si="7"/>
        <v>4620</v>
      </c>
      <c r="K75" s="4"/>
      <c r="M75" s="4">
        <f>AVERAGE(J75:J76)</f>
        <v>4686</v>
      </c>
    </row>
    <row r="76" spans="1:24" ht="14">
      <c r="A76" s="130">
        <v>41586</v>
      </c>
      <c r="B76">
        <v>2</v>
      </c>
      <c r="C76" t="s">
        <v>403</v>
      </c>
      <c r="D76">
        <v>144</v>
      </c>
      <c r="F76">
        <v>330</v>
      </c>
      <c r="G76">
        <v>10</v>
      </c>
      <c r="H76">
        <f t="shared" si="6"/>
        <v>33</v>
      </c>
      <c r="J76" s="4">
        <f t="shared" si="7"/>
        <v>4752</v>
      </c>
      <c r="K76" s="4"/>
    </row>
    <row r="77" spans="1:24" ht="14">
      <c r="A77" s="130">
        <v>41586</v>
      </c>
      <c r="B77">
        <v>4</v>
      </c>
      <c r="C77" t="s">
        <v>402</v>
      </c>
      <c r="D77">
        <v>129</v>
      </c>
      <c r="F77">
        <v>500</v>
      </c>
      <c r="G77">
        <v>10</v>
      </c>
      <c r="H77">
        <f t="shared" si="6"/>
        <v>50</v>
      </c>
      <c r="J77" s="4">
        <f t="shared" si="7"/>
        <v>6450</v>
      </c>
      <c r="K77" s="4"/>
      <c r="M77" s="4">
        <f>AVERAGE(J77:J78)</f>
        <v>6275</v>
      </c>
    </row>
    <row r="78" spans="1:24" ht="14">
      <c r="A78" s="130">
        <v>41586</v>
      </c>
      <c r="B78">
        <v>4</v>
      </c>
      <c r="C78" t="s">
        <v>402</v>
      </c>
      <c r="D78">
        <v>122</v>
      </c>
      <c r="F78">
        <v>500</v>
      </c>
      <c r="G78">
        <v>10</v>
      </c>
      <c r="H78">
        <f t="shared" si="6"/>
        <v>50</v>
      </c>
      <c r="J78" s="4">
        <f t="shared" si="7"/>
        <v>6100</v>
      </c>
      <c r="K78" s="4"/>
    </row>
    <row r="79" spans="1:24" ht="14">
      <c r="A79" s="130">
        <v>41586</v>
      </c>
      <c r="B79">
        <v>5</v>
      </c>
      <c r="C79" t="s">
        <v>403</v>
      </c>
      <c r="D79">
        <v>214</v>
      </c>
      <c r="F79">
        <v>980</v>
      </c>
      <c r="G79">
        <v>5</v>
      </c>
      <c r="H79">
        <f t="shared" si="6"/>
        <v>196</v>
      </c>
      <c r="J79" s="4">
        <f t="shared" si="7"/>
        <v>41944</v>
      </c>
      <c r="K79" s="4"/>
      <c r="M79" s="4">
        <f>AVERAGE(J79:J82)</f>
        <v>37877</v>
      </c>
    </row>
    <row r="80" spans="1:24" ht="14">
      <c r="A80" s="130">
        <v>41586</v>
      </c>
      <c r="B80">
        <v>5</v>
      </c>
      <c r="C80" t="s">
        <v>402</v>
      </c>
      <c r="D80">
        <v>160</v>
      </c>
      <c r="F80">
        <v>980</v>
      </c>
      <c r="G80">
        <v>5</v>
      </c>
      <c r="H80">
        <f t="shared" si="6"/>
        <v>196</v>
      </c>
      <c r="J80" s="4">
        <f t="shared" si="7"/>
        <v>31360</v>
      </c>
      <c r="K80" s="4"/>
    </row>
    <row r="81" spans="1:13" ht="14">
      <c r="A81" s="130">
        <v>41586</v>
      </c>
      <c r="B81">
        <v>5</v>
      </c>
      <c r="C81" t="s">
        <v>403</v>
      </c>
      <c r="D81">
        <v>195</v>
      </c>
      <c r="F81">
        <v>980</v>
      </c>
      <c r="G81">
        <v>5</v>
      </c>
      <c r="H81">
        <f t="shared" si="6"/>
        <v>196</v>
      </c>
      <c r="J81" s="4">
        <f t="shared" si="7"/>
        <v>38220</v>
      </c>
      <c r="K81" s="4"/>
    </row>
    <row r="82" spans="1:13" ht="14">
      <c r="A82" s="130">
        <v>41586</v>
      </c>
      <c r="B82">
        <v>5</v>
      </c>
      <c r="C82" t="s">
        <v>402</v>
      </c>
      <c r="D82">
        <v>204</v>
      </c>
      <c r="F82">
        <v>980</v>
      </c>
      <c r="G82">
        <v>5</v>
      </c>
      <c r="H82">
        <f t="shared" si="6"/>
        <v>196</v>
      </c>
      <c r="J82" s="4">
        <f t="shared" si="7"/>
        <v>39984</v>
      </c>
      <c r="K82" s="4"/>
    </row>
    <row r="83" spans="1:13" ht="14">
      <c r="A83" s="130">
        <v>41586</v>
      </c>
      <c r="B83">
        <v>8</v>
      </c>
      <c r="C83" t="s">
        <v>402</v>
      </c>
      <c r="D83">
        <v>194</v>
      </c>
      <c r="F83">
        <v>210</v>
      </c>
      <c r="G83">
        <v>5</v>
      </c>
      <c r="H83">
        <f t="shared" si="6"/>
        <v>42</v>
      </c>
      <c r="J83" s="4">
        <f t="shared" si="7"/>
        <v>8148</v>
      </c>
      <c r="K83" s="4"/>
      <c r="M83" s="4">
        <f>AVERAGE(J83:J85)</f>
        <v>8106</v>
      </c>
    </row>
    <row r="84" spans="1:13" ht="14">
      <c r="A84" s="130">
        <v>41586</v>
      </c>
      <c r="B84">
        <v>8</v>
      </c>
      <c r="C84" t="s">
        <v>403</v>
      </c>
      <c r="D84">
        <v>196</v>
      </c>
      <c r="F84">
        <v>210</v>
      </c>
      <c r="G84">
        <v>5</v>
      </c>
      <c r="H84">
        <f t="shared" si="6"/>
        <v>42</v>
      </c>
      <c r="J84" s="4">
        <f t="shared" si="7"/>
        <v>8232</v>
      </c>
      <c r="K84" s="4"/>
    </row>
    <row r="85" spans="1:13" ht="14">
      <c r="A85" s="130">
        <v>41586</v>
      </c>
      <c r="B85">
        <v>8</v>
      </c>
      <c r="C85" t="s">
        <v>402</v>
      </c>
      <c r="D85">
        <v>189</v>
      </c>
      <c r="F85">
        <v>210</v>
      </c>
      <c r="G85">
        <v>5</v>
      </c>
      <c r="H85">
        <f t="shared" si="6"/>
        <v>42</v>
      </c>
      <c r="J85" s="4">
        <f t="shared" si="7"/>
        <v>7938</v>
      </c>
      <c r="K85" s="4"/>
    </row>
    <row r="86" spans="1:13" s="50" customFormat="1" ht="14">
      <c r="A86" s="137">
        <v>41761</v>
      </c>
      <c r="B86" s="50">
        <v>2</v>
      </c>
      <c r="C86" s="50" t="s">
        <v>404</v>
      </c>
      <c r="D86" s="50">
        <v>57</v>
      </c>
      <c r="F86" s="50">
        <v>150</v>
      </c>
      <c r="G86" s="50">
        <v>15</v>
      </c>
      <c r="H86" s="50">
        <f t="shared" si="6"/>
        <v>10</v>
      </c>
      <c r="J86" s="138">
        <f t="shared" si="7"/>
        <v>570</v>
      </c>
      <c r="K86" s="138"/>
    </row>
    <row r="87" spans="1:13" s="50" customFormat="1" ht="14">
      <c r="A87" s="137">
        <v>41761</v>
      </c>
      <c r="B87" s="50">
        <v>4</v>
      </c>
      <c r="C87" s="50" t="s">
        <v>402</v>
      </c>
      <c r="D87" s="50">
        <v>115</v>
      </c>
      <c r="F87" s="50">
        <v>410</v>
      </c>
      <c r="G87" s="50">
        <v>15</v>
      </c>
      <c r="H87" s="50">
        <f t="shared" si="6"/>
        <v>27.333333333333332</v>
      </c>
      <c r="J87" s="138">
        <f t="shared" si="7"/>
        <v>3143.333333333333</v>
      </c>
      <c r="K87" s="138"/>
      <c r="M87" s="138">
        <f>AVERAGE(J87:J89)</f>
        <v>3152.4444444444439</v>
      </c>
    </row>
    <row r="88" spans="1:13" s="50" customFormat="1" ht="14">
      <c r="A88" s="137">
        <v>41761</v>
      </c>
      <c r="B88" s="50">
        <v>4</v>
      </c>
      <c r="C88" s="50" t="s">
        <v>402</v>
      </c>
      <c r="D88" s="50">
        <v>104</v>
      </c>
      <c r="F88" s="50">
        <v>410</v>
      </c>
      <c r="G88" s="50">
        <v>15</v>
      </c>
      <c r="H88" s="50">
        <f t="shared" si="6"/>
        <v>27.333333333333332</v>
      </c>
      <c r="J88" s="138">
        <f t="shared" si="7"/>
        <v>2842.6666666666665</v>
      </c>
      <c r="K88" s="138"/>
    </row>
    <row r="89" spans="1:13" s="50" customFormat="1" ht="14">
      <c r="A89" s="137">
        <v>41761</v>
      </c>
      <c r="B89" s="50">
        <v>4</v>
      </c>
      <c r="C89" s="50" t="s">
        <v>403</v>
      </c>
      <c r="D89" s="50">
        <v>127</v>
      </c>
      <c r="F89" s="50">
        <v>410</v>
      </c>
      <c r="G89" s="50">
        <v>15</v>
      </c>
      <c r="H89" s="50">
        <f t="shared" si="6"/>
        <v>27.333333333333332</v>
      </c>
      <c r="J89" s="138">
        <f t="shared" si="7"/>
        <v>3471.333333333333</v>
      </c>
      <c r="K89" s="138"/>
    </row>
    <row r="90" spans="1:13" s="50" customFormat="1" ht="14">
      <c r="A90" s="137">
        <v>41761</v>
      </c>
      <c r="B90" s="50">
        <v>5</v>
      </c>
      <c r="C90" s="50" t="s">
        <v>402</v>
      </c>
      <c r="D90" s="50">
        <v>163</v>
      </c>
      <c r="F90" s="50">
        <v>311</v>
      </c>
      <c r="G90" s="50">
        <v>5</v>
      </c>
      <c r="H90" s="50">
        <f t="shared" si="6"/>
        <v>62.2</v>
      </c>
      <c r="J90" s="138">
        <f t="shared" si="7"/>
        <v>10138.6</v>
      </c>
      <c r="K90" s="138"/>
      <c r="M90" s="138">
        <f>AVERAGE(J90:J91)</f>
        <v>10231.900000000001</v>
      </c>
    </row>
    <row r="91" spans="1:13" s="50" customFormat="1" ht="14">
      <c r="A91" s="137">
        <v>41761</v>
      </c>
      <c r="B91" s="50">
        <v>5</v>
      </c>
      <c r="C91" s="50" t="s">
        <v>403</v>
      </c>
      <c r="D91" s="50">
        <v>166</v>
      </c>
      <c r="F91" s="50">
        <v>311</v>
      </c>
      <c r="G91" s="50">
        <v>5</v>
      </c>
      <c r="H91" s="50">
        <f t="shared" si="6"/>
        <v>62.2</v>
      </c>
      <c r="J91" s="138">
        <f t="shared" si="7"/>
        <v>10325.200000000001</v>
      </c>
      <c r="K91" s="138"/>
    </row>
    <row r="92" spans="1:13" s="50" customFormat="1" ht="14">
      <c r="A92" s="137">
        <v>41761</v>
      </c>
      <c r="B92" s="50">
        <v>8</v>
      </c>
      <c r="C92" s="50" t="s">
        <v>402</v>
      </c>
      <c r="D92" s="50">
        <v>101</v>
      </c>
      <c r="F92" s="50">
        <v>350</v>
      </c>
      <c r="G92" s="50">
        <v>5</v>
      </c>
      <c r="H92" s="50">
        <f t="shared" si="6"/>
        <v>70</v>
      </c>
      <c r="J92" s="138">
        <f t="shared" si="7"/>
        <v>7070</v>
      </c>
      <c r="K92" s="138"/>
      <c r="M92" s="138">
        <f>AVERAGE(J92:J93)</f>
        <v>6790</v>
      </c>
    </row>
    <row r="93" spans="1:13" s="50" customFormat="1" ht="14">
      <c r="A93" s="137">
        <v>41761</v>
      </c>
      <c r="B93" s="50">
        <v>8</v>
      </c>
      <c r="C93" s="50" t="s">
        <v>403</v>
      </c>
      <c r="D93" s="50">
        <v>93</v>
      </c>
      <c r="F93" s="50">
        <v>350</v>
      </c>
      <c r="G93" s="50">
        <v>5</v>
      </c>
      <c r="H93" s="50">
        <f t="shared" si="6"/>
        <v>70</v>
      </c>
      <c r="J93" s="138">
        <f t="shared" si="7"/>
        <v>6510</v>
      </c>
      <c r="K93" s="138"/>
    </row>
    <row r="94" spans="1:13" s="50" customFormat="1" ht="14">
      <c r="A94" s="137">
        <v>41761</v>
      </c>
      <c r="B94" s="50">
        <v>2</v>
      </c>
      <c r="C94" s="50" t="s">
        <v>402</v>
      </c>
      <c r="D94" s="50">
        <v>110</v>
      </c>
      <c r="F94" s="50">
        <v>410</v>
      </c>
      <c r="G94" s="50">
        <v>5</v>
      </c>
      <c r="H94" s="50">
        <f t="shared" si="6"/>
        <v>82</v>
      </c>
      <c r="J94" s="138">
        <f t="shared" si="7"/>
        <v>9020</v>
      </c>
      <c r="K94" s="138"/>
      <c r="M94" s="138">
        <f>AVERAGE(J94:J96)</f>
        <v>5280</v>
      </c>
    </row>
    <row r="95" spans="1:13" ht="14">
      <c r="A95" s="130">
        <v>41789</v>
      </c>
      <c r="B95">
        <v>2</v>
      </c>
      <c r="C95" t="s">
        <v>405</v>
      </c>
      <c r="D95">
        <v>117</v>
      </c>
      <c r="F95">
        <v>275</v>
      </c>
      <c r="G95">
        <v>10</v>
      </c>
      <c r="H95">
        <f t="shared" si="6"/>
        <v>27.5</v>
      </c>
      <c r="J95" s="4">
        <f t="shared" si="7"/>
        <v>3217.5</v>
      </c>
      <c r="K95" s="4"/>
      <c r="M95" s="4">
        <f>AVERAGE(J95:J96)</f>
        <v>3410</v>
      </c>
    </row>
    <row r="96" spans="1:13" ht="14">
      <c r="A96" s="130">
        <v>41789</v>
      </c>
      <c r="B96">
        <v>2</v>
      </c>
      <c r="C96" t="s">
        <v>405</v>
      </c>
      <c r="D96">
        <v>131</v>
      </c>
      <c r="F96">
        <v>275</v>
      </c>
      <c r="G96">
        <v>10</v>
      </c>
      <c r="H96">
        <f t="shared" si="6"/>
        <v>27.5</v>
      </c>
      <c r="J96" s="4">
        <f t="shared" si="7"/>
        <v>3602.5</v>
      </c>
      <c r="K96" s="4"/>
    </row>
    <row r="97" spans="1:14" ht="14">
      <c r="A97" s="130">
        <v>41789</v>
      </c>
      <c r="B97">
        <v>4</v>
      </c>
      <c r="C97" t="s">
        <v>405</v>
      </c>
      <c r="D97">
        <v>100</v>
      </c>
      <c r="F97">
        <v>360</v>
      </c>
      <c r="G97">
        <v>5</v>
      </c>
      <c r="H97">
        <f t="shared" si="6"/>
        <v>72</v>
      </c>
      <c r="J97" s="4">
        <f t="shared" si="7"/>
        <v>7200</v>
      </c>
      <c r="K97" s="4"/>
      <c r="M97" s="4">
        <f>AVERAGE(J97:J98)</f>
        <v>7020</v>
      </c>
    </row>
    <row r="98" spans="1:14" ht="14">
      <c r="A98" s="130">
        <v>41789</v>
      </c>
      <c r="B98">
        <v>4</v>
      </c>
      <c r="C98" t="s">
        <v>405</v>
      </c>
      <c r="D98">
        <v>95</v>
      </c>
      <c r="F98">
        <v>360</v>
      </c>
      <c r="G98">
        <v>5</v>
      </c>
      <c r="H98">
        <f t="shared" si="6"/>
        <v>72</v>
      </c>
      <c r="J98" s="4">
        <f t="shared" si="7"/>
        <v>6840</v>
      </c>
      <c r="K98" s="4"/>
    </row>
    <row r="99" spans="1:14" ht="14">
      <c r="A99" s="130">
        <v>41789</v>
      </c>
      <c r="B99">
        <v>5</v>
      </c>
      <c r="C99" t="s">
        <v>405</v>
      </c>
      <c r="D99">
        <v>157</v>
      </c>
      <c r="F99">
        <v>127</v>
      </c>
      <c r="G99">
        <v>5</v>
      </c>
      <c r="H99">
        <f t="shared" si="6"/>
        <v>25.4</v>
      </c>
      <c r="J99" s="4">
        <f t="shared" si="7"/>
        <v>3987.7999999999997</v>
      </c>
      <c r="K99" s="4"/>
      <c r="M99" s="4">
        <f>AVERAGE(J99:J101)</f>
        <v>4250.2666666666664</v>
      </c>
    </row>
    <row r="100" spans="1:14" ht="14">
      <c r="A100" s="130">
        <v>41789</v>
      </c>
      <c r="B100">
        <v>5</v>
      </c>
      <c r="C100" t="s">
        <v>405</v>
      </c>
      <c r="D100">
        <v>166</v>
      </c>
      <c r="F100">
        <v>127</v>
      </c>
      <c r="G100">
        <v>5</v>
      </c>
      <c r="H100">
        <f t="shared" si="6"/>
        <v>25.4</v>
      </c>
      <c r="J100" s="4">
        <f t="shared" si="7"/>
        <v>4216.3999999999996</v>
      </c>
      <c r="K100" s="4"/>
    </row>
    <row r="101" spans="1:14" ht="14">
      <c r="A101" s="130">
        <v>41789</v>
      </c>
      <c r="B101">
        <v>5</v>
      </c>
      <c r="C101" t="s">
        <v>405</v>
      </c>
      <c r="D101">
        <v>179</v>
      </c>
      <c r="F101">
        <v>127</v>
      </c>
      <c r="G101">
        <v>5</v>
      </c>
      <c r="H101">
        <f t="shared" si="6"/>
        <v>25.4</v>
      </c>
      <c r="J101" s="4">
        <f t="shared" si="7"/>
        <v>4546.5999999999995</v>
      </c>
      <c r="K101" s="4"/>
    </row>
    <row r="102" spans="1:14" ht="14">
      <c r="A102" s="130">
        <v>41789</v>
      </c>
      <c r="B102">
        <v>8</v>
      </c>
      <c r="C102" t="s">
        <v>405</v>
      </c>
      <c r="D102">
        <v>21</v>
      </c>
      <c r="F102">
        <v>100</v>
      </c>
      <c r="G102">
        <v>100</v>
      </c>
      <c r="H102">
        <f t="shared" ref="H102:H133" si="8">F102/G102</f>
        <v>1</v>
      </c>
      <c r="J102" s="4">
        <f t="shared" ref="J102:J133" si="9">D102*H102</f>
        <v>21</v>
      </c>
      <c r="K102" s="4"/>
      <c r="M102" s="4">
        <f>AVERAGE(J102:J104)</f>
        <v>21</v>
      </c>
      <c r="N102" t="s">
        <v>406</v>
      </c>
    </row>
    <row r="103" spans="1:14" ht="14">
      <c r="A103" s="130">
        <v>41789</v>
      </c>
      <c r="B103">
        <v>8</v>
      </c>
      <c r="C103" t="s">
        <v>405</v>
      </c>
      <c r="D103">
        <v>21</v>
      </c>
      <c r="F103">
        <v>100</v>
      </c>
      <c r="G103">
        <v>100</v>
      </c>
      <c r="H103">
        <f t="shared" si="8"/>
        <v>1</v>
      </c>
      <c r="J103" s="4">
        <f t="shared" si="9"/>
        <v>21</v>
      </c>
      <c r="K103" s="4"/>
    </row>
    <row r="104" spans="1:14" ht="14">
      <c r="A104" s="130">
        <v>41789</v>
      </c>
      <c r="B104">
        <v>8</v>
      </c>
      <c r="C104" t="s">
        <v>405</v>
      </c>
      <c r="D104">
        <v>21</v>
      </c>
      <c r="F104">
        <v>100</v>
      </c>
      <c r="G104">
        <v>100</v>
      </c>
      <c r="H104">
        <f t="shared" si="8"/>
        <v>1</v>
      </c>
      <c r="J104" s="4">
        <f t="shared" si="9"/>
        <v>21</v>
      </c>
      <c r="K104" s="4"/>
    </row>
    <row r="105" spans="1:14" ht="14">
      <c r="A105" s="130">
        <v>41817</v>
      </c>
      <c r="B105">
        <v>2</v>
      </c>
      <c r="C105" t="s">
        <v>405</v>
      </c>
      <c r="D105">
        <v>173</v>
      </c>
      <c r="F105">
        <v>115</v>
      </c>
      <c r="G105">
        <v>5</v>
      </c>
      <c r="H105">
        <f t="shared" si="8"/>
        <v>23</v>
      </c>
      <c r="J105" s="4">
        <f t="shared" si="9"/>
        <v>3979</v>
      </c>
      <c r="K105" s="4"/>
      <c r="M105" s="4">
        <f>AVERAGE(J105:J106)</f>
        <v>3979</v>
      </c>
    </row>
    <row r="106" spans="1:14" ht="14">
      <c r="A106" s="130">
        <v>41817</v>
      </c>
      <c r="B106">
        <v>2</v>
      </c>
      <c r="C106" t="s">
        <v>405</v>
      </c>
      <c r="D106">
        <v>173</v>
      </c>
      <c r="F106">
        <v>115</v>
      </c>
      <c r="G106">
        <v>5</v>
      </c>
      <c r="H106">
        <f t="shared" si="8"/>
        <v>23</v>
      </c>
      <c r="J106" s="4">
        <f t="shared" si="9"/>
        <v>3979</v>
      </c>
      <c r="K106" s="4"/>
    </row>
    <row r="107" spans="1:14" ht="14">
      <c r="A107" s="130">
        <v>41817</v>
      </c>
      <c r="B107">
        <v>4</v>
      </c>
      <c r="C107" t="s">
        <v>405</v>
      </c>
      <c r="D107">
        <v>99</v>
      </c>
      <c r="F107">
        <v>365</v>
      </c>
      <c r="G107">
        <v>5</v>
      </c>
      <c r="H107">
        <f t="shared" si="8"/>
        <v>73</v>
      </c>
      <c r="J107" s="4">
        <f t="shared" si="9"/>
        <v>7227</v>
      </c>
      <c r="K107" s="4"/>
      <c r="M107" s="4">
        <f>AVERAGE(J107:J108)</f>
        <v>6935</v>
      </c>
    </row>
    <row r="108" spans="1:14" ht="14">
      <c r="A108" s="130">
        <v>41817</v>
      </c>
      <c r="B108">
        <v>4</v>
      </c>
      <c r="C108" t="s">
        <v>405</v>
      </c>
      <c r="D108">
        <v>91</v>
      </c>
      <c r="F108">
        <v>365</v>
      </c>
      <c r="G108">
        <v>5</v>
      </c>
      <c r="H108">
        <f t="shared" si="8"/>
        <v>73</v>
      </c>
      <c r="J108" s="4">
        <f t="shared" si="9"/>
        <v>6643</v>
      </c>
      <c r="K108" s="4"/>
    </row>
    <row r="109" spans="1:14" ht="14">
      <c r="A109" s="130">
        <v>41817</v>
      </c>
      <c r="B109">
        <v>5</v>
      </c>
      <c r="C109" t="s">
        <v>405</v>
      </c>
      <c r="D109">
        <v>138</v>
      </c>
      <c r="F109">
        <v>260</v>
      </c>
      <c r="G109">
        <v>5</v>
      </c>
      <c r="H109">
        <f t="shared" si="8"/>
        <v>52</v>
      </c>
      <c r="J109" s="4">
        <f t="shared" si="9"/>
        <v>7176</v>
      </c>
      <c r="K109" s="4"/>
      <c r="M109" s="4">
        <f>AVERAGE(J109:J110)</f>
        <v>7488</v>
      </c>
    </row>
    <row r="110" spans="1:14" ht="14.25" customHeight="1">
      <c r="A110" s="130">
        <v>41817</v>
      </c>
      <c r="B110">
        <v>5</v>
      </c>
      <c r="C110" t="s">
        <v>405</v>
      </c>
      <c r="D110">
        <v>150</v>
      </c>
      <c r="F110">
        <v>260</v>
      </c>
      <c r="G110">
        <v>5</v>
      </c>
      <c r="H110">
        <f t="shared" si="8"/>
        <v>52</v>
      </c>
      <c r="J110" s="4">
        <f t="shared" si="9"/>
        <v>7800</v>
      </c>
      <c r="K110" s="4"/>
    </row>
    <row r="111" spans="1:14" ht="14.25" customHeight="1">
      <c r="A111" s="130">
        <v>41817</v>
      </c>
      <c r="B111">
        <v>8</v>
      </c>
      <c r="C111" t="s">
        <v>405</v>
      </c>
      <c r="D111">
        <v>162</v>
      </c>
      <c r="F111">
        <v>422</v>
      </c>
      <c r="G111">
        <v>5</v>
      </c>
      <c r="H111">
        <f t="shared" si="8"/>
        <v>84.4</v>
      </c>
      <c r="J111" s="4">
        <f t="shared" si="9"/>
        <v>13672.800000000001</v>
      </c>
      <c r="K111" s="4"/>
      <c r="M111" s="4">
        <f>AVERAGE(J111:J112)</f>
        <v>13208.600000000002</v>
      </c>
    </row>
    <row r="112" spans="1:14" ht="14.25" customHeight="1">
      <c r="A112" s="130">
        <v>41817</v>
      </c>
      <c r="B112">
        <v>8</v>
      </c>
      <c r="C112" t="s">
        <v>405</v>
      </c>
      <c r="D112">
        <v>151</v>
      </c>
      <c r="F112">
        <v>422</v>
      </c>
      <c r="G112">
        <v>5</v>
      </c>
      <c r="H112">
        <f t="shared" si="8"/>
        <v>84.4</v>
      </c>
      <c r="J112" s="4">
        <f t="shared" si="9"/>
        <v>12744.400000000001</v>
      </c>
      <c r="K112" s="4"/>
    </row>
    <row r="113" spans="1:14" ht="14.25" customHeight="1">
      <c r="A113" s="130">
        <v>41851</v>
      </c>
      <c r="B113">
        <v>2</v>
      </c>
      <c r="C113" t="s">
        <v>407</v>
      </c>
      <c r="D113">
        <v>220</v>
      </c>
      <c r="F113">
        <v>175</v>
      </c>
      <c r="G113">
        <v>5</v>
      </c>
      <c r="H113">
        <f t="shared" si="8"/>
        <v>35</v>
      </c>
      <c r="J113" s="4">
        <f t="shared" si="9"/>
        <v>7700</v>
      </c>
      <c r="K113" s="4"/>
      <c r="M113" s="4">
        <f>AVERAGE(J113:J114)</f>
        <v>7472.5</v>
      </c>
    </row>
    <row r="114" spans="1:14" ht="14.25" customHeight="1">
      <c r="A114" s="130">
        <v>41851</v>
      </c>
      <c r="B114">
        <v>2</v>
      </c>
      <c r="C114" t="s">
        <v>407</v>
      </c>
      <c r="D114">
        <v>207</v>
      </c>
      <c r="F114">
        <v>175</v>
      </c>
      <c r="G114">
        <v>5</v>
      </c>
      <c r="H114">
        <f t="shared" si="8"/>
        <v>35</v>
      </c>
      <c r="J114" s="4">
        <f t="shared" si="9"/>
        <v>7245</v>
      </c>
      <c r="K114" s="4"/>
    </row>
    <row r="115" spans="1:14" ht="14.25" customHeight="1">
      <c r="A115" s="130">
        <v>41851</v>
      </c>
      <c r="B115">
        <v>4</v>
      </c>
      <c r="C115" t="s">
        <v>407</v>
      </c>
      <c r="D115">
        <v>103</v>
      </c>
      <c r="F115">
        <v>224</v>
      </c>
      <c r="G115">
        <v>5</v>
      </c>
      <c r="H115">
        <f t="shared" si="8"/>
        <v>44.8</v>
      </c>
      <c r="J115" s="4">
        <f t="shared" si="9"/>
        <v>4614.3999999999996</v>
      </c>
      <c r="K115" s="4"/>
      <c r="M115" s="4">
        <f>AVERAGE(J115:J116)</f>
        <v>4435.2</v>
      </c>
    </row>
    <row r="116" spans="1:14" ht="14.25" customHeight="1">
      <c r="A116" s="130">
        <v>41851</v>
      </c>
      <c r="B116">
        <v>4</v>
      </c>
      <c r="C116" t="s">
        <v>407</v>
      </c>
      <c r="D116">
        <v>95</v>
      </c>
      <c r="F116">
        <v>224</v>
      </c>
      <c r="G116">
        <v>5</v>
      </c>
      <c r="H116">
        <f t="shared" si="8"/>
        <v>44.8</v>
      </c>
      <c r="J116" s="4">
        <f t="shared" si="9"/>
        <v>4256</v>
      </c>
      <c r="K116" s="4"/>
    </row>
    <row r="117" spans="1:14" ht="14.25" customHeight="1">
      <c r="A117" s="130">
        <v>41851</v>
      </c>
      <c r="B117">
        <v>5</v>
      </c>
      <c r="C117" t="s">
        <v>407</v>
      </c>
      <c r="D117">
        <v>209</v>
      </c>
      <c r="F117">
        <v>178</v>
      </c>
      <c r="G117">
        <v>5</v>
      </c>
      <c r="H117">
        <f t="shared" si="8"/>
        <v>35.6</v>
      </c>
      <c r="J117" s="4">
        <f t="shared" si="9"/>
        <v>7440.4000000000005</v>
      </c>
      <c r="K117" s="4"/>
      <c r="M117" s="4">
        <f>AVERAGE(J117:J119)</f>
        <v>7250.5333333333338</v>
      </c>
    </row>
    <row r="118" spans="1:14" ht="14.25" customHeight="1">
      <c r="A118" s="130">
        <v>41851</v>
      </c>
      <c r="B118">
        <v>5</v>
      </c>
      <c r="C118" t="s">
        <v>407</v>
      </c>
      <c r="D118">
        <v>184</v>
      </c>
      <c r="F118">
        <v>178</v>
      </c>
      <c r="G118">
        <v>5</v>
      </c>
      <c r="H118">
        <f t="shared" si="8"/>
        <v>35.6</v>
      </c>
      <c r="J118" s="4">
        <f t="shared" si="9"/>
        <v>6550.4000000000005</v>
      </c>
      <c r="K118" s="4"/>
    </row>
    <row r="119" spans="1:14" ht="14.25" customHeight="1">
      <c r="A119" s="130">
        <v>41851</v>
      </c>
      <c r="B119">
        <v>5</v>
      </c>
      <c r="C119" t="s">
        <v>407</v>
      </c>
      <c r="D119">
        <v>218</v>
      </c>
      <c r="F119">
        <v>178</v>
      </c>
      <c r="G119">
        <v>5</v>
      </c>
      <c r="H119">
        <f t="shared" si="8"/>
        <v>35.6</v>
      </c>
      <c r="J119" s="4">
        <f t="shared" si="9"/>
        <v>7760.8</v>
      </c>
      <c r="K119" s="4"/>
    </row>
    <row r="120" spans="1:14" ht="14.25" customHeight="1">
      <c r="A120" s="130">
        <v>41851</v>
      </c>
      <c r="B120" s="52">
        <v>8</v>
      </c>
      <c r="C120" s="52" t="s">
        <v>407</v>
      </c>
      <c r="D120" s="52">
        <v>95</v>
      </c>
      <c r="E120" s="52"/>
      <c r="F120" s="52">
        <v>166</v>
      </c>
      <c r="G120" s="52">
        <v>5</v>
      </c>
      <c r="H120" s="52">
        <f t="shared" si="8"/>
        <v>33.200000000000003</v>
      </c>
      <c r="I120" s="52"/>
      <c r="J120" s="125">
        <f t="shared" si="9"/>
        <v>3154.0000000000005</v>
      </c>
      <c r="K120" s="125"/>
      <c r="L120" s="52"/>
      <c r="M120" s="125">
        <f>AVERAGE(J120:J121)</f>
        <v>3303.4000000000005</v>
      </c>
      <c r="N120" s="52"/>
    </row>
    <row r="121" spans="1:14" ht="14.25" customHeight="1">
      <c r="A121" s="130">
        <v>41851</v>
      </c>
      <c r="B121" s="52">
        <v>8</v>
      </c>
      <c r="C121" s="52" t="s">
        <v>407</v>
      </c>
      <c r="D121" s="52">
        <v>104</v>
      </c>
      <c r="E121" s="52"/>
      <c r="F121" s="52">
        <v>166</v>
      </c>
      <c r="G121" s="52">
        <v>5</v>
      </c>
      <c r="H121" s="52">
        <f t="shared" si="8"/>
        <v>33.200000000000003</v>
      </c>
      <c r="I121" s="52"/>
      <c r="J121" s="125">
        <f t="shared" si="9"/>
        <v>3452.8</v>
      </c>
      <c r="K121" s="125"/>
      <c r="L121" s="52"/>
      <c r="M121" s="52"/>
      <c r="N121" s="52"/>
    </row>
    <row r="122" spans="1:14" ht="14.25" customHeight="1">
      <c r="A122" s="130">
        <v>41880</v>
      </c>
      <c r="B122">
        <v>2</v>
      </c>
      <c r="C122" t="s">
        <v>407</v>
      </c>
      <c r="D122">
        <v>154</v>
      </c>
      <c r="F122">
        <v>130</v>
      </c>
      <c r="G122">
        <v>5</v>
      </c>
      <c r="H122">
        <f t="shared" si="8"/>
        <v>26</v>
      </c>
      <c r="J122" s="4">
        <f t="shared" si="9"/>
        <v>4004</v>
      </c>
      <c r="K122" s="4"/>
      <c r="M122" s="4">
        <f>AVERAGE(J122:J124)</f>
        <v>4402.666666666667</v>
      </c>
    </row>
    <row r="123" spans="1:14" ht="14.25" customHeight="1">
      <c r="A123" s="130">
        <v>41880</v>
      </c>
      <c r="B123">
        <v>2</v>
      </c>
      <c r="C123" t="s">
        <v>407</v>
      </c>
      <c r="D123">
        <v>180</v>
      </c>
      <c r="F123">
        <v>130</v>
      </c>
      <c r="G123">
        <v>5</v>
      </c>
      <c r="H123">
        <f t="shared" si="8"/>
        <v>26</v>
      </c>
      <c r="J123" s="4">
        <f t="shared" si="9"/>
        <v>4680</v>
      </c>
      <c r="K123" s="4"/>
    </row>
    <row r="124" spans="1:14" ht="14.25" customHeight="1">
      <c r="A124" s="130">
        <v>41880</v>
      </c>
      <c r="B124" s="52">
        <v>2</v>
      </c>
      <c r="C124" s="52" t="s">
        <v>407</v>
      </c>
      <c r="D124" s="52">
        <v>174</v>
      </c>
      <c r="E124" s="52"/>
      <c r="F124" s="52">
        <v>130</v>
      </c>
      <c r="G124" s="52">
        <v>5</v>
      </c>
      <c r="H124" s="52">
        <f t="shared" si="8"/>
        <v>26</v>
      </c>
      <c r="I124" s="52"/>
      <c r="J124" s="125">
        <f t="shared" si="9"/>
        <v>4524</v>
      </c>
      <c r="K124" s="125"/>
      <c r="L124" s="52"/>
      <c r="M124" s="52"/>
      <c r="N124" s="52"/>
    </row>
    <row r="125" spans="1:14" ht="14.25" customHeight="1">
      <c r="A125" s="130">
        <v>41880</v>
      </c>
      <c r="B125">
        <v>4</v>
      </c>
      <c r="C125" t="s">
        <v>407</v>
      </c>
      <c r="D125">
        <v>118</v>
      </c>
      <c r="F125">
        <v>158</v>
      </c>
      <c r="G125">
        <v>5</v>
      </c>
      <c r="H125">
        <f t="shared" si="8"/>
        <v>31.6</v>
      </c>
      <c r="J125" s="4">
        <f t="shared" si="9"/>
        <v>3728.8</v>
      </c>
      <c r="K125" s="4"/>
      <c r="M125" s="4">
        <f>AVERAGE(J125:J126)</f>
        <v>3665.6000000000004</v>
      </c>
    </row>
    <row r="126" spans="1:14" ht="14.25" customHeight="1">
      <c r="A126" s="130">
        <v>41880</v>
      </c>
      <c r="B126">
        <v>4</v>
      </c>
      <c r="C126" t="s">
        <v>407</v>
      </c>
      <c r="D126">
        <v>114</v>
      </c>
      <c r="F126">
        <v>158</v>
      </c>
      <c r="G126">
        <v>5</v>
      </c>
      <c r="H126">
        <f t="shared" si="8"/>
        <v>31.6</v>
      </c>
      <c r="J126" s="4">
        <f t="shared" si="9"/>
        <v>3602.4</v>
      </c>
      <c r="K126" s="4"/>
    </row>
    <row r="127" spans="1:14" ht="14.25" customHeight="1">
      <c r="A127" s="130">
        <v>41880</v>
      </c>
      <c r="B127">
        <v>5</v>
      </c>
      <c r="C127" t="s">
        <v>407</v>
      </c>
      <c r="D127">
        <v>148</v>
      </c>
      <c r="F127">
        <v>150</v>
      </c>
      <c r="G127">
        <v>5</v>
      </c>
      <c r="H127">
        <f t="shared" si="8"/>
        <v>30</v>
      </c>
      <c r="J127" s="4">
        <f t="shared" si="9"/>
        <v>4440</v>
      </c>
      <c r="K127" s="4"/>
      <c r="M127" s="4">
        <f>AVERAGE(J127:J128)</f>
        <v>4485</v>
      </c>
    </row>
    <row r="128" spans="1:14" ht="14.25" customHeight="1">
      <c r="A128" s="130">
        <v>41880</v>
      </c>
      <c r="B128">
        <v>5</v>
      </c>
      <c r="C128" t="s">
        <v>407</v>
      </c>
      <c r="D128">
        <v>151</v>
      </c>
      <c r="F128">
        <v>150</v>
      </c>
      <c r="G128">
        <v>5</v>
      </c>
      <c r="H128">
        <f t="shared" si="8"/>
        <v>30</v>
      </c>
      <c r="J128" s="4">
        <f t="shared" si="9"/>
        <v>4530</v>
      </c>
      <c r="K128" s="4"/>
    </row>
    <row r="129" spans="1:14" ht="14.25" customHeight="1">
      <c r="A129" s="130">
        <v>41880</v>
      </c>
      <c r="B129">
        <v>8</v>
      </c>
      <c r="C129" t="s">
        <v>407</v>
      </c>
      <c r="D129">
        <v>90</v>
      </c>
      <c r="F129">
        <v>134</v>
      </c>
      <c r="G129">
        <v>5</v>
      </c>
      <c r="H129">
        <f t="shared" si="8"/>
        <v>26.8</v>
      </c>
      <c r="J129" s="4">
        <f t="shared" si="9"/>
        <v>2412</v>
      </c>
      <c r="K129" s="4"/>
      <c r="M129" s="4">
        <f>AVERAGE(J129:J130)</f>
        <v>2425.4</v>
      </c>
    </row>
    <row r="130" spans="1:14" ht="14.25" customHeight="1">
      <c r="A130" s="130">
        <v>41880</v>
      </c>
      <c r="B130">
        <v>8</v>
      </c>
      <c r="C130" t="s">
        <v>407</v>
      </c>
      <c r="D130">
        <v>91</v>
      </c>
      <c r="F130">
        <v>134</v>
      </c>
      <c r="G130">
        <v>5</v>
      </c>
      <c r="H130">
        <f t="shared" si="8"/>
        <v>26.8</v>
      </c>
      <c r="J130" s="4">
        <f t="shared" si="9"/>
        <v>2438.8000000000002</v>
      </c>
      <c r="K130" s="4"/>
    </row>
    <row r="131" spans="1:14" ht="14.25" customHeight="1">
      <c r="A131" s="131">
        <v>41912</v>
      </c>
      <c r="B131" s="52">
        <v>2</v>
      </c>
      <c r="C131" s="52" t="s">
        <v>407</v>
      </c>
      <c r="D131" s="52">
        <v>222</v>
      </c>
      <c r="E131" s="52"/>
      <c r="F131" s="52">
        <v>530</v>
      </c>
      <c r="G131" s="52">
        <v>5</v>
      </c>
      <c r="H131" s="52">
        <f t="shared" si="8"/>
        <v>106</v>
      </c>
      <c r="I131" s="52"/>
      <c r="J131" s="125">
        <f t="shared" si="9"/>
        <v>23532</v>
      </c>
      <c r="K131" s="125"/>
      <c r="L131" s="52"/>
      <c r="M131" s="125">
        <f>AVERAGE(J131:J132)</f>
        <v>23744</v>
      </c>
      <c r="N131" s="52"/>
    </row>
    <row r="132" spans="1:14" ht="14.25" customHeight="1">
      <c r="A132" s="131">
        <v>41912</v>
      </c>
      <c r="B132">
        <v>2</v>
      </c>
      <c r="C132" t="s">
        <v>407</v>
      </c>
      <c r="D132">
        <v>226</v>
      </c>
      <c r="F132">
        <v>530</v>
      </c>
      <c r="G132">
        <v>5</v>
      </c>
      <c r="H132">
        <f t="shared" si="8"/>
        <v>106</v>
      </c>
      <c r="J132" s="4">
        <f t="shared" si="9"/>
        <v>23956</v>
      </c>
      <c r="K132" s="4"/>
    </row>
    <row r="133" spans="1:14" ht="14.25" customHeight="1">
      <c r="A133" s="131">
        <v>41912</v>
      </c>
      <c r="B133">
        <v>4</v>
      </c>
      <c r="C133" t="s">
        <v>407</v>
      </c>
      <c r="D133">
        <v>204</v>
      </c>
      <c r="F133">
        <v>268</v>
      </c>
      <c r="G133">
        <v>5</v>
      </c>
      <c r="H133">
        <f t="shared" si="8"/>
        <v>53.6</v>
      </c>
      <c r="J133" s="4">
        <f t="shared" si="9"/>
        <v>10934.4</v>
      </c>
      <c r="K133" s="4"/>
      <c r="M133" s="4">
        <f>AVERAGE(J133:J135)</f>
        <v>11881.333333333334</v>
      </c>
    </row>
    <row r="134" spans="1:14" ht="14.25" customHeight="1">
      <c r="A134" s="131">
        <v>41912</v>
      </c>
      <c r="B134">
        <v>4</v>
      </c>
      <c r="C134" t="s">
        <v>407</v>
      </c>
      <c r="D134">
        <v>235</v>
      </c>
      <c r="F134">
        <v>268</v>
      </c>
      <c r="G134">
        <v>5</v>
      </c>
      <c r="H134">
        <f t="shared" ref="H134:H145" si="10">F134/G134</f>
        <v>53.6</v>
      </c>
      <c r="J134" s="4">
        <f t="shared" ref="J134:J145" si="11">D134*H134</f>
        <v>12596</v>
      </c>
      <c r="K134" s="4"/>
    </row>
    <row r="135" spans="1:14" ht="14.25" customHeight="1">
      <c r="A135" s="131">
        <v>41912</v>
      </c>
      <c r="B135">
        <v>4</v>
      </c>
      <c r="C135" t="s">
        <v>407</v>
      </c>
      <c r="D135">
        <v>226</v>
      </c>
      <c r="F135">
        <v>268</v>
      </c>
      <c r="G135">
        <v>5</v>
      </c>
      <c r="H135">
        <f t="shared" si="10"/>
        <v>53.6</v>
      </c>
      <c r="J135" s="4">
        <f t="shared" si="11"/>
        <v>12113.6</v>
      </c>
      <c r="K135" s="4"/>
    </row>
    <row r="136" spans="1:14" ht="14.25" customHeight="1">
      <c r="A136" s="131">
        <v>41912</v>
      </c>
      <c r="B136">
        <v>5</v>
      </c>
      <c r="C136" t="s">
        <v>407</v>
      </c>
      <c r="D136">
        <v>226</v>
      </c>
      <c r="F136">
        <v>480</v>
      </c>
      <c r="G136">
        <v>5</v>
      </c>
      <c r="H136">
        <f t="shared" si="10"/>
        <v>96</v>
      </c>
      <c r="J136" s="4">
        <f t="shared" si="11"/>
        <v>21696</v>
      </c>
      <c r="K136" s="4"/>
      <c r="M136" s="4">
        <f>AVERAGE(J136:J137)</f>
        <v>20784</v>
      </c>
    </row>
    <row r="137" spans="1:14" ht="14.25" customHeight="1">
      <c r="A137" s="131">
        <v>41912</v>
      </c>
      <c r="B137">
        <v>5</v>
      </c>
      <c r="C137" t="s">
        <v>407</v>
      </c>
      <c r="D137">
        <v>207</v>
      </c>
      <c r="F137">
        <v>480</v>
      </c>
      <c r="G137">
        <v>5</v>
      </c>
      <c r="H137">
        <f t="shared" si="10"/>
        <v>96</v>
      </c>
      <c r="J137" s="4">
        <f t="shared" si="11"/>
        <v>19872</v>
      </c>
      <c r="K137" s="4"/>
    </row>
    <row r="138" spans="1:14" ht="14.25" customHeight="1">
      <c r="A138" s="131">
        <v>41912</v>
      </c>
      <c r="B138">
        <v>8</v>
      </c>
      <c r="C138" t="s">
        <v>407</v>
      </c>
      <c r="D138">
        <v>200</v>
      </c>
      <c r="F138">
        <v>275</v>
      </c>
      <c r="G138">
        <v>5</v>
      </c>
      <c r="H138">
        <f t="shared" si="10"/>
        <v>55</v>
      </c>
      <c r="J138" s="4">
        <f t="shared" si="11"/>
        <v>11000</v>
      </c>
      <c r="K138" s="4"/>
      <c r="M138" s="4">
        <f>AVERAGE(J138:J139)</f>
        <v>10780</v>
      </c>
    </row>
    <row r="139" spans="1:14" ht="14.25" customHeight="1">
      <c r="A139" s="131">
        <v>41912</v>
      </c>
      <c r="B139">
        <v>8</v>
      </c>
      <c r="C139" t="s">
        <v>407</v>
      </c>
      <c r="D139">
        <v>192</v>
      </c>
      <c r="F139">
        <v>275</v>
      </c>
      <c r="G139">
        <v>5</v>
      </c>
      <c r="H139">
        <f t="shared" si="10"/>
        <v>55</v>
      </c>
      <c r="J139" s="4">
        <f t="shared" si="11"/>
        <v>10560</v>
      </c>
      <c r="K139" s="4"/>
    </row>
    <row r="140" spans="1:14" ht="14.25" customHeight="1">
      <c r="A140" s="130">
        <v>41941</v>
      </c>
      <c r="B140">
        <v>2</v>
      </c>
      <c r="C140" t="s">
        <v>407</v>
      </c>
      <c r="D140">
        <v>112</v>
      </c>
      <c r="F140">
        <v>178</v>
      </c>
      <c r="G140">
        <v>5</v>
      </c>
      <c r="H140">
        <f t="shared" si="10"/>
        <v>35.6</v>
      </c>
      <c r="J140" s="4">
        <f t="shared" si="11"/>
        <v>3987.2000000000003</v>
      </c>
      <c r="K140" s="4"/>
      <c r="M140" s="4">
        <f>AVERAGE(J140:J142)</f>
        <v>3678.6666666666665</v>
      </c>
    </row>
    <row r="141" spans="1:14" ht="14.25" customHeight="1">
      <c r="A141" s="130">
        <v>41941</v>
      </c>
      <c r="B141">
        <v>2</v>
      </c>
      <c r="C141" t="s">
        <v>407</v>
      </c>
      <c r="D141">
        <v>99</v>
      </c>
      <c r="F141">
        <v>178</v>
      </c>
      <c r="G141">
        <v>5</v>
      </c>
      <c r="H141">
        <f t="shared" si="10"/>
        <v>35.6</v>
      </c>
      <c r="J141" s="4">
        <f t="shared" si="11"/>
        <v>3524.4</v>
      </c>
      <c r="K141" s="4"/>
    </row>
    <row r="142" spans="1:14" ht="14.25" customHeight="1">
      <c r="A142" s="130">
        <v>41941</v>
      </c>
      <c r="B142">
        <v>2</v>
      </c>
      <c r="C142" t="s">
        <v>407</v>
      </c>
      <c r="D142">
        <v>99</v>
      </c>
      <c r="F142">
        <v>178</v>
      </c>
      <c r="G142">
        <v>5</v>
      </c>
      <c r="H142">
        <f t="shared" si="10"/>
        <v>35.6</v>
      </c>
      <c r="J142" s="4">
        <f t="shared" si="11"/>
        <v>3524.4</v>
      </c>
      <c r="K142" s="4"/>
    </row>
    <row r="143" spans="1:14" ht="14.25" customHeight="1">
      <c r="A143" s="130">
        <v>41941</v>
      </c>
      <c r="B143">
        <v>4</v>
      </c>
      <c r="C143" t="s">
        <v>407</v>
      </c>
      <c r="D143">
        <v>111</v>
      </c>
      <c r="F143">
        <v>118</v>
      </c>
      <c r="G143">
        <v>10</v>
      </c>
      <c r="H143">
        <f t="shared" si="10"/>
        <v>11.8</v>
      </c>
      <c r="J143" s="4">
        <f t="shared" si="11"/>
        <v>1309.8000000000002</v>
      </c>
      <c r="K143" s="4"/>
      <c r="M143" s="4">
        <f>AVERAGE(J143:J145)</f>
        <v>1463.2</v>
      </c>
    </row>
    <row r="144" spans="1:14" ht="14.25" customHeight="1">
      <c r="A144" s="130">
        <v>41941</v>
      </c>
      <c r="B144">
        <v>4</v>
      </c>
      <c r="C144" t="s">
        <v>407</v>
      </c>
      <c r="D144">
        <v>129</v>
      </c>
      <c r="F144">
        <v>118</v>
      </c>
      <c r="G144">
        <v>10</v>
      </c>
      <c r="H144">
        <f t="shared" si="10"/>
        <v>11.8</v>
      </c>
      <c r="J144" s="4">
        <f t="shared" si="11"/>
        <v>1522.2</v>
      </c>
      <c r="K144" s="4"/>
    </row>
    <row r="145" spans="1:14" ht="14.25" customHeight="1">
      <c r="A145" s="130">
        <v>41941</v>
      </c>
      <c r="B145">
        <v>4</v>
      </c>
      <c r="C145" t="s">
        <v>407</v>
      </c>
      <c r="D145">
        <v>132</v>
      </c>
      <c r="F145">
        <v>118</v>
      </c>
      <c r="G145">
        <v>10</v>
      </c>
      <c r="H145">
        <f t="shared" si="10"/>
        <v>11.8</v>
      </c>
      <c r="J145" s="4">
        <f t="shared" si="11"/>
        <v>1557.6000000000001</v>
      </c>
      <c r="K145" s="4"/>
    </row>
    <row r="146" spans="1:14" ht="14.25" customHeight="1">
      <c r="A146" s="130">
        <v>41941</v>
      </c>
      <c r="B146">
        <v>5</v>
      </c>
      <c r="C146" t="s">
        <v>407</v>
      </c>
      <c r="D146" t="s">
        <v>68</v>
      </c>
      <c r="J146" s="4"/>
      <c r="K146" s="4"/>
      <c r="N146" t="s">
        <v>408</v>
      </c>
    </row>
    <row r="147" spans="1:14" ht="14.25" customHeight="1">
      <c r="A147" s="130">
        <v>41941</v>
      </c>
      <c r="B147">
        <v>8</v>
      </c>
      <c r="C147" t="s">
        <v>407</v>
      </c>
      <c r="D147">
        <v>112</v>
      </c>
      <c r="F147">
        <v>123</v>
      </c>
      <c r="G147">
        <v>5</v>
      </c>
      <c r="H147">
        <f t="shared" ref="H147:H178" si="12">F147/G147</f>
        <v>24.6</v>
      </c>
      <c r="J147" s="4">
        <f t="shared" ref="J147:J178" si="13">D147*H147</f>
        <v>2755.2000000000003</v>
      </c>
      <c r="K147" s="4"/>
      <c r="M147" s="4">
        <f>AVERAGE(J147:J149)</f>
        <v>3050.4</v>
      </c>
    </row>
    <row r="148" spans="1:14" ht="14">
      <c r="A148" s="130">
        <v>41941</v>
      </c>
      <c r="B148">
        <v>8</v>
      </c>
      <c r="C148" t="s">
        <v>407</v>
      </c>
      <c r="D148">
        <v>126</v>
      </c>
      <c r="F148">
        <v>123</v>
      </c>
      <c r="G148">
        <v>5</v>
      </c>
      <c r="H148">
        <f t="shared" si="12"/>
        <v>24.6</v>
      </c>
      <c r="J148" s="4">
        <f t="shared" si="13"/>
        <v>3099.6000000000004</v>
      </c>
      <c r="K148" s="4"/>
    </row>
    <row r="149" spans="1:14" ht="14">
      <c r="A149" s="130">
        <v>41941</v>
      </c>
      <c r="B149">
        <v>8</v>
      </c>
      <c r="C149" t="s">
        <v>407</v>
      </c>
      <c r="D149">
        <v>134</v>
      </c>
      <c r="F149">
        <v>123</v>
      </c>
      <c r="G149">
        <v>5</v>
      </c>
      <c r="H149">
        <f t="shared" si="12"/>
        <v>24.6</v>
      </c>
      <c r="J149" s="4">
        <f t="shared" si="13"/>
        <v>3296.4</v>
      </c>
      <c r="K149" s="4"/>
    </row>
    <row r="150" spans="1:14" ht="14">
      <c r="A150" s="130">
        <v>42173</v>
      </c>
      <c r="B150">
        <v>2</v>
      </c>
      <c r="C150" t="s">
        <v>407</v>
      </c>
      <c r="D150">
        <v>134</v>
      </c>
      <c r="F150">
        <v>226</v>
      </c>
      <c r="G150">
        <v>5</v>
      </c>
      <c r="H150">
        <f t="shared" si="12"/>
        <v>45.2</v>
      </c>
      <c r="J150" s="4">
        <f t="shared" si="13"/>
        <v>6056.8</v>
      </c>
      <c r="K150" s="4"/>
      <c r="M150" s="4">
        <f>AVERAGE(J150:J151)</f>
        <v>5989</v>
      </c>
    </row>
    <row r="151" spans="1:14" ht="14">
      <c r="A151" s="130">
        <v>42173</v>
      </c>
      <c r="B151">
        <v>2</v>
      </c>
      <c r="C151" t="s">
        <v>407</v>
      </c>
      <c r="D151">
        <v>131</v>
      </c>
      <c r="F151">
        <v>226</v>
      </c>
      <c r="G151">
        <v>5</v>
      </c>
      <c r="H151">
        <f t="shared" si="12"/>
        <v>45.2</v>
      </c>
      <c r="J151" s="4">
        <f t="shared" si="13"/>
        <v>5921.2000000000007</v>
      </c>
      <c r="K151" s="4"/>
    </row>
    <row r="152" spans="1:14" ht="14">
      <c r="A152" s="130">
        <v>42173</v>
      </c>
      <c r="B152">
        <v>4</v>
      </c>
      <c r="C152" t="s">
        <v>407</v>
      </c>
      <c r="D152">
        <v>104</v>
      </c>
      <c r="F152">
        <v>237</v>
      </c>
      <c r="G152">
        <v>5</v>
      </c>
      <c r="H152">
        <f t="shared" si="12"/>
        <v>47.4</v>
      </c>
      <c r="J152" s="4">
        <f t="shared" si="13"/>
        <v>4929.5999999999995</v>
      </c>
      <c r="K152" s="4"/>
      <c r="M152" s="4">
        <f>AVERAGE(J152:J153)</f>
        <v>4858.5</v>
      </c>
    </row>
    <row r="153" spans="1:14" ht="14">
      <c r="A153" s="130">
        <v>42173</v>
      </c>
      <c r="B153">
        <v>4</v>
      </c>
      <c r="C153" t="s">
        <v>407</v>
      </c>
      <c r="D153">
        <v>101</v>
      </c>
      <c r="F153">
        <v>237</v>
      </c>
      <c r="G153">
        <v>5</v>
      </c>
      <c r="H153">
        <f t="shared" si="12"/>
        <v>47.4</v>
      </c>
      <c r="J153" s="4">
        <f t="shared" si="13"/>
        <v>4787.3999999999996</v>
      </c>
      <c r="K153" s="4"/>
    </row>
    <row r="154" spans="1:14" ht="14">
      <c r="A154" s="130">
        <v>42173</v>
      </c>
      <c r="B154">
        <v>5</v>
      </c>
      <c r="C154" t="s">
        <v>407</v>
      </c>
      <c r="D154">
        <v>173</v>
      </c>
      <c r="F154">
        <v>167</v>
      </c>
      <c r="G154">
        <v>5</v>
      </c>
      <c r="H154">
        <f t="shared" si="12"/>
        <v>33.4</v>
      </c>
      <c r="J154" s="4">
        <f t="shared" si="13"/>
        <v>5778.2</v>
      </c>
      <c r="K154" s="4"/>
      <c r="M154" s="4">
        <f>AVERAGE(J154:J155)</f>
        <v>6095.5</v>
      </c>
    </row>
    <row r="155" spans="1:14" ht="14">
      <c r="A155" s="130">
        <v>42173</v>
      </c>
      <c r="B155">
        <v>5</v>
      </c>
      <c r="C155" t="s">
        <v>407</v>
      </c>
      <c r="D155">
        <v>192</v>
      </c>
      <c r="F155">
        <v>167</v>
      </c>
      <c r="G155">
        <v>5</v>
      </c>
      <c r="H155">
        <f t="shared" si="12"/>
        <v>33.4</v>
      </c>
      <c r="J155" s="4">
        <f t="shared" si="13"/>
        <v>6412.7999999999993</v>
      </c>
      <c r="K155" s="4"/>
    </row>
    <row r="156" spans="1:14" ht="14">
      <c r="A156" s="130">
        <v>42173</v>
      </c>
      <c r="B156">
        <v>8</v>
      </c>
      <c r="C156" t="s">
        <v>407</v>
      </c>
      <c r="D156">
        <v>118</v>
      </c>
      <c r="F156">
        <v>246</v>
      </c>
      <c r="G156">
        <v>5</v>
      </c>
      <c r="H156">
        <f t="shared" si="12"/>
        <v>49.2</v>
      </c>
      <c r="J156" s="4">
        <f t="shared" si="13"/>
        <v>5805.6</v>
      </c>
      <c r="K156" s="4"/>
      <c r="M156" s="4">
        <f>AVERAGE(J156:J158)</f>
        <v>6789.5999999999995</v>
      </c>
    </row>
    <row r="157" spans="1:14" ht="14">
      <c r="A157" s="130">
        <v>42173</v>
      </c>
      <c r="B157">
        <v>8</v>
      </c>
      <c r="C157" t="s">
        <v>407</v>
      </c>
      <c r="D157">
        <v>142</v>
      </c>
      <c r="F157">
        <v>246</v>
      </c>
      <c r="G157">
        <v>5</v>
      </c>
      <c r="H157">
        <f t="shared" si="12"/>
        <v>49.2</v>
      </c>
      <c r="J157" s="4">
        <f t="shared" si="13"/>
        <v>6986.4000000000005</v>
      </c>
      <c r="K157" s="4"/>
    </row>
    <row r="158" spans="1:14" ht="14">
      <c r="A158" s="130">
        <v>42173</v>
      </c>
      <c r="B158">
        <v>8</v>
      </c>
      <c r="C158" t="s">
        <v>407</v>
      </c>
      <c r="D158">
        <v>154</v>
      </c>
      <c r="F158">
        <v>246</v>
      </c>
      <c r="G158">
        <v>5</v>
      </c>
      <c r="H158">
        <f t="shared" si="12"/>
        <v>49.2</v>
      </c>
      <c r="J158" s="4">
        <f t="shared" si="13"/>
        <v>7576.8</v>
      </c>
      <c r="K158" s="4"/>
      <c r="M158" s="4"/>
    </row>
    <row r="159" spans="1:14" ht="14">
      <c r="A159" s="130">
        <v>42206</v>
      </c>
      <c r="B159">
        <v>2</v>
      </c>
      <c r="C159" t="s">
        <v>407</v>
      </c>
      <c r="D159">
        <v>127</v>
      </c>
      <c r="F159">
        <v>115</v>
      </c>
      <c r="G159">
        <v>5</v>
      </c>
      <c r="H159">
        <f t="shared" si="12"/>
        <v>23</v>
      </c>
      <c r="J159" s="4">
        <f t="shared" si="13"/>
        <v>2921</v>
      </c>
      <c r="K159" s="4"/>
    </row>
    <row r="160" spans="1:14" ht="14">
      <c r="A160" s="130">
        <v>42206</v>
      </c>
      <c r="B160">
        <v>4</v>
      </c>
      <c r="C160" t="s">
        <v>407</v>
      </c>
      <c r="D160">
        <v>162</v>
      </c>
      <c r="F160">
        <v>190</v>
      </c>
      <c r="G160">
        <v>5</v>
      </c>
      <c r="H160">
        <f t="shared" si="12"/>
        <v>38</v>
      </c>
      <c r="J160" s="4">
        <f t="shared" si="13"/>
        <v>6156</v>
      </c>
      <c r="K160" s="4"/>
      <c r="M160" s="4">
        <f>AVERAGE(J160:J161)</f>
        <v>6175</v>
      </c>
    </row>
    <row r="161" spans="1:14" ht="14">
      <c r="A161" s="130">
        <v>42206</v>
      </c>
      <c r="B161">
        <v>4</v>
      </c>
      <c r="C161" t="s">
        <v>407</v>
      </c>
      <c r="D161">
        <v>163</v>
      </c>
      <c r="F161">
        <v>190</v>
      </c>
      <c r="G161">
        <v>5</v>
      </c>
      <c r="H161">
        <f t="shared" si="12"/>
        <v>38</v>
      </c>
      <c r="J161" s="4">
        <f t="shared" si="13"/>
        <v>6194</v>
      </c>
      <c r="K161" s="4"/>
    </row>
    <row r="162" spans="1:14" ht="14">
      <c r="A162" s="130">
        <v>42206</v>
      </c>
      <c r="B162">
        <v>5</v>
      </c>
      <c r="C162" t="s">
        <v>407</v>
      </c>
      <c r="D162">
        <v>199</v>
      </c>
      <c r="F162">
        <v>435</v>
      </c>
      <c r="G162">
        <v>5</v>
      </c>
      <c r="H162">
        <f t="shared" si="12"/>
        <v>87</v>
      </c>
      <c r="J162" s="4">
        <f t="shared" si="13"/>
        <v>17313</v>
      </c>
      <c r="K162" s="4"/>
      <c r="M162" s="4">
        <f>AVERAGE(J162:J163)</f>
        <v>17530.5</v>
      </c>
    </row>
    <row r="163" spans="1:14" ht="14">
      <c r="A163" s="130">
        <v>42206</v>
      </c>
      <c r="B163">
        <v>5</v>
      </c>
      <c r="C163" t="s">
        <v>407</v>
      </c>
      <c r="D163">
        <v>204</v>
      </c>
      <c r="F163">
        <v>435</v>
      </c>
      <c r="G163">
        <v>5</v>
      </c>
      <c r="H163">
        <f t="shared" si="12"/>
        <v>87</v>
      </c>
      <c r="J163" s="4">
        <f t="shared" si="13"/>
        <v>17748</v>
      </c>
      <c r="K163" s="4"/>
    </row>
    <row r="164" spans="1:14" ht="14">
      <c r="A164" s="130">
        <v>42206</v>
      </c>
      <c r="B164">
        <v>8</v>
      </c>
      <c r="C164" t="s">
        <v>407</v>
      </c>
      <c r="D164">
        <v>128</v>
      </c>
      <c r="F164">
        <v>65</v>
      </c>
      <c r="G164">
        <v>5</v>
      </c>
      <c r="H164">
        <f t="shared" si="12"/>
        <v>13</v>
      </c>
      <c r="J164" s="4">
        <f t="shared" si="13"/>
        <v>1664</v>
      </c>
      <c r="K164" s="4"/>
      <c r="M164" s="4">
        <f>AVERAGE(J164:J165)</f>
        <v>1722.5</v>
      </c>
    </row>
    <row r="165" spans="1:14" ht="14">
      <c r="A165" s="130">
        <v>42206</v>
      </c>
      <c r="B165">
        <v>8</v>
      </c>
      <c r="C165" t="s">
        <v>407</v>
      </c>
      <c r="D165">
        <v>137</v>
      </c>
      <c r="F165">
        <v>65</v>
      </c>
      <c r="G165">
        <v>5</v>
      </c>
      <c r="H165">
        <f t="shared" si="12"/>
        <v>13</v>
      </c>
      <c r="J165" s="4">
        <f t="shared" si="13"/>
        <v>1781</v>
      </c>
      <c r="K165" s="4"/>
    </row>
    <row r="166" spans="1:14" ht="14">
      <c r="A166" s="130">
        <v>42263</v>
      </c>
      <c r="B166">
        <v>2</v>
      </c>
      <c r="C166" t="s">
        <v>403</v>
      </c>
      <c r="D166">
        <v>88</v>
      </c>
      <c r="F166">
        <v>307</v>
      </c>
      <c r="G166">
        <v>5</v>
      </c>
      <c r="H166">
        <f t="shared" si="12"/>
        <v>61.4</v>
      </c>
      <c r="J166" s="4">
        <f t="shared" si="13"/>
        <v>5403.2</v>
      </c>
      <c r="K166" s="4"/>
      <c r="M166" s="4">
        <f>AVERAGE(J166:J169)</f>
        <v>4969.0999999999995</v>
      </c>
    </row>
    <row r="167" spans="1:14" ht="14">
      <c r="A167" s="130">
        <v>42263</v>
      </c>
      <c r="B167">
        <v>2</v>
      </c>
      <c r="C167" t="s">
        <v>403</v>
      </c>
      <c r="D167">
        <v>86</v>
      </c>
      <c r="F167">
        <v>307</v>
      </c>
      <c r="G167">
        <v>5</v>
      </c>
      <c r="H167">
        <f t="shared" si="12"/>
        <v>61.4</v>
      </c>
      <c r="J167" s="4">
        <f t="shared" si="13"/>
        <v>5280.4</v>
      </c>
      <c r="K167" s="4"/>
    </row>
    <row r="168" spans="1:14" ht="14">
      <c r="A168" s="130">
        <v>42263</v>
      </c>
      <c r="B168">
        <v>2</v>
      </c>
      <c r="C168" t="s">
        <v>402</v>
      </c>
      <c r="D168">
        <v>84</v>
      </c>
      <c r="F168">
        <v>307</v>
      </c>
      <c r="G168">
        <v>5</v>
      </c>
      <c r="H168">
        <f t="shared" si="12"/>
        <v>61.4</v>
      </c>
      <c r="J168" s="4">
        <f t="shared" si="13"/>
        <v>5157.5999999999995</v>
      </c>
      <c r="K168" s="4"/>
    </row>
    <row r="169" spans="1:14" ht="14">
      <c r="A169" s="130">
        <v>42263</v>
      </c>
      <c r="B169">
        <v>4</v>
      </c>
      <c r="C169" t="s">
        <v>403</v>
      </c>
      <c r="D169">
        <v>97</v>
      </c>
      <c r="F169">
        <v>416</v>
      </c>
      <c r="G169">
        <v>10</v>
      </c>
      <c r="H169">
        <f t="shared" si="12"/>
        <v>41.6</v>
      </c>
      <c r="J169" s="4">
        <f t="shared" si="13"/>
        <v>4035.2000000000003</v>
      </c>
      <c r="K169" s="4"/>
      <c r="M169" s="4">
        <f>AVERAGE(J169:J170)</f>
        <v>3993.6000000000004</v>
      </c>
    </row>
    <row r="170" spans="1:14" ht="14">
      <c r="A170" s="130">
        <v>42263</v>
      </c>
      <c r="B170">
        <v>4</v>
      </c>
      <c r="C170" t="s">
        <v>402</v>
      </c>
      <c r="D170">
        <v>95</v>
      </c>
      <c r="F170">
        <v>416</v>
      </c>
      <c r="G170">
        <v>10</v>
      </c>
      <c r="H170">
        <f t="shared" si="12"/>
        <v>41.6</v>
      </c>
      <c r="J170" s="4">
        <f t="shared" si="13"/>
        <v>3952</v>
      </c>
      <c r="K170" s="4"/>
    </row>
    <row r="171" spans="1:14" ht="14">
      <c r="A171" s="130">
        <v>42263</v>
      </c>
      <c r="B171">
        <v>5</v>
      </c>
      <c r="C171" t="s">
        <v>402</v>
      </c>
      <c r="D171">
        <v>123</v>
      </c>
      <c r="F171">
        <v>250</v>
      </c>
      <c r="G171">
        <v>10</v>
      </c>
      <c r="H171">
        <f t="shared" si="12"/>
        <v>25</v>
      </c>
      <c r="J171" s="4">
        <f t="shared" si="13"/>
        <v>3075</v>
      </c>
      <c r="K171" s="4"/>
      <c r="M171" s="4">
        <f>AVERAGE(J171:J175)</f>
        <v>2570</v>
      </c>
    </row>
    <row r="172" spans="1:14" ht="14">
      <c r="A172" s="130">
        <v>42263</v>
      </c>
      <c r="B172" s="52">
        <v>5</v>
      </c>
      <c r="C172" s="52" t="s">
        <v>403</v>
      </c>
      <c r="D172" s="52">
        <v>93</v>
      </c>
      <c r="E172" s="52"/>
      <c r="F172" s="52">
        <v>250</v>
      </c>
      <c r="G172" s="52">
        <v>10</v>
      </c>
      <c r="H172" s="52">
        <f t="shared" si="12"/>
        <v>25</v>
      </c>
      <c r="I172" s="52"/>
      <c r="J172" s="125">
        <f t="shared" si="13"/>
        <v>2325</v>
      </c>
      <c r="K172" s="125"/>
      <c r="L172" s="52"/>
      <c r="M172" s="52"/>
      <c r="N172" s="52"/>
    </row>
    <row r="173" spans="1:14" ht="14">
      <c r="A173" s="130">
        <v>42263</v>
      </c>
      <c r="B173" s="52">
        <v>5</v>
      </c>
      <c r="C173" s="52" t="s">
        <v>403</v>
      </c>
      <c r="D173" s="52">
        <v>80</v>
      </c>
      <c r="E173" s="52"/>
      <c r="F173" s="52">
        <v>250</v>
      </c>
      <c r="G173" s="52">
        <v>10</v>
      </c>
      <c r="H173" s="52">
        <f t="shared" si="12"/>
        <v>25</v>
      </c>
      <c r="I173" s="52"/>
      <c r="J173" s="125">
        <f t="shared" si="13"/>
        <v>2000</v>
      </c>
      <c r="K173" s="125"/>
      <c r="L173" s="52"/>
      <c r="M173" s="52"/>
      <c r="N173" s="52"/>
    </row>
    <row r="174" spans="1:14" ht="14">
      <c r="A174" s="130">
        <v>42263</v>
      </c>
      <c r="B174">
        <v>5</v>
      </c>
      <c r="C174" t="s">
        <v>402</v>
      </c>
      <c r="D174">
        <v>96</v>
      </c>
      <c r="F174">
        <v>250</v>
      </c>
      <c r="G174">
        <v>10</v>
      </c>
      <c r="H174">
        <f t="shared" si="12"/>
        <v>25</v>
      </c>
      <c r="J174" s="4">
        <f t="shared" si="13"/>
        <v>2400</v>
      </c>
      <c r="K174" s="4"/>
    </row>
    <row r="175" spans="1:14" ht="14">
      <c r="A175" s="130">
        <v>42263</v>
      </c>
      <c r="B175">
        <v>5</v>
      </c>
      <c r="C175" t="s">
        <v>403</v>
      </c>
      <c r="D175">
        <v>122</v>
      </c>
      <c r="F175">
        <v>250</v>
      </c>
      <c r="G175">
        <v>10</v>
      </c>
      <c r="H175">
        <f t="shared" si="12"/>
        <v>25</v>
      </c>
      <c r="J175" s="4">
        <f t="shared" si="13"/>
        <v>3050</v>
      </c>
      <c r="K175" s="4"/>
    </row>
    <row r="176" spans="1:14" ht="14">
      <c r="A176" s="130">
        <v>42263</v>
      </c>
      <c r="B176">
        <v>8</v>
      </c>
      <c r="C176" t="s">
        <v>402</v>
      </c>
      <c r="D176">
        <v>121</v>
      </c>
      <c r="F176">
        <v>200</v>
      </c>
      <c r="G176">
        <v>10</v>
      </c>
      <c r="H176">
        <f t="shared" si="12"/>
        <v>20</v>
      </c>
      <c r="J176" s="4">
        <f t="shared" si="13"/>
        <v>2420</v>
      </c>
      <c r="K176" s="4"/>
      <c r="M176" s="4">
        <f>AVERAGE(J176:J178)</f>
        <v>2906.6666666666665</v>
      </c>
    </row>
    <row r="177" spans="1:13" ht="14">
      <c r="A177" s="130">
        <v>42263</v>
      </c>
      <c r="B177">
        <v>8</v>
      </c>
      <c r="C177" t="s">
        <v>403</v>
      </c>
      <c r="D177">
        <v>163</v>
      </c>
      <c r="F177">
        <v>200</v>
      </c>
      <c r="G177">
        <v>10</v>
      </c>
      <c r="H177">
        <f t="shared" si="12"/>
        <v>20</v>
      </c>
      <c r="J177" s="4">
        <f t="shared" si="13"/>
        <v>3260</v>
      </c>
      <c r="K177" s="4"/>
    </row>
    <row r="178" spans="1:13" ht="14">
      <c r="A178" s="130">
        <v>42263</v>
      </c>
      <c r="B178">
        <v>8</v>
      </c>
      <c r="C178" t="s">
        <v>402</v>
      </c>
      <c r="D178">
        <v>152</v>
      </c>
      <c r="F178">
        <v>200</v>
      </c>
      <c r="G178">
        <v>10</v>
      </c>
      <c r="H178">
        <f t="shared" si="12"/>
        <v>20</v>
      </c>
      <c r="J178" s="4">
        <f t="shared" si="13"/>
        <v>3040</v>
      </c>
      <c r="K178" s="4"/>
    </row>
    <row r="179" spans="1:13" ht="14">
      <c r="A179" s="130">
        <v>42263</v>
      </c>
      <c r="B179">
        <v>2</v>
      </c>
      <c r="C179" t="s">
        <v>402</v>
      </c>
      <c r="D179">
        <v>120</v>
      </c>
      <c r="F179">
        <v>307</v>
      </c>
      <c r="G179">
        <v>5</v>
      </c>
      <c r="H179">
        <f t="shared" ref="H179:H210" si="14">F179/G179</f>
        <v>61.4</v>
      </c>
      <c r="J179" s="4">
        <f t="shared" ref="J179:J210" si="15">D179*H179</f>
        <v>7368</v>
      </c>
      <c r="K179" s="4"/>
    </row>
    <row r="180" spans="1:13" ht="14">
      <c r="A180" s="130">
        <v>42298</v>
      </c>
      <c r="B180">
        <v>2</v>
      </c>
      <c r="C180" t="s">
        <v>402</v>
      </c>
      <c r="D180">
        <v>97</v>
      </c>
      <c r="F180">
        <v>200</v>
      </c>
      <c r="G180">
        <v>15</v>
      </c>
      <c r="H180">
        <f t="shared" si="14"/>
        <v>13.333333333333334</v>
      </c>
      <c r="J180" s="4">
        <f t="shared" si="15"/>
        <v>1293.3333333333335</v>
      </c>
      <c r="K180" s="4"/>
      <c r="M180" s="4">
        <f>AVERAGE(J180:J181)</f>
        <v>1333.3333333333335</v>
      </c>
    </row>
    <row r="181" spans="1:13" ht="14">
      <c r="A181" s="130">
        <v>42298</v>
      </c>
      <c r="B181">
        <v>2</v>
      </c>
      <c r="C181" t="s">
        <v>403</v>
      </c>
      <c r="D181">
        <v>103</v>
      </c>
      <c r="F181">
        <v>200</v>
      </c>
      <c r="G181">
        <v>15</v>
      </c>
      <c r="H181">
        <f t="shared" si="14"/>
        <v>13.333333333333334</v>
      </c>
      <c r="J181" s="4">
        <f t="shared" si="15"/>
        <v>1373.3333333333335</v>
      </c>
      <c r="K181" s="4"/>
    </row>
    <row r="182" spans="1:13" ht="14">
      <c r="A182" s="130">
        <v>42298</v>
      </c>
      <c r="B182">
        <v>4</v>
      </c>
      <c r="C182" t="s">
        <v>403</v>
      </c>
      <c r="D182">
        <v>98</v>
      </c>
      <c r="F182">
        <v>398</v>
      </c>
      <c r="G182">
        <v>50</v>
      </c>
      <c r="H182">
        <f t="shared" si="14"/>
        <v>7.96</v>
      </c>
      <c r="J182" s="4">
        <f t="shared" si="15"/>
        <v>780.08</v>
      </c>
      <c r="K182" s="4"/>
      <c r="M182" s="4">
        <f>AVERAGE(J182:J184)</f>
        <v>1002.96</v>
      </c>
    </row>
    <row r="183" spans="1:13" ht="14">
      <c r="A183" s="130">
        <v>42298</v>
      </c>
      <c r="B183">
        <v>4</v>
      </c>
      <c r="C183" t="s">
        <v>402</v>
      </c>
      <c r="D183">
        <v>89</v>
      </c>
      <c r="F183">
        <v>398</v>
      </c>
      <c r="G183">
        <v>25</v>
      </c>
      <c r="H183">
        <f t="shared" si="14"/>
        <v>15.92</v>
      </c>
      <c r="J183" s="4">
        <f t="shared" si="15"/>
        <v>1416.8799999999999</v>
      </c>
      <c r="K183" s="4"/>
    </row>
    <row r="184" spans="1:13" ht="14">
      <c r="A184" s="130">
        <v>42298</v>
      </c>
      <c r="B184">
        <v>4</v>
      </c>
      <c r="C184" t="s">
        <v>403</v>
      </c>
      <c r="D184">
        <v>102</v>
      </c>
      <c r="F184">
        <v>398</v>
      </c>
      <c r="G184">
        <v>50</v>
      </c>
      <c r="H184">
        <f t="shared" si="14"/>
        <v>7.96</v>
      </c>
      <c r="J184" s="4">
        <f t="shared" si="15"/>
        <v>811.92</v>
      </c>
      <c r="K184" s="4"/>
    </row>
    <row r="185" spans="1:13" ht="14">
      <c r="A185" s="130">
        <v>42298</v>
      </c>
      <c r="B185">
        <v>5</v>
      </c>
      <c r="C185" t="s">
        <v>402</v>
      </c>
      <c r="D185">
        <v>114</v>
      </c>
      <c r="F185">
        <v>250</v>
      </c>
      <c r="G185">
        <v>15</v>
      </c>
      <c r="H185">
        <f t="shared" si="14"/>
        <v>16.666666666666668</v>
      </c>
      <c r="J185" s="4">
        <f t="shared" si="15"/>
        <v>1900.0000000000002</v>
      </c>
      <c r="K185" s="4"/>
      <c r="M185" s="4">
        <f>AVERAGE(J185:J186)</f>
        <v>1825.0000000000002</v>
      </c>
    </row>
    <row r="186" spans="1:13" ht="14">
      <c r="A186" s="130">
        <v>42298</v>
      </c>
      <c r="B186">
        <v>5</v>
      </c>
      <c r="C186" t="s">
        <v>402</v>
      </c>
      <c r="D186">
        <v>105</v>
      </c>
      <c r="F186">
        <v>250</v>
      </c>
      <c r="G186">
        <v>15</v>
      </c>
      <c r="H186">
        <f t="shared" si="14"/>
        <v>16.666666666666668</v>
      </c>
      <c r="J186" s="4">
        <f t="shared" si="15"/>
        <v>1750.0000000000002</v>
      </c>
      <c r="K186" s="4"/>
    </row>
    <row r="187" spans="1:13" ht="14">
      <c r="A187" s="130">
        <v>42298</v>
      </c>
      <c r="B187">
        <v>8</v>
      </c>
      <c r="C187" t="s">
        <v>403</v>
      </c>
      <c r="D187">
        <v>107</v>
      </c>
      <c r="F187">
        <v>108</v>
      </c>
      <c r="G187">
        <v>15</v>
      </c>
      <c r="H187">
        <f t="shared" si="14"/>
        <v>7.2</v>
      </c>
      <c r="J187" s="4">
        <f t="shared" si="15"/>
        <v>770.4</v>
      </c>
      <c r="K187" s="4"/>
      <c r="M187" s="4">
        <f>AVERAGE(J187:J188)</f>
        <v>781.2</v>
      </c>
    </row>
    <row r="188" spans="1:13" ht="14">
      <c r="A188" s="130">
        <v>42298</v>
      </c>
      <c r="B188">
        <v>8</v>
      </c>
      <c r="C188" t="s">
        <v>402</v>
      </c>
      <c r="D188">
        <v>110</v>
      </c>
      <c r="F188">
        <v>108</v>
      </c>
      <c r="G188">
        <v>15</v>
      </c>
      <c r="H188">
        <f t="shared" si="14"/>
        <v>7.2</v>
      </c>
      <c r="J188" s="4">
        <f t="shared" si="15"/>
        <v>792</v>
      </c>
      <c r="K188" s="4"/>
    </row>
    <row r="189" spans="1:13" ht="14">
      <c r="A189" s="130">
        <v>42487</v>
      </c>
      <c r="B189">
        <v>2</v>
      </c>
      <c r="C189" t="s">
        <v>403</v>
      </c>
      <c r="D189">
        <v>93</v>
      </c>
      <c r="F189">
        <v>435</v>
      </c>
      <c r="G189">
        <v>5</v>
      </c>
      <c r="H189">
        <f t="shared" si="14"/>
        <v>87</v>
      </c>
      <c r="J189" s="4">
        <f t="shared" si="15"/>
        <v>8091</v>
      </c>
      <c r="K189" s="4"/>
      <c r="M189" s="4">
        <f>AVERAGE(J189:J193)</f>
        <v>9135</v>
      </c>
    </row>
    <row r="190" spans="1:13" ht="14">
      <c r="A190" s="130">
        <v>42487</v>
      </c>
      <c r="B190">
        <v>2</v>
      </c>
      <c r="C190" t="s">
        <v>409</v>
      </c>
      <c r="D190">
        <v>91</v>
      </c>
      <c r="F190">
        <v>435</v>
      </c>
      <c r="G190">
        <v>5</v>
      </c>
      <c r="H190">
        <f t="shared" si="14"/>
        <v>87</v>
      </c>
      <c r="J190" s="4">
        <f t="shared" si="15"/>
        <v>7917</v>
      </c>
      <c r="K190" s="4"/>
    </row>
    <row r="191" spans="1:13" ht="14">
      <c r="A191" s="130">
        <v>42487</v>
      </c>
      <c r="B191">
        <v>2</v>
      </c>
      <c r="C191" t="s">
        <v>402</v>
      </c>
      <c r="D191">
        <v>157</v>
      </c>
      <c r="F191">
        <v>435</v>
      </c>
      <c r="G191">
        <v>5</v>
      </c>
      <c r="H191">
        <f t="shared" si="14"/>
        <v>87</v>
      </c>
      <c r="J191" s="4">
        <f t="shared" si="15"/>
        <v>13659</v>
      </c>
      <c r="K191" s="4"/>
    </row>
    <row r="192" spans="1:13" ht="14">
      <c r="A192" s="130">
        <v>42487</v>
      </c>
      <c r="B192">
        <v>2</v>
      </c>
      <c r="C192" t="s">
        <v>403</v>
      </c>
      <c r="D192">
        <v>93</v>
      </c>
      <c r="F192">
        <v>435</v>
      </c>
      <c r="G192">
        <v>5</v>
      </c>
      <c r="H192">
        <f t="shared" si="14"/>
        <v>87</v>
      </c>
      <c r="J192" s="4">
        <f t="shared" si="15"/>
        <v>8091</v>
      </c>
      <c r="K192" s="4"/>
    </row>
    <row r="193" spans="1:13" ht="14">
      <c r="A193" s="130">
        <v>42487</v>
      </c>
      <c r="B193">
        <v>2</v>
      </c>
      <c r="C193" t="s">
        <v>402</v>
      </c>
      <c r="D193">
        <v>91</v>
      </c>
      <c r="F193">
        <v>435</v>
      </c>
      <c r="G193">
        <v>5</v>
      </c>
      <c r="H193">
        <f t="shared" si="14"/>
        <v>87</v>
      </c>
      <c r="J193" s="4">
        <f t="shared" si="15"/>
        <v>7917</v>
      </c>
      <c r="K193" s="4"/>
    </row>
    <row r="194" spans="1:13" ht="14">
      <c r="A194" s="130">
        <v>42487</v>
      </c>
      <c r="B194">
        <v>4</v>
      </c>
      <c r="C194" t="s">
        <v>403</v>
      </c>
      <c r="D194">
        <v>128</v>
      </c>
      <c r="F194">
        <v>245</v>
      </c>
      <c r="G194">
        <v>20</v>
      </c>
      <c r="H194">
        <f t="shared" si="14"/>
        <v>12.25</v>
      </c>
      <c r="J194" s="4">
        <f t="shared" si="15"/>
        <v>1568</v>
      </c>
      <c r="K194" s="4"/>
      <c r="M194" s="4">
        <f>AVERAGE(J194:J198)</f>
        <v>1511.65</v>
      </c>
    </row>
    <row r="195" spans="1:13" ht="14">
      <c r="A195" s="130">
        <v>42487</v>
      </c>
      <c r="B195">
        <v>4</v>
      </c>
      <c r="C195" t="s">
        <v>409</v>
      </c>
      <c r="D195">
        <v>134</v>
      </c>
      <c r="F195">
        <v>245</v>
      </c>
      <c r="G195">
        <v>20</v>
      </c>
      <c r="H195">
        <f t="shared" si="14"/>
        <v>12.25</v>
      </c>
      <c r="J195" s="4">
        <f t="shared" si="15"/>
        <v>1641.5</v>
      </c>
      <c r="K195" s="4"/>
    </row>
    <row r="196" spans="1:13" ht="14">
      <c r="A196" s="130">
        <v>42487</v>
      </c>
      <c r="B196">
        <v>4</v>
      </c>
      <c r="C196" t="s">
        <v>402</v>
      </c>
      <c r="D196">
        <v>129</v>
      </c>
      <c r="F196">
        <v>245</v>
      </c>
      <c r="G196">
        <v>20</v>
      </c>
      <c r="H196">
        <f t="shared" si="14"/>
        <v>12.25</v>
      </c>
      <c r="J196" s="4">
        <f t="shared" si="15"/>
        <v>1580.25</v>
      </c>
      <c r="K196" s="4"/>
    </row>
    <row r="197" spans="1:13" ht="14">
      <c r="A197" s="130">
        <v>42487</v>
      </c>
      <c r="B197">
        <v>4</v>
      </c>
      <c r="C197" t="s">
        <v>403</v>
      </c>
      <c r="D197">
        <v>111</v>
      </c>
      <c r="F197">
        <v>245</v>
      </c>
      <c r="G197">
        <v>20</v>
      </c>
      <c r="H197">
        <f t="shared" si="14"/>
        <v>12.25</v>
      </c>
      <c r="J197" s="4">
        <f t="shared" si="15"/>
        <v>1359.75</v>
      </c>
      <c r="K197" s="4"/>
    </row>
    <row r="198" spans="1:13" ht="14">
      <c r="A198" s="130">
        <v>42487</v>
      </c>
      <c r="B198">
        <v>4</v>
      </c>
      <c r="C198" t="s">
        <v>402</v>
      </c>
      <c r="D198">
        <v>115</v>
      </c>
      <c r="F198">
        <v>245</v>
      </c>
      <c r="G198">
        <v>20</v>
      </c>
      <c r="H198">
        <f t="shared" si="14"/>
        <v>12.25</v>
      </c>
      <c r="J198" s="4">
        <f t="shared" si="15"/>
        <v>1408.75</v>
      </c>
      <c r="K198" s="4"/>
    </row>
    <row r="199" spans="1:13" ht="14">
      <c r="A199" s="130">
        <v>42487</v>
      </c>
      <c r="B199">
        <v>5</v>
      </c>
      <c r="C199" t="s">
        <v>402</v>
      </c>
      <c r="D199">
        <v>130</v>
      </c>
      <c r="F199">
        <v>310</v>
      </c>
      <c r="G199">
        <v>5</v>
      </c>
      <c r="H199">
        <f t="shared" si="14"/>
        <v>62</v>
      </c>
      <c r="J199" s="4">
        <f t="shared" si="15"/>
        <v>8060</v>
      </c>
      <c r="K199" s="4"/>
      <c r="M199" s="4">
        <f>AVERAGE(J199:J201)</f>
        <v>10416</v>
      </c>
    </row>
    <row r="200" spans="1:13" ht="14">
      <c r="A200" s="130">
        <v>42487</v>
      </c>
      <c r="B200">
        <v>5</v>
      </c>
      <c r="C200" t="s">
        <v>402</v>
      </c>
      <c r="D200">
        <v>194</v>
      </c>
      <c r="F200">
        <v>310</v>
      </c>
      <c r="G200">
        <v>5</v>
      </c>
      <c r="H200">
        <f t="shared" si="14"/>
        <v>62</v>
      </c>
      <c r="J200" s="4">
        <f t="shared" si="15"/>
        <v>12028</v>
      </c>
      <c r="K200" s="4"/>
    </row>
    <row r="201" spans="1:13" ht="14">
      <c r="A201" s="130">
        <v>42487</v>
      </c>
      <c r="B201">
        <v>5</v>
      </c>
      <c r="C201" t="s">
        <v>403</v>
      </c>
      <c r="D201">
        <v>180</v>
      </c>
      <c r="F201">
        <v>310</v>
      </c>
      <c r="G201">
        <v>5</v>
      </c>
      <c r="H201">
        <f t="shared" si="14"/>
        <v>62</v>
      </c>
      <c r="J201" s="4">
        <f t="shared" si="15"/>
        <v>11160</v>
      </c>
      <c r="K201" s="4"/>
    </row>
    <row r="202" spans="1:13" ht="14">
      <c r="A202" s="130">
        <v>42487</v>
      </c>
      <c r="B202">
        <v>8</v>
      </c>
      <c r="C202" t="s">
        <v>410</v>
      </c>
      <c r="D202">
        <v>109</v>
      </c>
      <c r="F202">
        <v>248</v>
      </c>
      <c r="G202">
        <v>10</v>
      </c>
      <c r="H202">
        <f t="shared" si="14"/>
        <v>24.8</v>
      </c>
      <c r="J202" s="4">
        <f t="shared" si="15"/>
        <v>2703.2000000000003</v>
      </c>
      <c r="K202" s="4"/>
      <c r="M202" s="4">
        <f>AVERAGE(J202:J204)</f>
        <v>2835.4666666666672</v>
      </c>
    </row>
    <row r="203" spans="1:13" ht="14">
      <c r="A203" s="130">
        <v>42487</v>
      </c>
      <c r="B203">
        <v>8</v>
      </c>
      <c r="C203" t="s">
        <v>411</v>
      </c>
      <c r="D203">
        <v>123</v>
      </c>
      <c r="F203">
        <v>248</v>
      </c>
      <c r="G203">
        <v>10</v>
      </c>
      <c r="H203">
        <f t="shared" si="14"/>
        <v>24.8</v>
      </c>
      <c r="J203" s="4">
        <f t="shared" si="15"/>
        <v>3050.4</v>
      </c>
      <c r="K203" s="4"/>
    </row>
    <row r="204" spans="1:13" ht="14">
      <c r="A204" s="130">
        <v>42487</v>
      </c>
      <c r="B204">
        <v>8</v>
      </c>
      <c r="C204" t="s">
        <v>402</v>
      </c>
      <c r="D204">
        <v>111</v>
      </c>
      <c r="F204">
        <v>248</v>
      </c>
      <c r="G204">
        <v>10</v>
      </c>
      <c r="H204">
        <f t="shared" si="14"/>
        <v>24.8</v>
      </c>
      <c r="J204" s="4">
        <f t="shared" si="15"/>
        <v>2752.8</v>
      </c>
      <c r="K204" s="4"/>
    </row>
    <row r="205" spans="1:13" ht="14">
      <c r="A205" s="130">
        <v>42501</v>
      </c>
      <c r="B205">
        <v>2</v>
      </c>
      <c r="C205" t="s">
        <v>403</v>
      </c>
      <c r="D205">
        <v>330</v>
      </c>
      <c r="F205">
        <v>1040</v>
      </c>
      <c r="G205">
        <v>5</v>
      </c>
      <c r="H205">
        <f t="shared" si="14"/>
        <v>208</v>
      </c>
      <c r="J205" s="4">
        <f t="shared" si="15"/>
        <v>68640</v>
      </c>
      <c r="K205" s="4"/>
      <c r="M205" s="4">
        <f>AVERAGE(J205:J208)</f>
        <v>65468</v>
      </c>
    </row>
    <row r="206" spans="1:13" ht="14">
      <c r="A206" s="130">
        <v>42501</v>
      </c>
      <c r="B206">
        <v>2</v>
      </c>
      <c r="C206" t="s">
        <v>403</v>
      </c>
      <c r="D206">
        <v>308</v>
      </c>
      <c r="F206">
        <v>1040</v>
      </c>
      <c r="G206">
        <v>5</v>
      </c>
      <c r="H206">
        <f t="shared" si="14"/>
        <v>208</v>
      </c>
      <c r="J206" s="4">
        <f t="shared" si="15"/>
        <v>64064</v>
      </c>
      <c r="K206" s="4"/>
    </row>
    <row r="207" spans="1:13" ht="14">
      <c r="A207" s="130">
        <v>42501</v>
      </c>
      <c r="B207">
        <v>2</v>
      </c>
      <c r="C207" t="s">
        <v>402</v>
      </c>
      <c r="D207">
        <v>302</v>
      </c>
      <c r="F207">
        <v>1040</v>
      </c>
      <c r="G207">
        <v>5</v>
      </c>
      <c r="H207">
        <f t="shared" si="14"/>
        <v>208</v>
      </c>
      <c r="J207" s="4">
        <f t="shared" si="15"/>
        <v>62816</v>
      </c>
      <c r="K207" s="4"/>
    </row>
    <row r="208" spans="1:13" ht="14">
      <c r="A208" s="130">
        <v>42501</v>
      </c>
      <c r="B208">
        <v>2</v>
      </c>
      <c r="C208" t="s">
        <v>402</v>
      </c>
      <c r="D208">
        <v>319</v>
      </c>
      <c r="F208">
        <v>1040</v>
      </c>
      <c r="G208">
        <v>5</v>
      </c>
      <c r="H208">
        <f t="shared" si="14"/>
        <v>208</v>
      </c>
      <c r="J208" s="4">
        <f t="shared" si="15"/>
        <v>66352</v>
      </c>
      <c r="K208" s="4"/>
    </row>
    <row r="209" spans="1:14" ht="14">
      <c r="A209" s="130">
        <v>42501</v>
      </c>
      <c r="B209">
        <v>4</v>
      </c>
      <c r="C209" t="s">
        <v>402</v>
      </c>
      <c r="D209">
        <v>126</v>
      </c>
      <c r="F209">
        <v>405</v>
      </c>
      <c r="G209">
        <v>10</v>
      </c>
      <c r="H209">
        <f t="shared" si="14"/>
        <v>40.5</v>
      </c>
      <c r="J209" s="4">
        <f t="shared" si="15"/>
        <v>5103</v>
      </c>
      <c r="K209" s="4"/>
      <c r="M209" s="4">
        <f>AVERAGE(J209:J211)</f>
        <v>5238</v>
      </c>
    </row>
    <row r="210" spans="1:14" ht="14">
      <c r="A210" s="130">
        <v>42501</v>
      </c>
      <c r="B210">
        <v>4</v>
      </c>
      <c r="C210" t="s">
        <v>403</v>
      </c>
      <c r="D210">
        <v>124</v>
      </c>
      <c r="F210">
        <v>405</v>
      </c>
      <c r="G210">
        <v>10</v>
      </c>
      <c r="H210">
        <f t="shared" si="14"/>
        <v>40.5</v>
      </c>
      <c r="J210" s="4">
        <f t="shared" si="15"/>
        <v>5022</v>
      </c>
      <c r="K210" s="4"/>
    </row>
    <row r="211" spans="1:14" ht="14">
      <c r="A211" s="130">
        <v>42501</v>
      </c>
      <c r="B211">
        <v>4</v>
      </c>
      <c r="C211" t="s">
        <v>403</v>
      </c>
      <c r="D211">
        <v>138</v>
      </c>
      <c r="F211">
        <v>405</v>
      </c>
      <c r="G211">
        <v>10</v>
      </c>
      <c r="H211">
        <f t="shared" ref="H211:H242" si="16">F211/G211</f>
        <v>40.5</v>
      </c>
      <c r="J211" s="4">
        <f t="shared" ref="J211:J242" si="17">D211*H211</f>
        <v>5589</v>
      </c>
      <c r="K211" s="4"/>
    </row>
    <row r="212" spans="1:14" ht="14">
      <c r="A212" s="130">
        <v>42501</v>
      </c>
      <c r="B212">
        <v>5</v>
      </c>
      <c r="C212" t="s">
        <v>402</v>
      </c>
      <c r="D212">
        <v>159</v>
      </c>
      <c r="F212">
        <v>410</v>
      </c>
      <c r="G212">
        <v>5</v>
      </c>
      <c r="H212">
        <f t="shared" si="16"/>
        <v>82</v>
      </c>
      <c r="J212" s="4">
        <f t="shared" si="17"/>
        <v>13038</v>
      </c>
      <c r="K212" s="4"/>
      <c r="M212" s="4">
        <f>AVERAGE(J212:J215)</f>
        <v>14165.5</v>
      </c>
    </row>
    <row r="213" spans="1:14" ht="14">
      <c r="A213" s="130">
        <v>42501</v>
      </c>
      <c r="B213">
        <v>5</v>
      </c>
      <c r="C213" t="s">
        <v>402</v>
      </c>
      <c r="D213">
        <v>166</v>
      </c>
      <c r="F213">
        <v>410</v>
      </c>
      <c r="G213">
        <v>5</v>
      </c>
      <c r="H213">
        <f t="shared" si="16"/>
        <v>82</v>
      </c>
      <c r="J213" s="4">
        <f t="shared" si="17"/>
        <v>13612</v>
      </c>
      <c r="K213" s="4"/>
    </row>
    <row r="214" spans="1:14" ht="14">
      <c r="A214" s="130">
        <v>42501</v>
      </c>
      <c r="B214">
        <v>5</v>
      </c>
      <c r="C214" t="s">
        <v>403</v>
      </c>
      <c r="D214">
        <v>198</v>
      </c>
      <c r="F214">
        <v>410</v>
      </c>
      <c r="G214">
        <v>5</v>
      </c>
      <c r="H214">
        <f t="shared" si="16"/>
        <v>82</v>
      </c>
      <c r="J214" s="4">
        <f t="shared" si="17"/>
        <v>16236</v>
      </c>
      <c r="K214" s="4"/>
    </row>
    <row r="215" spans="1:14" ht="14">
      <c r="A215" s="130">
        <v>42501</v>
      </c>
      <c r="B215">
        <v>5</v>
      </c>
      <c r="C215" t="s">
        <v>403</v>
      </c>
      <c r="D215">
        <v>168</v>
      </c>
      <c r="F215">
        <v>410</v>
      </c>
      <c r="G215">
        <v>5</v>
      </c>
      <c r="H215">
        <f t="shared" si="16"/>
        <v>82</v>
      </c>
      <c r="J215" s="4">
        <f t="shared" si="17"/>
        <v>13776</v>
      </c>
      <c r="K215" s="4"/>
    </row>
    <row r="216" spans="1:14" ht="14">
      <c r="A216" s="130">
        <v>42501</v>
      </c>
      <c r="B216">
        <v>8</v>
      </c>
      <c r="C216" t="s">
        <v>402</v>
      </c>
      <c r="D216">
        <v>117</v>
      </c>
      <c r="F216">
        <v>430</v>
      </c>
      <c r="G216">
        <v>10</v>
      </c>
      <c r="H216">
        <f t="shared" si="16"/>
        <v>43</v>
      </c>
      <c r="J216" s="4">
        <f t="shared" si="17"/>
        <v>5031</v>
      </c>
      <c r="K216" s="4"/>
      <c r="M216" s="4">
        <f>AVERAGE(J216:J218)</f>
        <v>5289</v>
      </c>
    </row>
    <row r="217" spans="1:14" ht="14">
      <c r="A217" s="130">
        <v>42501</v>
      </c>
      <c r="B217">
        <v>8</v>
      </c>
      <c r="C217" t="s">
        <v>402</v>
      </c>
      <c r="D217">
        <v>134</v>
      </c>
      <c r="F217">
        <v>430</v>
      </c>
      <c r="G217">
        <v>10</v>
      </c>
      <c r="H217">
        <f t="shared" si="16"/>
        <v>43</v>
      </c>
      <c r="J217" s="4">
        <f t="shared" si="17"/>
        <v>5762</v>
      </c>
      <c r="K217" s="4"/>
    </row>
    <row r="218" spans="1:14" ht="14">
      <c r="A218" s="130">
        <v>42501</v>
      </c>
      <c r="B218">
        <v>8</v>
      </c>
      <c r="C218" t="s">
        <v>403</v>
      </c>
      <c r="D218">
        <v>118</v>
      </c>
      <c r="F218">
        <v>430</v>
      </c>
      <c r="G218">
        <v>10</v>
      </c>
      <c r="H218">
        <f t="shared" si="16"/>
        <v>43</v>
      </c>
      <c r="J218" s="4">
        <f t="shared" si="17"/>
        <v>5074</v>
      </c>
      <c r="K218" s="4"/>
    </row>
    <row r="219" spans="1:14" ht="14">
      <c r="A219" s="130">
        <v>42515</v>
      </c>
      <c r="B219">
        <v>2</v>
      </c>
      <c r="C219" t="s">
        <v>402</v>
      </c>
      <c r="D219">
        <v>95</v>
      </c>
      <c r="F219">
        <v>410</v>
      </c>
      <c r="G219">
        <v>5</v>
      </c>
      <c r="H219">
        <f t="shared" si="16"/>
        <v>82</v>
      </c>
      <c r="J219" s="4">
        <f t="shared" si="17"/>
        <v>7790</v>
      </c>
      <c r="K219" s="4"/>
    </row>
    <row r="220" spans="1:14" s="38" customFormat="1" ht="14">
      <c r="A220" s="130">
        <v>42515</v>
      </c>
      <c r="B220">
        <v>2</v>
      </c>
      <c r="C220" t="s">
        <v>403</v>
      </c>
      <c r="D220">
        <v>118</v>
      </c>
      <c r="E220"/>
      <c r="F220">
        <v>410</v>
      </c>
      <c r="G220">
        <v>5</v>
      </c>
      <c r="H220">
        <f t="shared" si="16"/>
        <v>82</v>
      </c>
      <c r="I220"/>
      <c r="J220" s="4">
        <f t="shared" si="17"/>
        <v>9676</v>
      </c>
      <c r="K220" s="4"/>
      <c r="L220"/>
      <c r="M220"/>
      <c r="N220"/>
    </row>
    <row r="221" spans="1:14" s="38" customFormat="1" ht="14">
      <c r="A221" s="130">
        <v>42515</v>
      </c>
      <c r="B221" s="38">
        <v>4</v>
      </c>
      <c r="C221" s="38" t="s">
        <v>402</v>
      </c>
      <c r="D221" s="38">
        <v>93</v>
      </c>
      <c r="F221" s="38">
        <v>390</v>
      </c>
      <c r="G221" s="38">
        <v>5</v>
      </c>
      <c r="H221" s="38">
        <f t="shared" si="16"/>
        <v>78</v>
      </c>
      <c r="J221" s="120">
        <f t="shared" si="17"/>
        <v>7254</v>
      </c>
      <c r="K221" s="120"/>
      <c r="M221" s="120">
        <f>AVERAGE(J221:J224)</f>
        <v>7137</v>
      </c>
      <c r="N221" s="38" t="s">
        <v>640</v>
      </c>
    </row>
    <row r="222" spans="1:14" s="38" customFormat="1" ht="14">
      <c r="A222" s="130">
        <v>42515</v>
      </c>
      <c r="B222" s="38">
        <v>4</v>
      </c>
      <c r="C222" s="38" t="s">
        <v>402</v>
      </c>
      <c r="D222" s="38">
        <v>90</v>
      </c>
      <c r="F222" s="38">
        <v>390</v>
      </c>
      <c r="G222" s="38">
        <v>5</v>
      </c>
      <c r="H222" s="38">
        <f t="shared" si="16"/>
        <v>78</v>
      </c>
      <c r="J222" s="120">
        <f t="shared" si="17"/>
        <v>7020</v>
      </c>
      <c r="K222" s="120"/>
    </row>
    <row r="223" spans="1:14" s="38" customFormat="1" ht="14">
      <c r="A223" s="130">
        <v>42515</v>
      </c>
      <c r="B223" s="38">
        <v>4</v>
      </c>
      <c r="C223" s="38" t="s">
        <v>402</v>
      </c>
      <c r="D223" s="38">
        <v>88</v>
      </c>
      <c r="F223" s="38">
        <v>390</v>
      </c>
      <c r="G223" s="38">
        <v>5</v>
      </c>
      <c r="H223" s="38">
        <f t="shared" si="16"/>
        <v>78</v>
      </c>
      <c r="J223" s="120">
        <f t="shared" si="17"/>
        <v>6864</v>
      </c>
      <c r="K223" s="120"/>
    </row>
    <row r="224" spans="1:14" ht="14">
      <c r="A224" s="130">
        <v>42515</v>
      </c>
      <c r="B224" s="38">
        <v>4</v>
      </c>
      <c r="C224" s="38" t="s">
        <v>403</v>
      </c>
      <c r="D224" s="38">
        <v>95</v>
      </c>
      <c r="E224" s="38"/>
      <c r="F224" s="38">
        <v>390</v>
      </c>
      <c r="G224" s="38">
        <v>5</v>
      </c>
      <c r="H224" s="38">
        <f t="shared" si="16"/>
        <v>78</v>
      </c>
      <c r="I224" s="38"/>
      <c r="J224" s="120">
        <f t="shared" si="17"/>
        <v>7410</v>
      </c>
      <c r="K224" s="120"/>
      <c r="L224" s="38"/>
      <c r="M224" s="38"/>
      <c r="N224" s="38"/>
    </row>
    <row r="225" spans="1:13" ht="14">
      <c r="A225" s="130">
        <v>42515</v>
      </c>
      <c r="B225">
        <v>5</v>
      </c>
      <c r="C225" t="s">
        <v>402</v>
      </c>
      <c r="D225">
        <v>152</v>
      </c>
      <c r="F225">
        <v>456</v>
      </c>
      <c r="G225">
        <v>5</v>
      </c>
      <c r="H225">
        <f t="shared" si="16"/>
        <v>91.2</v>
      </c>
      <c r="J225" s="4">
        <f t="shared" si="17"/>
        <v>13862.4</v>
      </c>
      <c r="K225" s="4"/>
      <c r="M225" s="4">
        <f>AVERAGE(J225:J229)</f>
        <v>12439.680000000002</v>
      </c>
    </row>
    <row r="226" spans="1:13" ht="14">
      <c r="A226" s="130">
        <v>42515</v>
      </c>
      <c r="B226">
        <v>5</v>
      </c>
      <c r="C226" t="s">
        <v>402</v>
      </c>
      <c r="D226">
        <v>115</v>
      </c>
      <c r="F226">
        <v>456</v>
      </c>
      <c r="G226">
        <v>5</v>
      </c>
      <c r="H226">
        <f t="shared" si="16"/>
        <v>91.2</v>
      </c>
      <c r="J226" s="4">
        <f t="shared" si="17"/>
        <v>10488</v>
      </c>
      <c r="K226" s="4"/>
    </row>
    <row r="227" spans="1:13" ht="14">
      <c r="A227" s="130">
        <v>42515</v>
      </c>
      <c r="B227">
        <v>5</v>
      </c>
      <c r="C227" t="s">
        <v>402</v>
      </c>
      <c r="D227">
        <v>136</v>
      </c>
      <c r="F227">
        <v>456</v>
      </c>
      <c r="G227">
        <v>5</v>
      </c>
      <c r="H227">
        <f t="shared" si="16"/>
        <v>91.2</v>
      </c>
      <c r="J227" s="4">
        <f t="shared" si="17"/>
        <v>12403.2</v>
      </c>
      <c r="K227" s="4"/>
    </row>
    <row r="228" spans="1:13" ht="14">
      <c r="A228" s="130">
        <v>42515</v>
      </c>
      <c r="B228">
        <v>5</v>
      </c>
      <c r="C228" t="s">
        <v>403</v>
      </c>
      <c r="D228">
        <v>130</v>
      </c>
      <c r="F228">
        <v>456</v>
      </c>
      <c r="G228">
        <v>5</v>
      </c>
      <c r="H228">
        <f t="shared" si="16"/>
        <v>91.2</v>
      </c>
      <c r="J228" s="4">
        <f t="shared" si="17"/>
        <v>11856</v>
      </c>
      <c r="K228" s="4"/>
    </row>
    <row r="229" spans="1:13" ht="14">
      <c r="A229" s="130">
        <v>42515</v>
      </c>
      <c r="B229">
        <v>5</v>
      </c>
      <c r="C229" t="s">
        <v>403</v>
      </c>
      <c r="D229">
        <v>149</v>
      </c>
      <c r="F229">
        <v>456</v>
      </c>
      <c r="G229">
        <v>5</v>
      </c>
      <c r="H229">
        <f t="shared" si="16"/>
        <v>91.2</v>
      </c>
      <c r="J229" s="4">
        <f t="shared" si="17"/>
        <v>13588.800000000001</v>
      </c>
      <c r="K229" s="4"/>
    </row>
    <row r="230" spans="1:13" ht="14">
      <c r="A230" s="130">
        <v>42515</v>
      </c>
      <c r="B230">
        <v>8</v>
      </c>
      <c r="C230" t="s">
        <v>402</v>
      </c>
      <c r="D230">
        <v>180</v>
      </c>
      <c r="F230">
        <v>260</v>
      </c>
      <c r="G230">
        <v>10</v>
      </c>
      <c r="H230">
        <f t="shared" si="16"/>
        <v>26</v>
      </c>
      <c r="J230" s="4">
        <f t="shared" si="17"/>
        <v>4680</v>
      </c>
      <c r="K230" s="4"/>
      <c r="M230" s="4">
        <f>AVERAGE(J230:J232)</f>
        <v>4818.666666666667</v>
      </c>
    </row>
    <row r="231" spans="1:13" ht="14">
      <c r="A231" s="130">
        <v>42515</v>
      </c>
      <c r="B231">
        <v>8</v>
      </c>
      <c r="C231" t="s">
        <v>402</v>
      </c>
      <c r="D231">
        <v>174</v>
      </c>
      <c r="F231">
        <v>260</v>
      </c>
      <c r="G231">
        <v>10</v>
      </c>
      <c r="H231">
        <f t="shared" si="16"/>
        <v>26</v>
      </c>
      <c r="J231" s="4">
        <f t="shared" si="17"/>
        <v>4524</v>
      </c>
      <c r="K231" s="4"/>
    </row>
    <row r="232" spans="1:13" ht="14">
      <c r="A232" s="130">
        <v>42515</v>
      </c>
      <c r="B232">
        <v>8</v>
      </c>
      <c r="C232" t="s">
        <v>403</v>
      </c>
      <c r="D232">
        <v>202</v>
      </c>
      <c r="F232">
        <v>260</v>
      </c>
      <c r="G232">
        <v>10</v>
      </c>
      <c r="H232">
        <f t="shared" si="16"/>
        <v>26</v>
      </c>
      <c r="J232" s="4">
        <f t="shared" si="17"/>
        <v>5252</v>
      </c>
      <c r="K232" s="4"/>
    </row>
    <row r="233" spans="1:13" ht="14">
      <c r="A233" s="130">
        <v>42543</v>
      </c>
      <c r="B233">
        <v>2</v>
      </c>
      <c r="C233" t="s">
        <v>402</v>
      </c>
      <c r="D233">
        <v>102</v>
      </c>
      <c r="F233">
        <v>308</v>
      </c>
      <c r="G233">
        <v>5</v>
      </c>
      <c r="H233">
        <f t="shared" si="16"/>
        <v>61.6</v>
      </c>
      <c r="J233" s="4">
        <f t="shared" si="17"/>
        <v>6283.2</v>
      </c>
      <c r="K233" s="4"/>
      <c r="M233" s="4">
        <f>AVERAGE(J233:J234)</f>
        <v>6468</v>
      </c>
    </row>
    <row r="234" spans="1:13" ht="14">
      <c r="A234" s="130">
        <v>42543</v>
      </c>
      <c r="B234">
        <v>2</v>
      </c>
      <c r="C234" t="s">
        <v>402</v>
      </c>
      <c r="D234">
        <v>108</v>
      </c>
      <c r="F234">
        <v>308</v>
      </c>
      <c r="G234">
        <v>5</v>
      </c>
      <c r="H234">
        <f t="shared" si="16"/>
        <v>61.6</v>
      </c>
      <c r="J234" s="4">
        <f t="shared" si="17"/>
        <v>6652.8</v>
      </c>
      <c r="K234" s="4"/>
    </row>
    <row r="235" spans="1:13" ht="14">
      <c r="A235" s="130">
        <v>42543</v>
      </c>
      <c r="B235">
        <v>4</v>
      </c>
      <c r="C235" t="s">
        <v>402</v>
      </c>
      <c r="D235">
        <v>103</v>
      </c>
      <c r="F235">
        <v>358</v>
      </c>
      <c r="G235">
        <v>5</v>
      </c>
      <c r="H235">
        <f t="shared" si="16"/>
        <v>71.599999999999994</v>
      </c>
      <c r="J235" s="4">
        <f t="shared" si="17"/>
        <v>7374.7999999999993</v>
      </c>
      <c r="K235" s="4"/>
      <c r="M235" s="4">
        <f>AVERAGE(J235:J236)</f>
        <v>7410.5999999999995</v>
      </c>
    </row>
    <row r="236" spans="1:13" ht="14">
      <c r="A236" s="130">
        <v>42543</v>
      </c>
      <c r="B236">
        <v>4</v>
      </c>
      <c r="C236" t="s">
        <v>402</v>
      </c>
      <c r="D236">
        <v>104</v>
      </c>
      <c r="F236">
        <v>358</v>
      </c>
      <c r="G236">
        <v>5</v>
      </c>
      <c r="H236">
        <f t="shared" si="16"/>
        <v>71.599999999999994</v>
      </c>
      <c r="J236" s="4">
        <f t="shared" si="17"/>
        <v>7446.4</v>
      </c>
      <c r="K236" s="4"/>
    </row>
    <row r="237" spans="1:13" ht="14">
      <c r="A237" s="130">
        <v>42543</v>
      </c>
      <c r="B237">
        <v>5</v>
      </c>
      <c r="C237" t="s">
        <v>402</v>
      </c>
      <c r="D237">
        <v>121</v>
      </c>
      <c r="F237">
        <v>212</v>
      </c>
      <c r="G237">
        <v>5</v>
      </c>
      <c r="H237">
        <f t="shared" si="16"/>
        <v>42.4</v>
      </c>
      <c r="J237" s="4">
        <f t="shared" si="17"/>
        <v>5130.3999999999996</v>
      </c>
      <c r="K237" s="4"/>
      <c r="M237" s="4">
        <f>AVERAGE(J237:J238)</f>
        <v>5066.7999999999993</v>
      </c>
    </row>
    <row r="238" spans="1:13" ht="14">
      <c r="A238" s="130">
        <v>42543</v>
      </c>
      <c r="B238">
        <v>5</v>
      </c>
      <c r="C238" t="s">
        <v>402</v>
      </c>
      <c r="D238">
        <v>118</v>
      </c>
      <c r="F238">
        <v>212</v>
      </c>
      <c r="G238">
        <v>5</v>
      </c>
      <c r="H238">
        <f t="shared" si="16"/>
        <v>42.4</v>
      </c>
      <c r="J238" s="4">
        <f t="shared" si="17"/>
        <v>5003.2</v>
      </c>
      <c r="K238" s="4"/>
    </row>
    <row r="239" spans="1:13" ht="14">
      <c r="A239" s="130">
        <v>42543</v>
      </c>
      <c r="B239">
        <v>8</v>
      </c>
      <c r="C239" t="s">
        <v>402</v>
      </c>
      <c r="D239">
        <v>94</v>
      </c>
      <c r="F239">
        <v>456</v>
      </c>
      <c r="G239">
        <v>5</v>
      </c>
      <c r="H239">
        <f t="shared" si="16"/>
        <v>91.2</v>
      </c>
      <c r="J239" s="4">
        <f t="shared" si="17"/>
        <v>8572.8000000000011</v>
      </c>
      <c r="K239" s="4"/>
      <c r="M239" s="4">
        <f>AVERAGE(J239:J241)</f>
        <v>9910.4000000000015</v>
      </c>
    </row>
    <row r="240" spans="1:13" ht="14">
      <c r="A240" s="130">
        <v>42543</v>
      </c>
      <c r="B240">
        <v>8</v>
      </c>
      <c r="C240" t="s">
        <v>402</v>
      </c>
      <c r="D240">
        <v>114</v>
      </c>
      <c r="F240">
        <v>456</v>
      </c>
      <c r="G240">
        <v>5</v>
      </c>
      <c r="H240">
        <f t="shared" si="16"/>
        <v>91.2</v>
      </c>
      <c r="J240" s="4">
        <f t="shared" si="17"/>
        <v>10396.800000000001</v>
      </c>
      <c r="K240" s="4"/>
    </row>
    <row r="241" spans="1:14" ht="14">
      <c r="A241" s="130">
        <v>42543</v>
      </c>
      <c r="B241">
        <v>8</v>
      </c>
      <c r="C241" t="s">
        <v>402</v>
      </c>
      <c r="D241">
        <v>118</v>
      </c>
      <c r="F241">
        <v>456</v>
      </c>
      <c r="G241">
        <v>5</v>
      </c>
      <c r="H241">
        <f t="shared" si="16"/>
        <v>91.2</v>
      </c>
      <c r="J241" s="4">
        <f t="shared" si="17"/>
        <v>10761.6</v>
      </c>
      <c r="K241" s="4"/>
    </row>
    <row r="242" spans="1:14" ht="14">
      <c r="A242" s="130">
        <v>42571</v>
      </c>
      <c r="B242">
        <v>2</v>
      </c>
      <c r="C242" t="s">
        <v>402</v>
      </c>
      <c r="D242">
        <v>117</v>
      </c>
      <c r="F242">
        <v>752</v>
      </c>
      <c r="G242">
        <v>5</v>
      </c>
      <c r="H242">
        <f t="shared" si="16"/>
        <v>150.4</v>
      </c>
      <c r="J242" s="4">
        <f t="shared" si="17"/>
        <v>17596.8</v>
      </c>
      <c r="K242" s="4"/>
      <c r="M242" s="4">
        <f>AVERAGE(J242:J245)</f>
        <v>15528.800000000001</v>
      </c>
    </row>
    <row r="243" spans="1:14" ht="14">
      <c r="A243" s="130">
        <v>42571</v>
      </c>
      <c r="B243">
        <v>2</v>
      </c>
      <c r="C243" t="s">
        <v>402</v>
      </c>
      <c r="D243">
        <v>93</v>
      </c>
      <c r="F243">
        <v>752</v>
      </c>
      <c r="G243">
        <v>5</v>
      </c>
      <c r="H243">
        <f t="shared" ref="H243:H253" si="18">F243/G243</f>
        <v>150.4</v>
      </c>
      <c r="J243" s="4">
        <f t="shared" ref="J243:J253" si="19">D243*H243</f>
        <v>13987.2</v>
      </c>
      <c r="K243" s="4"/>
    </row>
    <row r="244" spans="1:14" ht="14">
      <c r="A244" s="130">
        <v>42571</v>
      </c>
      <c r="B244">
        <v>2</v>
      </c>
      <c r="C244" t="s">
        <v>403</v>
      </c>
      <c r="D244">
        <v>92</v>
      </c>
      <c r="F244">
        <v>752</v>
      </c>
      <c r="G244">
        <v>5</v>
      </c>
      <c r="H244">
        <f t="shared" si="18"/>
        <v>150.4</v>
      </c>
      <c r="J244" s="4">
        <f t="shared" si="19"/>
        <v>13836.800000000001</v>
      </c>
      <c r="K244" s="4"/>
    </row>
    <row r="245" spans="1:14" ht="14">
      <c r="A245" s="130">
        <v>42571</v>
      </c>
      <c r="B245">
        <v>2</v>
      </c>
      <c r="C245" t="s">
        <v>403</v>
      </c>
      <c r="D245">
        <v>111</v>
      </c>
      <c r="F245">
        <v>752</v>
      </c>
      <c r="G245">
        <v>5</v>
      </c>
      <c r="H245">
        <f t="shared" si="18"/>
        <v>150.4</v>
      </c>
      <c r="J245" s="4">
        <f t="shared" si="19"/>
        <v>16694.400000000001</v>
      </c>
      <c r="K245" s="4"/>
    </row>
    <row r="246" spans="1:14" ht="14">
      <c r="A246" s="130">
        <v>42571</v>
      </c>
      <c r="B246">
        <v>4</v>
      </c>
      <c r="C246" t="s">
        <v>402</v>
      </c>
      <c r="D246">
        <v>160</v>
      </c>
      <c r="F246">
        <v>467</v>
      </c>
      <c r="G246">
        <v>10</v>
      </c>
      <c r="H246">
        <f t="shared" si="18"/>
        <v>46.7</v>
      </c>
      <c r="J246" s="4">
        <f t="shared" si="19"/>
        <v>7472</v>
      </c>
      <c r="K246" s="4"/>
      <c r="M246" s="4">
        <f>AVERAGE(J246:J248)</f>
        <v>6678.0999999999995</v>
      </c>
    </row>
    <row r="247" spans="1:14" ht="14">
      <c r="A247" s="130">
        <v>42571</v>
      </c>
      <c r="B247">
        <v>4</v>
      </c>
      <c r="C247" t="s">
        <v>403</v>
      </c>
      <c r="D247">
        <v>62</v>
      </c>
      <c r="F247">
        <v>467</v>
      </c>
      <c r="G247">
        <v>5</v>
      </c>
      <c r="H247">
        <f t="shared" si="18"/>
        <v>93.4</v>
      </c>
      <c r="J247" s="4">
        <f t="shared" si="19"/>
        <v>5790.8</v>
      </c>
      <c r="K247" s="4"/>
    </row>
    <row r="248" spans="1:14" ht="14">
      <c r="A248" s="130">
        <v>42571</v>
      </c>
      <c r="B248">
        <v>4</v>
      </c>
      <c r="C248" t="s">
        <v>403</v>
      </c>
      <c r="D248">
        <v>145</v>
      </c>
      <c r="F248">
        <v>467</v>
      </c>
      <c r="G248">
        <v>10</v>
      </c>
      <c r="H248">
        <f t="shared" si="18"/>
        <v>46.7</v>
      </c>
      <c r="J248" s="4">
        <f t="shared" si="19"/>
        <v>6771.5</v>
      </c>
      <c r="K248" s="4"/>
    </row>
    <row r="249" spans="1:14" ht="14">
      <c r="A249" s="130">
        <v>42571</v>
      </c>
      <c r="B249">
        <v>5</v>
      </c>
      <c r="C249" t="s">
        <v>402</v>
      </c>
      <c r="D249">
        <v>109</v>
      </c>
      <c r="F249">
        <v>510</v>
      </c>
      <c r="G249">
        <v>5</v>
      </c>
      <c r="H249">
        <f t="shared" si="18"/>
        <v>102</v>
      </c>
      <c r="J249" s="4">
        <f t="shared" si="19"/>
        <v>11118</v>
      </c>
      <c r="K249" s="4"/>
      <c r="M249" s="4">
        <f>AVERAGE(J249:J251)</f>
        <v>12546</v>
      </c>
    </row>
    <row r="250" spans="1:14" ht="14">
      <c r="A250" s="130">
        <v>42571</v>
      </c>
      <c r="B250">
        <v>5</v>
      </c>
      <c r="C250" t="s">
        <v>403</v>
      </c>
      <c r="D250">
        <v>124</v>
      </c>
      <c r="F250">
        <v>510</v>
      </c>
      <c r="G250">
        <v>5</v>
      </c>
      <c r="H250">
        <f t="shared" si="18"/>
        <v>102</v>
      </c>
      <c r="J250" s="4">
        <f t="shared" si="19"/>
        <v>12648</v>
      </c>
      <c r="K250" s="4"/>
    </row>
    <row r="251" spans="1:14" ht="14">
      <c r="A251" s="130">
        <v>42571</v>
      </c>
      <c r="B251">
        <v>5</v>
      </c>
      <c r="C251" t="s">
        <v>403</v>
      </c>
      <c r="D251">
        <v>136</v>
      </c>
      <c r="F251">
        <v>510</v>
      </c>
      <c r="G251">
        <v>5</v>
      </c>
      <c r="H251">
        <f t="shared" si="18"/>
        <v>102</v>
      </c>
      <c r="J251" s="4">
        <f t="shared" si="19"/>
        <v>13872</v>
      </c>
      <c r="K251" s="4"/>
    </row>
    <row r="252" spans="1:14" ht="14">
      <c r="A252" s="130">
        <v>42571</v>
      </c>
      <c r="B252">
        <v>8</v>
      </c>
      <c r="C252" t="s">
        <v>403</v>
      </c>
      <c r="D252">
        <v>145</v>
      </c>
      <c r="F252">
        <v>155</v>
      </c>
      <c r="G252">
        <v>5</v>
      </c>
      <c r="H252">
        <f t="shared" si="18"/>
        <v>31</v>
      </c>
      <c r="J252" s="4">
        <f t="shared" si="19"/>
        <v>4495</v>
      </c>
      <c r="K252" s="4"/>
      <c r="M252" s="4">
        <f>AVERAGE(J252:J253)</f>
        <v>4510.5</v>
      </c>
    </row>
    <row r="253" spans="1:14" ht="14">
      <c r="A253" s="130">
        <v>42571</v>
      </c>
      <c r="B253">
        <v>8</v>
      </c>
      <c r="C253" t="s">
        <v>402</v>
      </c>
      <c r="D253">
        <v>146</v>
      </c>
      <c r="F253">
        <v>155</v>
      </c>
      <c r="G253">
        <v>5</v>
      </c>
      <c r="H253">
        <f t="shared" si="18"/>
        <v>31</v>
      </c>
      <c r="J253" s="4">
        <f t="shared" si="19"/>
        <v>4526</v>
      </c>
      <c r="K253" s="4"/>
    </row>
    <row r="254" spans="1:14" ht="14">
      <c r="A254" s="132">
        <v>42606</v>
      </c>
      <c r="B254" s="33">
        <v>2</v>
      </c>
      <c r="C254" s="33"/>
      <c r="D254" s="33"/>
      <c r="E254" s="33"/>
      <c r="F254" s="33"/>
      <c r="G254" s="33"/>
      <c r="H254" s="38"/>
      <c r="I254" s="33"/>
      <c r="J254" s="4"/>
      <c r="K254" s="124"/>
      <c r="L254" s="33"/>
      <c r="M254" s="33"/>
      <c r="N254" s="33" t="s">
        <v>642</v>
      </c>
    </row>
    <row r="255" spans="1:14" ht="14">
      <c r="A255" s="133">
        <v>42606</v>
      </c>
      <c r="B255" s="38">
        <v>4</v>
      </c>
      <c r="C255" s="38" t="s">
        <v>641</v>
      </c>
      <c r="D255" s="38">
        <v>209</v>
      </c>
      <c r="F255" s="38">
        <v>698</v>
      </c>
      <c r="G255" s="38">
        <v>10</v>
      </c>
      <c r="H255" s="38">
        <f t="shared" ref="H255:H286" si="20">F255/G255</f>
        <v>69.8</v>
      </c>
      <c r="I255" s="38">
        <v>1</v>
      </c>
      <c r="J255" s="4">
        <f t="shared" ref="J255:J289" si="21">D255*H255*I255</f>
        <v>14588.199999999999</v>
      </c>
      <c r="K255" s="4"/>
      <c r="M255" s="23">
        <f>AVERAGE(J255:J256)</f>
        <v>14134.5</v>
      </c>
    </row>
    <row r="256" spans="1:14" ht="14">
      <c r="A256" s="133">
        <v>42606</v>
      </c>
      <c r="B256" s="38">
        <v>4</v>
      </c>
      <c r="C256" s="38" t="s">
        <v>641</v>
      </c>
      <c r="D256" s="38">
        <v>196</v>
      </c>
      <c r="F256" s="38">
        <v>698</v>
      </c>
      <c r="G256" s="38">
        <v>10</v>
      </c>
      <c r="H256" s="38">
        <f t="shared" si="20"/>
        <v>69.8</v>
      </c>
      <c r="I256" s="38">
        <v>1</v>
      </c>
      <c r="J256" s="4">
        <f t="shared" si="21"/>
        <v>13680.8</v>
      </c>
      <c r="K256" s="4"/>
    </row>
    <row r="257" spans="1:14" ht="14">
      <c r="A257" s="132">
        <v>42606</v>
      </c>
      <c r="B257" s="70">
        <v>5</v>
      </c>
      <c r="C257" s="70" t="s">
        <v>638</v>
      </c>
      <c r="D257" s="70">
        <v>314</v>
      </c>
      <c r="E257" s="70"/>
      <c r="F257" s="70">
        <v>242</v>
      </c>
      <c r="G257" s="70">
        <v>20</v>
      </c>
      <c r="H257" s="70">
        <f t="shared" si="20"/>
        <v>12.1</v>
      </c>
      <c r="I257" s="70">
        <v>1</v>
      </c>
      <c r="J257" s="122">
        <f t="shared" si="21"/>
        <v>3799.4</v>
      </c>
      <c r="K257" s="122"/>
      <c r="L257" s="70"/>
      <c r="M257" s="123">
        <f>AVERAGE(J257:J259)</f>
        <v>4194.666666666667</v>
      </c>
      <c r="N257" s="70" t="s">
        <v>639</v>
      </c>
    </row>
    <row r="258" spans="1:14" ht="14">
      <c r="A258" s="133">
        <v>42606</v>
      </c>
      <c r="B258" s="38">
        <v>5</v>
      </c>
      <c r="C258" s="38" t="s">
        <v>638</v>
      </c>
      <c r="D258" s="38">
        <v>178</v>
      </c>
      <c r="E258" s="38"/>
      <c r="F258" s="38">
        <v>242</v>
      </c>
      <c r="G258" s="38">
        <v>10</v>
      </c>
      <c r="H258" s="38">
        <f t="shared" si="20"/>
        <v>24.2</v>
      </c>
      <c r="I258" s="38">
        <v>1</v>
      </c>
      <c r="J258" s="120">
        <f t="shared" si="21"/>
        <v>4307.5999999999995</v>
      </c>
      <c r="K258" s="120"/>
      <c r="L258" s="38"/>
      <c r="M258" s="38"/>
      <c r="N258" s="38"/>
    </row>
    <row r="259" spans="1:14" ht="14">
      <c r="A259" s="133">
        <v>42606</v>
      </c>
      <c r="B259" s="38">
        <v>5</v>
      </c>
      <c r="C259" s="38" t="s">
        <v>638</v>
      </c>
      <c r="D259" s="38">
        <v>185</v>
      </c>
      <c r="E259" s="38"/>
      <c r="F259" s="38">
        <v>242</v>
      </c>
      <c r="G259" s="38">
        <v>10</v>
      </c>
      <c r="H259" s="38">
        <f t="shared" si="20"/>
        <v>24.2</v>
      </c>
      <c r="I259" s="38">
        <v>1</v>
      </c>
      <c r="J259" s="120">
        <f t="shared" si="21"/>
        <v>4477</v>
      </c>
      <c r="K259" s="120"/>
      <c r="L259" s="38"/>
      <c r="M259" s="38"/>
      <c r="N259" s="38"/>
    </row>
    <row r="260" spans="1:14" ht="14">
      <c r="A260" s="133">
        <v>42606</v>
      </c>
      <c r="B260" s="38">
        <v>8</v>
      </c>
      <c r="C260" s="38" t="s">
        <v>665</v>
      </c>
      <c r="D260" s="38">
        <v>191</v>
      </c>
      <c r="F260" s="38">
        <v>321</v>
      </c>
      <c r="G260" s="38">
        <v>10</v>
      </c>
      <c r="H260" s="38">
        <f t="shared" si="20"/>
        <v>32.1</v>
      </c>
      <c r="I260" s="38">
        <v>1</v>
      </c>
      <c r="J260" s="4">
        <f t="shared" si="21"/>
        <v>6131.1</v>
      </c>
      <c r="K260" s="4"/>
      <c r="M260" s="23">
        <f>AVERAGE(J260:J262)</f>
        <v>5446.3</v>
      </c>
    </row>
    <row r="261" spans="1:14" ht="14">
      <c r="A261" s="133">
        <v>42606</v>
      </c>
      <c r="B261" s="38">
        <v>8</v>
      </c>
      <c r="C261" s="38" t="s">
        <v>665</v>
      </c>
      <c r="D261" s="38">
        <v>152</v>
      </c>
      <c r="F261" s="38">
        <v>321</v>
      </c>
      <c r="G261" s="38">
        <v>10</v>
      </c>
      <c r="H261" s="38">
        <f t="shared" si="20"/>
        <v>32.1</v>
      </c>
      <c r="I261" s="38">
        <v>1</v>
      </c>
      <c r="J261" s="4">
        <f t="shared" si="21"/>
        <v>4879.2</v>
      </c>
      <c r="K261" s="4"/>
    </row>
    <row r="262" spans="1:14" ht="14">
      <c r="A262" s="133">
        <v>42606</v>
      </c>
      <c r="B262" s="38">
        <v>8</v>
      </c>
      <c r="C262" s="38" t="s">
        <v>665</v>
      </c>
      <c r="D262" s="38">
        <v>166</v>
      </c>
      <c r="F262" s="38">
        <v>321</v>
      </c>
      <c r="G262" s="38">
        <v>10</v>
      </c>
      <c r="H262" s="38">
        <f t="shared" si="20"/>
        <v>32.1</v>
      </c>
      <c r="I262" s="38">
        <v>1</v>
      </c>
      <c r="J262" s="4">
        <f t="shared" si="21"/>
        <v>5328.6</v>
      </c>
      <c r="K262" s="4"/>
    </row>
    <row r="263" spans="1:14" ht="14">
      <c r="A263" s="133">
        <v>42634</v>
      </c>
      <c r="B263" s="38">
        <v>2</v>
      </c>
      <c r="C263" s="38" t="s">
        <v>637</v>
      </c>
      <c r="D263" s="38">
        <v>249</v>
      </c>
      <c r="E263" s="38"/>
      <c r="F263" s="38">
        <v>1402</v>
      </c>
      <c r="G263" s="38">
        <v>10</v>
      </c>
      <c r="H263" s="38">
        <f t="shared" si="20"/>
        <v>140.19999999999999</v>
      </c>
      <c r="I263" s="38">
        <v>1</v>
      </c>
      <c r="J263" s="120">
        <f t="shared" si="21"/>
        <v>34909.799999999996</v>
      </c>
      <c r="K263" s="120"/>
      <c r="L263" s="38"/>
      <c r="M263" s="121">
        <f>AVERAGE(J263:J264)</f>
        <v>35470.599999999991</v>
      </c>
      <c r="N263" s="38"/>
    </row>
    <row r="264" spans="1:14" ht="14">
      <c r="A264" s="133">
        <v>42634</v>
      </c>
      <c r="B264" s="38">
        <v>2</v>
      </c>
      <c r="C264" s="38" t="s">
        <v>637</v>
      </c>
      <c r="D264" s="38">
        <v>257</v>
      </c>
      <c r="E264" s="38"/>
      <c r="F264" s="38">
        <v>1402</v>
      </c>
      <c r="G264" s="38">
        <v>10</v>
      </c>
      <c r="H264" s="38">
        <f t="shared" si="20"/>
        <v>140.19999999999999</v>
      </c>
      <c r="I264" s="38">
        <v>1</v>
      </c>
      <c r="J264" s="120">
        <f t="shared" si="21"/>
        <v>36031.399999999994</v>
      </c>
      <c r="K264" s="120"/>
      <c r="L264" s="38"/>
      <c r="M264" s="38"/>
      <c r="N264" s="38"/>
    </row>
    <row r="265" spans="1:14" ht="14">
      <c r="A265" s="133">
        <v>42634</v>
      </c>
      <c r="B265" s="38">
        <v>4</v>
      </c>
      <c r="C265" s="38" t="s">
        <v>637</v>
      </c>
      <c r="D265" s="38">
        <v>101</v>
      </c>
      <c r="E265" s="38"/>
      <c r="F265" s="38">
        <v>505</v>
      </c>
      <c r="G265" s="38">
        <v>10</v>
      </c>
      <c r="H265" s="38">
        <f t="shared" si="20"/>
        <v>50.5</v>
      </c>
      <c r="I265" s="38">
        <v>1</v>
      </c>
      <c r="J265" s="120">
        <f t="shared" si="21"/>
        <v>5100.5</v>
      </c>
      <c r="K265" s="120"/>
      <c r="L265" s="38"/>
      <c r="M265" s="121">
        <f>AVERAGE(J265:J268)</f>
        <v>5491.875</v>
      </c>
      <c r="N265" s="38"/>
    </row>
    <row r="266" spans="1:14" ht="14">
      <c r="A266" s="133">
        <v>42634</v>
      </c>
      <c r="B266" s="38">
        <v>4</v>
      </c>
      <c r="C266" s="38" t="s">
        <v>637</v>
      </c>
      <c r="D266" s="38">
        <v>118</v>
      </c>
      <c r="E266" s="38"/>
      <c r="F266" s="38">
        <v>505</v>
      </c>
      <c r="G266" s="38">
        <v>10</v>
      </c>
      <c r="H266" s="38">
        <f t="shared" si="20"/>
        <v>50.5</v>
      </c>
      <c r="I266" s="38">
        <v>1</v>
      </c>
      <c r="J266" s="120">
        <f t="shared" si="21"/>
        <v>5959</v>
      </c>
      <c r="K266" s="120"/>
      <c r="L266" s="38"/>
      <c r="M266" s="38"/>
      <c r="N266" s="38"/>
    </row>
    <row r="267" spans="1:14" ht="14">
      <c r="A267" s="133">
        <v>42634</v>
      </c>
      <c r="B267" s="76">
        <v>4</v>
      </c>
      <c r="C267" s="76" t="s">
        <v>637</v>
      </c>
      <c r="D267" s="76">
        <v>101</v>
      </c>
      <c r="E267" s="76"/>
      <c r="F267" s="76">
        <v>505</v>
      </c>
      <c r="G267" s="76">
        <v>10</v>
      </c>
      <c r="H267" s="76">
        <f t="shared" si="20"/>
        <v>50.5</v>
      </c>
      <c r="I267" s="76">
        <v>1</v>
      </c>
      <c r="J267" s="126">
        <f t="shared" si="21"/>
        <v>5100.5</v>
      </c>
      <c r="K267" s="126"/>
      <c r="L267" s="76"/>
      <c r="M267" s="76"/>
      <c r="N267" s="76"/>
    </row>
    <row r="268" spans="1:14" ht="14">
      <c r="A268" s="133">
        <v>42634</v>
      </c>
      <c r="B268" s="76">
        <v>4</v>
      </c>
      <c r="C268" s="76" t="s">
        <v>637</v>
      </c>
      <c r="D268" s="76">
        <v>115</v>
      </c>
      <c r="E268" s="76"/>
      <c r="F268" s="76">
        <v>505</v>
      </c>
      <c r="G268" s="76">
        <v>10</v>
      </c>
      <c r="H268" s="76">
        <f t="shared" si="20"/>
        <v>50.5</v>
      </c>
      <c r="I268" s="76">
        <v>1</v>
      </c>
      <c r="J268" s="126">
        <f t="shared" si="21"/>
        <v>5807.5</v>
      </c>
      <c r="K268" s="126"/>
      <c r="L268" s="76"/>
      <c r="M268" s="76"/>
      <c r="N268" s="76"/>
    </row>
    <row r="269" spans="1:14" ht="14">
      <c r="A269" s="133">
        <v>42634</v>
      </c>
      <c r="B269" s="76">
        <v>5</v>
      </c>
      <c r="C269" s="76" t="s">
        <v>638</v>
      </c>
      <c r="D269" s="76">
        <v>192</v>
      </c>
      <c r="E269" s="76"/>
      <c r="F269" s="76">
        <v>1804</v>
      </c>
      <c r="G269" s="76">
        <v>10</v>
      </c>
      <c r="H269" s="76">
        <f t="shared" si="20"/>
        <v>180.4</v>
      </c>
      <c r="I269" s="76">
        <v>1</v>
      </c>
      <c r="J269" s="126">
        <f t="shared" si="21"/>
        <v>34636.800000000003</v>
      </c>
      <c r="K269" s="126"/>
      <c r="L269" s="76"/>
      <c r="M269" s="127">
        <f>AVERAGE(J269:J271)</f>
        <v>33313.866666666669</v>
      </c>
      <c r="N269" s="76"/>
    </row>
    <row r="270" spans="1:14" ht="14">
      <c r="A270" s="133">
        <v>42634</v>
      </c>
      <c r="B270" s="38">
        <v>5</v>
      </c>
      <c r="C270" s="38" t="s">
        <v>638</v>
      </c>
      <c r="D270" s="38">
        <v>183</v>
      </c>
      <c r="E270" s="38"/>
      <c r="F270" s="38">
        <v>1804</v>
      </c>
      <c r="G270" s="38">
        <v>10</v>
      </c>
      <c r="H270" s="38">
        <f t="shared" si="20"/>
        <v>180.4</v>
      </c>
      <c r="I270" s="38">
        <v>1</v>
      </c>
      <c r="J270" s="120">
        <f t="shared" si="21"/>
        <v>33013.200000000004</v>
      </c>
      <c r="K270" s="120"/>
      <c r="L270" s="38"/>
      <c r="M270" s="38"/>
      <c r="N270" s="38"/>
    </row>
    <row r="271" spans="1:14" ht="14">
      <c r="A271" s="133">
        <v>42634</v>
      </c>
      <c r="B271" s="38">
        <v>5</v>
      </c>
      <c r="C271" s="38" t="s">
        <v>638</v>
      </c>
      <c r="D271" s="38">
        <v>179</v>
      </c>
      <c r="E271" s="38"/>
      <c r="F271" s="38">
        <v>1804</v>
      </c>
      <c r="G271" s="38">
        <v>10</v>
      </c>
      <c r="H271" s="38">
        <f t="shared" si="20"/>
        <v>180.4</v>
      </c>
      <c r="I271" s="38">
        <v>1</v>
      </c>
      <c r="J271" s="120">
        <f t="shared" si="21"/>
        <v>32291.600000000002</v>
      </c>
      <c r="K271" s="120"/>
      <c r="L271" s="38"/>
      <c r="M271" s="38"/>
      <c r="N271" s="38"/>
    </row>
    <row r="272" spans="1:14" s="38" customFormat="1" ht="14">
      <c r="A272" s="133">
        <v>42634</v>
      </c>
      <c r="B272" s="38">
        <v>8</v>
      </c>
      <c r="C272" s="38" t="s">
        <v>637</v>
      </c>
      <c r="D272" s="38">
        <v>278</v>
      </c>
      <c r="F272" s="38">
        <v>730</v>
      </c>
      <c r="G272" s="38">
        <v>10</v>
      </c>
      <c r="H272" s="38">
        <f t="shared" si="20"/>
        <v>73</v>
      </c>
      <c r="I272" s="38">
        <v>1</v>
      </c>
      <c r="J272" s="120">
        <f t="shared" si="21"/>
        <v>20294</v>
      </c>
      <c r="K272" s="120"/>
      <c r="M272" s="121">
        <f>AVERAGE(J272:J274)</f>
        <v>17520</v>
      </c>
    </row>
    <row r="273" spans="1:14" s="38" customFormat="1" ht="14">
      <c r="A273" s="133">
        <v>42634</v>
      </c>
      <c r="B273" s="38">
        <v>8</v>
      </c>
      <c r="C273" s="38" t="s">
        <v>637</v>
      </c>
      <c r="D273" s="38">
        <v>228</v>
      </c>
      <c r="F273" s="38">
        <v>730</v>
      </c>
      <c r="G273" s="38">
        <v>10</v>
      </c>
      <c r="H273" s="38">
        <f t="shared" si="20"/>
        <v>73</v>
      </c>
      <c r="I273" s="38">
        <v>1</v>
      </c>
      <c r="J273" s="120">
        <f t="shared" si="21"/>
        <v>16644</v>
      </c>
      <c r="K273" s="120"/>
    </row>
    <row r="274" spans="1:14" s="38" customFormat="1" ht="14">
      <c r="A274" s="133">
        <v>42634</v>
      </c>
      <c r="B274" s="38">
        <v>8</v>
      </c>
      <c r="C274" s="38" t="s">
        <v>637</v>
      </c>
      <c r="D274" s="38">
        <v>214</v>
      </c>
      <c r="F274" s="38">
        <v>730</v>
      </c>
      <c r="G274" s="38">
        <v>10</v>
      </c>
      <c r="H274" s="38">
        <f t="shared" si="20"/>
        <v>73</v>
      </c>
      <c r="I274" s="38">
        <v>1</v>
      </c>
      <c r="J274" s="120">
        <f t="shared" si="21"/>
        <v>15622</v>
      </c>
      <c r="K274" s="120"/>
    </row>
    <row r="275" spans="1:14" s="38" customFormat="1" ht="14">
      <c r="A275" s="133">
        <v>42662</v>
      </c>
      <c r="B275" s="38">
        <v>2</v>
      </c>
      <c r="C275" s="38" t="s">
        <v>637</v>
      </c>
      <c r="D275" s="38">
        <v>100</v>
      </c>
      <c r="E275"/>
      <c r="F275" s="38">
        <v>488</v>
      </c>
      <c r="G275" s="38">
        <v>10</v>
      </c>
      <c r="H275" s="38">
        <f t="shared" si="20"/>
        <v>48.8</v>
      </c>
      <c r="I275" s="38">
        <v>1</v>
      </c>
      <c r="J275" s="4">
        <f t="shared" si="21"/>
        <v>4880</v>
      </c>
      <c r="K275" s="4"/>
      <c r="L275"/>
      <c r="M275" s="23">
        <f>AVERAGE(J275:J278)</f>
        <v>5331.4</v>
      </c>
      <c r="N275"/>
    </row>
    <row r="276" spans="1:14" s="38" customFormat="1" ht="14">
      <c r="A276" s="133">
        <v>42662</v>
      </c>
      <c r="B276" s="38">
        <v>2</v>
      </c>
      <c r="C276" s="38" t="s">
        <v>637</v>
      </c>
      <c r="D276" s="38">
        <v>88</v>
      </c>
      <c r="E276"/>
      <c r="F276" s="38">
        <v>488</v>
      </c>
      <c r="G276" s="38">
        <v>10</v>
      </c>
      <c r="H276" s="38">
        <f t="shared" si="20"/>
        <v>48.8</v>
      </c>
      <c r="I276" s="38">
        <v>1</v>
      </c>
      <c r="J276" s="4">
        <f t="shared" si="21"/>
        <v>4294.3999999999996</v>
      </c>
      <c r="K276" s="4"/>
      <c r="L276"/>
      <c r="M276"/>
      <c r="N276"/>
    </row>
    <row r="277" spans="1:14" s="38" customFormat="1" ht="14">
      <c r="A277" s="133">
        <v>42662</v>
      </c>
      <c r="B277" s="38">
        <v>2</v>
      </c>
      <c r="C277" s="38" t="s">
        <v>637</v>
      </c>
      <c r="D277" s="38">
        <v>121</v>
      </c>
      <c r="E277"/>
      <c r="F277" s="38">
        <v>488</v>
      </c>
      <c r="G277" s="38">
        <v>10</v>
      </c>
      <c r="H277" s="38">
        <f t="shared" si="20"/>
        <v>48.8</v>
      </c>
      <c r="I277" s="38">
        <v>1</v>
      </c>
      <c r="J277" s="4">
        <f t="shared" si="21"/>
        <v>5904.7999999999993</v>
      </c>
      <c r="K277" s="4"/>
      <c r="L277"/>
      <c r="M277"/>
      <c r="N277"/>
    </row>
    <row r="278" spans="1:14" s="38" customFormat="1" ht="14">
      <c r="A278" s="133">
        <v>42662</v>
      </c>
      <c r="B278" s="38">
        <v>2</v>
      </c>
      <c r="C278" s="38" t="s">
        <v>637</v>
      </c>
      <c r="D278" s="38">
        <v>128</v>
      </c>
      <c r="E278"/>
      <c r="F278" s="38">
        <v>488</v>
      </c>
      <c r="G278" s="38">
        <v>10</v>
      </c>
      <c r="H278" s="38">
        <f t="shared" si="20"/>
        <v>48.8</v>
      </c>
      <c r="I278" s="38">
        <v>1</v>
      </c>
      <c r="J278" s="4">
        <f t="shared" si="21"/>
        <v>6246.4</v>
      </c>
      <c r="K278" s="4"/>
      <c r="L278"/>
      <c r="M278"/>
      <c r="N278"/>
    </row>
    <row r="279" spans="1:14" s="38" customFormat="1" ht="14">
      <c r="A279" s="133">
        <v>42662</v>
      </c>
      <c r="B279" s="38">
        <v>4</v>
      </c>
      <c r="C279" s="38" t="s">
        <v>641</v>
      </c>
      <c r="D279" s="38">
        <v>148</v>
      </c>
      <c r="E279"/>
      <c r="F279" s="38">
        <v>470</v>
      </c>
      <c r="G279" s="38">
        <v>10</v>
      </c>
      <c r="H279" s="38">
        <f t="shared" si="20"/>
        <v>47</v>
      </c>
      <c r="I279" s="38">
        <v>1</v>
      </c>
      <c r="J279" s="4">
        <f t="shared" si="21"/>
        <v>6956</v>
      </c>
      <c r="K279" s="4"/>
      <c r="L279"/>
      <c r="M279" s="23">
        <f>AVERAGE(J279:J280)</f>
        <v>6627</v>
      </c>
      <c r="N279"/>
    </row>
    <row r="280" spans="1:14" s="38" customFormat="1" ht="14">
      <c r="A280" s="133">
        <v>42662</v>
      </c>
      <c r="B280" s="38">
        <v>4</v>
      </c>
      <c r="C280" s="38" t="s">
        <v>641</v>
      </c>
      <c r="D280" s="38">
        <v>134</v>
      </c>
      <c r="E280"/>
      <c r="F280" s="38">
        <v>470</v>
      </c>
      <c r="G280" s="38">
        <v>10</v>
      </c>
      <c r="H280" s="38">
        <f t="shared" si="20"/>
        <v>47</v>
      </c>
      <c r="I280" s="38">
        <v>1</v>
      </c>
      <c r="J280" s="4">
        <f t="shared" si="21"/>
        <v>6298</v>
      </c>
      <c r="K280" s="4"/>
      <c r="L280"/>
      <c r="M280"/>
      <c r="N280"/>
    </row>
    <row r="281" spans="1:14" s="38" customFormat="1" ht="14">
      <c r="A281" s="133">
        <v>42662</v>
      </c>
      <c r="B281" s="38">
        <v>5</v>
      </c>
      <c r="C281" s="38" t="s">
        <v>641</v>
      </c>
      <c r="D281" s="38">
        <v>209</v>
      </c>
      <c r="E281"/>
      <c r="F281" s="38">
        <v>660</v>
      </c>
      <c r="G281" s="38">
        <v>10</v>
      </c>
      <c r="H281" s="38">
        <f t="shared" si="20"/>
        <v>66</v>
      </c>
      <c r="I281" s="38">
        <v>1</v>
      </c>
      <c r="J281" s="4">
        <f t="shared" si="21"/>
        <v>13794</v>
      </c>
      <c r="K281" s="4"/>
      <c r="L281"/>
      <c r="M281" s="23">
        <f>SUM(J281:J283)</f>
        <v>39402</v>
      </c>
      <c r="N281"/>
    </row>
    <row r="282" spans="1:14" s="38" customFormat="1" ht="14">
      <c r="A282" s="133">
        <v>42662</v>
      </c>
      <c r="B282" s="38">
        <v>5</v>
      </c>
      <c r="C282" s="38" t="s">
        <v>641</v>
      </c>
      <c r="D282" s="38">
        <v>165</v>
      </c>
      <c r="E282"/>
      <c r="F282" s="38">
        <v>660</v>
      </c>
      <c r="G282" s="38">
        <v>10</v>
      </c>
      <c r="H282" s="38">
        <f t="shared" si="20"/>
        <v>66</v>
      </c>
      <c r="I282" s="38">
        <v>1</v>
      </c>
      <c r="J282" s="4">
        <f t="shared" si="21"/>
        <v>10890</v>
      </c>
      <c r="K282" s="4"/>
      <c r="L282"/>
      <c r="M282"/>
      <c r="N282"/>
    </row>
    <row r="283" spans="1:14" s="38" customFormat="1" ht="14">
      <c r="A283" s="133">
        <v>42662</v>
      </c>
      <c r="B283" s="38">
        <v>5</v>
      </c>
      <c r="C283" s="38" t="s">
        <v>641</v>
      </c>
      <c r="D283" s="38">
        <v>223</v>
      </c>
      <c r="E283"/>
      <c r="F283" s="38">
        <v>660</v>
      </c>
      <c r="G283" s="38">
        <v>10</v>
      </c>
      <c r="H283" s="38">
        <f t="shared" si="20"/>
        <v>66</v>
      </c>
      <c r="I283" s="38">
        <v>1</v>
      </c>
      <c r="J283" s="4">
        <f t="shared" si="21"/>
        <v>14718</v>
      </c>
      <c r="K283" s="4"/>
      <c r="L283"/>
      <c r="M283"/>
      <c r="N283"/>
    </row>
    <row r="284" spans="1:14" s="38" customFormat="1" ht="14">
      <c r="A284" s="133">
        <v>42662</v>
      </c>
      <c r="B284" s="38">
        <v>8</v>
      </c>
      <c r="C284" s="38" t="s">
        <v>641</v>
      </c>
      <c r="D284" s="38">
        <v>140</v>
      </c>
      <c r="F284" s="38">
        <v>490</v>
      </c>
      <c r="G284" s="38">
        <v>10</v>
      </c>
      <c r="H284" s="38">
        <f t="shared" si="20"/>
        <v>49</v>
      </c>
      <c r="I284" s="38">
        <v>1</v>
      </c>
      <c r="J284" s="120">
        <f t="shared" si="21"/>
        <v>6860</v>
      </c>
      <c r="K284" s="120"/>
      <c r="M284" s="121">
        <f>AVERAGE(J284:J285)</f>
        <v>7227.5</v>
      </c>
    </row>
    <row r="285" spans="1:14" s="38" customFormat="1" ht="14">
      <c r="A285" s="133">
        <v>42662</v>
      </c>
      <c r="B285" s="38">
        <v>8</v>
      </c>
      <c r="C285" s="38" t="s">
        <v>641</v>
      </c>
      <c r="D285" s="38">
        <v>155</v>
      </c>
      <c r="F285" s="38">
        <v>490</v>
      </c>
      <c r="G285" s="38">
        <v>10</v>
      </c>
      <c r="H285" s="38">
        <f t="shared" si="20"/>
        <v>49</v>
      </c>
      <c r="I285" s="38">
        <v>1</v>
      </c>
      <c r="J285" s="120">
        <f t="shared" si="21"/>
        <v>7595</v>
      </c>
      <c r="K285" s="120"/>
    </row>
    <row r="286" spans="1:14" s="38" customFormat="1" ht="14">
      <c r="A286" s="133">
        <v>42867</v>
      </c>
      <c r="B286" s="76">
        <v>2</v>
      </c>
      <c r="C286" s="76" t="s">
        <v>643</v>
      </c>
      <c r="D286" s="76">
        <v>161</v>
      </c>
      <c r="E286" s="76"/>
      <c r="F286" s="76">
        <v>470</v>
      </c>
      <c r="G286" s="76">
        <v>20</v>
      </c>
      <c r="H286" s="76">
        <f t="shared" si="20"/>
        <v>23.5</v>
      </c>
      <c r="I286" s="76">
        <v>1</v>
      </c>
      <c r="J286" s="126">
        <f t="shared" si="21"/>
        <v>3783.5</v>
      </c>
      <c r="K286" s="126"/>
      <c r="L286" s="76"/>
      <c r="M286" s="127">
        <f>AVERAGE(J286:J287)</f>
        <v>3760</v>
      </c>
      <c r="N286" s="76" t="s">
        <v>644</v>
      </c>
    </row>
    <row r="287" spans="1:14" s="38" customFormat="1" ht="14">
      <c r="A287" s="133">
        <v>42867</v>
      </c>
      <c r="B287" s="76">
        <v>2</v>
      </c>
      <c r="C287" s="76" t="s">
        <v>643</v>
      </c>
      <c r="D287" s="76">
        <v>159</v>
      </c>
      <c r="E287" s="76"/>
      <c r="F287" s="76">
        <v>470</v>
      </c>
      <c r="G287" s="76">
        <v>20</v>
      </c>
      <c r="H287" s="76">
        <f t="shared" ref="H287:H318" si="22">F287/G287</f>
        <v>23.5</v>
      </c>
      <c r="I287" s="76">
        <v>1</v>
      </c>
      <c r="J287" s="126">
        <f t="shared" si="21"/>
        <v>3736.5</v>
      </c>
      <c r="K287" s="126"/>
      <c r="L287" s="76"/>
      <c r="M287" s="76"/>
      <c r="N287" s="76"/>
    </row>
    <row r="288" spans="1:14" s="38" customFormat="1" ht="14">
      <c r="A288" s="133">
        <v>42867</v>
      </c>
      <c r="B288" s="119">
        <v>4</v>
      </c>
      <c r="C288" s="38" t="s">
        <v>664</v>
      </c>
      <c r="D288" s="38">
        <v>143</v>
      </c>
      <c r="F288" s="38">
        <v>295</v>
      </c>
      <c r="G288" s="38">
        <v>20</v>
      </c>
      <c r="H288" s="38">
        <f t="shared" si="22"/>
        <v>14.75</v>
      </c>
      <c r="I288" s="38">
        <v>2</v>
      </c>
      <c r="J288" s="120">
        <f t="shared" si="21"/>
        <v>4218.5</v>
      </c>
      <c r="K288" s="120"/>
      <c r="M288" s="121">
        <f>AVERAGE(J288:J289)</f>
        <v>4366</v>
      </c>
      <c r="N288" s="38" t="s">
        <v>581</v>
      </c>
    </row>
    <row r="289" spans="1:13" s="38" customFormat="1" ht="14">
      <c r="A289" s="133">
        <v>42867</v>
      </c>
      <c r="B289" s="119">
        <v>4</v>
      </c>
      <c r="C289" s="38" t="s">
        <v>664</v>
      </c>
      <c r="D289" s="38">
        <v>153</v>
      </c>
      <c r="F289" s="38">
        <v>295</v>
      </c>
      <c r="G289" s="38">
        <v>20</v>
      </c>
      <c r="H289" s="38">
        <f t="shared" si="22"/>
        <v>14.75</v>
      </c>
      <c r="I289" s="38">
        <v>2</v>
      </c>
      <c r="J289" s="120">
        <f t="shared" si="21"/>
        <v>4513.5</v>
      </c>
      <c r="K289" s="120"/>
    </row>
    <row r="290" spans="1:13" s="38" customFormat="1" ht="14">
      <c r="A290" s="133">
        <v>42867</v>
      </c>
      <c r="B290" s="119">
        <v>5</v>
      </c>
      <c r="C290" s="119" t="s">
        <v>572</v>
      </c>
      <c r="D290" s="38">
        <v>152</v>
      </c>
      <c r="F290" s="38">
        <v>625</v>
      </c>
      <c r="G290" s="38">
        <v>10</v>
      </c>
      <c r="H290" s="38">
        <f t="shared" si="22"/>
        <v>62.5</v>
      </c>
      <c r="J290" s="120">
        <f t="shared" ref="J290:J297" si="23">D290*H290</f>
        <v>9500</v>
      </c>
      <c r="K290" s="120"/>
      <c r="M290" s="121">
        <f>AVERAGE(J290:J292)</f>
        <v>9854.1666666666661</v>
      </c>
    </row>
    <row r="291" spans="1:13" s="38" customFormat="1" ht="14">
      <c r="A291" s="133">
        <v>42867</v>
      </c>
      <c r="B291" s="119">
        <v>5</v>
      </c>
      <c r="C291" s="119" t="s">
        <v>572</v>
      </c>
      <c r="D291" s="38">
        <v>173</v>
      </c>
      <c r="F291" s="38">
        <v>625</v>
      </c>
      <c r="G291" s="38">
        <v>10</v>
      </c>
      <c r="H291" s="38">
        <f t="shared" si="22"/>
        <v>62.5</v>
      </c>
      <c r="J291" s="120">
        <f t="shared" si="23"/>
        <v>10812.5</v>
      </c>
      <c r="K291" s="120"/>
    </row>
    <row r="292" spans="1:13" s="38" customFormat="1" ht="14">
      <c r="A292" s="133">
        <v>42867</v>
      </c>
      <c r="B292" s="119">
        <v>5</v>
      </c>
      <c r="C292" s="119" t="s">
        <v>572</v>
      </c>
      <c r="D292" s="38">
        <v>148</v>
      </c>
      <c r="F292" s="38">
        <v>625</v>
      </c>
      <c r="G292" s="38">
        <v>10</v>
      </c>
      <c r="H292" s="38">
        <f t="shared" si="22"/>
        <v>62.5</v>
      </c>
      <c r="J292" s="120">
        <f t="shared" si="23"/>
        <v>9250</v>
      </c>
      <c r="K292" s="120"/>
    </row>
    <row r="293" spans="1:13" s="38" customFormat="1" ht="14">
      <c r="A293" s="133">
        <v>42867</v>
      </c>
      <c r="B293" s="38">
        <v>8</v>
      </c>
      <c r="C293" s="38" t="s">
        <v>468</v>
      </c>
      <c r="D293" s="38">
        <v>157</v>
      </c>
      <c r="F293" s="38">
        <v>440</v>
      </c>
      <c r="G293" s="38">
        <v>10</v>
      </c>
      <c r="H293" s="38">
        <f t="shared" si="22"/>
        <v>44</v>
      </c>
      <c r="J293" s="120">
        <f t="shared" si="23"/>
        <v>6908</v>
      </c>
      <c r="K293" s="120"/>
      <c r="M293" s="121">
        <f>AVERAGE(J293:J295)</f>
        <v>6057.333333333333</v>
      </c>
    </row>
    <row r="294" spans="1:13" s="38" customFormat="1" ht="14">
      <c r="A294" s="133">
        <v>42867</v>
      </c>
      <c r="B294" s="38">
        <v>8</v>
      </c>
      <c r="C294" s="38" t="s">
        <v>468</v>
      </c>
      <c r="D294" s="38">
        <v>133</v>
      </c>
      <c r="F294" s="38">
        <v>440</v>
      </c>
      <c r="G294" s="38">
        <v>10</v>
      </c>
      <c r="H294" s="38">
        <f t="shared" si="22"/>
        <v>44</v>
      </c>
      <c r="J294" s="120">
        <f t="shared" si="23"/>
        <v>5852</v>
      </c>
      <c r="K294" s="120"/>
    </row>
    <row r="295" spans="1:13" s="38" customFormat="1" ht="15" customHeight="1">
      <c r="A295" s="133">
        <v>42867</v>
      </c>
      <c r="B295" s="38">
        <v>8</v>
      </c>
      <c r="C295" s="38" t="s">
        <v>468</v>
      </c>
      <c r="D295" s="38">
        <v>123</v>
      </c>
      <c r="F295" s="38">
        <v>440</v>
      </c>
      <c r="G295" s="38">
        <v>10</v>
      </c>
      <c r="H295" s="38">
        <f t="shared" si="22"/>
        <v>44</v>
      </c>
      <c r="J295" s="120">
        <f t="shared" si="23"/>
        <v>5412</v>
      </c>
      <c r="K295" s="120"/>
    </row>
    <row r="296" spans="1:13" s="105" customFormat="1" ht="14">
      <c r="A296" s="141">
        <v>42900</v>
      </c>
      <c r="B296" s="142">
        <v>2</v>
      </c>
      <c r="C296" s="142" t="s">
        <v>569</v>
      </c>
      <c r="D296" s="105">
        <v>108</v>
      </c>
      <c r="F296" s="105">
        <v>370</v>
      </c>
      <c r="G296" s="105">
        <v>20</v>
      </c>
      <c r="H296" s="105">
        <f t="shared" si="22"/>
        <v>18.5</v>
      </c>
      <c r="J296" s="143">
        <f t="shared" si="23"/>
        <v>1998</v>
      </c>
      <c r="K296" s="143"/>
      <c r="M296" s="144">
        <f>AVERAGE(J296:J297)</f>
        <v>2062.75</v>
      </c>
    </row>
    <row r="297" spans="1:13" s="105" customFormat="1" ht="14">
      <c r="A297" s="141">
        <v>42900</v>
      </c>
      <c r="B297" s="142">
        <v>2</v>
      </c>
      <c r="C297" s="142" t="s">
        <v>569</v>
      </c>
      <c r="D297" s="105">
        <v>115</v>
      </c>
      <c r="F297" s="105">
        <v>370</v>
      </c>
      <c r="G297" s="105">
        <v>20</v>
      </c>
      <c r="H297" s="105">
        <f t="shared" si="22"/>
        <v>18.5</v>
      </c>
      <c r="J297" s="143">
        <f t="shared" si="23"/>
        <v>2127.5</v>
      </c>
      <c r="K297" s="143"/>
    </row>
    <row r="298" spans="1:13" s="105" customFormat="1" ht="14">
      <c r="A298" s="141">
        <v>42900</v>
      </c>
      <c r="B298" s="105">
        <v>4</v>
      </c>
      <c r="C298" s="105" t="s">
        <v>663</v>
      </c>
      <c r="D298" s="105">
        <v>103</v>
      </c>
      <c r="F298" s="105">
        <v>405</v>
      </c>
      <c r="G298" s="105">
        <v>10</v>
      </c>
      <c r="H298" s="105">
        <f t="shared" si="22"/>
        <v>40.5</v>
      </c>
      <c r="I298" s="105">
        <v>1</v>
      </c>
      <c r="J298" s="143">
        <f>D298*H298*I298</f>
        <v>4171.5</v>
      </c>
      <c r="K298" s="143"/>
      <c r="M298" s="144">
        <f>AVERAGE(J298:J299)</f>
        <v>4009.5</v>
      </c>
    </row>
    <row r="299" spans="1:13" s="105" customFormat="1" ht="14">
      <c r="A299" s="141">
        <v>42900</v>
      </c>
      <c r="B299" s="105">
        <v>4</v>
      </c>
      <c r="C299" s="105" t="s">
        <v>663</v>
      </c>
      <c r="D299" s="105">
        <v>95</v>
      </c>
      <c r="F299" s="105">
        <v>405</v>
      </c>
      <c r="G299" s="105">
        <v>10</v>
      </c>
      <c r="H299" s="105">
        <f t="shared" si="22"/>
        <v>40.5</v>
      </c>
      <c r="I299" s="105">
        <v>1</v>
      </c>
      <c r="J299" s="143">
        <f>D299*H299*I299</f>
        <v>3847.5</v>
      </c>
      <c r="K299" s="143"/>
    </row>
    <row r="300" spans="1:13" s="105" customFormat="1" ht="14">
      <c r="A300" s="141">
        <v>42900</v>
      </c>
      <c r="B300" s="105">
        <v>5</v>
      </c>
      <c r="C300" s="142" t="s">
        <v>569</v>
      </c>
      <c r="D300" s="105">
        <v>160</v>
      </c>
      <c r="F300" s="105">
        <v>570</v>
      </c>
      <c r="G300" s="105">
        <v>10</v>
      </c>
      <c r="H300" s="105">
        <f t="shared" si="22"/>
        <v>57</v>
      </c>
      <c r="J300" s="143">
        <f t="shared" ref="J300:J307" si="24">D300*H300</f>
        <v>9120</v>
      </c>
      <c r="K300" s="143"/>
      <c r="M300" s="144">
        <f>AVERAGE(J300:J301)</f>
        <v>8721</v>
      </c>
    </row>
    <row r="301" spans="1:13" s="105" customFormat="1" ht="14">
      <c r="A301" s="141">
        <v>42900</v>
      </c>
      <c r="B301" s="105">
        <v>5</v>
      </c>
      <c r="C301" s="142" t="s">
        <v>569</v>
      </c>
      <c r="D301" s="105">
        <v>146</v>
      </c>
      <c r="F301" s="105">
        <v>570</v>
      </c>
      <c r="G301" s="105">
        <v>10</v>
      </c>
      <c r="H301" s="105">
        <f t="shared" si="22"/>
        <v>57</v>
      </c>
      <c r="J301" s="143">
        <f t="shared" si="24"/>
        <v>8322</v>
      </c>
      <c r="K301" s="143"/>
    </row>
    <row r="302" spans="1:13" s="105" customFormat="1" ht="14">
      <c r="A302" s="141">
        <v>42900</v>
      </c>
      <c r="B302" s="142">
        <v>8</v>
      </c>
      <c r="C302" s="142" t="s">
        <v>569</v>
      </c>
      <c r="D302" s="105">
        <v>158</v>
      </c>
      <c r="F302" s="105">
        <v>480</v>
      </c>
      <c r="G302" s="105">
        <v>10</v>
      </c>
      <c r="H302" s="105">
        <f t="shared" si="22"/>
        <v>48</v>
      </c>
      <c r="J302" s="143">
        <f t="shared" si="24"/>
        <v>7584</v>
      </c>
      <c r="K302" s="143"/>
      <c r="M302" s="144">
        <f>AVERAGE(J302:J303)</f>
        <v>7752</v>
      </c>
    </row>
    <row r="303" spans="1:13" s="105" customFormat="1" ht="14">
      <c r="A303" s="141">
        <v>42900</v>
      </c>
      <c r="B303" s="142">
        <v>8</v>
      </c>
      <c r="C303" s="142" t="s">
        <v>569</v>
      </c>
      <c r="D303" s="105">
        <v>165</v>
      </c>
      <c r="F303" s="105">
        <v>480</v>
      </c>
      <c r="G303" s="105">
        <v>10</v>
      </c>
      <c r="H303" s="105">
        <f t="shared" si="22"/>
        <v>48</v>
      </c>
      <c r="J303" s="143">
        <f t="shared" si="24"/>
        <v>7920</v>
      </c>
      <c r="K303" s="143"/>
    </row>
    <row r="304" spans="1:13" s="38" customFormat="1" ht="14">
      <c r="A304" s="133">
        <v>42928</v>
      </c>
      <c r="B304" s="38">
        <v>2</v>
      </c>
      <c r="C304" s="119" t="s">
        <v>570</v>
      </c>
      <c r="D304" s="38">
        <v>646</v>
      </c>
      <c r="F304" s="38">
        <v>420</v>
      </c>
      <c r="G304" s="38">
        <v>10</v>
      </c>
      <c r="H304" s="38">
        <f t="shared" si="22"/>
        <v>42</v>
      </c>
      <c r="J304" s="120">
        <f t="shared" si="24"/>
        <v>27132</v>
      </c>
      <c r="K304" s="120"/>
      <c r="M304" s="121">
        <f>AVERAGE(J304:J305)</f>
        <v>27321</v>
      </c>
    </row>
    <row r="305" spans="1:14" s="38" customFormat="1" ht="14">
      <c r="A305" s="133">
        <v>42928</v>
      </c>
      <c r="B305" s="76">
        <v>2</v>
      </c>
      <c r="C305" s="139" t="s">
        <v>570</v>
      </c>
      <c r="D305" s="76">
        <v>655</v>
      </c>
      <c r="E305" s="76"/>
      <c r="F305" s="76">
        <v>420</v>
      </c>
      <c r="G305" s="76">
        <v>10</v>
      </c>
      <c r="H305" s="76">
        <f t="shared" si="22"/>
        <v>42</v>
      </c>
      <c r="I305" s="76"/>
      <c r="J305" s="126">
        <f t="shared" si="24"/>
        <v>27510</v>
      </c>
      <c r="K305" s="126"/>
      <c r="L305" s="76"/>
      <c r="M305" s="76"/>
      <c r="N305" s="76"/>
    </row>
    <row r="306" spans="1:14" s="38" customFormat="1" ht="14">
      <c r="A306" s="133">
        <v>42928</v>
      </c>
      <c r="B306" s="76">
        <v>4</v>
      </c>
      <c r="C306" s="139" t="s">
        <v>570</v>
      </c>
      <c r="D306" s="76">
        <v>152</v>
      </c>
      <c r="E306" s="76"/>
      <c r="F306" s="76">
        <v>525</v>
      </c>
      <c r="G306" s="76">
        <v>20</v>
      </c>
      <c r="H306" s="76">
        <f t="shared" si="22"/>
        <v>26.25</v>
      </c>
      <c r="I306" s="76"/>
      <c r="J306" s="126">
        <f t="shared" si="24"/>
        <v>3990</v>
      </c>
      <c r="K306" s="126"/>
      <c r="L306" s="76"/>
      <c r="M306" s="127">
        <f>AVERAGE(J306:J307)</f>
        <v>4042.5</v>
      </c>
      <c r="N306" s="76"/>
    </row>
    <row r="307" spans="1:14" s="38" customFormat="1" ht="14">
      <c r="A307" s="133">
        <v>42928</v>
      </c>
      <c r="B307" s="76">
        <v>4</v>
      </c>
      <c r="C307" s="139" t="s">
        <v>570</v>
      </c>
      <c r="D307" s="76">
        <v>156</v>
      </c>
      <c r="E307" s="76"/>
      <c r="F307" s="76">
        <v>525</v>
      </c>
      <c r="G307" s="76">
        <v>20</v>
      </c>
      <c r="H307" s="76">
        <f t="shared" si="22"/>
        <v>26.25</v>
      </c>
      <c r="I307" s="76"/>
      <c r="J307" s="126">
        <f t="shared" si="24"/>
        <v>4095</v>
      </c>
      <c r="K307" s="126"/>
      <c r="L307" s="76"/>
      <c r="M307" s="76"/>
      <c r="N307" s="76"/>
    </row>
    <row r="308" spans="1:14" s="38" customFormat="1" ht="14">
      <c r="A308" s="133">
        <v>42928</v>
      </c>
      <c r="B308" s="38">
        <v>5</v>
      </c>
      <c r="C308" s="38" t="s">
        <v>643</v>
      </c>
      <c r="D308" s="38">
        <v>156</v>
      </c>
      <c r="F308" s="38">
        <v>480</v>
      </c>
      <c r="G308" s="38">
        <v>20</v>
      </c>
      <c r="H308" s="38">
        <f t="shared" si="22"/>
        <v>24</v>
      </c>
      <c r="I308" s="38">
        <v>1</v>
      </c>
      <c r="J308" s="120">
        <f>D308*H308*I308</f>
        <v>3744</v>
      </c>
      <c r="K308" s="120"/>
      <c r="M308" s="121">
        <f>AVERAGE(J308:J309)</f>
        <v>3732</v>
      </c>
    </row>
    <row r="309" spans="1:14" s="38" customFormat="1" ht="14">
      <c r="A309" s="133">
        <v>42928</v>
      </c>
      <c r="B309" s="38">
        <v>5</v>
      </c>
      <c r="C309" s="38" t="s">
        <v>643</v>
      </c>
      <c r="D309" s="38">
        <v>155</v>
      </c>
      <c r="F309" s="38">
        <v>480</v>
      </c>
      <c r="G309" s="38">
        <v>20</v>
      </c>
      <c r="H309" s="38">
        <f t="shared" si="22"/>
        <v>24</v>
      </c>
      <c r="I309" s="38">
        <v>1</v>
      </c>
      <c r="J309" s="120">
        <f>D309*H309*I309</f>
        <v>3720</v>
      </c>
      <c r="K309" s="120"/>
    </row>
    <row r="310" spans="1:14" s="38" customFormat="1" ht="14">
      <c r="A310" s="133">
        <v>42928</v>
      </c>
      <c r="B310" s="119">
        <v>8</v>
      </c>
      <c r="C310" s="119" t="s">
        <v>571</v>
      </c>
      <c r="D310" s="38">
        <v>118</v>
      </c>
      <c r="F310" s="38">
        <v>1040</v>
      </c>
      <c r="G310" s="38">
        <v>10</v>
      </c>
      <c r="H310" s="38">
        <f t="shared" si="22"/>
        <v>104</v>
      </c>
      <c r="J310" s="120">
        <f>D310*H310</f>
        <v>12272</v>
      </c>
      <c r="K310" s="120"/>
      <c r="M310" s="121">
        <f>AVERAGE(J310:J311)</f>
        <v>12324</v>
      </c>
    </row>
    <row r="311" spans="1:14" s="38" customFormat="1" ht="14">
      <c r="A311" s="133">
        <v>42928</v>
      </c>
      <c r="B311" s="119">
        <v>8</v>
      </c>
      <c r="C311" s="119" t="s">
        <v>571</v>
      </c>
      <c r="D311" s="38">
        <v>119</v>
      </c>
      <c r="F311" s="38">
        <v>1040</v>
      </c>
      <c r="G311" s="38">
        <v>10</v>
      </c>
      <c r="H311" s="38">
        <f t="shared" si="22"/>
        <v>104</v>
      </c>
      <c r="J311" s="120">
        <f>D311*H311</f>
        <v>12376</v>
      </c>
      <c r="K311" s="120"/>
    </row>
    <row r="312" spans="1:14" s="38" customFormat="1" ht="14">
      <c r="A312" s="133">
        <v>42956</v>
      </c>
      <c r="B312" s="38">
        <v>2</v>
      </c>
      <c r="C312" s="38" t="s">
        <v>643</v>
      </c>
      <c r="D312" s="38">
        <v>360</v>
      </c>
      <c r="F312" s="38">
        <v>338</v>
      </c>
      <c r="G312" s="38">
        <v>10</v>
      </c>
      <c r="H312" s="38">
        <f t="shared" si="22"/>
        <v>33.799999999999997</v>
      </c>
      <c r="I312" s="38">
        <v>1</v>
      </c>
      <c r="J312" s="120">
        <f t="shared" ref="J312:J329" si="25">D312*H312*I312</f>
        <v>12167.999999999998</v>
      </c>
      <c r="K312" s="120"/>
      <c r="M312" s="38">
        <v>12168</v>
      </c>
      <c r="N312" s="38" t="s">
        <v>646</v>
      </c>
    </row>
    <row r="313" spans="1:14" s="38" customFormat="1" ht="14">
      <c r="A313" s="133">
        <v>42956</v>
      </c>
      <c r="B313" s="38">
        <v>2</v>
      </c>
      <c r="C313" s="38" t="s">
        <v>643</v>
      </c>
      <c r="D313" s="38">
        <v>360</v>
      </c>
      <c r="F313" s="38">
        <v>338</v>
      </c>
      <c r="G313" s="38">
        <v>10</v>
      </c>
      <c r="H313" s="38">
        <f t="shared" si="22"/>
        <v>33.799999999999997</v>
      </c>
      <c r="I313" s="38">
        <v>1</v>
      </c>
      <c r="J313" s="120">
        <f t="shared" si="25"/>
        <v>12167.999999999998</v>
      </c>
      <c r="K313" s="120"/>
    </row>
    <row r="314" spans="1:14" s="38" customFormat="1" ht="14">
      <c r="A314" s="133">
        <v>42956</v>
      </c>
      <c r="B314" s="38">
        <v>4</v>
      </c>
      <c r="C314" s="38" t="s">
        <v>641</v>
      </c>
      <c r="D314" s="38">
        <v>219</v>
      </c>
      <c r="F314" s="38">
        <v>680</v>
      </c>
      <c r="G314" s="38">
        <v>10</v>
      </c>
      <c r="H314" s="38">
        <f t="shared" si="22"/>
        <v>68</v>
      </c>
      <c r="I314" s="38">
        <v>1</v>
      </c>
      <c r="J314" s="120">
        <f t="shared" si="25"/>
        <v>14892</v>
      </c>
      <c r="K314" s="120"/>
      <c r="M314" s="121">
        <f>AVERAGE(J314:J316)</f>
        <v>14982.666666666666</v>
      </c>
    </row>
    <row r="315" spans="1:14" s="38" customFormat="1" ht="14">
      <c r="A315" s="133">
        <v>42956</v>
      </c>
      <c r="B315" s="38">
        <v>4</v>
      </c>
      <c r="C315" s="38" t="s">
        <v>641</v>
      </c>
      <c r="D315" s="38">
        <v>240</v>
      </c>
      <c r="F315" s="38">
        <v>680</v>
      </c>
      <c r="G315" s="38">
        <v>10</v>
      </c>
      <c r="H315" s="38">
        <f t="shared" si="22"/>
        <v>68</v>
      </c>
      <c r="I315" s="38">
        <v>1</v>
      </c>
      <c r="J315" s="120">
        <f t="shared" si="25"/>
        <v>16320</v>
      </c>
      <c r="K315" s="120"/>
    </row>
    <row r="316" spans="1:14" s="38" customFormat="1" ht="14">
      <c r="A316" s="133">
        <v>42956</v>
      </c>
      <c r="B316" s="38">
        <v>4</v>
      </c>
      <c r="C316" s="38" t="s">
        <v>641</v>
      </c>
      <c r="D316" s="38">
        <v>202</v>
      </c>
      <c r="F316" s="38">
        <v>680</v>
      </c>
      <c r="G316" s="38">
        <v>10</v>
      </c>
      <c r="H316" s="38">
        <f t="shared" si="22"/>
        <v>68</v>
      </c>
      <c r="I316" s="38">
        <v>1</v>
      </c>
      <c r="J316" s="120">
        <f t="shared" si="25"/>
        <v>13736</v>
      </c>
      <c r="K316" s="120"/>
    </row>
    <row r="317" spans="1:14" s="38" customFormat="1" ht="14">
      <c r="A317" s="133">
        <v>42956</v>
      </c>
      <c r="B317" s="38">
        <v>5</v>
      </c>
      <c r="C317" s="38" t="s">
        <v>643</v>
      </c>
      <c r="D317" s="38">
        <v>229</v>
      </c>
      <c r="F317" s="38">
        <v>405</v>
      </c>
      <c r="G317" s="38">
        <v>10</v>
      </c>
      <c r="H317" s="38">
        <f t="shared" si="22"/>
        <v>40.5</v>
      </c>
      <c r="I317" s="38">
        <v>1</v>
      </c>
      <c r="J317" s="120">
        <f t="shared" si="25"/>
        <v>9274.5</v>
      </c>
      <c r="K317" s="120"/>
      <c r="M317" s="121">
        <f>AVERAGE(J317:J318)</f>
        <v>9213.75</v>
      </c>
    </row>
    <row r="318" spans="1:14" s="38" customFormat="1" ht="14">
      <c r="A318" s="133">
        <v>42956</v>
      </c>
      <c r="B318" s="38">
        <v>5</v>
      </c>
      <c r="C318" s="38" t="s">
        <v>643</v>
      </c>
      <c r="D318" s="38">
        <v>226</v>
      </c>
      <c r="F318" s="38">
        <v>405</v>
      </c>
      <c r="G318" s="38">
        <v>10</v>
      </c>
      <c r="H318" s="38">
        <f t="shared" si="22"/>
        <v>40.5</v>
      </c>
      <c r="I318" s="38">
        <v>1</v>
      </c>
      <c r="J318" s="120">
        <f t="shared" si="25"/>
        <v>9153</v>
      </c>
      <c r="K318" s="120"/>
    </row>
    <row r="319" spans="1:14" s="38" customFormat="1" ht="14">
      <c r="A319" s="133">
        <v>42956</v>
      </c>
      <c r="B319" s="38">
        <v>8</v>
      </c>
      <c r="C319" s="38" t="s">
        <v>641</v>
      </c>
      <c r="D319" s="38">
        <v>163</v>
      </c>
      <c r="F319" s="38">
        <v>350</v>
      </c>
      <c r="G319" s="38">
        <v>10</v>
      </c>
      <c r="H319" s="38">
        <f t="shared" ref="H319:H329" si="26">F319/G319</f>
        <v>35</v>
      </c>
      <c r="I319" s="38">
        <v>1</v>
      </c>
      <c r="J319" s="120">
        <f t="shared" si="25"/>
        <v>5705</v>
      </c>
      <c r="K319" s="120"/>
      <c r="M319" s="121">
        <f>AVERAGE(J319:J321)</f>
        <v>5296.666666666667</v>
      </c>
    </row>
    <row r="320" spans="1:14" s="38" customFormat="1" ht="14">
      <c r="A320" s="133">
        <v>42956</v>
      </c>
      <c r="B320" s="76">
        <v>8</v>
      </c>
      <c r="C320" s="76" t="s">
        <v>641</v>
      </c>
      <c r="D320" s="76">
        <v>143</v>
      </c>
      <c r="E320" s="76"/>
      <c r="F320" s="76">
        <v>350</v>
      </c>
      <c r="G320" s="76">
        <v>10</v>
      </c>
      <c r="H320" s="76">
        <f t="shared" si="26"/>
        <v>35</v>
      </c>
      <c r="I320" s="76">
        <v>1</v>
      </c>
      <c r="J320" s="126">
        <f t="shared" si="25"/>
        <v>5005</v>
      </c>
      <c r="K320" s="126"/>
      <c r="L320" s="76"/>
      <c r="M320" s="76"/>
      <c r="N320" s="76"/>
    </row>
    <row r="321" spans="1:14" s="38" customFormat="1" ht="14">
      <c r="A321" s="133">
        <v>42956</v>
      </c>
      <c r="B321" s="76">
        <v>8</v>
      </c>
      <c r="C321" s="76" t="s">
        <v>641</v>
      </c>
      <c r="D321" s="76">
        <v>148</v>
      </c>
      <c r="E321" s="76"/>
      <c r="F321" s="76">
        <v>350</v>
      </c>
      <c r="G321" s="76">
        <v>10</v>
      </c>
      <c r="H321" s="76">
        <f t="shared" si="26"/>
        <v>35</v>
      </c>
      <c r="I321" s="76">
        <v>1</v>
      </c>
      <c r="J321" s="126">
        <f t="shared" si="25"/>
        <v>5180</v>
      </c>
      <c r="K321" s="126"/>
      <c r="L321" s="76"/>
      <c r="M321" s="76"/>
      <c r="N321" s="76"/>
    </row>
    <row r="322" spans="1:14" s="38" customFormat="1" ht="14">
      <c r="A322" s="133">
        <v>43019</v>
      </c>
      <c r="B322" s="38">
        <v>2</v>
      </c>
      <c r="C322" s="38" t="s">
        <v>645</v>
      </c>
      <c r="D322" s="38">
        <v>117</v>
      </c>
      <c r="F322" s="38">
        <v>797</v>
      </c>
      <c r="G322" s="38">
        <v>20</v>
      </c>
      <c r="H322" s="38">
        <f t="shared" si="26"/>
        <v>39.85</v>
      </c>
      <c r="I322" s="38">
        <v>1</v>
      </c>
      <c r="J322" s="120">
        <f t="shared" si="25"/>
        <v>4662.45</v>
      </c>
      <c r="K322" s="120"/>
      <c r="M322" s="121">
        <f>AVERAGE(J322:J323)</f>
        <v>4642.5249999999996</v>
      </c>
    </row>
    <row r="323" spans="1:14" s="38" customFormat="1" ht="14">
      <c r="A323" s="133">
        <v>43019</v>
      </c>
      <c r="B323" s="38">
        <v>2</v>
      </c>
      <c r="C323" s="38" t="s">
        <v>645</v>
      </c>
      <c r="D323" s="38">
        <v>116</v>
      </c>
      <c r="F323" s="38">
        <v>797</v>
      </c>
      <c r="G323" s="38">
        <v>20</v>
      </c>
      <c r="H323" s="38">
        <f t="shared" si="26"/>
        <v>39.85</v>
      </c>
      <c r="I323" s="38">
        <v>1</v>
      </c>
      <c r="J323" s="120">
        <f t="shared" si="25"/>
        <v>4622.6000000000004</v>
      </c>
      <c r="K323" s="120"/>
    </row>
    <row r="324" spans="1:14" s="38" customFormat="1" ht="14">
      <c r="A324" s="140">
        <v>43019</v>
      </c>
      <c r="B324" s="38">
        <v>8</v>
      </c>
      <c r="C324" s="38" t="s">
        <v>661</v>
      </c>
      <c r="D324" s="38">
        <v>132</v>
      </c>
      <c r="F324" s="38">
        <v>351</v>
      </c>
      <c r="G324" s="38">
        <v>20</v>
      </c>
      <c r="H324" s="38">
        <f t="shared" si="26"/>
        <v>17.55</v>
      </c>
      <c r="I324" s="38">
        <v>1</v>
      </c>
      <c r="J324" s="120">
        <f t="shared" si="25"/>
        <v>2316.6</v>
      </c>
      <c r="K324" s="120"/>
      <c r="L324" s="120"/>
      <c r="M324" s="121">
        <f>AVERAGE(J324:J325)</f>
        <v>2149.875</v>
      </c>
    </row>
    <row r="325" spans="1:14" s="38" customFormat="1" ht="14">
      <c r="A325" s="140">
        <v>43019</v>
      </c>
      <c r="B325" s="38">
        <v>8</v>
      </c>
      <c r="C325" s="38" t="s">
        <v>661</v>
      </c>
      <c r="D325" s="38">
        <v>113</v>
      </c>
      <c r="F325" s="38">
        <v>351</v>
      </c>
      <c r="G325" s="38">
        <v>20</v>
      </c>
      <c r="H325" s="38">
        <f t="shared" si="26"/>
        <v>17.55</v>
      </c>
      <c r="I325" s="38">
        <v>1</v>
      </c>
      <c r="J325" s="120">
        <f t="shared" si="25"/>
        <v>1983.15</v>
      </c>
      <c r="K325" s="120"/>
    </row>
    <row r="326" spans="1:14" s="38" customFormat="1" ht="14">
      <c r="A326" s="140">
        <v>43019</v>
      </c>
      <c r="B326" s="38">
        <v>4</v>
      </c>
      <c r="C326" s="38" t="s">
        <v>662</v>
      </c>
      <c r="D326" s="38">
        <v>121</v>
      </c>
      <c r="F326" s="38">
        <v>447</v>
      </c>
      <c r="G326" s="38">
        <v>20</v>
      </c>
      <c r="H326" s="38">
        <f t="shared" si="26"/>
        <v>22.35</v>
      </c>
      <c r="I326" s="38">
        <v>1</v>
      </c>
      <c r="J326" s="120">
        <f t="shared" si="25"/>
        <v>2704.3500000000004</v>
      </c>
      <c r="K326" s="120"/>
      <c r="M326" s="121">
        <f>AVERAGE(J326:J327)</f>
        <v>2670.8250000000003</v>
      </c>
    </row>
    <row r="327" spans="1:14" s="38" customFormat="1" ht="14">
      <c r="A327" s="140">
        <v>43019</v>
      </c>
      <c r="B327" s="38">
        <v>4</v>
      </c>
      <c r="C327" s="38" t="s">
        <v>662</v>
      </c>
      <c r="D327" s="38">
        <v>118</v>
      </c>
      <c r="F327" s="38">
        <v>447</v>
      </c>
      <c r="G327" s="38">
        <v>20</v>
      </c>
      <c r="H327" s="38">
        <f t="shared" si="26"/>
        <v>22.35</v>
      </c>
      <c r="I327" s="38">
        <v>1</v>
      </c>
      <c r="J327" s="120">
        <f t="shared" si="25"/>
        <v>2637.3</v>
      </c>
      <c r="K327" s="120"/>
    </row>
    <row r="328" spans="1:14" s="38" customFormat="1" ht="14">
      <c r="A328" s="140">
        <v>43019</v>
      </c>
      <c r="B328" s="38">
        <v>5</v>
      </c>
      <c r="C328" s="38" t="s">
        <v>662</v>
      </c>
      <c r="D328" s="38">
        <v>160</v>
      </c>
      <c r="F328" s="38">
        <v>394</v>
      </c>
      <c r="G328" s="38">
        <v>20</v>
      </c>
      <c r="H328" s="38">
        <f t="shared" si="26"/>
        <v>19.7</v>
      </c>
      <c r="I328" s="38">
        <v>1</v>
      </c>
      <c r="J328" s="120">
        <f t="shared" si="25"/>
        <v>3152</v>
      </c>
      <c r="K328" s="120"/>
      <c r="M328" s="121">
        <f>AVERAGE(J328:J329)</f>
        <v>3043.6499999999996</v>
      </c>
    </row>
    <row r="329" spans="1:14" s="38" customFormat="1" ht="14">
      <c r="A329" s="140">
        <v>43019</v>
      </c>
      <c r="B329" s="38">
        <v>5</v>
      </c>
      <c r="C329" s="38" t="s">
        <v>662</v>
      </c>
      <c r="D329" s="38">
        <v>149</v>
      </c>
      <c r="F329" s="38">
        <v>394</v>
      </c>
      <c r="G329" s="38">
        <v>20</v>
      </c>
      <c r="H329" s="38">
        <f t="shared" si="26"/>
        <v>19.7</v>
      </c>
      <c r="I329" s="38">
        <v>1</v>
      </c>
      <c r="J329" s="120">
        <f t="shared" si="25"/>
        <v>2935.2999999999997</v>
      </c>
      <c r="K329" s="120"/>
    </row>
    <row r="330" spans="1:14" ht="14">
      <c r="H330" s="38"/>
      <c r="J330" s="4"/>
      <c r="K330" s="4"/>
    </row>
    <row r="331" spans="1:14" ht="14">
      <c r="H331" s="38"/>
      <c r="J331" s="4"/>
      <c r="K331" s="4"/>
    </row>
    <row r="332" spans="1:14" ht="14">
      <c r="H332" s="38"/>
      <c r="J332" s="4"/>
      <c r="K332" s="4"/>
    </row>
    <row r="333" spans="1:14" ht="14">
      <c r="H333" s="38"/>
      <c r="J333" s="4"/>
      <c r="K333" s="4"/>
    </row>
    <row r="334" spans="1:14" ht="14">
      <c r="H334" s="38"/>
      <c r="J334" s="4"/>
      <c r="K334" s="4"/>
    </row>
    <row r="335" spans="1:14" ht="14">
      <c r="J335" s="4"/>
      <c r="K335" s="4"/>
    </row>
    <row r="336" spans="1:14" ht="14">
      <c r="J336" s="4"/>
      <c r="K336" s="4"/>
    </row>
    <row r="337" spans="10:11" ht="14">
      <c r="J337" s="4"/>
      <c r="K337" s="4"/>
    </row>
    <row r="338" spans="10:11" ht="14">
      <c r="J338" s="4"/>
      <c r="K338" s="4"/>
    </row>
    <row r="339" spans="10:11" ht="14">
      <c r="J339" s="4"/>
      <c r="K339" s="4"/>
    </row>
    <row r="340" spans="10:11" ht="14">
      <c r="J340" s="4"/>
      <c r="K340" s="4"/>
    </row>
    <row r="341" spans="10:11" ht="14">
      <c r="J341" s="4"/>
      <c r="K341" s="4"/>
    </row>
    <row r="342" spans="10:11" ht="14">
      <c r="J342" s="4"/>
      <c r="K342" s="4"/>
    </row>
    <row r="343" spans="10:11" ht="14">
      <c r="J343" s="4"/>
      <c r="K343" s="4"/>
    </row>
    <row r="344" spans="10:11" ht="14">
      <c r="J344" s="4"/>
      <c r="K344" s="4"/>
    </row>
    <row r="345" spans="10:11" ht="14">
      <c r="J345" s="4"/>
      <c r="K345" s="4"/>
    </row>
    <row r="346" spans="10:11" ht="14">
      <c r="J346" s="4"/>
      <c r="K346" s="4"/>
    </row>
    <row r="347" spans="10:11" ht="14">
      <c r="J347" s="4"/>
      <c r="K347" s="4"/>
    </row>
    <row r="348" spans="10:11" ht="14">
      <c r="J348" s="4"/>
      <c r="K348" s="4"/>
    </row>
    <row r="349" spans="10:11" ht="14">
      <c r="J349" s="4"/>
      <c r="K349" s="4"/>
    </row>
    <row r="350" spans="10:11" ht="14">
      <c r="J350" s="4"/>
      <c r="K350" s="4"/>
    </row>
    <row r="351" spans="10:11" ht="14">
      <c r="J351" s="4"/>
      <c r="K351" s="4"/>
    </row>
    <row r="352" spans="10:11" ht="14">
      <c r="J352" s="4"/>
      <c r="K352" s="4"/>
    </row>
    <row r="353" spans="10:11" ht="14">
      <c r="J353" s="4"/>
      <c r="K353" s="4"/>
    </row>
    <row r="354" spans="10:11" ht="14">
      <c r="J354" s="4"/>
      <c r="K354" s="4"/>
    </row>
    <row r="355" spans="10:11" ht="14">
      <c r="J355" s="4"/>
      <c r="K355" s="4"/>
    </row>
    <row r="356" spans="10:11" ht="14">
      <c r="J356" s="4"/>
      <c r="K356" s="4"/>
    </row>
    <row r="357" spans="10:11" ht="14">
      <c r="J357" s="4"/>
      <c r="K357" s="4"/>
    </row>
    <row r="358" spans="10:11" ht="14">
      <c r="J358" s="4"/>
      <c r="K358" s="4"/>
    </row>
    <row r="359" spans="10:11" ht="14">
      <c r="J359" s="4"/>
      <c r="K359" s="4"/>
    </row>
    <row r="360" spans="10:11" ht="14">
      <c r="J360" s="4"/>
      <c r="K360" s="4"/>
    </row>
    <row r="361" spans="10:11" ht="14">
      <c r="J361" s="4"/>
      <c r="K361" s="4"/>
    </row>
    <row r="362" spans="10:11" ht="14">
      <c r="J362" s="4"/>
      <c r="K362" s="4"/>
    </row>
    <row r="363" spans="10:11" ht="14">
      <c r="J363" s="4"/>
      <c r="K363" s="4"/>
    </row>
    <row r="364" spans="10:11" ht="14">
      <c r="J364" s="4"/>
      <c r="K364" s="4"/>
    </row>
    <row r="365" spans="10:11" ht="14">
      <c r="J365" s="4"/>
      <c r="K365" s="4"/>
    </row>
    <row r="366" spans="10:11" ht="14">
      <c r="J366" s="4"/>
      <c r="K366" s="4"/>
    </row>
    <row r="367" spans="10:11" ht="14">
      <c r="J367" s="4"/>
      <c r="K367" s="4"/>
    </row>
    <row r="368" spans="10:11" ht="14">
      <c r="J368" s="4"/>
      <c r="K368" s="4"/>
    </row>
    <row r="369" spans="10:11" ht="14">
      <c r="J369" s="4"/>
      <c r="K369" s="4"/>
    </row>
    <row r="370" spans="10:11" ht="14">
      <c r="J370" s="4"/>
      <c r="K370" s="4"/>
    </row>
    <row r="371" spans="10:11" ht="14">
      <c r="J371" s="4"/>
      <c r="K371" s="4"/>
    </row>
    <row r="372" spans="10:11" ht="14">
      <c r="J372" s="4"/>
      <c r="K372" s="4"/>
    </row>
    <row r="373" spans="10:11" ht="14">
      <c r="J373" s="4"/>
      <c r="K373" s="4"/>
    </row>
    <row r="374" spans="10:11" ht="14">
      <c r="J374" s="4"/>
      <c r="K374" s="4"/>
    </row>
    <row r="375" spans="10:11" ht="14">
      <c r="J375" s="4"/>
      <c r="K375" s="4"/>
    </row>
    <row r="376" spans="10:11" ht="14">
      <c r="J376" s="4"/>
      <c r="K376" s="4"/>
    </row>
    <row r="377" spans="10:11" ht="14">
      <c r="J377" s="4"/>
      <c r="K377" s="4"/>
    </row>
    <row r="378" spans="10:11" ht="14">
      <c r="J378" s="4"/>
      <c r="K378" s="4"/>
    </row>
    <row r="379" spans="10:11" ht="14">
      <c r="J379" s="4"/>
      <c r="K379" s="4"/>
    </row>
    <row r="380" spans="10:11" ht="14">
      <c r="J380" s="4"/>
      <c r="K380" s="4"/>
    </row>
    <row r="381" spans="10:11" ht="14">
      <c r="J381" s="4"/>
      <c r="K381" s="4"/>
    </row>
    <row r="382" spans="10:11" ht="14">
      <c r="J382" s="4"/>
      <c r="K382" s="4"/>
    </row>
    <row r="383" spans="10:11" ht="14">
      <c r="J383" s="4"/>
      <c r="K383" s="4"/>
    </row>
    <row r="384" spans="10:11" ht="14">
      <c r="J384" s="4"/>
      <c r="K384" s="4"/>
    </row>
    <row r="385" spans="10:11" ht="14">
      <c r="J385" s="4"/>
      <c r="K385" s="4"/>
    </row>
    <row r="386" spans="10:11" ht="14">
      <c r="J386" s="4"/>
      <c r="K386" s="4"/>
    </row>
    <row r="387" spans="10:11" ht="14">
      <c r="J387" s="4"/>
      <c r="K387" s="4"/>
    </row>
    <row r="388" spans="10:11" ht="14">
      <c r="J388" s="4"/>
      <c r="K388" s="4"/>
    </row>
    <row r="389" spans="10:11" ht="14">
      <c r="J389" s="4"/>
      <c r="K389" s="4"/>
    </row>
    <row r="390" spans="10:11" ht="14">
      <c r="J390" s="4"/>
      <c r="K390" s="4"/>
    </row>
    <row r="391" spans="10:11" ht="14">
      <c r="J391" s="4"/>
      <c r="K391" s="4"/>
    </row>
    <row r="392" spans="10:11" ht="14">
      <c r="J392" s="4"/>
      <c r="K392" s="4"/>
    </row>
    <row r="393" spans="10:11" ht="14">
      <c r="J393" s="4"/>
      <c r="K393" s="4"/>
    </row>
    <row r="394" spans="10:11" ht="14">
      <c r="J394" s="4"/>
      <c r="K394" s="4"/>
    </row>
    <row r="395" spans="10:11" ht="14">
      <c r="J395" s="4"/>
      <c r="K395" s="4"/>
    </row>
    <row r="396" spans="10:11" ht="14">
      <c r="J396" s="4"/>
      <c r="K396" s="4"/>
    </row>
    <row r="397" spans="10:11" ht="14">
      <c r="J397" s="4"/>
      <c r="K397" s="4"/>
    </row>
    <row r="398" spans="10:11" ht="14">
      <c r="J398" s="4"/>
      <c r="K398" s="4"/>
    </row>
    <row r="399" spans="10:11" ht="14">
      <c r="J399" s="4"/>
      <c r="K399" s="4"/>
    </row>
    <row r="400" spans="10:11" ht="14">
      <c r="J400" s="4"/>
      <c r="K400" s="4"/>
    </row>
    <row r="401" spans="10:11" ht="14">
      <c r="J401" s="4"/>
      <c r="K401" s="4"/>
    </row>
    <row r="402" spans="10:11" ht="14">
      <c r="J402" s="4"/>
      <c r="K402" s="4"/>
    </row>
    <row r="403" spans="10:11" ht="14">
      <c r="J403" s="4"/>
      <c r="K403" s="4"/>
    </row>
    <row r="404" spans="10:11" ht="14">
      <c r="J404" s="4"/>
      <c r="K404" s="4"/>
    </row>
    <row r="405" spans="10:11" ht="14">
      <c r="J405" s="4"/>
      <c r="K405" s="4"/>
    </row>
    <row r="406" spans="10:11" ht="14">
      <c r="J406" s="4"/>
      <c r="K406" s="4"/>
    </row>
    <row r="407" spans="10:11" ht="14">
      <c r="J407" s="4"/>
      <c r="K407" s="4"/>
    </row>
    <row r="408" spans="10:11" ht="14">
      <c r="J408" s="4"/>
      <c r="K408" s="4"/>
    </row>
    <row r="409" spans="10:11" ht="14">
      <c r="J409" s="4"/>
      <c r="K409" s="4"/>
    </row>
    <row r="410" spans="10:11" ht="14">
      <c r="J410" s="4"/>
      <c r="K410" s="4"/>
    </row>
    <row r="411" spans="10:11" ht="14">
      <c r="J411" s="4"/>
      <c r="K411" s="4"/>
    </row>
    <row r="412" spans="10:11" ht="14">
      <c r="J412" s="4"/>
      <c r="K412" s="4"/>
    </row>
    <row r="413" spans="10:11" ht="14">
      <c r="J413" s="4"/>
      <c r="K413" s="4"/>
    </row>
    <row r="414" spans="10:11" ht="14">
      <c r="J414" s="4"/>
      <c r="K414" s="4"/>
    </row>
    <row r="415" spans="10:11" ht="14">
      <c r="J415" s="4"/>
      <c r="K415" s="4"/>
    </row>
    <row r="416" spans="10:11" ht="14">
      <c r="J416" s="4"/>
      <c r="K416" s="4"/>
    </row>
    <row r="417" spans="10:11" ht="14">
      <c r="J417" s="4"/>
      <c r="K417" s="4"/>
    </row>
    <row r="418" spans="10:11" ht="14">
      <c r="J418" s="4"/>
      <c r="K418" s="4"/>
    </row>
    <row r="419" spans="10:11" ht="14">
      <c r="J419" s="4"/>
      <c r="K419" s="4"/>
    </row>
    <row r="420" spans="10:11" ht="14">
      <c r="J420" s="4"/>
      <c r="K420" s="4"/>
    </row>
    <row r="421" spans="10:11" ht="14">
      <c r="J421" s="4"/>
      <c r="K421" s="4"/>
    </row>
    <row r="422" spans="10:11" ht="14">
      <c r="J422" s="4"/>
      <c r="K422" s="4"/>
    </row>
    <row r="423" spans="10:11" ht="14">
      <c r="J423" s="4"/>
      <c r="K423" s="4"/>
    </row>
    <row r="424" spans="10:11" ht="14">
      <c r="J424" s="4"/>
      <c r="K424" s="4"/>
    </row>
    <row r="425" spans="10:11" ht="14">
      <c r="J425" s="4"/>
      <c r="K425" s="4"/>
    </row>
    <row r="426" spans="10:11" ht="14">
      <c r="J426" s="4"/>
      <c r="K426" s="4"/>
    </row>
    <row r="427" spans="10:11" ht="14">
      <c r="J427" s="4"/>
      <c r="K427" s="4"/>
    </row>
    <row r="428" spans="10:11" ht="14">
      <c r="J428" s="4"/>
      <c r="K428" s="4"/>
    </row>
    <row r="429" spans="10:11" ht="14">
      <c r="J429" s="4"/>
      <c r="K429" s="4"/>
    </row>
    <row r="430" spans="10:11" ht="14">
      <c r="J430" s="4"/>
      <c r="K430" s="4"/>
    </row>
    <row r="431" spans="10:11" ht="14">
      <c r="J431" s="4"/>
      <c r="K431" s="4"/>
    </row>
    <row r="432" spans="10:11" ht="14">
      <c r="J432" s="4"/>
      <c r="K432" s="4"/>
    </row>
    <row r="433" spans="10:11" ht="14">
      <c r="J433" s="4"/>
      <c r="K433" s="4"/>
    </row>
    <row r="434" spans="10:11" ht="14">
      <c r="J434" s="4"/>
      <c r="K434" s="4"/>
    </row>
    <row r="435" spans="10:11" ht="14">
      <c r="J435" s="4"/>
      <c r="K435" s="4"/>
    </row>
    <row r="436" spans="10:11" ht="14">
      <c r="J436" s="4"/>
      <c r="K436" s="4"/>
    </row>
    <row r="437" spans="10:11" ht="14">
      <c r="J437" s="4"/>
      <c r="K437" s="4"/>
    </row>
    <row r="438" spans="10:11" ht="14">
      <c r="J438" s="4"/>
      <c r="K438" s="4"/>
    </row>
    <row r="439" spans="10:11" ht="14">
      <c r="J439" s="4"/>
      <c r="K439" s="4"/>
    </row>
    <row r="440" spans="10:11" ht="14">
      <c r="J440" s="4"/>
      <c r="K440" s="4"/>
    </row>
    <row r="441" spans="10:11" ht="14">
      <c r="J441" s="4"/>
      <c r="K441" s="4"/>
    </row>
    <row r="442" spans="10:11" ht="14">
      <c r="J442" s="4"/>
      <c r="K442" s="4"/>
    </row>
    <row r="443" spans="10:11" ht="14">
      <c r="J443" s="4"/>
      <c r="K443" s="4"/>
    </row>
    <row r="444" spans="10:11" ht="14">
      <c r="J444" s="4"/>
      <c r="K444" s="4"/>
    </row>
    <row r="445" spans="10:11" ht="14">
      <c r="J445" s="4"/>
      <c r="K445" s="4"/>
    </row>
    <row r="446" spans="10:11" ht="14">
      <c r="J446" s="4"/>
      <c r="K446" s="4"/>
    </row>
    <row r="447" spans="10:11" ht="14">
      <c r="J447" s="4"/>
      <c r="K447" s="4"/>
    </row>
    <row r="448" spans="10:11" ht="14">
      <c r="J448" s="4"/>
      <c r="K448" s="4"/>
    </row>
    <row r="449" spans="10:11" ht="14">
      <c r="J449" s="4"/>
      <c r="K449" s="4"/>
    </row>
    <row r="450" spans="10:11" ht="14">
      <c r="J450" s="4"/>
      <c r="K450" s="4"/>
    </row>
    <row r="451" spans="10:11" ht="14">
      <c r="J451" s="4"/>
      <c r="K451" s="4"/>
    </row>
    <row r="452" spans="10:11" ht="14">
      <c r="J452" s="4"/>
      <c r="K452" s="4"/>
    </row>
    <row r="453" spans="10:11" ht="14">
      <c r="J453" s="4"/>
      <c r="K453" s="4"/>
    </row>
    <row r="454" spans="10:11" ht="14">
      <c r="J454" s="4"/>
      <c r="K454" s="4"/>
    </row>
    <row r="455" spans="10:11" ht="14">
      <c r="J455" s="4"/>
      <c r="K455" s="4"/>
    </row>
    <row r="456" spans="10:11" ht="14">
      <c r="J456" s="4"/>
      <c r="K456" s="4"/>
    </row>
    <row r="457" spans="10:11" ht="14">
      <c r="J457" s="4"/>
      <c r="K457" s="4"/>
    </row>
    <row r="458" spans="10:11" ht="14">
      <c r="J458" s="4"/>
      <c r="K458" s="4"/>
    </row>
    <row r="459" spans="10:11" ht="14">
      <c r="J459" s="4"/>
      <c r="K459" s="4"/>
    </row>
    <row r="460" spans="10:11" ht="14">
      <c r="J460" s="4"/>
      <c r="K460" s="4"/>
    </row>
    <row r="461" spans="10:11" ht="14">
      <c r="J461" s="4"/>
      <c r="K461" s="4"/>
    </row>
    <row r="462" spans="10:11" ht="14">
      <c r="J462" s="4"/>
      <c r="K462" s="4"/>
    </row>
    <row r="463" spans="10:11" ht="14">
      <c r="J463" s="4"/>
      <c r="K463" s="4"/>
    </row>
    <row r="464" spans="10:11" ht="14">
      <c r="J464" s="4"/>
      <c r="K464" s="4"/>
    </row>
    <row r="465" spans="10:11" ht="14">
      <c r="J465" s="4"/>
      <c r="K465" s="4"/>
    </row>
    <row r="466" spans="10:11" ht="14">
      <c r="J466" s="4"/>
      <c r="K466" s="4"/>
    </row>
    <row r="467" spans="10:11" ht="14">
      <c r="J467" s="4"/>
      <c r="K467" s="4"/>
    </row>
    <row r="468" spans="10:11" ht="14">
      <c r="J468" s="4"/>
      <c r="K468" s="4"/>
    </row>
    <row r="469" spans="10:11" ht="14">
      <c r="J469" s="4"/>
      <c r="K469" s="4"/>
    </row>
    <row r="470" spans="10:11" ht="14">
      <c r="J470" s="4"/>
      <c r="K470" s="4"/>
    </row>
    <row r="471" spans="10:11" ht="14">
      <c r="J471" s="4"/>
      <c r="K471" s="4"/>
    </row>
    <row r="472" spans="10:11" ht="14">
      <c r="J472" s="4"/>
      <c r="K472" s="4"/>
    </row>
    <row r="473" spans="10:11" ht="14">
      <c r="J473" s="4"/>
      <c r="K473" s="4"/>
    </row>
    <row r="474" spans="10:11" ht="14">
      <c r="J474" s="4"/>
      <c r="K474" s="4"/>
    </row>
    <row r="475" spans="10:11" ht="14">
      <c r="J475" s="4"/>
      <c r="K475" s="4"/>
    </row>
    <row r="476" spans="10:11" ht="14">
      <c r="J476" s="4"/>
      <c r="K476" s="4"/>
    </row>
    <row r="477" spans="10:11" ht="14">
      <c r="J477" s="4"/>
      <c r="K477" s="4"/>
    </row>
    <row r="478" spans="10:11" ht="14">
      <c r="J478" s="4"/>
      <c r="K478" s="4"/>
    </row>
    <row r="479" spans="10:11" ht="14">
      <c r="J479" s="4"/>
      <c r="K479" s="4"/>
    </row>
    <row r="480" spans="10:11" ht="14">
      <c r="J480" s="4"/>
      <c r="K480" s="4"/>
    </row>
    <row r="481" spans="10:11" ht="14">
      <c r="J481" s="4"/>
      <c r="K481" s="4"/>
    </row>
    <row r="482" spans="10:11" ht="14">
      <c r="J482" s="4"/>
      <c r="K482" s="4"/>
    </row>
    <row r="483" spans="10:11" ht="14">
      <c r="J483" s="4"/>
      <c r="K483" s="4"/>
    </row>
    <row r="484" spans="10:11" ht="14">
      <c r="J484" s="4"/>
      <c r="K484" s="4"/>
    </row>
    <row r="485" spans="10:11" ht="14">
      <c r="J485" s="4"/>
      <c r="K485" s="4"/>
    </row>
    <row r="486" spans="10:11" ht="14">
      <c r="J486" s="4"/>
      <c r="K486" s="4"/>
    </row>
    <row r="487" spans="10:11" ht="14">
      <c r="J487" s="4"/>
      <c r="K487" s="4"/>
    </row>
    <row r="488" spans="10:11" ht="14">
      <c r="J488" s="4"/>
      <c r="K488" s="4"/>
    </row>
    <row r="489" spans="10:11" ht="14">
      <c r="J489" s="4"/>
      <c r="K489" s="4"/>
    </row>
    <row r="490" spans="10:11" ht="14">
      <c r="J490" s="4"/>
      <c r="K490" s="4"/>
    </row>
    <row r="491" spans="10:11" ht="14">
      <c r="J491" s="4"/>
      <c r="K491" s="4"/>
    </row>
    <row r="492" spans="10:11" ht="14">
      <c r="J492" s="4"/>
      <c r="K492" s="4"/>
    </row>
    <row r="493" spans="10:11" ht="14">
      <c r="J493" s="4"/>
      <c r="K493" s="4"/>
    </row>
    <row r="494" spans="10:11" ht="14">
      <c r="J494" s="4"/>
      <c r="K494" s="4"/>
    </row>
    <row r="495" spans="10:11" ht="14">
      <c r="J495" s="4"/>
      <c r="K495" s="4"/>
    </row>
    <row r="496" spans="10:11" ht="14">
      <c r="J496" s="4"/>
      <c r="K496" s="4"/>
    </row>
    <row r="497" spans="10:11" ht="14">
      <c r="J497" s="4"/>
      <c r="K497" s="4"/>
    </row>
    <row r="498" spans="10:11" ht="14">
      <c r="J498" s="4"/>
      <c r="K498" s="4"/>
    </row>
    <row r="499" spans="10:11" ht="14">
      <c r="J499" s="4"/>
      <c r="K499" s="4"/>
    </row>
    <row r="500" spans="10:11" ht="14">
      <c r="J500" s="4"/>
      <c r="K500" s="4"/>
    </row>
    <row r="501" spans="10:11" ht="14">
      <c r="J501" s="4"/>
      <c r="K501" s="4"/>
    </row>
    <row r="502" spans="10:11" ht="14">
      <c r="J502" s="4"/>
      <c r="K502" s="4"/>
    </row>
    <row r="503" spans="10:11" ht="14">
      <c r="J503" s="4"/>
      <c r="K503" s="4"/>
    </row>
    <row r="504" spans="10:11" ht="14">
      <c r="J504" s="4"/>
      <c r="K504" s="4"/>
    </row>
    <row r="505" spans="10:11" ht="14">
      <c r="J505" s="4"/>
      <c r="K505" s="4"/>
    </row>
    <row r="506" spans="10:11" ht="14">
      <c r="J506" s="4"/>
      <c r="K506" s="4"/>
    </row>
    <row r="507" spans="10:11" ht="14">
      <c r="J507" s="4"/>
      <c r="K507" s="4"/>
    </row>
    <row r="508" spans="10:11" ht="14">
      <c r="J508" s="4"/>
      <c r="K508" s="4"/>
    </row>
    <row r="509" spans="10:11" ht="14">
      <c r="J509" s="4"/>
      <c r="K509" s="4"/>
    </row>
    <row r="510" spans="10:11" ht="14">
      <c r="J510" s="4"/>
      <c r="K510" s="4"/>
    </row>
    <row r="511" spans="10:11" ht="14">
      <c r="J511" s="4"/>
      <c r="K511" s="4"/>
    </row>
    <row r="512" spans="10:11" ht="14">
      <c r="J512" s="4"/>
      <c r="K512" s="4"/>
    </row>
    <row r="513" spans="10:11" ht="14">
      <c r="J513" s="4"/>
      <c r="K513" s="4"/>
    </row>
    <row r="514" spans="10:11" ht="14">
      <c r="J514" s="4"/>
      <c r="K514" s="4"/>
    </row>
    <row r="515" spans="10:11" ht="14">
      <c r="J515" s="4"/>
      <c r="K515" s="4"/>
    </row>
    <row r="516" spans="10:11" ht="14">
      <c r="J516" s="4"/>
      <c r="K516" s="4"/>
    </row>
    <row r="517" spans="10:11" ht="14">
      <c r="J517" s="4"/>
      <c r="K517" s="4"/>
    </row>
    <row r="518" spans="10:11" ht="14">
      <c r="J518" s="4"/>
      <c r="K518" s="4"/>
    </row>
    <row r="519" spans="10:11" ht="14">
      <c r="J519" s="4"/>
      <c r="K519" s="4"/>
    </row>
    <row r="520" spans="10:11" ht="14">
      <c r="J520" s="4"/>
      <c r="K520" s="4"/>
    </row>
    <row r="521" spans="10:11" ht="14">
      <c r="J521" s="4"/>
      <c r="K521" s="4"/>
    </row>
    <row r="522" spans="10:11" ht="14">
      <c r="J522" s="4"/>
      <c r="K522" s="4"/>
    </row>
    <row r="523" spans="10:11" ht="14">
      <c r="J523" s="4"/>
      <c r="K523" s="4"/>
    </row>
    <row r="524" spans="10:11" ht="14">
      <c r="J524" s="4"/>
      <c r="K524" s="4"/>
    </row>
    <row r="525" spans="10:11" ht="14">
      <c r="J525" s="4"/>
      <c r="K525" s="4"/>
    </row>
    <row r="526" spans="10:11" ht="14">
      <c r="J526" s="4"/>
      <c r="K526" s="4"/>
    </row>
    <row r="527" spans="10:11" ht="14">
      <c r="J527" s="4"/>
      <c r="K527" s="4"/>
    </row>
    <row r="528" spans="10:11" ht="14">
      <c r="J528" s="4"/>
      <c r="K528" s="4"/>
    </row>
    <row r="529" spans="10:11" ht="14">
      <c r="J529" s="4"/>
      <c r="K529" s="4"/>
    </row>
    <row r="530" spans="10:11" ht="14">
      <c r="J530" s="4"/>
      <c r="K530" s="4"/>
    </row>
    <row r="531" spans="10:11" ht="14">
      <c r="J531" s="4"/>
      <c r="K531" s="4"/>
    </row>
    <row r="532" spans="10:11" ht="14">
      <c r="J532" s="4"/>
      <c r="K532" s="4"/>
    </row>
    <row r="533" spans="10:11" ht="14">
      <c r="J533" s="4"/>
      <c r="K533" s="4"/>
    </row>
    <row r="534" spans="10:11" ht="14">
      <c r="J534" s="4"/>
      <c r="K534" s="4"/>
    </row>
    <row r="535" spans="10:11" ht="14">
      <c r="J535" s="4"/>
      <c r="K535" s="4"/>
    </row>
    <row r="536" spans="10:11" ht="14">
      <c r="J536" s="4"/>
      <c r="K536" s="4"/>
    </row>
    <row r="537" spans="10:11" ht="14">
      <c r="J537" s="4"/>
      <c r="K537" s="4"/>
    </row>
    <row r="538" spans="10:11" ht="14">
      <c r="J538" s="4"/>
      <c r="K538" s="4"/>
    </row>
    <row r="539" spans="10:11" ht="14">
      <c r="J539" s="4"/>
      <c r="K539" s="4"/>
    </row>
    <row r="540" spans="10:11" ht="14">
      <c r="J540" s="4"/>
      <c r="K540" s="4"/>
    </row>
    <row r="541" spans="10:11" ht="14">
      <c r="J541" s="4"/>
      <c r="K541" s="4"/>
    </row>
    <row r="542" spans="10:11" ht="14">
      <c r="J542" s="4"/>
      <c r="K542" s="4"/>
    </row>
    <row r="543" spans="10:11" ht="14">
      <c r="J543" s="4"/>
      <c r="K543" s="4"/>
    </row>
    <row r="544" spans="10:11" ht="14">
      <c r="J544" s="4"/>
      <c r="K544" s="4"/>
    </row>
    <row r="545" spans="10:11" ht="14">
      <c r="J545" s="4"/>
      <c r="K545" s="4"/>
    </row>
    <row r="546" spans="10:11" ht="14">
      <c r="J546" s="4"/>
      <c r="K546" s="4"/>
    </row>
    <row r="547" spans="10:11" ht="14">
      <c r="J547" s="4"/>
      <c r="K547" s="4"/>
    </row>
    <row r="548" spans="10:11" ht="14">
      <c r="J548" s="4"/>
      <c r="K548" s="4"/>
    </row>
    <row r="549" spans="10:11" ht="14">
      <c r="J549" s="4"/>
      <c r="K549" s="4"/>
    </row>
    <row r="550" spans="10:11" ht="14">
      <c r="J550" s="4"/>
      <c r="K550" s="4"/>
    </row>
    <row r="551" spans="10:11" ht="14">
      <c r="J551" s="4"/>
      <c r="K551" s="4"/>
    </row>
    <row r="552" spans="10:11" ht="14">
      <c r="J552" s="4"/>
      <c r="K552" s="4"/>
    </row>
    <row r="553" spans="10:11" ht="14">
      <c r="J553" s="4"/>
      <c r="K553" s="4"/>
    </row>
    <row r="554" spans="10:11" ht="14">
      <c r="J554" s="4"/>
      <c r="K554" s="4"/>
    </row>
    <row r="555" spans="10:11" ht="14">
      <c r="J555" s="4"/>
      <c r="K555" s="4"/>
    </row>
    <row r="556" spans="10:11" ht="14">
      <c r="J556" s="4"/>
      <c r="K556" s="4"/>
    </row>
    <row r="557" spans="10:11" ht="14">
      <c r="J557" s="4"/>
      <c r="K557" s="4"/>
    </row>
    <row r="558" spans="10:11" ht="14">
      <c r="J558" s="4"/>
      <c r="K558" s="4"/>
    </row>
    <row r="559" spans="10:11" ht="14">
      <c r="J559" s="4"/>
      <c r="K559" s="4"/>
    </row>
    <row r="560" spans="10:11" ht="14">
      <c r="J560" s="4"/>
      <c r="K560" s="4"/>
    </row>
    <row r="561" spans="10:11" ht="14">
      <c r="J561" s="4"/>
      <c r="K561" s="4"/>
    </row>
    <row r="562" spans="10:11" ht="14">
      <c r="J562" s="4"/>
      <c r="K562" s="4"/>
    </row>
    <row r="563" spans="10:11" ht="14">
      <c r="J563" s="4"/>
      <c r="K563" s="4"/>
    </row>
    <row r="564" spans="10:11" ht="14">
      <c r="J564" s="4"/>
      <c r="K564" s="4"/>
    </row>
    <row r="565" spans="10:11" ht="14">
      <c r="J565" s="4"/>
      <c r="K565" s="4"/>
    </row>
    <row r="566" spans="10:11" ht="14">
      <c r="J566" s="4"/>
      <c r="K566" s="4"/>
    </row>
    <row r="567" spans="10:11" ht="14">
      <c r="J567" s="4"/>
      <c r="K567" s="4"/>
    </row>
    <row r="568" spans="10:11" ht="14">
      <c r="J568" s="4"/>
      <c r="K568" s="4"/>
    </row>
    <row r="569" spans="10:11" ht="14">
      <c r="J569" s="4"/>
      <c r="K569" s="4"/>
    </row>
    <row r="570" spans="10:11" ht="14">
      <c r="J570" s="4"/>
      <c r="K570" s="4"/>
    </row>
    <row r="571" spans="10:11" ht="14">
      <c r="J571" s="4"/>
      <c r="K571" s="4"/>
    </row>
    <row r="572" spans="10:11" ht="14">
      <c r="J572" s="4"/>
      <c r="K572" s="4"/>
    </row>
    <row r="573" spans="10:11" ht="14">
      <c r="J573" s="4"/>
      <c r="K573" s="4"/>
    </row>
    <row r="574" spans="10:11" ht="14">
      <c r="J574" s="4"/>
      <c r="K574" s="4"/>
    </row>
    <row r="575" spans="10:11" ht="14">
      <c r="J575" s="4"/>
      <c r="K575" s="4"/>
    </row>
    <row r="576" spans="10:11" ht="14">
      <c r="J576" s="4"/>
      <c r="K576" s="4"/>
    </row>
    <row r="577" spans="10:11" ht="14">
      <c r="J577" s="4"/>
      <c r="K577" s="4"/>
    </row>
    <row r="578" spans="10:11" ht="14">
      <c r="J578" s="4"/>
      <c r="K578" s="4"/>
    </row>
    <row r="579" spans="10:11" ht="14">
      <c r="J579" s="4"/>
      <c r="K579" s="4"/>
    </row>
    <row r="580" spans="10:11" ht="14">
      <c r="J580" s="4"/>
      <c r="K580" s="4"/>
    </row>
    <row r="581" spans="10:11" ht="14">
      <c r="J581" s="4"/>
      <c r="K581" s="4"/>
    </row>
    <row r="582" spans="10:11" ht="14">
      <c r="J582" s="4"/>
      <c r="K582" s="4"/>
    </row>
    <row r="583" spans="10:11" ht="14">
      <c r="J583" s="4"/>
      <c r="K583" s="4"/>
    </row>
    <row r="584" spans="10:11" ht="14">
      <c r="J584" s="4"/>
      <c r="K584" s="4"/>
    </row>
    <row r="585" spans="10:11" ht="14">
      <c r="J585" s="4"/>
      <c r="K585" s="4"/>
    </row>
    <row r="586" spans="10:11" ht="14">
      <c r="J586" s="4"/>
      <c r="K586" s="4"/>
    </row>
    <row r="587" spans="10:11" ht="14">
      <c r="J587" s="4"/>
      <c r="K587" s="4"/>
    </row>
    <row r="588" spans="10:11" ht="14">
      <c r="J588" s="4"/>
      <c r="K588" s="4"/>
    </row>
    <row r="589" spans="10:11" ht="14">
      <c r="J589" s="4"/>
      <c r="K589" s="4"/>
    </row>
    <row r="590" spans="10:11" ht="14">
      <c r="J590" s="4"/>
      <c r="K590" s="4"/>
    </row>
    <row r="591" spans="10:11" ht="14">
      <c r="J591" s="4"/>
      <c r="K591" s="4"/>
    </row>
    <row r="592" spans="10:11" ht="14">
      <c r="J592" s="4"/>
      <c r="K592" s="4"/>
    </row>
    <row r="593" spans="10:11" ht="14">
      <c r="J593" s="4"/>
      <c r="K593" s="4"/>
    </row>
    <row r="594" spans="10:11" ht="14">
      <c r="J594" s="4"/>
      <c r="K594" s="4"/>
    </row>
    <row r="595" spans="10:11" ht="14">
      <c r="J595" s="4"/>
      <c r="K595" s="4"/>
    </row>
    <row r="596" spans="10:11" ht="14">
      <c r="J596" s="4"/>
      <c r="K596" s="4"/>
    </row>
    <row r="597" spans="10:11" ht="14">
      <c r="J597" s="4"/>
      <c r="K597" s="4"/>
    </row>
    <row r="598" spans="10:11" ht="14">
      <c r="J598" s="4"/>
      <c r="K598" s="4"/>
    </row>
    <row r="599" spans="10:11" ht="14">
      <c r="J599" s="4"/>
      <c r="K599" s="4"/>
    </row>
    <row r="600" spans="10:11" ht="14">
      <c r="J600" s="4"/>
      <c r="K600" s="4"/>
    </row>
    <row r="601" spans="10:11" ht="14">
      <c r="J601" s="4"/>
      <c r="K601" s="4"/>
    </row>
    <row r="602" spans="10:11" ht="14">
      <c r="J602" s="4"/>
      <c r="K602" s="4"/>
    </row>
    <row r="603" spans="10:11" ht="14">
      <c r="J603" s="4"/>
      <c r="K603" s="4"/>
    </row>
    <row r="604" spans="10:11" ht="14">
      <c r="J604" s="4"/>
      <c r="K604" s="4"/>
    </row>
    <row r="605" spans="10:11" ht="14">
      <c r="J605" s="4"/>
      <c r="K605" s="4"/>
    </row>
    <row r="606" spans="10:11" ht="14">
      <c r="J606" s="4"/>
      <c r="K606" s="4"/>
    </row>
    <row r="607" spans="10:11" ht="14">
      <c r="J607" s="4"/>
      <c r="K607" s="4"/>
    </row>
    <row r="608" spans="10:11" ht="14">
      <c r="J608" s="4"/>
      <c r="K608" s="4"/>
    </row>
    <row r="609" spans="10:11" ht="14">
      <c r="J609" s="4"/>
      <c r="K609" s="4"/>
    </row>
    <row r="610" spans="10:11" ht="14">
      <c r="J610" s="4"/>
      <c r="K610" s="4"/>
    </row>
    <row r="611" spans="10:11" ht="14">
      <c r="J611" s="4"/>
      <c r="K611" s="4"/>
    </row>
    <row r="612" spans="10:11" ht="14">
      <c r="J612" s="4"/>
      <c r="K612" s="4"/>
    </row>
    <row r="613" spans="10:11" ht="14">
      <c r="J613" s="4"/>
      <c r="K613" s="4"/>
    </row>
    <row r="614" spans="10:11" ht="14">
      <c r="J614" s="4"/>
      <c r="K614" s="4"/>
    </row>
    <row r="615" spans="10:11" ht="14">
      <c r="J615" s="4"/>
      <c r="K615" s="4"/>
    </row>
    <row r="616" spans="10:11" ht="14">
      <c r="J616" s="4"/>
      <c r="K616" s="4"/>
    </row>
    <row r="617" spans="10:11" ht="14">
      <c r="J617" s="4"/>
      <c r="K617" s="4"/>
    </row>
    <row r="618" spans="10:11" ht="14">
      <c r="J618" s="4"/>
      <c r="K618" s="4"/>
    </row>
    <row r="619" spans="10:11" ht="14">
      <c r="J619" s="4"/>
      <c r="K619" s="4"/>
    </row>
    <row r="620" spans="10:11" ht="14">
      <c r="J620" s="4"/>
      <c r="K620" s="4"/>
    </row>
    <row r="621" spans="10:11" ht="14">
      <c r="J621" s="4"/>
      <c r="K621" s="4"/>
    </row>
    <row r="622" spans="10:11" ht="14">
      <c r="J622" s="4"/>
      <c r="K622" s="4"/>
    </row>
    <row r="623" spans="10:11" ht="14">
      <c r="J623" s="4"/>
      <c r="K623" s="4"/>
    </row>
    <row r="624" spans="10:11" ht="14">
      <c r="J624" s="4"/>
      <c r="K624" s="4"/>
    </row>
    <row r="625" spans="10:11" ht="14">
      <c r="J625" s="4"/>
      <c r="K625" s="4"/>
    </row>
    <row r="626" spans="10:11" ht="14">
      <c r="J626" s="4"/>
      <c r="K626" s="4"/>
    </row>
    <row r="627" spans="10:11" ht="14">
      <c r="J627" s="4"/>
      <c r="K627" s="4"/>
    </row>
    <row r="628" spans="10:11" ht="14">
      <c r="J628" s="4"/>
      <c r="K628" s="4"/>
    </row>
    <row r="629" spans="10:11" ht="14">
      <c r="J629" s="4"/>
      <c r="K629" s="4"/>
    </row>
    <row r="630" spans="10:11" ht="14">
      <c r="J630" s="4"/>
      <c r="K630" s="4"/>
    </row>
    <row r="631" spans="10:11" ht="14">
      <c r="J631" s="4"/>
      <c r="K631" s="4"/>
    </row>
    <row r="632" spans="10:11" ht="14">
      <c r="J632" s="4"/>
      <c r="K632" s="4"/>
    </row>
    <row r="633" spans="10:11" ht="14">
      <c r="J633" s="4"/>
      <c r="K633" s="4"/>
    </row>
    <row r="634" spans="10:11" ht="14">
      <c r="J634" s="4"/>
      <c r="K634" s="4"/>
    </row>
    <row r="635" spans="10:11" ht="14">
      <c r="J635" s="4"/>
      <c r="K635" s="4"/>
    </row>
    <row r="636" spans="10:11" ht="14">
      <c r="J636" s="4"/>
      <c r="K636" s="4"/>
    </row>
    <row r="637" spans="10:11" ht="14">
      <c r="J637" s="4"/>
      <c r="K637" s="4"/>
    </row>
    <row r="638" spans="10:11" ht="14">
      <c r="J638" s="4"/>
      <c r="K638" s="4"/>
    </row>
    <row r="639" spans="10:11" ht="14">
      <c r="J639" s="4"/>
      <c r="K639" s="4"/>
    </row>
    <row r="640" spans="10:11" ht="14">
      <c r="J640" s="4"/>
      <c r="K640" s="4"/>
    </row>
    <row r="641" spans="10:11" ht="14">
      <c r="J641" s="4"/>
      <c r="K641" s="4"/>
    </row>
    <row r="642" spans="10:11" ht="14">
      <c r="J642" s="4"/>
      <c r="K642" s="4"/>
    </row>
    <row r="643" spans="10:11" ht="14">
      <c r="J643" s="4"/>
      <c r="K643" s="4"/>
    </row>
    <row r="644" spans="10:11" ht="14">
      <c r="J644" s="4"/>
      <c r="K644" s="4"/>
    </row>
    <row r="645" spans="10:11" ht="14">
      <c r="J645" s="4"/>
      <c r="K645" s="4"/>
    </row>
    <row r="646" spans="10:11" ht="14">
      <c r="J646" s="4"/>
      <c r="K646" s="4"/>
    </row>
    <row r="647" spans="10:11" ht="14">
      <c r="J647" s="4"/>
      <c r="K647" s="4"/>
    </row>
    <row r="648" spans="10:11" ht="14">
      <c r="J648" s="4"/>
      <c r="K648" s="4"/>
    </row>
    <row r="649" spans="10:11" ht="14">
      <c r="J649" s="4"/>
      <c r="K649" s="4"/>
    </row>
    <row r="650" spans="10:11" ht="14">
      <c r="J650" s="4"/>
      <c r="K650" s="4"/>
    </row>
    <row r="651" spans="10:11" ht="14">
      <c r="J651" s="4"/>
      <c r="K651" s="4"/>
    </row>
    <row r="652" spans="10:11" ht="14">
      <c r="J652" s="4"/>
      <c r="K652" s="4"/>
    </row>
    <row r="653" spans="10:11" ht="14">
      <c r="J653" s="4"/>
      <c r="K653" s="4"/>
    </row>
    <row r="654" spans="10:11" ht="14">
      <c r="J654" s="4"/>
      <c r="K654" s="4"/>
    </row>
    <row r="655" spans="10:11" ht="14">
      <c r="J655" s="4"/>
      <c r="K655" s="4"/>
    </row>
    <row r="656" spans="10:11" ht="14">
      <c r="J656" s="4"/>
      <c r="K656" s="4"/>
    </row>
    <row r="657" spans="10:11" ht="14">
      <c r="J657" s="4"/>
      <c r="K657" s="4"/>
    </row>
    <row r="658" spans="10:11" ht="14">
      <c r="J658" s="4"/>
      <c r="K658" s="4"/>
    </row>
    <row r="659" spans="10:11" ht="14">
      <c r="J659" s="4"/>
      <c r="K659" s="4"/>
    </row>
    <row r="660" spans="10:11" ht="14">
      <c r="J660" s="4"/>
      <c r="K660" s="4"/>
    </row>
    <row r="661" spans="10:11" ht="14">
      <c r="J661" s="4"/>
      <c r="K661" s="4"/>
    </row>
    <row r="662" spans="10:11" ht="14">
      <c r="J662" s="4"/>
      <c r="K662" s="4"/>
    </row>
    <row r="663" spans="10:11" ht="14">
      <c r="J663" s="4"/>
      <c r="K663" s="4"/>
    </row>
    <row r="664" spans="10:11" ht="14">
      <c r="J664" s="4"/>
      <c r="K664" s="4"/>
    </row>
    <row r="665" spans="10:11" ht="14">
      <c r="J665" s="4"/>
      <c r="K665" s="4"/>
    </row>
    <row r="666" spans="10:11" ht="14">
      <c r="J666" s="4"/>
      <c r="K666" s="4"/>
    </row>
    <row r="667" spans="10:11" ht="14">
      <c r="J667" s="4"/>
      <c r="K667" s="4"/>
    </row>
    <row r="668" spans="10:11" ht="14">
      <c r="J668" s="4"/>
      <c r="K668" s="4"/>
    </row>
    <row r="669" spans="10:11" ht="14">
      <c r="J669" s="4"/>
      <c r="K669" s="4"/>
    </row>
    <row r="670" spans="10:11" ht="14">
      <c r="J670" s="4"/>
      <c r="K670" s="4"/>
    </row>
    <row r="671" spans="10:11" ht="14">
      <c r="J671" s="4"/>
      <c r="K671" s="4"/>
    </row>
    <row r="672" spans="10:11" ht="14">
      <c r="J672" s="4"/>
      <c r="K672" s="4"/>
    </row>
    <row r="673" spans="10:11" ht="14">
      <c r="J673" s="4"/>
      <c r="K673" s="4"/>
    </row>
    <row r="674" spans="10:11" ht="14">
      <c r="J674" s="4"/>
      <c r="K674" s="4"/>
    </row>
    <row r="675" spans="10:11" ht="14">
      <c r="J675" s="4"/>
      <c r="K675" s="4"/>
    </row>
    <row r="676" spans="10:11" ht="14">
      <c r="J676" s="4"/>
      <c r="K676" s="4"/>
    </row>
    <row r="677" spans="10:11" ht="14">
      <c r="J677" s="4"/>
      <c r="K677" s="4"/>
    </row>
    <row r="678" spans="10:11" ht="14">
      <c r="J678" s="4"/>
      <c r="K678" s="4"/>
    </row>
    <row r="679" spans="10:11" ht="14">
      <c r="J679" s="4"/>
      <c r="K679" s="4"/>
    </row>
    <row r="680" spans="10:11" ht="14">
      <c r="J680" s="4"/>
      <c r="K680" s="4"/>
    </row>
    <row r="681" spans="10:11" ht="14">
      <c r="J681" s="4"/>
      <c r="K681" s="4"/>
    </row>
    <row r="682" spans="10:11" ht="14">
      <c r="J682" s="4"/>
      <c r="K682" s="4"/>
    </row>
    <row r="683" spans="10:11" ht="14">
      <c r="J683" s="4"/>
      <c r="K683" s="4"/>
    </row>
    <row r="684" spans="10:11" ht="14">
      <c r="J684" s="4"/>
      <c r="K684" s="4"/>
    </row>
    <row r="685" spans="10:11" ht="14">
      <c r="J685" s="4"/>
      <c r="K685" s="4"/>
    </row>
    <row r="686" spans="10:11" ht="14">
      <c r="J686" s="4"/>
      <c r="K686" s="4"/>
    </row>
    <row r="687" spans="10:11" ht="14">
      <c r="J687" s="4"/>
      <c r="K687" s="4"/>
    </row>
    <row r="688" spans="10:11" ht="14">
      <c r="J688" s="4"/>
      <c r="K688" s="4"/>
    </row>
    <row r="689" spans="10:11" ht="14">
      <c r="J689" s="4"/>
      <c r="K689" s="4"/>
    </row>
    <row r="690" spans="10:11" ht="14">
      <c r="J690" s="4"/>
      <c r="K690" s="4"/>
    </row>
    <row r="691" spans="10:11" ht="14">
      <c r="J691" s="4"/>
      <c r="K691" s="4"/>
    </row>
    <row r="692" spans="10:11" ht="14">
      <c r="J692" s="4"/>
      <c r="K692" s="4"/>
    </row>
    <row r="693" spans="10:11" ht="14">
      <c r="J693" s="4"/>
      <c r="K693" s="4"/>
    </row>
    <row r="694" spans="10:11" ht="14">
      <c r="J694" s="4"/>
      <c r="K694" s="4"/>
    </row>
    <row r="695" spans="10:11" ht="14">
      <c r="J695" s="4"/>
      <c r="K695" s="4"/>
    </row>
    <row r="696" spans="10:11" ht="14">
      <c r="J696" s="4"/>
      <c r="K696" s="4"/>
    </row>
    <row r="697" spans="10:11" ht="14">
      <c r="J697" s="4"/>
      <c r="K697" s="4"/>
    </row>
    <row r="698" spans="10:11" ht="14">
      <c r="J698" s="4"/>
      <c r="K698" s="4"/>
    </row>
    <row r="699" spans="10:11" ht="14">
      <c r="J699" s="4"/>
      <c r="K699" s="4"/>
    </row>
    <row r="700" spans="10:11" ht="14">
      <c r="J700" s="4"/>
      <c r="K700" s="4"/>
    </row>
    <row r="701" spans="10:11" ht="14">
      <c r="J701" s="4"/>
      <c r="K701" s="4"/>
    </row>
    <row r="702" spans="10:11" ht="14">
      <c r="J702" s="4"/>
      <c r="K702" s="4"/>
    </row>
    <row r="703" spans="10:11" ht="14">
      <c r="J703" s="4"/>
      <c r="K703" s="4"/>
    </row>
    <row r="704" spans="10:11" ht="14">
      <c r="J704" s="4"/>
      <c r="K704" s="4"/>
    </row>
    <row r="705" spans="10:11" ht="14">
      <c r="J705" s="4"/>
      <c r="K705" s="4"/>
    </row>
    <row r="706" spans="10:11" ht="14">
      <c r="J706" s="4"/>
      <c r="K706" s="4"/>
    </row>
    <row r="707" spans="10:11" ht="14">
      <c r="J707" s="4"/>
      <c r="K707" s="4"/>
    </row>
    <row r="708" spans="10:11" ht="14">
      <c r="J708" s="4"/>
      <c r="K708" s="4"/>
    </row>
    <row r="709" spans="10:11" ht="14">
      <c r="J709" s="4"/>
      <c r="K709" s="4"/>
    </row>
    <row r="710" spans="10:11" ht="14">
      <c r="J710" s="4"/>
      <c r="K710" s="4"/>
    </row>
    <row r="711" spans="10:11" ht="14">
      <c r="J711" s="4"/>
      <c r="K711" s="4"/>
    </row>
    <row r="712" spans="10:11" ht="14">
      <c r="J712" s="4"/>
      <c r="K712" s="4"/>
    </row>
    <row r="713" spans="10:11" ht="14">
      <c r="J713" s="4"/>
      <c r="K713" s="4"/>
    </row>
    <row r="714" spans="10:11" ht="14">
      <c r="J714" s="4"/>
      <c r="K714" s="4"/>
    </row>
    <row r="715" spans="10:11" ht="14">
      <c r="J715" s="4"/>
      <c r="K715" s="4"/>
    </row>
    <row r="716" spans="10:11" ht="14">
      <c r="J716" s="4"/>
      <c r="K716" s="4"/>
    </row>
    <row r="717" spans="10:11" ht="14">
      <c r="J717" s="4"/>
      <c r="K717" s="4"/>
    </row>
    <row r="718" spans="10:11" ht="14">
      <c r="J718" s="4"/>
      <c r="K718" s="4"/>
    </row>
    <row r="719" spans="10:11" ht="14">
      <c r="J719" s="4"/>
      <c r="K719" s="4"/>
    </row>
    <row r="720" spans="10:11" ht="14">
      <c r="J720" s="4"/>
      <c r="K720" s="4"/>
    </row>
    <row r="721" spans="10:11" ht="14">
      <c r="J721" s="4"/>
      <c r="K721" s="4"/>
    </row>
    <row r="722" spans="10:11" ht="14">
      <c r="J722" s="4"/>
      <c r="K722" s="4"/>
    </row>
    <row r="723" spans="10:11" ht="14">
      <c r="J723" s="4"/>
      <c r="K723" s="4"/>
    </row>
    <row r="724" spans="10:11" ht="14">
      <c r="J724" s="4"/>
      <c r="K724" s="4"/>
    </row>
    <row r="725" spans="10:11" ht="14">
      <c r="J725" s="4"/>
      <c r="K725" s="4"/>
    </row>
    <row r="726" spans="10:11" ht="14">
      <c r="J726" s="4"/>
      <c r="K726" s="4"/>
    </row>
    <row r="727" spans="10:11" ht="14">
      <c r="J727" s="4"/>
      <c r="K727" s="4"/>
    </row>
    <row r="728" spans="10:11" ht="14">
      <c r="J728" s="4"/>
      <c r="K728" s="4"/>
    </row>
    <row r="729" spans="10:11" ht="14">
      <c r="J729" s="4"/>
      <c r="K729" s="4"/>
    </row>
    <row r="730" spans="10:11" ht="14">
      <c r="J730" s="4"/>
      <c r="K730" s="4"/>
    </row>
    <row r="731" spans="10:11" ht="14">
      <c r="J731" s="4"/>
      <c r="K731" s="4"/>
    </row>
    <row r="732" spans="10:11" ht="14">
      <c r="J732" s="4"/>
      <c r="K732" s="4"/>
    </row>
    <row r="733" spans="10:11" ht="14">
      <c r="J733" s="4"/>
      <c r="K733" s="4"/>
    </row>
    <row r="734" spans="10:11" ht="14">
      <c r="J734" s="4"/>
      <c r="K734" s="4"/>
    </row>
    <row r="735" spans="10:11" ht="14">
      <c r="J735" s="4"/>
      <c r="K735" s="4"/>
    </row>
    <row r="736" spans="10:11" ht="14">
      <c r="J736" s="4"/>
      <c r="K736" s="4"/>
    </row>
    <row r="737" spans="10:11" ht="14">
      <c r="J737" s="4"/>
      <c r="K737" s="4"/>
    </row>
    <row r="738" spans="10:11" ht="14">
      <c r="J738" s="4"/>
      <c r="K738" s="4"/>
    </row>
    <row r="739" spans="10:11" ht="14">
      <c r="J739" s="4"/>
      <c r="K739" s="4"/>
    </row>
    <row r="740" spans="10:11" ht="14">
      <c r="J740" s="4"/>
      <c r="K740" s="4"/>
    </row>
    <row r="741" spans="10:11" ht="14">
      <c r="J741" s="4"/>
      <c r="K741" s="4"/>
    </row>
    <row r="742" spans="10:11" ht="14">
      <c r="J742" s="4"/>
      <c r="K742" s="4"/>
    </row>
    <row r="743" spans="10:11" ht="14">
      <c r="J743" s="4"/>
      <c r="K743" s="4"/>
    </row>
    <row r="744" spans="10:11" ht="14">
      <c r="J744" s="4"/>
      <c r="K744" s="4"/>
    </row>
    <row r="745" spans="10:11" ht="14">
      <c r="J745" s="4"/>
      <c r="K745" s="4"/>
    </row>
    <row r="746" spans="10:11" ht="14">
      <c r="J746" s="4"/>
      <c r="K746" s="4"/>
    </row>
    <row r="747" spans="10:11" ht="14">
      <c r="J747" s="4"/>
      <c r="K747" s="4"/>
    </row>
    <row r="748" spans="10:11" ht="14">
      <c r="J748" s="4"/>
      <c r="K748" s="4"/>
    </row>
    <row r="749" spans="10:11" ht="14">
      <c r="J749" s="4"/>
      <c r="K749" s="4"/>
    </row>
    <row r="750" spans="10:11" ht="14">
      <c r="J750" s="4"/>
      <c r="K750" s="4"/>
    </row>
    <row r="751" spans="10:11" ht="14">
      <c r="J751" s="4"/>
      <c r="K751" s="4"/>
    </row>
    <row r="752" spans="10:11" ht="14">
      <c r="J752" s="4"/>
      <c r="K752" s="4"/>
    </row>
    <row r="753" spans="10:11" ht="14">
      <c r="J753" s="4"/>
      <c r="K753" s="4"/>
    </row>
    <row r="754" spans="10:11" ht="14">
      <c r="J754" s="4"/>
      <c r="K754" s="4"/>
    </row>
    <row r="755" spans="10:11" ht="14">
      <c r="J755" s="4"/>
      <c r="K755" s="4"/>
    </row>
    <row r="756" spans="10:11" ht="14">
      <c r="J756" s="4"/>
      <c r="K756" s="4"/>
    </row>
    <row r="757" spans="10:11" ht="14">
      <c r="J757" s="4"/>
      <c r="K757" s="4"/>
    </row>
    <row r="758" spans="10:11" ht="14">
      <c r="J758" s="4"/>
      <c r="K758" s="4"/>
    </row>
    <row r="759" spans="10:11" ht="14">
      <c r="J759" s="4"/>
      <c r="K759" s="4"/>
    </row>
    <row r="760" spans="10:11" ht="14">
      <c r="J760" s="4"/>
      <c r="K760" s="4"/>
    </row>
    <row r="761" spans="10:11" ht="14">
      <c r="J761" s="4"/>
      <c r="K761" s="4"/>
    </row>
    <row r="762" spans="10:11" ht="14">
      <c r="J762" s="4"/>
      <c r="K762" s="4"/>
    </row>
    <row r="763" spans="10:11" ht="14">
      <c r="J763" s="4"/>
      <c r="K763" s="4"/>
    </row>
    <row r="764" spans="10:11" ht="14">
      <c r="J764" s="4"/>
      <c r="K764" s="4"/>
    </row>
    <row r="765" spans="10:11" ht="14">
      <c r="J765" s="4"/>
      <c r="K765" s="4"/>
    </row>
    <row r="766" spans="10:11" ht="14">
      <c r="J766" s="4"/>
      <c r="K766" s="4"/>
    </row>
    <row r="767" spans="10:11" ht="14">
      <c r="J767" s="4"/>
      <c r="K767" s="4"/>
    </row>
    <row r="768" spans="10:11" ht="14">
      <c r="J768" s="4"/>
      <c r="K768" s="4"/>
    </row>
    <row r="769" spans="10:11" ht="14">
      <c r="J769" s="4"/>
      <c r="K769" s="4"/>
    </row>
    <row r="770" spans="10:11" ht="14">
      <c r="J770" s="4"/>
      <c r="K770" s="4"/>
    </row>
    <row r="771" spans="10:11" ht="14">
      <c r="J771" s="4"/>
      <c r="K771" s="4"/>
    </row>
    <row r="772" spans="10:11" ht="14">
      <c r="J772" s="4"/>
      <c r="K772" s="4"/>
    </row>
    <row r="773" spans="10:11" ht="14">
      <c r="J773" s="4"/>
      <c r="K773" s="4"/>
    </row>
    <row r="774" spans="10:11" ht="14">
      <c r="J774" s="4"/>
      <c r="K774" s="4"/>
    </row>
    <row r="775" spans="10:11" ht="14">
      <c r="J775" s="4"/>
      <c r="K775" s="4"/>
    </row>
    <row r="776" spans="10:11" ht="14">
      <c r="J776" s="4"/>
      <c r="K776" s="4"/>
    </row>
    <row r="777" spans="10:11" ht="14">
      <c r="J777" s="4"/>
      <c r="K777" s="4"/>
    </row>
    <row r="778" spans="10:11" ht="14">
      <c r="J778" s="4"/>
      <c r="K778" s="4"/>
    </row>
    <row r="779" spans="10:11" ht="14">
      <c r="J779" s="4"/>
      <c r="K779" s="4"/>
    </row>
    <row r="780" spans="10:11" ht="14">
      <c r="J780" s="4"/>
      <c r="K780" s="4"/>
    </row>
    <row r="781" spans="10:11" ht="14">
      <c r="J781" s="4"/>
      <c r="K781" s="4"/>
    </row>
    <row r="782" spans="10:11" ht="14">
      <c r="J782" s="4"/>
      <c r="K782" s="4"/>
    </row>
    <row r="783" spans="10:11" ht="14">
      <c r="J783" s="4"/>
      <c r="K783" s="4"/>
    </row>
    <row r="784" spans="10:11" ht="14">
      <c r="J784" s="4"/>
      <c r="K784" s="4"/>
    </row>
    <row r="785" spans="10:11" ht="14">
      <c r="J785" s="4"/>
      <c r="K785" s="4"/>
    </row>
    <row r="786" spans="10:11" ht="14">
      <c r="J786" s="4"/>
      <c r="K786" s="4"/>
    </row>
    <row r="787" spans="10:11" ht="14">
      <c r="J787" s="4"/>
      <c r="K787" s="4"/>
    </row>
    <row r="788" spans="10:11" ht="14">
      <c r="J788" s="4"/>
      <c r="K788" s="4"/>
    </row>
    <row r="789" spans="10:11" ht="14">
      <c r="J789" s="4"/>
      <c r="K789" s="4"/>
    </row>
    <row r="790" spans="10:11" ht="14">
      <c r="J790" s="4"/>
      <c r="K790" s="4"/>
    </row>
    <row r="791" spans="10:11" ht="14">
      <c r="J791" s="4"/>
      <c r="K791" s="4"/>
    </row>
    <row r="792" spans="10:11" ht="14">
      <c r="J792" s="4"/>
      <c r="K792" s="4"/>
    </row>
    <row r="793" spans="10:11" ht="14">
      <c r="J793" s="4"/>
      <c r="K793" s="4"/>
    </row>
    <row r="794" spans="10:11" ht="14">
      <c r="J794" s="4"/>
      <c r="K794" s="4"/>
    </row>
    <row r="795" spans="10:11" ht="14">
      <c r="J795" s="4"/>
      <c r="K795" s="4"/>
    </row>
    <row r="796" spans="10:11" ht="14">
      <c r="J796" s="4"/>
      <c r="K796" s="4"/>
    </row>
    <row r="797" spans="10:11" ht="14">
      <c r="J797" s="4"/>
      <c r="K797" s="4"/>
    </row>
    <row r="798" spans="10:11" ht="14">
      <c r="J798" s="4"/>
      <c r="K798" s="4"/>
    </row>
    <row r="799" spans="10:11" ht="14">
      <c r="J799" s="4"/>
      <c r="K799" s="4"/>
    </row>
    <row r="800" spans="10:11" ht="14">
      <c r="J800" s="4"/>
      <c r="K800" s="4"/>
    </row>
    <row r="801" spans="10:11" ht="14">
      <c r="J801" s="4"/>
      <c r="K801" s="4"/>
    </row>
    <row r="802" spans="10:11" ht="14">
      <c r="J802" s="4"/>
      <c r="K802" s="4"/>
    </row>
    <row r="803" spans="10:11" ht="14">
      <c r="J803" s="4"/>
      <c r="K803" s="4"/>
    </row>
    <row r="804" spans="10:11" ht="14">
      <c r="J804" s="4"/>
      <c r="K804" s="4"/>
    </row>
    <row r="805" spans="10:11" ht="14">
      <c r="J805" s="4"/>
      <c r="K805" s="4"/>
    </row>
    <row r="806" spans="10:11" ht="14">
      <c r="J806" s="4"/>
      <c r="K806" s="4"/>
    </row>
    <row r="807" spans="10:11" ht="14">
      <c r="J807" s="4"/>
      <c r="K807" s="4"/>
    </row>
    <row r="808" spans="10:11" ht="14">
      <c r="J808" s="4"/>
      <c r="K808" s="4"/>
    </row>
    <row r="809" spans="10:11" ht="14">
      <c r="J809" s="4"/>
      <c r="K809" s="4"/>
    </row>
    <row r="810" spans="10:11" ht="14">
      <c r="J810" s="4"/>
      <c r="K810" s="4"/>
    </row>
    <row r="811" spans="10:11" ht="14">
      <c r="J811" s="4"/>
      <c r="K811" s="4"/>
    </row>
    <row r="812" spans="10:11" ht="14">
      <c r="J812" s="4"/>
      <c r="K812" s="4"/>
    </row>
    <row r="813" spans="10:11" ht="14">
      <c r="J813" s="4"/>
      <c r="K813" s="4"/>
    </row>
    <row r="814" spans="10:11" ht="14">
      <c r="J814" s="4"/>
      <c r="K814" s="4"/>
    </row>
    <row r="815" spans="10:11" ht="14">
      <c r="J815" s="4"/>
      <c r="K815" s="4"/>
    </row>
    <row r="816" spans="10:11" ht="14">
      <c r="J816" s="4"/>
      <c r="K816" s="4"/>
    </row>
    <row r="817" spans="10:11" ht="14">
      <c r="J817" s="4"/>
      <c r="K817" s="4"/>
    </row>
    <row r="818" spans="10:11" ht="14">
      <c r="J818" s="4"/>
      <c r="K818" s="4"/>
    </row>
    <row r="819" spans="10:11" ht="14">
      <c r="J819" s="4"/>
      <c r="K819" s="4"/>
    </row>
    <row r="820" spans="10:11" ht="14">
      <c r="J820" s="4"/>
      <c r="K820" s="4"/>
    </row>
    <row r="821" spans="10:11" ht="14">
      <c r="J821" s="4"/>
      <c r="K821" s="4"/>
    </row>
    <row r="822" spans="10:11" ht="14">
      <c r="J822" s="4"/>
      <c r="K822" s="4"/>
    </row>
    <row r="823" spans="10:11" ht="14">
      <c r="J823" s="4"/>
      <c r="K823" s="4"/>
    </row>
    <row r="824" spans="10:11" ht="14">
      <c r="J824" s="4"/>
      <c r="K824" s="4"/>
    </row>
    <row r="825" spans="10:11" ht="14">
      <c r="J825" s="4"/>
      <c r="K825" s="4"/>
    </row>
    <row r="826" spans="10:11" ht="14">
      <c r="J826" s="4"/>
      <c r="K826" s="4"/>
    </row>
    <row r="827" spans="10:11" ht="14">
      <c r="J827" s="4"/>
      <c r="K827" s="4"/>
    </row>
    <row r="828" spans="10:11" ht="14">
      <c r="J828" s="4"/>
      <c r="K828" s="4"/>
    </row>
    <row r="829" spans="10:11" ht="14">
      <c r="J829" s="4"/>
      <c r="K829" s="4"/>
    </row>
    <row r="830" spans="10:11" ht="14">
      <c r="J830" s="4"/>
      <c r="K830" s="4"/>
    </row>
    <row r="831" spans="10:11" ht="14">
      <c r="J831" s="4"/>
      <c r="K831" s="4"/>
    </row>
    <row r="832" spans="10:11" ht="14">
      <c r="J832" s="4"/>
      <c r="K832" s="4"/>
    </row>
    <row r="833" spans="10:11" ht="14">
      <c r="J833" s="4"/>
      <c r="K833" s="4"/>
    </row>
    <row r="834" spans="10:11" ht="14">
      <c r="J834" s="4"/>
      <c r="K834" s="4"/>
    </row>
    <row r="835" spans="10:11" ht="14">
      <c r="J835" s="4"/>
      <c r="K835" s="4"/>
    </row>
    <row r="836" spans="10:11" ht="14">
      <c r="J836" s="4"/>
      <c r="K836" s="4"/>
    </row>
    <row r="837" spans="10:11" ht="14">
      <c r="J837" s="4"/>
      <c r="K837" s="4"/>
    </row>
    <row r="838" spans="10:11" ht="14">
      <c r="J838" s="4"/>
      <c r="K838" s="4"/>
    </row>
    <row r="839" spans="10:11" ht="14">
      <c r="J839" s="4"/>
      <c r="K839" s="4"/>
    </row>
    <row r="840" spans="10:11" ht="14">
      <c r="J840" s="4"/>
      <c r="K840" s="4"/>
    </row>
    <row r="841" spans="10:11" ht="14">
      <c r="J841" s="4"/>
      <c r="K841" s="4"/>
    </row>
    <row r="842" spans="10:11" ht="14">
      <c r="J842" s="4"/>
      <c r="K842" s="4"/>
    </row>
    <row r="843" spans="10:11" ht="14">
      <c r="J843" s="4"/>
      <c r="K843" s="4"/>
    </row>
    <row r="844" spans="10:11" ht="14">
      <c r="J844" s="4"/>
      <c r="K844" s="4"/>
    </row>
    <row r="845" spans="10:11" ht="14">
      <c r="J845" s="4"/>
      <c r="K845" s="4"/>
    </row>
    <row r="846" spans="10:11" ht="14">
      <c r="J846" s="4"/>
      <c r="K846" s="4"/>
    </row>
    <row r="847" spans="10:11" ht="14">
      <c r="J847" s="4"/>
      <c r="K847" s="4"/>
    </row>
    <row r="848" spans="10:11" ht="14">
      <c r="J848" s="4"/>
      <c r="K848" s="4"/>
    </row>
    <row r="849" spans="10:11" ht="14">
      <c r="J849" s="4"/>
      <c r="K849" s="4"/>
    </row>
    <row r="850" spans="10:11" ht="14">
      <c r="J850" s="4"/>
      <c r="K850" s="4"/>
    </row>
    <row r="851" spans="10:11" ht="14">
      <c r="J851" s="4"/>
      <c r="K851" s="4"/>
    </row>
    <row r="852" spans="10:11" ht="14">
      <c r="J852" s="4"/>
      <c r="K852" s="4"/>
    </row>
    <row r="853" spans="10:11" ht="14">
      <c r="J853" s="4"/>
      <c r="K853" s="4"/>
    </row>
    <row r="854" spans="10:11" ht="14">
      <c r="J854" s="4"/>
      <c r="K854" s="4"/>
    </row>
    <row r="855" spans="10:11" ht="14">
      <c r="J855" s="4"/>
      <c r="K855" s="4"/>
    </row>
    <row r="856" spans="10:11" ht="14">
      <c r="J856" s="4"/>
      <c r="K856" s="4"/>
    </row>
    <row r="857" spans="10:11" ht="14">
      <c r="J857" s="4"/>
      <c r="K857" s="4"/>
    </row>
    <row r="858" spans="10:11" ht="14">
      <c r="J858" s="4"/>
      <c r="K858" s="4"/>
    </row>
    <row r="859" spans="10:11" ht="14">
      <c r="J859" s="4"/>
      <c r="K859" s="4"/>
    </row>
    <row r="860" spans="10:11" ht="14">
      <c r="J860" s="4"/>
      <c r="K860" s="4"/>
    </row>
    <row r="861" spans="10:11" ht="14">
      <c r="J861" s="4"/>
      <c r="K861" s="4"/>
    </row>
    <row r="862" spans="10:11" ht="14">
      <c r="J862" s="4"/>
      <c r="K862" s="4"/>
    </row>
    <row r="863" spans="10:11" ht="14">
      <c r="J863" s="4"/>
      <c r="K863" s="4"/>
    </row>
    <row r="864" spans="10:11" ht="14">
      <c r="J864" s="4"/>
      <c r="K864" s="4"/>
    </row>
    <row r="865" spans="10:11" ht="14">
      <c r="J865" s="4"/>
      <c r="K865" s="4"/>
    </row>
    <row r="866" spans="10:11" ht="14">
      <c r="J866" s="4"/>
      <c r="K866" s="4"/>
    </row>
    <row r="867" spans="10:11" ht="14">
      <c r="J867" s="4"/>
      <c r="K867" s="4"/>
    </row>
    <row r="868" spans="10:11" ht="14">
      <c r="J868" s="4"/>
      <c r="K868" s="4"/>
    </row>
    <row r="869" spans="10:11" ht="14">
      <c r="J869" s="4"/>
      <c r="K869" s="4"/>
    </row>
    <row r="870" spans="10:11" ht="14">
      <c r="J870" s="4"/>
      <c r="K870" s="4"/>
    </row>
    <row r="871" spans="10:11" ht="14">
      <c r="J871" s="4"/>
      <c r="K871" s="4"/>
    </row>
    <row r="872" spans="10:11" ht="14">
      <c r="J872" s="4"/>
      <c r="K872" s="4"/>
    </row>
    <row r="873" spans="10:11" ht="14">
      <c r="J873" s="4"/>
      <c r="K873" s="4"/>
    </row>
    <row r="874" spans="10:11" ht="14">
      <c r="J874" s="4"/>
      <c r="K874" s="4"/>
    </row>
    <row r="875" spans="10:11" ht="14">
      <c r="J875" s="4"/>
      <c r="K875" s="4"/>
    </row>
    <row r="876" spans="10:11" ht="14">
      <c r="J876" s="4"/>
      <c r="K876" s="4"/>
    </row>
    <row r="877" spans="10:11" ht="14">
      <c r="J877" s="4"/>
      <c r="K877" s="4"/>
    </row>
    <row r="878" spans="10:11" ht="14">
      <c r="J878" s="4"/>
      <c r="K878" s="4"/>
    </row>
    <row r="879" spans="10:11" ht="14">
      <c r="J879" s="4"/>
      <c r="K879" s="4"/>
    </row>
    <row r="880" spans="10:11" ht="14">
      <c r="J880" s="4"/>
      <c r="K880" s="4"/>
    </row>
    <row r="881" spans="10:11" ht="14">
      <c r="J881" s="4"/>
      <c r="K881" s="4"/>
    </row>
    <row r="882" spans="10:11" ht="14">
      <c r="J882" s="4"/>
      <c r="K882" s="4"/>
    </row>
    <row r="883" spans="10:11" ht="14">
      <c r="J883" s="4"/>
      <c r="K883" s="4"/>
    </row>
    <row r="884" spans="10:11" ht="14">
      <c r="J884" s="4"/>
      <c r="K884" s="4"/>
    </row>
    <row r="885" spans="10:11" ht="14">
      <c r="J885" s="4"/>
      <c r="K885" s="4"/>
    </row>
    <row r="886" spans="10:11" ht="14">
      <c r="J886" s="4"/>
      <c r="K886" s="4"/>
    </row>
    <row r="887" spans="10:11" ht="14">
      <c r="J887" s="4"/>
      <c r="K887" s="4"/>
    </row>
    <row r="888" spans="10:11" ht="14">
      <c r="J888" s="4"/>
      <c r="K888" s="4"/>
    </row>
    <row r="889" spans="10:11" ht="14">
      <c r="J889" s="4"/>
      <c r="K889" s="4"/>
    </row>
    <row r="890" spans="10:11" ht="14">
      <c r="J890" s="4"/>
      <c r="K890" s="4"/>
    </row>
    <row r="891" spans="10:11" ht="14">
      <c r="J891" s="4"/>
      <c r="K891" s="4"/>
    </row>
    <row r="892" spans="10:11" ht="14">
      <c r="J892" s="4"/>
      <c r="K892" s="4"/>
    </row>
    <row r="893" spans="10:11" ht="14">
      <c r="J893" s="4"/>
      <c r="K893" s="4"/>
    </row>
    <row r="894" spans="10:11" ht="14">
      <c r="J894" s="4"/>
      <c r="K894" s="4"/>
    </row>
    <row r="895" spans="10:11" ht="14">
      <c r="J895" s="4"/>
      <c r="K895" s="4"/>
    </row>
    <row r="896" spans="10:11" ht="14">
      <c r="J896" s="4"/>
      <c r="K896" s="4"/>
    </row>
    <row r="897" spans="10:11" ht="14">
      <c r="J897" s="4"/>
      <c r="K897" s="4"/>
    </row>
    <row r="898" spans="10:11" ht="14">
      <c r="J898" s="4"/>
      <c r="K898" s="4"/>
    </row>
    <row r="899" spans="10:11" ht="14">
      <c r="J899" s="4"/>
      <c r="K899" s="4"/>
    </row>
    <row r="900" spans="10:11" ht="14">
      <c r="J900" s="4"/>
      <c r="K900" s="4"/>
    </row>
    <row r="901" spans="10:11" ht="14">
      <c r="J901" s="4"/>
      <c r="K901" s="4"/>
    </row>
    <row r="902" spans="10:11" ht="14">
      <c r="J902" s="4"/>
      <c r="K902" s="4"/>
    </row>
    <row r="903" spans="10:11" ht="14">
      <c r="J903" s="4"/>
      <c r="K903" s="4"/>
    </row>
    <row r="904" spans="10:11" ht="14">
      <c r="J904" s="4"/>
      <c r="K904" s="4"/>
    </row>
    <row r="905" spans="10:11" ht="14">
      <c r="J905" s="4"/>
      <c r="K905" s="4"/>
    </row>
    <row r="906" spans="10:11" ht="14">
      <c r="J906" s="4"/>
      <c r="K906" s="4"/>
    </row>
    <row r="907" spans="10:11" ht="14">
      <c r="J907" s="4"/>
      <c r="K907" s="4"/>
    </row>
    <row r="908" spans="10:11" ht="14">
      <c r="J908" s="4"/>
      <c r="K908" s="4"/>
    </row>
    <row r="909" spans="10:11" ht="14">
      <c r="J909" s="4"/>
      <c r="K909" s="4"/>
    </row>
    <row r="910" spans="10:11" ht="14">
      <c r="J910" s="4"/>
      <c r="K910" s="4"/>
    </row>
    <row r="911" spans="10:11" ht="14">
      <c r="J911" s="4"/>
      <c r="K911" s="4"/>
    </row>
    <row r="912" spans="10:11" ht="14">
      <c r="J912" s="4"/>
      <c r="K912" s="4"/>
    </row>
    <row r="913" spans="10:11" ht="14">
      <c r="J913" s="4"/>
      <c r="K913" s="4"/>
    </row>
    <row r="914" spans="10:11" ht="14">
      <c r="J914" s="4"/>
      <c r="K914" s="4"/>
    </row>
    <row r="915" spans="10:11" ht="14">
      <c r="J915" s="4"/>
      <c r="K915" s="4"/>
    </row>
    <row r="916" spans="10:11" ht="14">
      <c r="J916" s="4"/>
      <c r="K916" s="4"/>
    </row>
    <row r="917" spans="10:11" ht="14">
      <c r="J917" s="4"/>
      <c r="K917" s="4"/>
    </row>
    <row r="918" spans="10:11" ht="14">
      <c r="J918" s="4"/>
      <c r="K918" s="4"/>
    </row>
    <row r="919" spans="10:11" ht="14">
      <c r="J919" s="4"/>
      <c r="K919" s="4"/>
    </row>
    <row r="920" spans="10:11" ht="14">
      <c r="J920" s="4"/>
      <c r="K920" s="4"/>
    </row>
    <row r="921" spans="10:11" ht="14">
      <c r="J921" s="4"/>
      <c r="K921" s="4"/>
    </row>
    <row r="922" spans="10:11" ht="14">
      <c r="J922" s="4"/>
      <c r="K922" s="4"/>
    </row>
    <row r="923" spans="10:11" ht="14">
      <c r="J923" s="4"/>
      <c r="K923" s="4"/>
    </row>
    <row r="924" spans="10:11" ht="14">
      <c r="J924" s="4"/>
      <c r="K924" s="4"/>
    </row>
    <row r="925" spans="10:11" ht="14">
      <c r="J925" s="4"/>
      <c r="K925" s="4"/>
    </row>
    <row r="926" spans="10:11" ht="14">
      <c r="J926" s="4"/>
      <c r="K926" s="4"/>
    </row>
    <row r="927" spans="10:11" ht="14">
      <c r="J927" s="4"/>
      <c r="K927" s="4"/>
    </row>
    <row r="928" spans="10:11" ht="14">
      <c r="J928" s="4"/>
      <c r="K928" s="4"/>
    </row>
    <row r="929" spans="10:11" ht="14">
      <c r="J929" s="4"/>
      <c r="K929" s="4"/>
    </row>
    <row r="930" spans="10:11" ht="14">
      <c r="J930" s="4"/>
      <c r="K930" s="4"/>
    </row>
    <row r="931" spans="10:11" ht="14">
      <c r="J931" s="4"/>
      <c r="K931" s="4"/>
    </row>
    <row r="932" spans="10:11" ht="14">
      <c r="J932" s="4"/>
      <c r="K932" s="4"/>
    </row>
    <row r="933" spans="10:11" ht="14">
      <c r="J933" s="4"/>
      <c r="K933" s="4"/>
    </row>
    <row r="934" spans="10:11" ht="14">
      <c r="J934" s="4"/>
      <c r="K934" s="4"/>
    </row>
    <row r="935" spans="10:11" ht="14">
      <c r="J935" s="4"/>
      <c r="K935" s="4"/>
    </row>
    <row r="936" spans="10:11" ht="14">
      <c r="J936" s="4"/>
      <c r="K936" s="4"/>
    </row>
    <row r="937" spans="10:11" ht="14">
      <c r="J937" s="4"/>
      <c r="K937" s="4"/>
    </row>
    <row r="938" spans="10:11" ht="14">
      <c r="J938" s="4"/>
      <c r="K938" s="4"/>
    </row>
    <row r="939" spans="10:11" ht="14">
      <c r="J939" s="4"/>
      <c r="K939" s="4"/>
    </row>
    <row r="940" spans="10:11" ht="14">
      <c r="J940" s="4"/>
      <c r="K940" s="4"/>
    </row>
    <row r="941" spans="10:11" ht="14">
      <c r="J941" s="4"/>
      <c r="K941" s="4"/>
    </row>
    <row r="942" spans="10:11" ht="14">
      <c r="J942" s="4"/>
      <c r="K942" s="4"/>
    </row>
    <row r="943" spans="10:11" ht="14">
      <c r="J943" s="4"/>
      <c r="K943" s="4"/>
    </row>
    <row r="944" spans="10:11" ht="14">
      <c r="J944" s="4"/>
      <c r="K944" s="4"/>
    </row>
    <row r="945" spans="10:11" ht="14">
      <c r="J945" s="4"/>
      <c r="K945" s="4"/>
    </row>
    <row r="946" spans="10:11" ht="14">
      <c r="J946" s="4"/>
      <c r="K946" s="4"/>
    </row>
    <row r="947" spans="10:11" ht="14">
      <c r="J947" s="4"/>
      <c r="K947" s="4"/>
    </row>
    <row r="948" spans="10:11" ht="14">
      <c r="J948" s="4"/>
      <c r="K948" s="4"/>
    </row>
    <row r="949" spans="10:11" ht="14">
      <c r="J949" s="4"/>
      <c r="K949" s="4"/>
    </row>
    <row r="950" spans="10:11" ht="14">
      <c r="J950" s="4"/>
      <c r="K950" s="4"/>
    </row>
    <row r="951" spans="10:11" ht="14">
      <c r="J951" s="4"/>
      <c r="K951" s="4"/>
    </row>
    <row r="952" spans="10:11" ht="14">
      <c r="J952" s="4"/>
      <c r="K952" s="4"/>
    </row>
    <row r="953" spans="10:11" ht="14">
      <c r="J953" s="4"/>
      <c r="K953" s="4"/>
    </row>
    <row r="954" spans="10:11" ht="14">
      <c r="J954" s="4"/>
      <c r="K954" s="4"/>
    </row>
    <row r="955" spans="10:11" ht="14">
      <c r="J955" s="4"/>
      <c r="K955" s="4"/>
    </row>
    <row r="956" spans="10:11" ht="14">
      <c r="J956" s="4"/>
      <c r="K956" s="4"/>
    </row>
    <row r="957" spans="10:11" ht="14">
      <c r="J957" s="4"/>
      <c r="K957" s="4"/>
    </row>
    <row r="958" spans="10:11" ht="14">
      <c r="J958" s="4"/>
      <c r="K958" s="4"/>
    </row>
    <row r="959" spans="10:11" ht="14">
      <c r="J959" s="4"/>
      <c r="K959" s="4"/>
    </row>
    <row r="960" spans="10:11" ht="14">
      <c r="J960" s="4"/>
      <c r="K960" s="4"/>
    </row>
    <row r="961" spans="10:11" ht="14">
      <c r="J961" s="4"/>
      <c r="K961" s="4"/>
    </row>
    <row r="962" spans="10:11" ht="14">
      <c r="J962" s="4"/>
      <c r="K962" s="4"/>
    </row>
    <row r="963" spans="10:11" ht="14">
      <c r="J963" s="4"/>
      <c r="K963" s="4"/>
    </row>
    <row r="964" spans="10:11" ht="14">
      <c r="J964" s="4"/>
      <c r="K964" s="4"/>
    </row>
    <row r="965" spans="10:11" ht="14">
      <c r="J965" s="4"/>
      <c r="K965" s="4"/>
    </row>
    <row r="966" spans="10:11" ht="14">
      <c r="J966" s="4"/>
      <c r="K966" s="4"/>
    </row>
    <row r="967" spans="10:11" ht="14">
      <c r="J967" s="4"/>
      <c r="K967" s="4"/>
    </row>
    <row r="968" spans="10:11" ht="14">
      <c r="J968" s="4"/>
      <c r="K968" s="4"/>
    </row>
    <row r="969" spans="10:11" ht="14">
      <c r="J969" s="4"/>
      <c r="K969" s="4"/>
    </row>
    <row r="970" spans="10:11" ht="14">
      <c r="J970" s="4"/>
      <c r="K970" s="4"/>
    </row>
    <row r="971" spans="10:11" ht="14">
      <c r="J971" s="4"/>
      <c r="K971" s="4"/>
    </row>
    <row r="972" spans="10:11" ht="14">
      <c r="J972" s="4"/>
      <c r="K972" s="4"/>
    </row>
    <row r="973" spans="10:11" ht="14">
      <c r="J973" s="4"/>
      <c r="K973" s="4"/>
    </row>
    <row r="974" spans="10:11" ht="14">
      <c r="J974" s="4"/>
      <c r="K974" s="4"/>
    </row>
    <row r="975" spans="10:11" ht="14">
      <c r="J975" s="4"/>
      <c r="K975" s="4"/>
    </row>
    <row r="976" spans="10:11" ht="14">
      <c r="J976" s="4"/>
      <c r="K976" s="4"/>
    </row>
    <row r="977" spans="10:11" ht="14">
      <c r="J977" s="4"/>
      <c r="K977" s="4"/>
    </row>
    <row r="978" spans="10:11" ht="14">
      <c r="J978" s="4"/>
      <c r="K978" s="4"/>
    </row>
    <row r="979" spans="10:11" ht="14">
      <c r="J979" s="4"/>
      <c r="K979" s="4"/>
    </row>
    <row r="980" spans="10:11" ht="14">
      <c r="J980" s="4"/>
      <c r="K980" s="4"/>
    </row>
    <row r="981" spans="10:11" ht="14">
      <c r="J981" s="4"/>
      <c r="K981" s="4"/>
    </row>
    <row r="982" spans="10:11" ht="14">
      <c r="J982" s="4"/>
      <c r="K982" s="4"/>
    </row>
    <row r="983" spans="10:11" ht="14">
      <c r="J983" s="4"/>
      <c r="K983" s="4"/>
    </row>
    <row r="984" spans="10:11" ht="14">
      <c r="J984" s="4"/>
      <c r="K984" s="4"/>
    </row>
    <row r="985" spans="10:11" ht="14">
      <c r="J985" s="4"/>
      <c r="K985" s="4"/>
    </row>
    <row r="986" spans="10:11" ht="14">
      <c r="J986" s="4"/>
      <c r="K986" s="4"/>
    </row>
    <row r="987" spans="10:11" ht="14">
      <c r="J987" s="4"/>
      <c r="K987" s="4"/>
    </row>
    <row r="988" spans="10:11" ht="14">
      <c r="J988" s="4"/>
      <c r="K988" s="4"/>
    </row>
    <row r="989" spans="10:11" ht="14">
      <c r="J989" s="4"/>
      <c r="K989" s="4"/>
    </row>
    <row r="990" spans="10:11" ht="14">
      <c r="J990" s="4"/>
      <c r="K990" s="4"/>
    </row>
    <row r="991" spans="10:11" ht="14">
      <c r="J991" s="4"/>
      <c r="K991" s="4"/>
    </row>
    <row r="992" spans="10:11" ht="14">
      <c r="J992" s="4"/>
      <c r="K992" s="4"/>
    </row>
    <row r="993" spans="10:11" ht="14">
      <c r="J993" s="4"/>
      <c r="K993" s="4"/>
    </row>
    <row r="994" spans="10:11" ht="14">
      <c r="J994" s="4"/>
      <c r="K994" s="4"/>
    </row>
    <row r="995" spans="10:11" ht="14">
      <c r="J995" s="4"/>
      <c r="K995" s="4"/>
    </row>
    <row r="996" spans="10:11" ht="14">
      <c r="J996" s="4"/>
      <c r="K996" s="4"/>
    </row>
    <row r="997" spans="10:11" ht="14">
      <c r="J997" s="4"/>
      <c r="K997" s="4"/>
    </row>
    <row r="998" spans="10:11" ht="14">
      <c r="J998" s="4"/>
      <c r="K998" s="4"/>
    </row>
    <row r="999" spans="10:11" ht="14">
      <c r="J999" s="4"/>
      <c r="K999" s="4"/>
    </row>
    <row r="1000" spans="10:11" ht="14">
      <c r="J1000" s="4"/>
      <c r="K1000" s="4"/>
    </row>
    <row r="1001" spans="10:11" ht="14">
      <c r="J1001" s="4"/>
      <c r="K1001" s="4"/>
    </row>
    <row r="1002" spans="10:11" ht="14">
      <c r="J1002" s="4"/>
      <c r="K1002" s="4"/>
    </row>
    <row r="1003" spans="10:11" ht="14">
      <c r="J1003" s="4"/>
      <c r="K1003" s="4"/>
    </row>
    <row r="1004" spans="10:11" ht="14">
      <c r="J1004" s="4"/>
      <c r="K1004" s="4"/>
    </row>
    <row r="1005" spans="10:11" ht="14">
      <c r="J1005" s="4"/>
      <c r="K1005" s="4"/>
    </row>
    <row r="1006" spans="10:11" ht="14">
      <c r="J1006" s="4"/>
      <c r="K1006" s="4"/>
    </row>
    <row r="1007" spans="10:11" ht="14">
      <c r="J1007" s="4"/>
      <c r="K1007" s="4"/>
    </row>
  </sheetData>
  <sortState ref="A2:N1007">
    <sortCondition ref="A1"/>
  </sortState>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
  <sheetViews>
    <sheetView workbookViewId="0"/>
  </sheetViews>
  <sheetFormatPr baseColWidth="10" defaultColWidth="14.5" defaultRowHeight="15" customHeight="1" x14ac:dyDescent="0"/>
  <cols>
    <col min="1" max="27" width="8.83203125" customWidth="1"/>
  </cols>
  <sheetData>
    <row r="1" spans="1:27" ht="15" customHeight="1">
      <c r="A1" t="s">
        <v>28</v>
      </c>
      <c r="B1">
        <v>2013</v>
      </c>
      <c r="C1" t="s">
        <v>144</v>
      </c>
      <c r="D1">
        <v>8</v>
      </c>
      <c r="E1">
        <v>250</v>
      </c>
      <c r="F1" t="s">
        <v>412</v>
      </c>
      <c r="G1">
        <v>7.5</v>
      </c>
      <c r="H1">
        <v>168141</v>
      </c>
      <c r="I1">
        <v>171305</v>
      </c>
      <c r="J1">
        <v>3164</v>
      </c>
      <c r="K1">
        <v>775.18</v>
      </c>
      <c r="L1">
        <v>66</v>
      </c>
      <c r="M1" t="s">
        <v>147</v>
      </c>
      <c r="N1">
        <v>388.08217777777782</v>
      </c>
      <c r="O1">
        <v>690.2793333333334</v>
      </c>
    </row>
    <row r="2" spans="1:27" ht="15" customHeight="1">
      <c r="A2" t="s">
        <v>28</v>
      </c>
      <c r="B2">
        <v>2013</v>
      </c>
      <c r="C2" t="s">
        <v>144</v>
      </c>
      <c r="D2">
        <v>5</v>
      </c>
      <c r="E2">
        <v>250</v>
      </c>
      <c r="F2" t="s">
        <v>412</v>
      </c>
      <c r="G2">
        <v>10</v>
      </c>
      <c r="H2">
        <v>17431</v>
      </c>
      <c r="I2">
        <v>17684</v>
      </c>
      <c r="J2">
        <v>253</v>
      </c>
      <c r="K2">
        <v>61.984999999999999</v>
      </c>
      <c r="L2">
        <v>48</v>
      </c>
      <c r="M2" t="s">
        <v>147</v>
      </c>
      <c r="N2">
        <v>31.031855555555552</v>
      </c>
      <c r="O2">
        <v>55.196166666666663</v>
      </c>
    </row>
    <row r="3" spans="1:27" ht="15" customHeight="1">
      <c r="A3" t="s">
        <v>28</v>
      </c>
      <c r="B3">
        <v>2013</v>
      </c>
      <c r="C3" t="s">
        <v>144</v>
      </c>
      <c r="D3">
        <v>4</v>
      </c>
      <c r="E3">
        <v>250</v>
      </c>
      <c r="F3" t="s">
        <v>412</v>
      </c>
      <c r="G3">
        <v>5</v>
      </c>
      <c r="H3">
        <v>17747</v>
      </c>
      <c r="I3">
        <v>17837</v>
      </c>
      <c r="J3">
        <v>90</v>
      </c>
      <c r="K3">
        <v>22.05</v>
      </c>
      <c r="L3">
        <v>54</v>
      </c>
      <c r="M3" t="s">
        <v>147</v>
      </c>
      <c r="N3">
        <v>11.039</v>
      </c>
      <c r="O3">
        <v>19.634999999999998</v>
      </c>
    </row>
    <row r="4" spans="1:27" ht="15" customHeight="1">
      <c r="A4" t="s">
        <v>28</v>
      </c>
      <c r="B4">
        <v>2013</v>
      </c>
      <c r="C4" t="s">
        <v>144</v>
      </c>
      <c r="D4">
        <v>2</v>
      </c>
      <c r="E4">
        <v>250</v>
      </c>
      <c r="F4" t="s">
        <v>412</v>
      </c>
      <c r="G4">
        <v>5.5</v>
      </c>
      <c r="H4">
        <v>17869</v>
      </c>
      <c r="I4">
        <v>17972</v>
      </c>
      <c r="J4">
        <v>103</v>
      </c>
      <c r="K4">
        <v>25.234999999999999</v>
      </c>
      <c r="L4" t="s">
        <v>413</v>
      </c>
      <c r="M4" t="s">
        <v>147</v>
      </c>
      <c r="N4">
        <v>12.633522222222222</v>
      </c>
      <c r="O4">
        <v>22.471166666666665</v>
      </c>
    </row>
    <row r="5" spans="1:27" ht="15" customHeight="1">
      <c r="A5" t="s">
        <v>28</v>
      </c>
      <c r="B5">
        <v>2013</v>
      </c>
      <c r="C5" t="s">
        <v>144</v>
      </c>
      <c r="D5">
        <v>8</v>
      </c>
      <c r="E5">
        <v>1000</v>
      </c>
      <c r="F5" t="s">
        <v>412</v>
      </c>
      <c r="G5">
        <v>7.5</v>
      </c>
      <c r="H5">
        <v>5353.5</v>
      </c>
      <c r="I5">
        <v>6032.2</v>
      </c>
      <c r="J5">
        <v>678.69999999999982</v>
      </c>
      <c r="K5">
        <v>166.28149999999997</v>
      </c>
      <c r="L5">
        <v>65</v>
      </c>
      <c r="M5" t="s">
        <v>147</v>
      </c>
      <c r="N5">
        <v>83.246325555555529</v>
      </c>
      <c r="O5">
        <v>148.06971666666661</v>
      </c>
    </row>
    <row r="6" spans="1:27" ht="15" customHeight="1">
      <c r="A6" t="s">
        <v>28</v>
      </c>
      <c r="B6">
        <v>2013</v>
      </c>
      <c r="C6" t="s">
        <v>144</v>
      </c>
      <c r="D6">
        <v>5</v>
      </c>
      <c r="E6">
        <v>1000</v>
      </c>
      <c r="F6" t="s">
        <v>412</v>
      </c>
      <c r="G6">
        <v>6</v>
      </c>
      <c r="H6">
        <v>6202.2</v>
      </c>
      <c r="I6">
        <v>6766.9</v>
      </c>
      <c r="J6">
        <v>564.69999999999982</v>
      </c>
      <c r="K6">
        <v>138.35149999999996</v>
      </c>
      <c r="L6">
        <v>56</v>
      </c>
      <c r="M6" t="s">
        <v>147</v>
      </c>
      <c r="N6">
        <v>69.263592222222201</v>
      </c>
      <c r="O6">
        <v>123.19871666666663</v>
      </c>
    </row>
    <row r="7" spans="1:27" ht="15" customHeight="1">
      <c r="A7" t="s">
        <v>28</v>
      </c>
      <c r="B7">
        <v>2013</v>
      </c>
      <c r="C7" t="s">
        <v>144</v>
      </c>
      <c r="D7">
        <v>4</v>
      </c>
      <c r="E7">
        <v>1000</v>
      </c>
      <c r="F7" t="s">
        <v>412</v>
      </c>
      <c r="G7">
        <v>5</v>
      </c>
      <c r="H7">
        <v>7588.1</v>
      </c>
      <c r="I7">
        <v>7970.6</v>
      </c>
      <c r="J7">
        <v>382.5</v>
      </c>
      <c r="K7">
        <v>93.712499999999991</v>
      </c>
      <c r="L7">
        <v>49</v>
      </c>
      <c r="M7" t="s">
        <v>147</v>
      </c>
      <c r="N7">
        <v>46.915750000000003</v>
      </c>
      <c r="O7">
        <v>83.448750000000004</v>
      </c>
      <c r="U7">
        <v>5.9031877213696209</v>
      </c>
      <c r="V7">
        <v>4.0512072597634656</v>
      </c>
      <c r="W7">
        <v>1.0417390096534624</v>
      </c>
      <c r="X7">
        <v>0.46299511540153887</v>
      </c>
      <c r="Y7">
        <v>0.23149755770076944</v>
      </c>
      <c r="Z7">
        <v>0.11574877885038472</v>
      </c>
      <c r="AA7">
        <v>0</v>
      </c>
    </row>
    <row r="8" spans="1:27" ht="15" customHeight="1">
      <c r="A8" t="s">
        <v>28</v>
      </c>
      <c r="B8">
        <v>2013</v>
      </c>
      <c r="C8" t="s">
        <v>144</v>
      </c>
      <c r="D8">
        <v>2</v>
      </c>
      <c r="E8">
        <v>1000</v>
      </c>
      <c r="F8" t="s">
        <v>412</v>
      </c>
      <c r="G8">
        <v>5.4</v>
      </c>
      <c r="H8">
        <v>8012.4</v>
      </c>
      <c r="I8">
        <v>8599.1</v>
      </c>
      <c r="J8">
        <v>586.70000000000073</v>
      </c>
      <c r="K8">
        <v>143.74150000000017</v>
      </c>
      <c r="L8">
        <v>45</v>
      </c>
      <c r="M8" t="s">
        <v>147</v>
      </c>
      <c r="N8">
        <v>71.962014444444534</v>
      </c>
      <c r="O8">
        <v>127.99838333333349</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
  <sheetViews>
    <sheetView workbookViewId="0"/>
  </sheetViews>
  <sheetFormatPr baseColWidth="10" defaultColWidth="14.5" defaultRowHeight="15" customHeight="1" x14ac:dyDescent="0"/>
  <cols>
    <col min="1" max="1" width="9.6640625" customWidth="1"/>
    <col min="2" max="26" width="8.83203125" customWidth="1"/>
  </cols>
  <sheetData>
    <row r="1" spans="1:3" ht="15" customHeight="1">
      <c r="A1" t="s">
        <v>414</v>
      </c>
      <c r="B1" t="s">
        <v>415</v>
      </c>
      <c r="C1" t="s">
        <v>374</v>
      </c>
    </row>
    <row r="2" spans="1:3" ht="15" customHeight="1">
      <c r="A2" t="s">
        <v>416</v>
      </c>
      <c r="B2">
        <v>309.59752321981426</v>
      </c>
      <c r="C2">
        <v>2</v>
      </c>
    </row>
    <row r="3" spans="1:3" ht="15" customHeight="1">
      <c r="A3" t="s">
        <v>416</v>
      </c>
      <c r="B3">
        <v>2391.9206236711548</v>
      </c>
      <c r="C3">
        <v>4</v>
      </c>
    </row>
    <row r="4" spans="1:3" ht="15" customHeight="1">
      <c r="A4" t="s">
        <v>416</v>
      </c>
      <c r="B4">
        <v>13391.092871257028</v>
      </c>
      <c r="C4">
        <v>5</v>
      </c>
    </row>
    <row r="5" spans="1:3" ht="15" customHeight="1">
      <c r="A5" t="s">
        <v>416</v>
      </c>
      <c r="B5">
        <v>114.22428273869515</v>
      </c>
      <c r="C5">
        <v>8</v>
      </c>
    </row>
    <row r="6" spans="1:3" ht="15" customHeight="1">
      <c r="A6" t="s">
        <v>417</v>
      </c>
      <c r="B6">
        <v>1511.2386417981825</v>
      </c>
      <c r="C6">
        <v>2</v>
      </c>
    </row>
    <row r="7" spans="1:3" ht="15" customHeight="1">
      <c r="A7" t="s">
        <v>417</v>
      </c>
      <c r="B7">
        <v>4002.622950819672</v>
      </c>
      <c r="C7">
        <v>4</v>
      </c>
    </row>
    <row r="8" spans="1:3" ht="15" customHeight="1">
      <c r="A8" t="s">
        <v>417</v>
      </c>
      <c r="B8">
        <v>1332.3147440794498</v>
      </c>
      <c r="C8">
        <v>5</v>
      </c>
    </row>
    <row r="9" spans="1:3" ht="15" customHeight="1">
      <c r="A9" t="s">
        <v>417</v>
      </c>
      <c r="B9">
        <v>353.01468291159017</v>
      </c>
      <c r="C9">
        <v>8</v>
      </c>
    </row>
    <row r="10" spans="1:3" ht="15" customHeight="1">
      <c r="A10" t="s">
        <v>418</v>
      </c>
      <c r="B10">
        <v>346.23743047626061</v>
      </c>
      <c r="C10">
        <v>2</v>
      </c>
    </row>
    <row r="11" spans="1:3" ht="15" customHeight="1">
      <c r="A11" t="s">
        <v>418</v>
      </c>
      <c r="B11">
        <v>4515.6591405680983</v>
      </c>
      <c r="C11">
        <v>4</v>
      </c>
    </row>
    <row r="12" spans="1:3" ht="15" customHeight="1">
      <c r="A12" t="s">
        <v>418</v>
      </c>
      <c r="B12">
        <v>24514.818715209869</v>
      </c>
      <c r="C12">
        <v>5</v>
      </c>
    </row>
    <row r="13" spans="1:3" ht="15" customHeight="1">
      <c r="A13" t="s">
        <v>418</v>
      </c>
      <c r="B13">
        <v>2983.8259899609598</v>
      </c>
      <c r="C13">
        <v>8</v>
      </c>
    </row>
    <row r="14" spans="1:3" ht="15" customHeight="1">
      <c r="A14" t="s">
        <v>419</v>
      </c>
      <c r="B14">
        <v>41.02924799249751</v>
      </c>
      <c r="C14">
        <v>2</v>
      </c>
    </row>
    <row r="15" spans="1:3" ht="15" customHeight="1">
      <c r="A15" t="s">
        <v>419</v>
      </c>
      <c r="B15">
        <v>390.60683561962327</v>
      </c>
      <c r="C15">
        <v>4</v>
      </c>
    </row>
    <row r="16" spans="1:3" ht="15" customHeight="1">
      <c r="A16" t="s">
        <v>419</v>
      </c>
      <c r="B16">
        <v>58.548009367681502</v>
      </c>
      <c r="C16">
        <v>5</v>
      </c>
    </row>
    <row r="17" spans="1:3" ht="15" customHeight="1">
      <c r="A17" t="s">
        <v>419</v>
      </c>
      <c r="B17">
        <v>67.815968876039534</v>
      </c>
      <c r="C17">
        <v>8</v>
      </c>
    </row>
    <row r="18" spans="1:3" ht="15" customHeight="1">
      <c r="A18" t="s">
        <v>420</v>
      </c>
      <c r="B18">
        <v>550.76520247392887</v>
      </c>
      <c r="C18">
        <v>2</v>
      </c>
    </row>
    <row r="19" spans="1:3" ht="15" customHeight="1">
      <c r="A19" t="s">
        <v>420</v>
      </c>
      <c r="B19">
        <v>315.20211270605279</v>
      </c>
      <c r="C19">
        <v>4</v>
      </c>
    </row>
    <row r="20" spans="1:3" ht="15" customHeight="1">
      <c r="A20" t="s">
        <v>420</v>
      </c>
      <c r="B20">
        <v>56.277056277056268</v>
      </c>
      <c r="C20">
        <v>5</v>
      </c>
    </row>
    <row r="21" spans="1:3" ht="15" customHeight="1">
      <c r="A21" t="s">
        <v>420</v>
      </c>
      <c r="B21">
        <v>109.31311936634231</v>
      </c>
      <c r="C21">
        <v>8</v>
      </c>
    </row>
    <row r="22" spans="1:3" ht="15" customHeight="1">
      <c r="A22" t="s">
        <v>421</v>
      </c>
      <c r="B22">
        <v>169.22263352723425</v>
      </c>
      <c r="C22">
        <v>2</v>
      </c>
    </row>
    <row r="23" spans="1:3" ht="15" customHeight="1">
      <c r="A23" t="s">
        <v>421</v>
      </c>
      <c r="B23">
        <v>25.818666896165926</v>
      </c>
      <c r="C23">
        <v>4</v>
      </c>
    </row>
    <row r="24" spans="1:3" ht="15" customHeight="1">
      <c r="A24" t="s">
        <v>421</v>
      </c>
      <c r="B24">
        <v>4203.8885969521807</v>
      </c>
      <c r="C24">
        <v>5</v>
      </c>
    </row>
    <row r="25" spans="1:3" ht="15" customHeight="1">
      <c r="A25" t="s">
        <v>421</v>
      </c>
      <c r="B25">
        <v>3240.2920462621951</v>
      </c>
      <c r="C25">
        <v>8</v>
      </c>
    </row>
    <row r="26" spans="1:3" ht="15" customHeight="1">
      <c r="A26" t="s">
        <v>422</v>
      </c>
      <c r="B26">
        <v>108.75106202209007</v>
      </c>
      <c r="C26">
        <v>2</v>
      </c>
    </row>
    <row r="27" spans="1:3" ht="15" customHeight="1">
      <c r="A27" t="s">
        <v>422</v>
      </c>
      <c r="B27">
        <v>134.36692506459949</v>
      </c>
      <c r="C27">
        <v>4</v>
      </c>
    </row>
    <row r="28" spans="1:3" ht="15" customHeight="1">
      <c r="A28" s="13">
        <v>41789</v>
      </c>
      <c r="B28">
        <v>9886</v>
      </c>
      <c r="C28">
        <v>2</v>
      </c>
    </row>
    <row r="29" spans="1:3" ht="15" customHeight="1">
      <c r="A29" s="13">
        <v>41789</v>
      </c>
      <c r="B29">
        <v>1330</v>
      </c>
      <c r="C29">
        <v>4</v>
      </c>
    </row>
    <row r="30" spans="1:3" ht="15" customHeight="1">
      <c r="A30" s="13">
        <v>41789</v>
      </c>
      <c r="B30">
        <v>517</v>
      </c>
      <c r="C30">
        <v>5</v>
      </c>
    </row>
    <row r="31" spans="1:3" ht="15" customHeight="1">
      <c r="A31" s="13">
        <v>41789</v>
      </c>
      <c r="B31">
        <v>3038</v>
      </c>
      <c r="C31">
        <v>8</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
  <sheetViews>
    <sheetView workbookViewId="0"/>
  </sheetViews>
  <sheetFormatPr baseColWidth="10" defaultColWidth="14.5" defaultRowHeight="15" customHeight="1" x14ac:dyDescent="0"/>
  <cols>
    <col min="1" max="1" width="11" customWidth="1"/>
    <col min="2" max="26" width="8.83203125" customWidth="1"/>
  </cols>
  <sheetData>
    <row r="1" spans="1:21" ht="15" customHeight="1">
      <c r="B1" t="s">
        <v>423</v>
      </c>
      <c r="C1" t="s">
        <v>247</v>
      </c>
      <c r="T1" t="s">
        <v>423</v>
      </c>
    </row>
    <row r="2" spans="1:21" ht="15" customHeight="1">
      <c r="B2" t="s">
        <v>424</v>
      </c>
      <c r="C2" t="s">
        <v>425</v>
      </c>
      <c r="D2" t="s">
        <v>426</v>
      </c>
      <c r="E2" t="s">
        <v>427</v>
      </c>
      <c r="F2" t="s">
        <v>428</v>
      </c>
      <c r="G2" t="s">
        <v>429</v>
      </c>
      <c r="H2" t="s">
        <v>430</v>
      </c>
      <c r="I2" t="s">
        <v>431</v>
      </c>
      <c r="J2" t="s">
        <v>432</v>
      </c>
      <c r="K2" t="s">
        <v>433</v>
      </c>
      <c r="L2" t="s">
        <v>434</v>
      </c>
      <c r="M2" t="s">
        <v>435</v>
      </c>
      <c r="N2" t="s">
        <v>436</v>
      </c>
      <c r="O2" t="s">
        <v>437</v>
      </c>
      <c r="P2" t="s">
        <v>438</v>
      </c>
      <c r="Q2" t="s">
        <v>439</v>
      </c>
      <c r="T2" t="s">
        <v>424</v>
      </c>
      <c r="U2" t="s">
        <v>439</v>
      </c>
    </row>
    <row r="3" spans="1:21" ht="15" customHeight="1">
      <c r="A3" s="13">
        <v>41390</v>
      </c>
      <c r="B3">
        <v>2</v>
      </c>
      <c r="C3">
        <v>0.2</v>
      </c>
      <c r="D3">
        <v>0</v>
      </c>
      <c r="E3">
        <v>0</v>
      </c>
      <c r="F3">
        <v>0</v>
      </c>
      <c r="G3">
        <v>0</v>
      </c>
      <c r="H3">
        <v>0.2</v>
      </c>
      <c r="I3">
        <v>0.2</v>
      </c>
      <c r="J3">
        <v>0</v>
      </c>
      <c r="K3">
        <v>0</v>
      </c>
      <c r="L3">
        <v>0</v>
      </c>
      <c r="M3">
        <v>0.2</v>
      </c>
      <c r="N3">
        <v>0</v>
      </c>
      <c r="O3">
        <v>0.2</v>
      </c>
      <c r="P3">
        <v>1</v>
      </c>
      <c r="Q3">
        <v>36</v>
      </c>
      <c r="T3">
        <v>2</v>
      </c>
      <c r="U3">
        <v>36</v>
      </c>
    </row>
    <row r="4" spans="1:21" ht="15" customHeight="1">
      <c r="A4" s="13">
        <v>41390</v>
      </c>
      <c r="B4">
        <v>4</v>
      </c>
      <c r="C4">
        <v>0.5</v>
      </c>
      <c r="D4">
        <v>0</v>
      </c>
      <c r="E4">
        <v>0.25</v>
      </c>
      <c r="F4">
        <v>0</v>
      </c>
      <c r="G4">
        <v>0</v>
      </c>
      <c r="H4">
        <v>0</v>
      </c>
      <c r="I4">
        <v>0.25</v>
      </c>
      <c r="J4">
        <v>0</v>
      </c>
      <c r="K4">
        <v>0</v>
      </c>
      <c r="L4">
        <v>0</v>
      </c>
      <c r="M4">
        <v>0</v>
      </c>
      <c r="N4">
        <v>0</v>
      </c>
      <c r="O4">
        <v>0</v>
      </c>
      <c r="P4">
        <v>1</v>
      </c>
      <c r="Q4">
        <v>96</v>
      </c>
      <c r="T4">
        <v>4</v>
      </c>
      <c r="U4">
        <v>96</v>
      </c>
    </row>
    <row r="5" spans="1:21" ht="15" customHeight="1">
      <c r="A5" s="13">
        <v>41390</v>
      </c>
      <c r="B5">
        <v>5</v>
      </c>
      <c r="C5">
        <v>0</v>
      </c>
      <c r="D5">
        <v>0</v>
      </c>
      <c r="E5">
        <v>0.5</v>
      </c>
      <c r="F5">
        <v>0</v>
      </c>
      <c r="G5">
        <v>0</v>
      </c>
      <c r="H5">
        <v>0</v>
      </c>
      <c r="I5">
        <v>0.5</v>
      </c>
      <c r="J5">
        <v>0</v>
      </c>
      <c r="K5">
        <v>0</v>
      </c>
      <c r="L5">
        <v>0</v>
      </c>
      <c r="M5">
        <v>0</v>
      </c>
      <c r="N5">
        <v>0</v>
      </c>
      <c r="O5">
        <v>0</v>
      </c>
      <c r="P5">
        <v>1</v>
      </c>
      <c r="Q5">
        <v>121</v>
      </c>
      <c r="T5">
        <v>5</v>
      </c>
      <c r="U5">
        <v>121</v>
      </c>
    </row>
    <row r="6" spans="1:21" ht="15" customHeight="1">
      <c r="A6" s="13">
        <v>41390</v>
      </c>
      <c r="B6">
        <v>6</v>
      </c>
      <c r="C6">
        <v>0.33333333300000001</v>
      </c>
      <c r="D6">
        <v>0</v>
      </c>
      <c r="E6">
        <v>0.33333333300000001</v>
      </c>
      <c r="F6">
        <v>0</v>
      </c>
      <c r="G6">
        <v>0</v>
      </c>
      <c r="H6">
        <v>0</v>
      </c>
      <c r="I6">
        <v>0.33333333300000001</v>
      </c>
      <c r="J6">
        <v>0</v>
      </c>
      <c r="K6">
        <v>0</v>
      </c>
      <c r="L6">
        <v>0</v>
      </c>
      <c r="M6">
        <v>0</v>
      </c>
      <c r="N6">
        <v>0</v>
      </c>
      <c r="O6">
        <v>0</v>
      </c>
      <c r="P6">
        <v>1</v>
      </c>
      <c r="Q6">
        <v>503</v>
      </c>
      <c r="T6">
        <v>6</v>
      </c>
      <c r="U6">
        <v>503</v>
      </c>
    </row>
    <row r="7" spans="1:21" ht="15" customHeight="1">
      <c r="A7" s="13">
        <v>41390</v>
      </c>
      <c r="B7">
        <v>7</v>
      </c>
      <c r="C7">
        <v>0</v>
      </c>
      <c r="D7">
        <v>0</v>
      </c>
      <c r="E7">
        <v>1</v>
      </c>
      <c r="F7">
        <v>0</v>
      </c>
      <c r="G7">
        <v>0</v>
      </c>
      <c r="H7">
        <v>0</v>
      </c>
      <c r="I7">
        <v>0</v>
      </c>
      <c r="J7">
        <v>0</v>
      </c>
      <c r="K7">
        <v>0</v>
      </c>
      <c r="L7">
        <v>0</v>
      </c>
      <c r="M7">
        <v>0</v>
      </c>
      <c r="N7">
        <v>0</v>
      </c>
      <c r="O7">
        <v>0</v>
      </c>
      <c r="P7">
        <v>1</v>
      </c>
      <c r="Q7">
        <v>250</v>
      </c>
      <c r="T7">
        <v>7</v>
      </c>
      <c r="U7">
        <v>250</v>
      </c>
    </row>
    <row r="8" spans="1:21" ht="15" customHeight="1">
      <c r="A8" s="13">
        <v>41390</v>
      </c>
      <c r="B8">
        <v>8</v>
      </c>
      <c r="C8">
        <v>0</v>
      </c>
      <c r="D8">
        <v>0</v>
      </c>
      <c r="E8">
        <v>1</v>
      </c>
      <c r="F8">
        <v>0</v>
      </c>
      <c r="G8">
        <v>0</v>
      </c>
      <c r="H8">
        <v>0</v>
      </c>
      <c r="I8">
        <v>0</v>
      </c>
      <c r="J8">
        <v>0</v>
      </c>
      <c r="K8">
        <v>0</v>
      </c>
      <c r="L8">
        <v>0</v>
      </c>
      <c r="M8">
        <v>0</v>
      </c>
      <c r="N8">
        <v>0</v>
      </c>
      <c r="O8">
        <v>0</v>
      </c>
      <c r="P8">
        <v>1</v>
      </c>
      <c r="Q8">
        <v>200</v>
      </c>
      <c r="T8">
        <v>8</v>
      </c>
      <c r="U8">
        <v>200</v>
      </c>
    </row>
    <row r="9" spans="1:21" ht="15" customHeight="1">
      <c r="A9" s="13">
        <v>41422</v>
      </c>
      <c r="B9">
        <v>1</v>
      </c>
      <c r="C9">
        <v>0.5</v>
      </c>
      <c r="D9">
        <v>0</v>
      </c>
      <c r="E9">
        <v>0</v>
      </c>
      <c r="F9">
        <v>0</v>
      </c>
      <c r="G9">
        <v>0</v>
      </c>
      <c r="H9">
        <v>0</v>
      </c>
      <c r="I9">
        <v>0.5</v>
      </c>
      <c r="J9">
        <v>0</v>
      </c>
      <c r="K9">
        <v>0</v>
      </c>
      <c r="L9">
        <v>0</v>
      </c>
      <c r="M9">
        <v>0</v>
      </c>
      <c r="N9">
        <v>0</v>
      </c>
      <c r="O9">
        <v>0</v>
      </c>
      <c r="P9">
        <v>1</v>
      </c>
      <c r="Q9">
        <v>8</v>
      </c>
      <c r="T9">
        <v>1</v>
      </c>
      <c r="U9">
        <v>8</v>
      </c>
    </row>
    <row r="10" spans="1:21" ht="15" customHeight="1">
      <c r="A10" s="13">
        <v>41422</v>
      </c>
      <c r="B10">
        <v>2</v>
      </c>
      <c r="C10">
        <v>0.5</v>
      </c>
      <c r="D10">
        <v>0.25</v>
      </c>
      <c r="E10">
        <v>0</v>
      </c>
      <c r="F10">
        <v>0</v>
      </c>
      <c r="G10">
        <v>0</v>
      </c>
      <c r="H10">
        <v>0</v>
      </c>
      <c r="I10">
        <v>0</v>
      </c>
      <c r="J10">
        <v>0</v>
      </c>
      <c r="K10">
        <v>0</v>
      </c>
      <c r="L10">
        <v>0</v>
      </c>
      <c r="M10">
        <v>0.25</v>
      </c>
      <c r="N10">
        <v>0</v>
      </c>
      <c r="O10">
        <v>0</v>
      </c>
      <c r="P10">
        <v>1</v>
      </c>
      <c r="Q10">
        <v>15</v>
      </c>
      <c r="T10">
        <v>2</v>
      </c>
      <c r="U10">
        <v>15</v>
      </c>
    </row>
    <row r="11" spans="1:21" ht="15" customHeight="1">
      <c r="A11" s="13">
        <v>41422</v>
      </c>
      <c r="B11">
        <v>4</v>
      </c>
      <c r="C11">
        <v>0.3</v>
      </c>
      <c r="D11">
        <v>0.1</v>
      </c>
      <c r="E11">
        <v>0</v>
      </c>
      <c r="F11">
        <v>0</v>
      </c>
      <c r="G11">
        <v>0</v>
      </c>
      <c r="H11">
        <v>0.1</v>
      </c>
      <c r="I11">
        <v>0.1</v>
      </c>
      <c r="J11">
        <v>0</v>
      </c>
      <c r="K11">
        <v>0</v>
      </c>
      <c r="L11">
        <v>0.1</v>
      </c>
      <c r="M11">
        <v>0.2</v>
      </c>
      <c r="N11">
        <v>0.1</v>
      </c>
      <c r="O11">
        <v>0</v>
      </c>
      <c r="P11">
        <v>1</v>
      </c>
      <c r="Q11">
        <v>270</v>
      </c>
      <c r="T11">
        <v>4</v>
      </c>
      <c r="U11">
        <v>270</v>
      </c>
    </row>
    <row r="12" spans="1:21" ht="15" customHeight="1">
      <c r="A12" s="13">
        <v>41422</v>
      </c>
      <c r="B12">
        <v>5</v>
      </c>
      <c r="C12">
        <v>0.25</v>
      </c>
      <c r="D12">
        <v>0.25</v>
      </c>
      <c r="E12">
        <v>0</v>
      </c>
      <c r="F12">
        <v>0</v>
      </c>
      <c r="G12">
        <v>0</v>
      </c>
      <c r="H12">
        <v>0</v>
      </c>
      <c r="I12">
        <v>0.25</v>
      </c>
      <c r="J12">
        <v>0</v>
      </c>
      <c r="K12">
        <v>0</v>
      </c>
      <c r="L12">
        <v>0</v>
      </c>
      <c r="M12">
        <v>0.25</v>
      </c>
      <c r="N12">
        <v>0</v>
      </c>
      <c r="O12">
        <v>0</v>
      </c>
      <c r="P12">
        <v>1</v>
      </c>
      <c r="Q12">
        <v>2643</v>
      </c>
      <c r="T12">
        <v>5</v>
      </c>
      <c r="U12">
        <v>2643</v>
      </c>
    </row>
    <row r="13" spans="1:21" ht="15" customHeight="1">
      <c r="A13" s="13">
        <v>41422</v>
      </c>
      <c r="B13">
        <v>6</v>
      </c>
      <c r="C13">
        <v>0.27272727299999999</v>
      </c>
      <c r="D13">
        <v>9.0909090999999997E-2</v>
      </c>
      <c r="E13">
        <v>9.0909090999999997E-2</v>
      </c>
      <c r="F13">
        <v>0</v>
      </c>
      <c r="G13">
        <v>9.0909090999999997E-2</v>
      </c>
      <c r="H13">
        <v>9.0909090999999997E-2</v>
      </c>
      <c r="I13">
        <v>0.18181818199999999</v>
      </c>
      <c r="J13">
        <v>0</v>
      </c>
      <c r="K13">
        <v>0</v>
      </c>
      <c r="L13">
        <v>0</v>
      </c>
      <c r="M13">
        <v>9.0909090999999997E-2</v>
      </c>
      <c r="N13">
        <v>0</v>
      </c>
      <c r="O13">
        <v>9.0909090999999997E-2</v>
      </c>
      <c r="P13">
        <v>1</v>
      </c>
      <c r="Q13">
        <v>611</v>
      </c>
      <c r="T13">
        <v>6</v>
      </c>
      <c r="U13">
        <v>611</v>
      </c>
    </row>
    <row r="14" spans="1:21" ht="15" customHeight="1">
      <c r="A14" s="13">
        <v>41422</v>
      </c>
      <c r="B14">
        <v>7</v>
      </c>
      <c r="C14">
        <v>0.33333333300000001</v>
      </c>
      <c r="D14">
        <v>0.16666666699999999</v>
      </c>
      <c r="E14">
        <v>0.16666666699999999</v>
      </c>
      <c r="F14">
        <v>0</v>
      </c>
      <c r="G14">
        <v>0</v>
      </c>
      <c r="H14">
        <v>0</v>
      </c>
      <c r="I14">
        <v>0.33333333300000001</v>
      </c>
      <c r="J14">
        <v>0</v>
      </c>
      <c r="K14">
        <v>0</v>
      </c>
      <c r="L14">
        <v>0</v>
      </c>
      <c r="M14">
        <v>0</v>
      </c>
      <c r="N14">
        <v>0</v>
      </c>
      <c r="O14">
        <v>0</v>
      </c>
      <c r="P14">
        <v>1</v>
      </c>
      <c r="Q14">
        <v>245</v>
      </c>
      <c r="T14">
        <v>7</v>
      </c>
      <c r="U14">
        <v>245</v>
      </c>
    </row>
    <row r="15" spans="1:21" ht="15" customHeight="1">
      <c r="A15" s="13">
        <v>41422</v>
      </c>
      <c r="B15">
        <v>8</v>
      </c>
      <c r="C15">
        <v>0.33333333300000001</v>
      </c>
      <c r="D15">
        <v>0.16666666699999999</v>
      </c>
      <c r="E15">
        <v>0.16666666699999999</v>
      </c>
      <c r="F15">
        <v>0</v>
      </c>
      <c r="G15">
        <v>0</v>
      </c>
      <c r="H15">
        <v>0</v>
      </c>
      <c r="I15">
        <v>0.33333333300000001</v>
      </c>
      <c r="J15">
        <v>0</v>
      </c>
      <c r="K15">
        <v>0</v>
      </c>
      <c r="L15">
        <v>0</v>
      </c>
      <c r="M15">
        <v>0</v>
      </c>
      <c r="N15">
        <v>0</v>
      </c>
      <c r="O15">
        <v>0</v>
      </c>
      <c r="P15">
        <v>1</v>
      </c>
      <c r="Q15">
        <v>68</v>
      </c>
      <c r="T15">
        <v>8</v>
      </c>
      <c r="U15">
        <v>68</v>
      </c>
    </row>
    <row r="16" spans="1:21" ht="15" customHeight="1">
      <c r="A16" s="13">
        <v>41450</v>
      </c>
      <c r="B16">
        <v>2</v>
      </c>
      <c r="C16">
        <v>0.28571428599999998</v>
      </c>
      <c r="D16">
        <v>0.14285714299999999</v>
      </c>
      <c r="E16">
        <v>0</v>
      </c>
      <c r="F16">
        <v>0</v>
      </c>
      <c r="G16">
        <v>0</v>
      </c>
      <c r="H16">
        <v>0</v>
      </c>
      <c r="I16">
        <v>0.14285714299999999</v>
      </c>
      <c r="J16">
        <v>0</v>
      </c>
      <c r="K16">
        <v>0.14285714299999999</v>
      </c>
      <c r="L16">
        <v>0</v>
      </c>
      <c r="M16">
        <v>0.28571428599999998</v>
      </c>
      <c r="N16">
        <v>0</v>
      </c>
      <c r="O16">
        <v>0</v>
      </c>
      <c r="P16">
        <v>1</v>
      </c>
      <c r="Q16">
        <v>158</v>
      </c>
      <c r="T16">
        <v>2</v>
      </c>
      <c r="U16">
        <v>158</v>
      </c>
    </row>
    <row r="17" spans="1:21" ht="15" customHeight="1">
      <c r="A17" s="13">
        <v>41450</v>
      </c>
      <c r="B17">
        <v>4</v>
      </c>
      <c r="C17">
        <v>0.4</v>
      </c>
      <c r="D17">
        <v>0.2</v>
      </c>
      <c r="E17">
        <v>0</v>
      </c>
      <c r="F17">
        <v>0</v>
      </c>
      <c r="G17">
        <v>0</v>
      </c>
      <c r="H17">
        <v>0</v>
      </c>
      <c r="I17">
        <v>0.4</v>
      </c>
      <c r="J17">
        <v>0</v>
      </c>
      <c r="K17">
        <v>0</v>
      </c>
      <c r="L17">
        <v>0</v>
      </c>
      <c r="M17">
        <v>0</v>
      </c>
      <c r="N17">
        <v>0</v>
      </c>
      <c r="O17">
        <v>0</v>
      </c>
      <c r="P17">
        <v>1</v>
      </c>
      <c r="Q17">
        <v>1526</v>
      </c>
      <c r="T17">
        <v>4</v>
      </c>
      <c r="U17">
        <v>1526</v>
      </c>
    </row>
    <row r="18" spans="1:21" ht="15" customHeight="1">
      <c r="A18" s="13">
        <v>41450</v>
      </c>
      <c r="B18">
        <v>5</v>
      </c>
      <c r="C18">
        <v>0.16666666699999999</v>
      </c>
      <c r="D18">
        <v>0</v>
      </c>
      <c r="E18">
        <v>0.33333333300000001</v>
      </c>
      <c r="F18">
        <v>0</v>
      </c>
      <c r="G18">
        <v>0</v>
      </c>
      <c r="H18">
        <v>0</v>
      </c>
      <c r="I18">
        <v>0.33333333300000001</v>
      </c>
      <c r="J18">
        <v>0</v>
      </c>
      <c r="K18">
        <v>0</v>
      </c>
      <c r="L18">
        <v>0</v>
      </c>
      <c r="M18">
        <v>0.16666666699999999</v>
      </c>
      <c r="N18">
        <v>0</v>
      </c>
      <c r="O18">
        <v>0</v>
      </c>
      <c r="P18">
        <v>1</v>
      </c>
      <c r="Q18">
        <v>436</v>
      </c>
      <c r="T18">
        <v>5</v>
      </c>
      <c r="U18">
        <v>436</v>
      </c>
    </row>
    <row r="19" spans="1:21" ht="15" customHeight="1">
      <c r="A19" s="13">
        <v>41450</v>
      </c>
      <c r="B19">
        <v>6</v>
      </c>
      <c r="C19">
        <v>0.25</v>
      </c>
      <c r="D19">
        <v>0.125</v>
      </c>
      <c r="E19">
        <v>0.25</v>
      </c>
      <c r="F19">
        <v>0</v>
      </c>
      <c r="G19">
        <v>0</v>
      </c>
      <c r="H19">
        <v>0</v>
      </c>
      <c r="I19">
        <v>0.25</v>
      </c>
      <c r="J19">
        <v>0</v>
      </c>
      <c r="K19">
        <v>0</v>
      </c>
      <c r="L19">
        <v>0</v>
      </c>
      <c r="M19">
        <v>0.125</v>
      </c>
      <c r="N19">
        <v>0</v>
      </c>
      <c r="O19">
        <v>0</v>
      </c>
      <c r="P19">
        <v>1</v>
      </c>
      <c r="Q19">
        <v>649</v>
      </c>
      <c r="T19">
        <v>6</v>
      </c>
      <c r="U19">
        <v>649</v>
      </c>
    </row>
    <row r="20" spans="1:21" ht="15" customHeight="1">
      <c r="A20" s="13">
        <v>41450</v>
      </c>
      <c r="B20">
        <v>7</v>
      </c>
      <c r="C20">
        <v>0.25</v>
      </c>
      <c r="D20">
        <v>0</v>
      </c>
      <c r="E20">
        <v>0.25</v>
      </c>
      <c r="F20">
        <v>0</v>
      </c>
      <c r="G20">
        <v>0</v>
      </c>
      <c r="H20">
        <v>0</v>
      </c>
      <c r="I20">
        <v>0.25</v>
      </c>
      <c r="J20">
        <v>0</v>
      </c>
      <c r="K20">
        <v>0</v>
      </c>
      <c r="L20">
        <v>0</v>
      </c>
      <c r="M20">
        <v>0.25</v>
      </c>
      <c r="N20">
        <v>0</v>
      </c>
      <c r="O20">
        <v>0</v>
      </c>
      <c r="P20">
        <v>1</v>
      </c>
      <c r="Q20">
        <v>427</v>
      </c>
      <c r="T20">
        <v>7</v>
      </c>
      <c r="U20">
        <v>427</v>
      </c>
    </row>
    <row r="21" spans="1:21" ht="15" customHeight="1">
      <c r="A21" s="13">
        <v>41450</v>
      </c>
      <c r="B21">
        <v>8</v>
      </c>
      <c r="C21">
        <v>0.4</v>
      </c>
      <c r="D21">
        <v>0</v>
      </c>
      <c r="E21">
        <v>0.2</v>
      </c>
      <c r="F21">
        <v>0</v>
      </c>
      <c r="G21">
        <v>0</v>
      </c>
      <c r="H21">
        <v>0</v>
      </c>
      <c r="I21">
        <v>0.2</v>
      </c>
      <c r="J21">
        <v>0</v>
      </c>
      <c r="K21">
        <v>0</v>
      </c>
      <c r="L21">
        <v>0</v>
      </c>
      <c r="M21">
        <v>0.2</v>
      </c>
      <c r="N21">
        <v>0</v>
      </c>
      <c r="O21">
        <v>0</v>
      </c>
      <c r="P21">
        <v>1</v>
      </c>
      <c r="Q21">
        <v>226</v>
      </c>
      <c r="T21">
        <v>8</v>
      </c>
      <c r="U21">
        <v>226</v>
      </c>
    </row>
    <row r="22" spans="1:21" ht="15" customHeight="1">
      <c r="A22" s="13">
        <v>41480</v>
      </c>
      <c r="B22">
        <v>1</v>
      </c>
      <c r="C22">
        <v>0.428571429</v>
      </c>
      <c r="D22">
        <v>0.14285714299999999</v>
      </c>
      <c r="E22">
        <v>0.14285714299999999</v>
      </c>
      <c r="F22">
        <v>0</v>
      </c>
      <c r="G22">
        <v>0</v>
      </c>
      <c r="H22">
        <v>0</v>
      </c>
      <c r="I22">
        <v>0</v>
      </c>
      <c r="J22">
        <v>0.14285714299999999</v>
      </c>
      <c r="K22">
        <v>0</v>
      </c>
      <c r="L22">
        <v>0.14285714299999999</v>
      </c>
      <c r="M22">
        <v>0</v>
      </c>
      <c r="N22">
        <v>0</v>
      </c>
      <c r="O22">
        <v>0</v>
      </c>
      <c r="P22">
        <v>1</v>
      </c>
      <c r="Q22">
        <v>93</v>
      </c>
      <c r="T22">
        <v>1</v>
      </c>
      <c r="U22">
        <v>93</v>
      </c>
    </row>
    <row r="23" spans="1:21" ht="15" customHeight="1">
      <c r="A23" s="13">
        <v>41480</v>
      </c>
      <c r="B23">
        <v>2</v>
      </c>
      <c r="C23">
        <v>0.428571429</v>
      </c>
      <c r="D23">
        <v>0</v>
      </c>
      <c r="E23">
        <v>0</v>
      </c>
      <c r="F23">
        <v>0</v>
      </c>
      <c r="G23">
        <v>0</v>
      </c>
      <c r="H23">
        <v>0.14285714299999999</v>
      </c>
      <c r="I23">
        <v>0.14285714299999999</v>
      </c>
      <c r="J23">
        <v>0.14285714299999999</v>
      </c>
      <c r="K23">
        <v>0</v>
      </c>
      <c r="L23">
        <v>0</v>
      </c>
      <c r="M23">
        <v>0.14285714299999999</v>
      </c>
      <c r="N23">
        <v>0</v>
      </c>
      <c r="O23">
        <v>0</v>
      </c>
      <c r="P23">
        <v>1</v>
      </c>
      <c r="Q23">
        <v>94</v>
      </c>
      <c r="T23">
        <v>2</v>
      </c>
      <c r="U23">
        <v>94</v>
      </c>
    </row>
    <row r="24" spans="1:21" ht="15" customHeight="1">
      <c r="A24" s="13">
        <v>41480</v>
      </c>
      <c r="B24">
        <v>4</v>
      </c>
      <c r="C24">
        <v>0.375</v>
      </c>
      <c r="D24">
        <v>0.125</v>
      </c>
      <c r="E24">
        <v>0.125</v>
      </c>
      <c r="F24">
        <v>0</v>
      </c>
      <c r="G24">
        <v>0</v>
      </c>
      <c r="H24">
        <v>0</v>
      </c>
      <c r="I24">
        <v>0.125</v>
      </c>
      <c r="J24">
        <v>0</v>
      </c>
      <c r="K24">
        <v>0.125</v>
      </c>
      <c r="L24">
        <v>0</v>
      </c>
      <c r="M24">
        <v>0.125</v>
      </c>
      <c r="N24">
        <v>0</v>
      </c>
      <c r="O24">
        <v>0</v>
      </c>
      <c r="P24">
        <v>1</v>
      </c>
      <c r="Q24">
        <v>1054</v>
      </c>
      <c r="T24">
        <v>4</v>
      </c>
      <c r="U24">
        <v>1054</v>
      </c>
    </row>
    <row r="25" spans="1:21" ht="15" customHeight="1">
      <c r="A25" s="13">
        <v>41480</v>
      </c>
      <c r="B25">
        <v>5</v>
      </c>
      <c r="C25">
        <v>0.33333333300000001</v>
      </c>
      <c r="D25">
        <v>0</v>
      </c>
      <c r="E25">
        <v>0.33333333300000001</v>
      </c>
      <c r="F25">
        <v>0</v>
      </c>
      <c r="G25">
        <v>0</v>
      </c>
      <c r="H25">
        <v>0</v>
      </c>
      <c r="I25">
        <v>0.33333333300000001</v>
      </c>
      <c r="J25">
        <v>0</v>
      </c>
      <c r="K25">
        <v>0</v>
      </c>
      <c r="L25">
        <v>0</v>
      </c>
      <c r="M25">
        <v>0</v>
      </c>
      <c r="N25">
        <v>0</v>
      </c>
      <c r="O25">
        <v>0</v>
      </c>
      <c r="P25">
        <v>1</v>
      </c>
      <c r="Q25">
        <v>6518</v>
      </c>
      <c r="T25">
        <v>5</v>
      </c>
      <c r="U25">
        <v>6518</v>
      </c>
    </row>
    <row r="26" spans="1:21" ht="15" customHeight="1">
      <c r="A26" s="13">
        <v>41480</v>
      </c>
      <c r="B26">
        <v>7</v>
      </c>
      <c r="C26">
        <v>0.14285714299999999</v>
      </c>
      <c r="D26">
        <v>0</v>
      </c>
      <c r="E26">
        <v>0.28571428599999998</v>
      </c>
      <c r="F26">
        <v>0.14285714299999999</v>
      </c>
      <c r="G26">
        <v>0</v>
      </c>
      <c r="H26">
        <v>0</v>
      </c>
      <c r="I26">
        <v>0.14285714299999999</v>
      </c>
      <c r="J26">
        <v>0.14285714299999999</v>
      </c>
      <c r="K26">
        <v>0.14285714299999999</v>
      </c>
      <c r="L26">
        <v>0</v>
      </c>
      <c r="M26">
        <v>0</v>
      </c>
      <c r="N26">
        <v>0</v>
      </c>
      <c r="O26">
        <v>0</v>
      </c>
      <c r="P26">
        <v>1</v>
      </c>
      <c r="Q26">
        <v>677</v>
      </c>
      <c r="T26">
        <v>7</v>
      </c>
      <c r="U26">
        <v>677</v>
      </c>
    </row>
    <row r="27" spans="1:21" ht="15" customHeight="1">
      <c r="A27" s="13">
        <v>41480</v>
      </c>
      <c r="B27">
        <v>8</v>
      </c>
      <c r="C27">
        <v>0.33333333300000001</v>
      </c>
      <c r="D27">
        <v>0.111111111</v>
      </c>
      <c r="E27">
        <v>0.222222222</v>
      </c>
      <c r="F27">
        <v>0</v>
      </c>
      <c r="G27">
        <v>0</v>
      </c>
      <c r="H27">
        <v>0</v>
      </c>
      <c r="I27">
        <v>0.222222222</v>
      </c>
      <c r="J27">
        <v>0</v>
      </c>
      <c r="K27">
        <v>0.111111111</v>
      </c>
      <c r="L27">
        <v>0</v>
      </c>
      <c r="M27">
        <v>0</v>
      </c>
      <c r="N27">
        <v>0</v>
      </c>
      <c r="O27">
        <v>0</v>
      </c>
      <c r="P27">
        <v>1</v>
      </c>
      <c r="Q27">
        <v>2247</v>
      </c>
      <c r="T27">
        <v>8</v>
      </c>
      <c r="U27">
        <v>2247</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heetViews>
  <sheetFormatPr baseColWidth="10" defaultColWidth="14.5" defaultRowHeight="15" customHeight="1" x14ac:dyDescent="0"/>
  <cols>
    <col min="1" max="20" width="8.83203125" customWidth="1"/>
    <col min="21" max="21" width="38.6640625" customWidth="1"/>
    <col min="22" max="26" width="8.83203125" customWidth="1"/>
  </cols>
  <sheetData>
    <row r="1" spans="1:26" ht="15" customHeight="1">
      <c r="A1" s="1" t="s">
        <v>373</v>
      </c>
      <c r="B1" s="1" t="s">
        <v>374</v>
      </c>
      <c r="C1" s="1" t="s">
        <v>375</v>
      </c>
      <c r="D1" s="1" t="s">
        <v>440</v>
      </c>
      <c r="E1" s="1" t="s">
        <v>441</v>
      </c>
      <c r="F1" s="1" t="s">
        <v>441</v>
      </c>
      <c r="G1" s="1" t="s">
        <v>442</v>
      </c>
      <c r="H1" s="1" t="s">
        <v>443</v>
      </c>
      <c r="I1" s="1" t="s">
        <v>444</v>
      </c>
      <c r="J1" s="1" t="s">
        <v>445</v>
      </c>
      <c r="K1" s="1" t="s">
        <v>446</v>
      </c>
      <c r="L1" s="1" t="s">
        <v>447</v>
      </c>
      <c r="M1" s="1" t="s">
        <v>448</v>
      </c>
      <c r="N1" s="1" t="s">
        <v>449</v>
      </c>
      <c r="O1" s="1" t="s">
        <v>450</v>
      </c>
      <c r="P1" s="1" t="s">
        <v>451</v>
      </c>
      <c r="Q1" s="1" t="s">
        <v>452</v>
      </c>
      <c r="R1" s="1" t="s">
        <v>453</v>
      </c>
      <c r="S1" s="1" t="s">
        <v>454</v>
      </c>
      <c r="T1" s="1" t="s">
        <v>455</v>
      </c>
      <c r="U1" s="1" t="s">
        <v>25</v>
      </c>
      <c r="V1" s="1"/>
      <c r="W1" s="1"/>
      <c r="X1" s="1"/>
      <c r="Y1" s="1"/>
      <c r="Z1" s="1"/>
    </row>
    <row r="2" spans="1:26" ht="15" customHeight="1">
      <c r="A2" t="s">
        <v>28</v>
      </c>
      <c r="B2">
        <v>4</v>
      </c>
      <c r="C2" t="s">
        <v>386</v>
      </c>
      <c r="D2">
        <v>51</v>
      </c>
      <c r="E2">
        <v>1</v>
      </c>
      <c r="F2">
        <v>1</v>
      </c>
      <c r="G2">
        <v>51</v>
      </c>
      <c r="H2">
        <v>0</v>
      </c>
      <c r="I2">
        <v>0</v>
      </c>
      <c r="J2">
        <v>15</v>
      </c>
      <c r="K2">
        <v>34</v>
      </c>
      <c r="L2">
        <v>0</v>
      </c>
      <c r="M2">
        <v>0</v>
      </c>
      <c r="N2">
        <v>0</v>
      </c>
      <c r="O2">
        <v>0</v>
      </c>
      <c r="P2">
        <v>0</v>
      </c>
      <c r="Q2">
        <v>0</v>
      </c>
      <c r="R2">
        <v>0</v>
      </c>
      <c r="S2">
        <v>0</v>
      </c>
      <c r="U2" t="s">
        <v>456</v>
      </c>
    </row>
    <row r="3" spans="1:26" ht="15" customHeight="1">
      <c r="A3" t="s">
        <v>28</v>
      </c>
      <c r="B3">
        <v>8</v>
      </c>
      <c r="C3" t="s">
        <v>386</v>
      </c>
      <c r="D3">
        <v>14</v>
      </c>
      <c r="E3">
        <v>1</v>
      </c>
      <c r="F3">
        <v>1</v>
      </c>
      <c r="G3">
        <v>14</v>
      </c>
      <c r="H3">
        <v>1</v>
      </c>
      <c r="I3">
        <v>2</v>
      </c>
      <c r="J3">
        <v>6</v>
      </c>
      <c r="K3">
        <v>1</v>
      </c>
      <c r="L3">
        <v>0</v>
      </c>
      <c r="M3">
        <v>0</v>
      </c>
      <c r="N3">
        <v>0</v>
      </c>
      <c r="O3">
        <v>0</v>
      </c>
      <c r="P3">
        <v>0</v>
      </c>
      <c r="Q3">
        <v>0</v>
      </c>
      <c r="R3">
        <v>0</v>
      </c>
      <c r="S3">
        <v>0</v>
      </c>
    </row>
    <row r="4" spans="1:26" ht="15" customHeight="1">
      <c r="A4" t="s">
        <v>31</v>
      </c>
      <c r="B4">
        <v>8</v>
      </c>
      <c r="C4" t="s">
        <v>386</v>
      </c>
      <c r="D4">
        <v>3</v>
      </c>
      <c r="E4">
        <v>1</v>
      </c>
      <c r="F4">
        <v>1</v>
      </c>
      <c r="G4">
        <v>3</v>
      </c>
      <c r="H4">
        <v>0</v>
      </c>
      <c r="I4">
        <v>0</v>
      </c>
      <c r="J4">
        <v>3</v>
      </c>
      <c r="K4">
        <v>0</v>
      </c>
      <c r="L4">
        <v>0</v>
      </c>
      <c r="M4">
        <v>0</v>
      </c>
      <c r="N4">
        <v>0</v>
      </c>
      <c r="O4">
        <v>0</v>
      </c>
      <c r="P4">
        <v>0</v>
      </c>
      <c r="Q4">
        <v>0</v>
      </c>
      <c r="R4">
        <v>0</v>
      </c>
      <c r="S4">
        <v>0</v>
      </c>
      <c r="U4" t="s">
        <v>457</v>
      </c>
    </row>
    <row r="5" spans="1:26" ht="15" customHeight="1">
      <c r="A5" t="s">
        <v>31</v>
      </c>
      <c r="B5">
        <v>2</v>
      </c>
      <c r="C5" t="s">
        <v>386</v>
      </c>
      <c r="D5">
        <v>66</v>
      </c>
      <c r="E5">
        <v>1</v>
      </c>
      <c r="F5">
        <v>1</v>
      </c>
      <c r="G5">
        <v>66</v>
      </c>
      <c r="H5">
        <v>0</v>
      </c>
      <c r="I5">
        <v>0</v>
      </c>
      <c r="J5">
        <v>5</v>
      </c>
      <c r="K5">
        <v>8</v>
      </c>
      <c r="L5">
        <v>0</v>
      </c>
      <c r="M5">
        <v>0</v>
      </c>
      <c r="N5">
        <v>0</v>
      </c>
      <c r="O5">
        <v>0</v>
      </c>
      <c r="P5">
        <v>0</v>
      </c>
      <c r="Q5">
        <v>0</v>
      </c>
      <c r="R5">
        <v>0</v>
      </c>
      <c r="S5">
        <v>0</v>
      </c>
      <c r="U5" t="s">
        <v>458</v>
      </c>
    </row>
    <row r="6" spans="1:26" ht="15" customHeight="1">
      <c r="A6" t="s">
        <v>31</v>
      </c>
      <c r="B6">
        <v>5</v>
      </c>
      <c r="C6" t="s">
        <v>386</v>
      </c>
      <c r="D6">
        <v>6</v>
      </c>
      <c r="E6">
        <v>1</v>
      </c>
      <c r="F6">
        <v>1</v>
      </c>
      <c r="G6">
        <v>6</v>
      </c>
      <c r="H6">
        <v>0</v>
      </c>
      <c r="I6">
        <v>0</v>
      </c>
      <c r="J6">
        <v>0</v>
      </c>
      <c r="K6">
        <v>0</v>
      </c>
      <c r="L6">
        <v>1</v>
      </c>
      <c r="M6">
        <v>0</v>
      </c>
      <c r="N6">
        <v>0</v>
      </c>
      <c r="O6">
        <v>0</v>
      </c>
      <c r="P6">
        <v>0</v>
      </c>
      <c r="Q6">
        <v>0</v>
      </c>
      <c r="R6">
        <v>0</v>
      </c>
      <c r="S6">
        <v>0</v>
      </c>
    </row>
    <row r="7" spans="1:26" ht="15" customHeight="1">
      <c r="A7" t="s">
        <v>33</v>
      </c>
      <c r="B7">
        <v>8</v>
      </c>
      <c r="C7" t="s">
        <v>386</v>
      </c>
      <c r="D7">
        <v>0</v>
      </c>
      <c r="E7">
        <v>1</v>
      </c>
      <c r="F7">
        <v>1</v>
      </c>
      <c r="G7">
        <v>0</v>
      </c>
      <c r="H7">
        <v>0</v>
      </c>
      <c r="I7">
        <v>0</v>
      </c>
      <c r="J7">
        <v>1</v>
      </c>
      <c r="K7">
        <v>0</v>
      </c>
      <c r="L7">
        <v>7</v>
      </c>
      <c r="M7">
        <v>1</v>
      </c>
      <c r="N7">
        <v>2</v>
      </c>
      <c r="O7">
        <v>0</v>
      </c>
      <c r="P7">
        <v>0</v>
      </c>
      <c r="Q7">
        <v>0</v>
      </c>
      <c r="R7">
        <v>0</v>
      </c>
      <c r="S7">
        <v>4</v>
      </c>
      <c r="U7" t="s">
        <v>459</v>
      </c>
    </row>
    <row r="8" spans="1:26" ht="15" customHeight="1">
      <c r="A8" t="s">
        <v>33</v>
      </c>
      <c r="B8">
        <v>5</v>
      </c>
      <c r="C8" t="s">
        <v>386</v>
      </c>
      <c r="D8">
        <v>26</v>
      </c>
      <c r="E8">
        <v>1</v>
      </c>
      <c r="F8">
        <v>1</v>
      </c>
      <c r="G8">
        <v>26</v>
      </c>
      <c r="H8">
        <v>0</v>
      </c>
      <c r="I8">
        <v>0</v>
      </c>
      <c r="J8">
        <v>4</v>
      </c>
      <c r="K8">
        <v>0</v>
      </c>
      <c r="L8">
        <v>3</v>
      </c>
      <c r="M8">
        <v>0</v>
      </c>
      <c r="N8">
        <v>1</v>
      </c>
      <c r="O8">
        <v>0</v>
      </c>
      <c r="P8">
        <v>1</v>
      </c>
      <c r="Q8">
        <v>0</v>
      </c>
      <c r="R8">
        <v>0</v>
      </c>
      <c r="S8">
        <v>1</v>
      </c>
    </row>
    <row r="9" spans="1:26" ht="15" customHeight="1">
      <c r="A9" t="s">
        <v>34</v>
      </c>
      <c r="B9">
        <v>8</v>
      </c>
      <c r="C9" t="s">
        <v>386</v>
      </c>
      <c r="D9">
        <v>0</v>
      </c>
      <c r="E9">
        <v>1</v>
      </c>
      <c r="F9">
        <v>1</v>
      </c>
      <c r="G9">
        <v>0</v>
      </c>
      <c r="H9">
        <v>0</v>
      </c>
      <c r="I9">
        <v>0</v>
      </c>
      <c r="J9">
        <v>0</v>
      </c>
      <c r="K9">
        <v>0</v>
      </c>
      <c r="L9">
        <v>2</v>
      </c>
      <c r="M9">
        <v>1</v>
      </c>
      <c r="N9">
        <v>0</v>
      </c>
      <c r="O9">
        <v>1</v>
      </c>
      <c r="P9">
        <v>0</v>
      </c>
      <c r="Q9">
        <v>0</v>
      </c>
      <c r="R9">
        <v>0</v>
      </c>
      <c r="S9">
        <v>0</v>
      </c>
    </row>
    <row r="10" spans="1:26" ht="15" customHeight="1">
      <c r="A10" t="s">
        <v>34</v>
      </c>
      <c r="B10">
        <v>4</v>
      </c>
      <c r="C10" t="s">
        <v>386</v>
      </c>
      <c r="D10">
        <v>4</v>
      </c>
      <c r="E10">
        <v>1</v>
      </c>
      <c r="F10">
        <v>1</v>
      </c>
      <c r="G10">
        <v>4</v>
      </c>
      <c r="H10">
        <v>0</v>
      </c>
      <c r="I10">
        <v>0</v>
      </c>
      <c r="J10">
        <v>0</v>
      </c>
      <c r="K10">
        <v>0</v>
      </c>
      <c r="L10">
        <v>0</v>
      </c>
      <c r="M10">
        <v>0</v>
      </c>
      <c r="N10">
        <v>0</v>
      </c>
      <c r="O10">
        <v>0</v>
      </c>
      <c r="P10">
        <v>0</v>
      </c>
      <c r="Q10">
        <v>0</v>
      </c>
      <c r="R10">
        <v>0</v>
      </c>
      <c r="S10">
        <v>0</v>
      </c>
      <c r="U10" t="s">
        <v>460</v>
      </c>
    </row>
    <row r="11" spans="1:26" ht="15" customHeight="1">
      <c r="A11" t="s">
        <v>37</v>
      </c>
      <c r="B11">
        <v>2</v>
      </c>
      <c r="C11" t="s">
        <v>386</v>
      </c>
      <c r="D11">
        <f>163+93</f>
        <v>256</v>
      </c>
      <c r="E11">
        <v>1</v>
      </c>
      <c r="F11">
        <v>1</v>
      </c>
      <c r="G11">
        <v>256</v>
      </c>
      <c r="H11">
        <v>0</v>
      </c>
      <c r="I11">
        <v>4</v>
      </c>
      <c r="J11">
        <v>0</v>
      </c>
      <c r="K11">
        <v>1</v>
      </c>
      <c r="L11">
        <v>0</v>
      </c>
      <c r="M11">
        <v>0</v>
      </c>
      <c r="N11">
        <v>0</v>
      </c>
      <c r="O11">
        <v>0</v>
      </c>
      <c r="P11">
        <v>0</v>
      </c>
      <c r="Q11">
        <v>0</v>
      </c>
      <c r="R11">
        <v>0</v>
      </c>
      <c r="S11">
        <v>0</v>
      </c>
    </row>
    <row r="12" spans="1:26" ht="15" customHeight="1">
      <c r="A12" t="s">
        <v>37</v>
      </c>
      <c r="B12">
        <v>5</v>
      </c>
      <c r="C12" t="s">
        <v>386</v>
      </c>
      <c r="D12">
        <f>85+33</f>
        <v>118</v>
      </c>
      <c r="E12">
        <v>1</v>
      </c>
      <c r="F12">
        <v>1</v>
      </c>
      <c r="G12">
        <v>118</v>
      </c>
      <c r="H12">
        <v>0</v>
      </c>
      <c r="I12">
        <v>0</v>
      </c>
      <c r="J12">
        <v>0</v>
      </c>
      <c r="K12">
        <v>0</v>
      </c>
      <c r="L12">
        <v>1</v>
      </c>
      <c r="M12">
        <v>0</v>
      </c>
      <c r="N12">
        <v>0</v>
      </c>
      <c r="O12">
        <v>1</v>
      </c>
      <c r="P12">
        <v>0</v>
      </c>
      <c r="Q12">
        <v>1</v>
      </c>
      <c r="R12">
        <v>0</v>
      </c>
      <c r="S12">
        <v>6</v>
      </c>
      <c r="U12" t="s">
        <v>461</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1"/>
  <sheetViews>
    <sheetView workbookViewId="0">
      <selection activeCell="L26" sqref="L26"/>
    </sheetView>
  </sheetViews>
  <sheetFormatPr baseColWidth="10" defaultColWidth="14.5" defaultRowHeight="15" customHeight="1" x14ac:dyDescent="0"/>
  <cols>
    <col min="1" max="26" width="8.83203125" customWidth="1"/>
  </cols>
  <sheetData>
    <row r="1" spans="1:7" ht="15" customHeight="1">
      <c r="A1" t="s">
        <v>129</v>
      </c>
      <c r="B1" t="s">
        <v>4</v>
      </c>
      <c r="C1" t="s">
        <v>462</v>
      </c>
      <c r="D1" t="s">
        <v>463</v>
      </c>
      <c r="E1" t="s">
        <v>464</v>
      </c>
      <c r="F1" t="s">
        <v>465</v>
      </c>
      <c r="G1" t="s">
        <v>466</v>
      </c>
    </row>
    <row r="2" spans="1:7" ht="15" customHeight="1">
      <c r="A2" t="s">
        <v>28</v>
      </c>
      <c r="B2">
        <v>2</v>
      </c>
      <c r="C2">
        <v>0</v>
      </c>
      <c r="D2">
        <v>0</v>
      </c>
      <c r="E2">
        <v>0</v>
      </c>
      <c r="F2">
        <v>0</v>
      </c>
      <c r="G2">
        <v>0</v>
      </c>
    </row>
    <row r="3" spans="1:7" ht="15" customHeight="1">
      <c r="A3" t="s">
        <v>28</v>
      </c>
      <c r="B3">
        <v>4</v>
      </c>
      <c r="C3">
        <v>35</v>
      </c>
      <c r="D3">
        <v>9</v>
      </c>
      <c r="E3">
        <v>2</v>
      </c>
      <c r="F3">
        <v>1</v>
      </c>
      <c r="G3">
        <v>4</v>
      </c>
    </row>
    <row r="4" spans="1:7" ht="15" customHeight="1">
      <c r="A4" t="s">
        <v>28</v>
      </c>
      <c r="B4">
        <v>5</v>
      </c>
      <c r="C4">
        <v>0</v>
      </c>
      <c r="D4">
        <v>0</v>
      </c>
      <c r="E4">
        <v>0</v>
      </c>
      <c r="F4">
        <v>0</v>
      </c>
      <c r="G4">
        <v>0</v>
      </c>
    </row>
    <row r="5" spans="1:7" ht="15" customHeight="1">
      <c r="A5" t="s">
        <v>28</v>
      </c>
      <c r="B5">
        <v>8</v>
      </c>
      <c r="C5">
        <v>7</v>
      </c>
      <c r="D5">
        <v>4</v>
      </c>
      <c r="E5">
        <v>0</v>
      </c>
      <c r="F5">
        <v>0</v>
      </c>
      <c r="G5">
        <v>3</v>
      </c>
    </row>
    <row r="6" spans="1:7" ht="15" customHeight="1">
      <c r="A6" t="s">
        <v>28</v>
      </c>
      <c r="B6" t="s">
        <v>467</v>
      </c>
      <c r="C6">
        <f t="shared" ref="C6:G6" si="0">SUM(C2:C5)</f>
        <v>42</v>
      </c>
      <c r="D6">
        <f t="shared" si="0"/>
        <v>13</v>
      </c>
      <c r="E6">
        <f t="shared" si="0"/>
        <v>2</v>
      </c>
      <c r="F6">
        <f t="shared" si="0"/>
        <v>1</v>
      </c>
      <c r="G6">
        <f t="shared" si="0"/>
        <v>7</v>
      </c>
    </row>
    <row r="7" spans="1:7" ht="15" customHeight="1">
      <c r="A7" t="s">
        <v>33</v>
      </c>
      <c r="B7">
        <v>8</v>
      </c>
      <c r="C7">
        <v>0</v>
      </c>
      <c r="D7">
        <v>0</v>
      </c>
      <c r="E7">
        <v>0</v>
      </c>
      <c r="F7">
        <v>0</v>
      </c>
      <c r="G7">
        <v>0</v>
      </c>
    </row>
    <row r="8" spans="1:7" ht="15" customHeight="1">
      <c r="A8" t="s">
        <v>33</v>
      </c>
      <c r="B8">
        <v>5</v>
      </c>
      <c r="C8">
        <v>15</v>
      </c>
      <c r="D8">
        <v>7</v>
      </c>
      <c r="E8">
        <v>0</v>
      </c>
      <c r="F8">
        <v>0</v>
      </c>
      <c r="G8">
        <v>1</v>
      </c>
    </row>
    <row r="9" spans="1:7" ht="15" customHeight="1">
      <c r="A9" t="s">
        <v>33</v>
      </c>
      <c r="B9">
        <v>4</v>
      </c>
      <c r="C9">
        <v>70</v>
      </c>
      <c r="D9">
        <v>20</v>
      </c>
      <c r="E9">
        <v>2</v>
      </c>
      <c r="F9">
        <v>0</v>
      </c>
      <c r="G9">
        <v>5</v>
      </c>
    </row>
    <row r="10" spans="1:7" ht="15" customHeight="1">
      <c r="A10" t="s">
        <v>33</v>
      </c>
      <c r="B10">
        <v>2</v>
      </c>
      <c r="C10">
        <v>48</v>
      </c>
      <c r="D10">
        <v>30</v>
      </c>
      <c r="E10">
        <v>5</v>
      </c>
      <c r="F10">
        <v>2</v>
      </c>
      <c r="G10">
        <v>7</v>
      </c>
    </row>
    <row r="11" spans="1:7" ht="15" customHeight="1">
      <c r="A11" t="s">
        <v>33</v>
      </c>
      <c r="B11" t="s">
        <v>467</v>
      </c>
      <c r="C11">
        <f t="shared" ref="C11:G11" si="1">SUM(C7:C10)</f>
        <v>133</v>
      </c>
      <c r="D11">
        <f t="shared" si="1"/>
        <v>57</v>
      </c>
      <c r="E11">
        <f t="shared" si="1"/>
        <v>7</v>
      </c>
      <c r="F11">
        <f t="shared" si="1"/>
        <v>2</v>
      </c>
      <c r="G11">
        <f t="shared" si="1"/>
        <v>13</v>
      </c>
    </row>
    <row r="12" spans="1:7" ht="15" customHeight="1">
      <c r="A12" t="s">
        <v>35</v>
      </c>
      <c r="B12">
        <v>8</v>
      </c>
      <c r="C12">
        <v>0</v>
      </c>
      <c r="D12">
        <v>0</v>
      </c>
      <c r="E12">
        <v>0</v>
      </c>
      <c r="F12">
        <v>0</v>
      </c>
      <c r="G12">
        <v>0</v>
      </c>
    </row>
    <row r="13" spans="1:7" ht="15" customHeight="1">
      <c r="A13" t="s">
        <v>35</v>
      </c>
      <c r="B13">
        <v>5</v>
      </c>
      <c r="C13">
        <v>15</v>
      </c>
      <c r="D13">
        <v>1</v>
      </c>
      <c r="E13">
        <v>0</v>
      </c>
      <c r="F13">
        <v>0</v>
      </c>
      <c r="G13">
        <v>0</v>
      </c>
    </row>
    <row r="14" spans="1:7" ht="15" customHeight="1">
      <c r="A14" t="s">
        <v>35</v>
      </c>
      <c r="B14">
        <v>4</v>
      </c>
      <c r="C14">
        <v>307</v>
      </c>
      <c r="D14">
        <v>100</v>
      </c>
      <c r="E14">
        <v>84</v>
      </c>
      <c r="F14">
        <v>0</v>
      </c>
      <c r="G14">
        <v>25</v>
      </c>
    </row>
    <row r="15" spans="1:7" ht="15" customHeight="1">
      <c r="A15" t="s">
        <v>35</v>
      </c>
      <c r="B15">
        <v>2</v>
      </c>
      <c r="C15">
        <v>148</v>
      </c>
      <c r="D15">
        <v>48</v>
      </c>
      <c r="E15">
        <v>52</v>
      </c>
      <c r="F15">
        <v>0</v>
      </c>
      <c r="G15">
        <v>3</v>
      </c>
    </row>
    <row r="16" spans="1:7" ht="15" customHeight="1">
      <c r="A16" t="s">
        <v>35</v>
      </c>
      <c r="B16" t="s">
        <v>467</v>
      </c>
      <c r="C16">
        <f t="shared" ref="C16:G16" si="2">SUM(C12:C15)</f>
        <v>470</v>
      </c>
      <c r="D16">
        <f t="shared" si="2"/>
        <v>149</v>
      </c>
      <c r="E16">
        <f t="shared" si="2"/>
        <v>136</v>
      </c>
      <c r="F16">
        <f t="shared" si="2"/>
        <v>0</v>
      </c>
      <c r="G16">
        <f t="shared" si="2"/>
        <v>28</v>
      </c>
    </row>
    <row r="18" spans="1:33" ht="15" customHeight="1">
      <c r="A18" s="3" t="s">
        <v>174</v>
      </c>
      <c r="B18" s="3">
        <v>2</v>
      </c>
      <c r="C18" s="3">
        <v>0</v>
      </c>
      <c r="D18" s="3">
        <v>0</v>
      </c>
      <c r="E18" s="3">
        <v>0</v>
      </c>
      <c r="F18" s="3">
        <v>0</v>
      </c>
      <c r="G18" s="3">
        <v>0</v>
      </c>
      <c r="H18" s="3"/>
      <c r="I18" s="3"/>
      <c r="J18" s="3"/>
      <c r="K18" s="3"/>
      <c r="L18" s="3"/>
      <c r="M18" s="3"/>
      <c r="P18" s="3"/>
      <c r="Q18" s="3"/>
      <c r="R18" s="3"/>
      <c r="S18" s="3"/>
      <c r="T18" s="3"/>
      <c r="U18" s="3"/>
      <c r="AE18" s="3"/>
      <c r="AF18" s="3"/>
      <c r="AG18" s="3"/>
    </row>
    <row r="19" spans="1:33" ht="15" customHeight="1">
      <c r="A19" s="3" t="s">
        <v>174</v>
      </c>
      <c r="B19" s="3">
        <v>4</v>
      </c>
      <c r="C19" s="3">
        <v>33</v>
      </c>
      <c r="D19" s="3">
        <v>51</v>
      </c>
      <c r="E19">
        <v>0</v>
      </c>
      <c r="F19">
        <v>0</v>
      </c>
      <c r="G19" s="3">
        <v>16</v>
      </c>
      <c r="H19" s="3"/>
      <c r="I19" s="3"/>
      <c r="J19" s="3"/>
      <c r="K19" s="3"/>
      <c r="L19" s="3"/>
      <c r="M19" s="3"/>
      <c r="P19" s="3"/>
      <c r="Q19" s="3"/>
      <c r="R19" s="3"/>
      <c r="S19" s="3"/>
      <c r="T19" s="3"/>
      <c r="U19" s="3"/>
      <c r="AE19" s="3"/>
      <c r="AF19" s="3"/>
      <c r="AG19" s="3"/>
    </row>
    <row r="20" spans="1:33" ht="15" customHeight="1">
      <c r="A20" s="3" t="s">
        <v>174</v>
      </c>
      <c r="B20" s="3">
        <v>5</v>
      </c>
      <c r="C20" s="3">
        <v>6</v>
      </c>
      <c r="D20" s="3">
        <v>5</v>
      </c>
      <c r="E20" s="3">
        <v>0</v>
      </c>
      <c r="F20" s="3">
        <v>1</v>
      </c>
      <c r="G20" s="3">
        <v>0</v>
      </c>
      <c r="H20" s="3"/>
      <c r="I20" s="3"/>
      <c r="J20" s="3"/>
      <c r="K20" s="3"/>
      <c r="L20" s="3"/>
      <c r="M20" s="3"/>
      <c r="P20" s="3"/>
      <c r="Q20" s="3"/>
      <c r="R20" s="3"/>
      <c r="S20" s="3"/>
      <c r="T20" s="3"/>
      <c r="U20" s="3"/>
      <c r="AE20" s="3"/>
      <c r="AF20" s="3"/>
      <c r="AG20" s="3"/>
    </row>
    <row r="21" spans="1:33" ht="15" customHeight="1">
      <c r="A21" s="3" t="s">
        <v>174</v>
      </c>
      <c r="B21" s="3">
        <v>8</v>
      </c>
      <c r="C21" s="3">
        <v>3</v>
      </c>
      <c r="D21" s="3"/>
      <c r="E21" s="3"/>
      <c r="F21" s="3"/>
      <c r="G21" s="3"/>
      <c r="H21" s="3"/>
      <c r="I21" s="3"/>
      <c r="J21" s="3"/>
      <c r="K21" s="3"/>
      <c r="L21" s="3"/>
      <c r="M21" s="3"/>
      <c r="P21" s="3"/>
      <c r="Q21" s="3"/>
      <c r="R21" s="3"/>
      <c r="S21" s="3"/>
      <c r="T21" s="3"/>
      <c r="U21" s="3"/>
      <c r="AE21" s="3"/>
      <c r="AF21" s="3"/>
      <c r="AG21" s="3"/>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2"/>
  <sheetViews>
    <sheetView topLeftCell="M1" workbookViewId="0">
      <pane ySplit="1" topLeftCell="A214" activePane="bottomLeft" state="frozen"/>
      <selection pane="bottomLeft" activeCell="AE231" sqref="AE231"/>
    </sheetView>
  </sheetViews>
  <sheetFormatPr baseColWidth="10" defaultRowHeight="14" x14ac:dyDescent="0"/>
  <cols>
    <col min="5" max="11" width="0" hidden="1" customWidth="1"/>
    <col min="15" max="16" width="10.83203125" customWidth="1"/>
    <col min="17" max="17" width="17.5" customWidth="1"/>
    <col min="18" max="21" width="10.83203125" customWidth="1"/>
    <col min="22" max="24" width="10.83203125" hidden="1" customWidth="1"/>
    <col min="25" max="28" width="10.83203125" style="38"/>
    <col min="29" max="29" width="10.83203125" style="24"/>
    <col min="30" max="30" width="10.83203125" style="38"/>
    <col min="31" max="31" width="12.1640625" style="24" bestFit="1" customWidth="1"/>
    <col min="32" max="16384" width="10.83203125" style="38"/>
  </cols>
  <sheetData>
    <row r="1" spans="1:31" ht="20.25" customHeight="1">
      <c r="A1" s="3" t="s">
        <v>190</v>
      </c>
      <c r="B1" s="3" t="s">
        <v>131</v>
      </c>
      <c r="C1" s="163" t="s">
        <v>692</v>
      </c>
      <c r="D1" s="3" t="s">
        <v>191</v>
      </c>
      <c r="E1" s="3" t="s">
        <v>192</v>
      </c>
      <c r="F1" s="3" t="s">
        <v>193</v>
      </c>
      <c r="G1" s="3" t="s">
        <v>194</v>
      </c>
      <c r="H1" s="3" t="s">
        <v>195</v>
      </c>
      <c r="I1" s="3" t="s">
        <v>196</v>
      </c>
      <c r="J1" s="3" t="s">
        <v>197</v>
      </c>
      <c r="K1" s="3" t="s">
        <v>198</v>
      </c>
      <c r="L1" s="3" t="s">
        <v>199</v>
      </c>
      <c r="M1" s="3" t="s">
        <v>200</v>
      </c>
      <c r="N1" s="3" t="s">
        <v>201</v>
      </c>
      <c r="O1" s="3" t="s">
        <v>202</v>
      </c>
      <c r="P1" s="3" t="s">
        <v>203</v>
      </c>
      <c r="Q1" s="36" t="s">
        <v>666</v>
      </c>
      <c r="R1" s="8" t="s">
        <v>204</v>
      </c>
      <c r="S1" s="36" t="s">
        <v>613</v>
      </c>
      <c r="T1" s="8" t="s">
        <v>205</v>
      </c>
      <c r="U1" s="109" t="s">
        <v>635</v>
      </c>
      <c r="V1" s="3" t="s">
        <v>206</v>
      </c>
      <c r="W1" s="3" t="s">
        <v>207</v>
      </c>
      <c r="X1" s="3" t="s">
        <v>208</v>
      </c>
      <c r="Y1" s="36" t="s">
        <v>694</v>
      </c>
      <c r="Z1" s="36" t="s">
        <v>695</v>
      </c>
      <c r="AA1" s="36" t="s">
        <v>696</v>
      </c>
      <c r="AB1" s="36" t="s">
        <v>698</v>
      </c>
      <c r="AC1" s="22" t="s">
        <v>699</v>
      </c>
      <c r="AD1" s="36" t="s">
        <v>700</v>
      </c>
      <c r="AE1" s="22" t="s">
        <v>701</v>
      </c>
    </row>
    <row r="2" spans="1:31" ht="20.25" customHeight="1">
      <c r="A2" s="35">
        <v>42515</v>
      </c>
      <c r="B2" s="35" t="s">
        <v>144</v>
      </c>
      <c r="C2" s="165">
        <v>2016</v>
      </c>
      <c r="D2" s="76">
        <v>2</v>
      </c>
      <c r="E2" s="36" t="s">
        <v>323</v>
      </c>
      <c r="F2" s="36" t="s">
        <v>324</v>
      </c>
      <c r="G2" s="36"/>
      <c r="H2" s="36" t="s">
        <v>325</v>
      </c>
      <c r="I2" s="36" t="s">
        <v>326</v>
      </c>
      <c r="J2" s="36" t="s">
        <v>327</v>
      </c>
      <c r="K2" s="36"/>
      <c r="L2" s="36">
        <v>13</v>
      </c>
      <c r="M2" s="36" t="s">
        <v>229</v>
      </c>
      <c r="N2" s="36" t="s">
        <v>327</v>
      </c>
      <c r="O2" s="36">
        <v>13</v>
      </c>
      <c r="P2" s="36">
        <f t="shared" ref="P2:P58" si="0">L2/O2*100</f>
        <v>100</v>
      </c>
      <c r="Q2" s="65">
        <v>1.805680950065977</v>
      </c>
      <c r="R2" s="40">
        <f t="shared" ref="R2:R58" si="1">(P2/100)*Q2</f>
        <v>1.805680950065977</v>
      </c>
      <c r="S2" s="36">
        <v>3605.4791503378206</v>
      </c>
      <c r="T2" s="40">
        <f t="shared" ref="T2:T58" si="2">R2/S2*100</f>
        <v>5.008158069356166E-2</v>
      </c>
      <c r="U2" s="110">
        <f>SUM(T2)</f>
        <v>5.008158069356166E-2</v>
      </c>
      <c r="V2" s="65">
        <v>1000</v>
      </c>
      <c r="W2" s="65"/>
      <c r="X2" s="65"/>
      <c r="Y2" s="65">
        <v>13</v>
      </c>
      <c r="Z2" s="36">
        <v>441</v>
      </c>
      <c r="AA2" s="36">
        <f>Y2/Z2</f>
        <v>2.9478458049886622E-2</v>
      </c>
      <c r="AB2" s="36">
        <v>4.4030835474685741</v>
      </c>
      <c r="AC2" s="22">
        <f>(AA2/100)*AB2</f>
        <v>1.2979611364419834E-3</v>
      </c>
      <c r="AD2" s="36">
        <v>6885.2704304862436</v>
      </c>
      <c r="AE2" s="22">
        <f>AC2/AD2*100</f>
        <v>1.8851273156896472E-5</v>
      </c>
    </row>
    <row r="3" spans="1:31" ht="20.25" customHeight="1">
      <c r="A3" s="35">
        <v>42515</v>
      </c>
      <c r="B3" s="35" t="s">
        <v>144</v>
      </c>
      <c r="C3" s="165">
        <v>2016</v>
      </c>
      <c r="D3" s="65">
        <v>2</v>
      </c>
      <c r="E3" s="65" t="s">
        <v>223</v>
      </c>
      <c r="F3" s="65" t="s">
        <v>224</v>
      </c>
      <c r="G3" s="65" t="s">
        <v>225</v>
      </c>
      <c r="H3" s="65" t="s">
        <v>226</v>
      </c>
      <c r="I3" s="65" t="s">
        <v>227</v>
      </c>
      <c r="J3" s="36" t="s">
        <v>228</v>
      </c>
      <c r="K3" s="36"/>
      <c r="L3" s="36">
        <v>3</v>
      </c>
      <c r="M3" s="3" t="s">
        <v>229</v>
      </c>
      <c r="N3" s="36" t="s">
        <v>228</v>
      </c>
      <c r="O3" s="36">
        <v>194</v>
      </c>
      <c r="P3" s="36">
        <f t="shared" si="0"/>
        <v>1.5463917525773196</v>
      </c>
      <c r="Q3" s="65">
        <v>3603.6734693877547</v>
      </c>
      <c r="R3" s="40">
        <f t="shared" si="1"/>
        <v>55.726909320429201</v>
      </c>
      <c r="S3" s="36">
        <v>3605.4791503378206</v>
      </c>
      <c r="T3" s="40">
        <f t="shared" si="2"/>
        <v>1.5456172951439142</v>
      </c>
      <c r="U3" s="110"/>
      <c r="V3" s="65">
        <v>250</v>
      </c>
      <c r="W3" s="65"/>
      <c r="X3" s="65"/>
      <c r="Y3" s="65">
        <v>17</v>
      </c>
      <c r="Z3" s="36">
        <v>441</v>
      </c>
      <c r="AA3" s="36">
        <f t="shared" ref="AA3:AA18" si="3">Y3/Z3</f>
        <v>3.8548752834467119E-2</v>
      </c>
      <c r="AB3" s="36">
        <v>6880.8673469387759</v>
      </c>
      <c r="AC3" s="22">
        <f t="shared" ref="AC3:AC18" si="4">(AA3/100)*AB3</f>
        <v>2.6524885464389838</v>
      </c>
      <c r="AD3" s="36">
        <v>6885.2704304862436</v>
      </c>
      <c r="AE3" s="22">
        <f t="shared" ref="AE3:AE18" si="5">AC3/AD3*100</f>
        <v>3.8524101169569641E-2</v>
      </c>
    </row>
    <row r="4" spans="1:31" ht="20.25" customHeight="1">
      <c r="A4" s="13">
        <v>42515</v>
      </c>
      <c r="B4" s="35" t="s">
        <v>144</v>
      </c>
      <c r="C4" s="165">
        <v>2016</v>
      </c>
      <c r="D4" s="51">
        <v>2</v>
      </c>
      <c r="E4" s="51" t="s">
        <v>223</v>
      </c>
      <c r="F4" s="51" t="s">
        <v>303</v>
      </c>
      <c r="G4" s="51" t="s">
        <v>304</v>
      </c>
      <c r="H4" s="51" t="s">
        <v>305</v>
      </c>
      <c r="I4" s="51" t="s">
        <v>306</v>
      </c>
      <c r="J4" s="3" t="s">
        <v>307</v>
      </c>
      <c r="K4" s="3"/>
      <c r="L4" s="51">
        <v>1</v>
      </c>
      <c r="M4" s="51" t="s">
        <v>229</v>
      </c>
      <c r="N4" s="51" t="s">
        <v>307</v>
      </c>
      <c r="O4" s="3">
        <v>194</v>
      </c>
      <c r="P4" s="3">
        <f t="shared" si="0"/>
        <v>0.51546391752577314</v>
      </c>
      <c r="Q4" s="65">
        <v>3603.6734693877547</v>
      </c>
      <c r="R4" s="8">
        <f t="shared" si="1"/>
        <v>18.575636440143061</v>
      </c>
      <c r="S4" s="36">
        <v>3605.4791503378206</v>
      </c>
      <c r="T4" s="8">
        <f t="shared" si="2"/>
        <v>0.51520576504797122</v>
      </c>
      <c r="U4" s="109"/>
      <c r="V4" s="51">
        <v>250</v>
      </c>
      <c r="W4" s="65" t="s">
        <v>620</v>
      </c>
      <c r="X4" s="51"/>
      <c r="Y4" s="65">
        <v>4</v>
      </c>
      <c r="Z4" s="36">
        <v>441</v>
      </c>
      <c r="AA4" s="36">
        <f t="shared" si="3"/>
        <v>9.0702947845804991E-3</v>
      </c>
      <c r="AB4" s="36">
        <v>6880.8673469387759</v>
      </c>
      <c r="AC4" s="22">
        <f t="shared" si="4"/>
        <v>0.62411495210329038</v>
      </c>
      <c r="AD4" s="36">
        <v>6885.2704304862436</v>
      </c>
      <c r="AE4" s="22">
        <f t="shared" si="5"/>
        <v>9.0644943928399162E-3</v>
      </c>
    </row>
    <row r="5" spans="1:31" ht="20.25" customHeight="1">
      <c r="A5" s="13">
        <v>42515</v>
      </c>
      <c r="B5" s="35" t="s">
        <v>144</v>
      </c>
      <c r="C5" s="165">
        <v>2016</v>
      </c>
      <c r="D5" s="51">
        <v>2</v>
      </c>
      <c r="E5" s="51" t="s">
        <v>223</v>
      </c>
      <c r="F5" s="51" t="s">
        <v>317</v>
      </c>
      <c r="G5" s="51" t="s">
        <v>314</v>
      </c>
      <c r="H5" s="51" t="s">
        <v>346</v>
      </c>
      <c r="I5" s="51" t="s">
        <v>315</v>
      </c>
      <c r="J5" s="3" t="s">
        <v>365</v>
      </c>
      <c r="K5" s="3" t="s">
        <v>366</v>
      </c>
      <c r="L5" s="3">
        <v>1</v>
      </c>
      <c r="M5" s="3" t="s">
        <v>247</v>
      </c>
      <c r="N5" s="3" t="s">
        <v>345</v>
      </c>
      <c r="O5" s="36">
        <v>194</v>
      </c>
      <c r="P5" s="3">
        <f t="shared" si="0"/>
        <v>0.51546391752577314</v>
      </c>
      <c r="Q5" s="65">
        <v>3603.6734693877547</v>
      </c>
      <c r="R5" s="8">
        <f t="shared" si="1"/>
        <v>18.575636440143061</v>
      </c>
      <c r="S5" s="36">
        <v>3605.4791503378206</v>
      </c>
      <c r="T5" s="8">
        <f t="shared" si="2"/>
        <v>0.51520576504797122</v>
      </c>
      <c r="U5" s="109"/>
      <c r="V5" s="65">
        <v>250</v>
      </c>
      <c r="W5" s="51" t="s">
        <v>367</v>
      </c>
      <c r="X5" s="51"/>
      <c r="Y5" s="53">
        <v>4</v>
      </c>
      <c r="Z5" s="36">
        <v>441</v>
      </c>
      <c r="AA5" s="36">
        <f t="shared" si="3"/>
        <v>9.0702947845804991E-3</v>
      </c>
      <c r="AB5" s="36">
        <v>6880.8673469387759</v>
      </c>
      <c r="AC5" s="22">
        <f t="shared" si="4"/>
        <v>0.62411495210329038</v>
      </c>
      <c r="AD5" s="36">
        <v>6885.2704304862436</v>
      </c>
      <c r="AE5" s="22">
        <f t="shared" si="5"/>
        <v>9.0644943928399162E-3</v>
      </c>
    </row>
    <row r="6" spans="1:31" ht="20.25" customHeight="1">
      <c r="A6" s="13">
        <v>42515</v>
      </c>
      <c r="B6" s="35" t="s">
        <v>144</v>
      </c>
      <c r="C6" s="165">
        <v>2016</v>
      </c>
      <c r="D6" s="51">
        <v>2</v>
      </c>
      <c r="E6" s="3" t="s">
        <v>223</v>
      </c>
      <c r="F6" s="3" t="s">
        <v>224</v>
      </c>
      <c r="G6" s="3" t="s">
        <v>225</v>
      </c>
      <c r="H6" s="3" t="s">
        <v>226</v>
      </c>
      <c r="I6" s="51" t="s">
        <v>239</v>
      </c>
      <c r="J6" s="51" t="s">
        <v>240</v>
      </c>
      <c r="K6" s="3"/>
      <c r="L6" s="3">
        <v>170</v>
      </c>
      <c r="M6" s="3" t="s">
        <v>229</v>
      </c>
      <c r="N6" s="3" t="s">
        <v>240</v>
      </c>
      <c r="O6" s="3">
        <v>194</v>
      </c>
      <c r="P6" s="3">
        <f t="shared" si="0"/>
        <v>87.628865979381445</v>
      </c>
      <c r="Q6" s="65">
        <v>3603.6734693877547</v>
      </c>
      <c r="R6" s="8">
        <f t="shared" si="1"/>
        <v>3157.8581948243213</v>
      </c>
      <c r="S6" s="36">
        <v>3605.4791503378206</v>
      </c>
      <c r="T6" s="8">
        <f t="shared" si="2"/>
        <v>87.584980058155139</v>
      </c>
      <c r="U6" s="109"/>
      <c r="V6" s="51">
        <v>250</v>
      </c>
      <c r="W6" s="51" t="s">
        <v>358</v>
      </c>
      <c r="X6" s="51"/>
      <c r="Y6" s="65">
        <f>170+154</f>
        <v>324</v>
      </c>
      <c r="Z6" s="36">
        <v>441</v>
      </c>
      <c r="AA6" s="36">
        <f t="shared" si="3"/>
        <v>0.73469387755102045</v>
      </c>
      <c r="AB6" s="36">
        <v>6880.8673469387759</v>
      </c>
      <c r="AC6" s="22">
        <f t="shared" si="4"/>
        <v>50.553311120366523</v>
      </c>
      <c r="AD6" s="36">
        <v>6885.2704304862436</v>
      </c>
      <c r="AE6" s="22">
        <f t="shared" si="5"/>
        <v>0.73422404582003331</v>
      </c>
    </row>
    <row r="7" spans="1:31" ht="20.25" customHeight="1">
      <c r="A7" s="13">
        <v>42515</v>
      </c>
      <c r="B7" s="35" t="s">
        <v>144</v>
      </c>
      <c r="C7" s="165">
        <v>2016</v>
      </c>
      <c r="D7" s="51">
        <v>2</v>
      </c>
      <c r="E7" s="3" t="s">
        <v>223</v>
      </c>
      <c r="F7" s="3" t="s">
        <v>224</v>
      </c>
      <c r="G7" s="3" t="s">
        <v>225</v>
      </c>
      <c r="H7" s="3" t="s">
        <v>248</v>
      </c>
      <c r="I7" s="51" t="s">
        <v>249</v>
      </c>
      <c r="J7" s="51" t="s">
        <v>250</v>
      </c>
      <c r="K7" s="3"/>
      <c r="L7" s="3">
        <v>1</v>
      </c>
      <c r="M7" s="3" t="s">
        <v>229</v>
      </c>
      <c r="N7" s="3" t="s">
        <v>250</v>
      </c>
      <c r="O7" s="36">
        <v>194</v>
      </c>
      <c r="P7" s="3">
        <f t="shared" si="0"/>
        <v>0.51546391752577314</v>
      </c>
      <c r="Q7" s="65">
        <v>3603.6734693877547</v>
      </c>
      <c r="R7" s="8">
        <f t="shared" si="1"/>
        <v>18.575636440143061</v>
      </c>
      <c r="S7" s="36">
        <v>3605.4791503378206</v>
      </c>
      <c r="T7" s="8">
        <f t="shared" si="2"/>
        <v>0.51520576504797122</v>
      </c>
      <c r="U7" s="109"/>
      <c r="V7" s="65">
        <v>250</v>
      </c>
      <c r="W7" s="51"/>
      <c r="X7" s="51"/>
      <c r="Y7" s="53">
        <v>3</v>
      </c>
      <c r="Z7" s="36">
        <v>441</v>
      </c>
      <c r="AA7" s="36">
        <f t="shared" si="3"/>
        <v>6.8027210884353739E-3</v>
      </c>
      <c r="AB7" s="36">
        <v>6880.8673469387759</v>
      </c>
      <c r="AC7" s="22">
        <f t="shared" si="4"/>
        <v>0.46808621407746775</v>
      </c>
      <c r="AD7" s="36">
        <v>6885.2704304862436</v>
      </c>
      <c r="AE7" s="22">
        <f t="shared" si="5"/>
        <v>6.798370794629938E-3</v>
      </c>
    </row>
    <row r="8" spans="1:31" ht="20.25" customHeight="1">
      <c r="A8" s="13">
        <v>42515</v>
      </c>
      <c r="B8" s="35" t="s">
        <v>144</v>
      </c>
      <c r="C8" s="165">
        <v>2016</v>
      </c>
      <c r="D8" s="51">
        <v>2</v>
      </c>
      <c r="E8" s="3" t="s">
        <v>223</v>
      </c>
      <c r="F8" s="3" t="s">
        <v>224</v>
      </c>
      <c r="G8" s="3" t="s">
        <v>225</v>
      </c>
      <c r="H8" s="3" t="s">
        <v>226</v>
      </c>
      <c r="I8" s="51" t="s">
        <v>253</v>
      </c>
      <c r="J8" s="51" t="s">
        <v>256</v>
      </c>
      <c r="K8" s="3"/>
      <c r="L8" s="3">
        <v>17</v>
      </c>
      <c r="M8" s="3" t="s">
        <v>229</v>
      </c>
      <c r="N8" s="3" t="s">
        <v>256</v>
      </c>
      <c r="O8" s="3">
        <v>194</v>
      </c>
      <c r="P8" s="3">
        <f t="shared" si="0"/>
        <v>8.7628865979381434</v>
      </c>
      <c r="Q8" s="65">
        <v>3603.6734693877547</v>
      </c>
      <c r="R8" s="8">
        <f t="shared" si="1"/>
        <v>315.78581948243209</v>
      </c>
      <c r="S8" s="36">
        <v>3605.4791503378206</v>
      </c>
      <c r="T8" s="8">
        <f t="shared" si="2"/>
        <v>8.7584980058155129</v>
      </c>
      <c r="U8" s="109"/>
      <c r="V8" s="51">
        <v>250</v>
      </c>
      <c r="W8" s="51"/>
      <c r="X8" s="51"/>
      <c r="Y8" s="65">
        <f>17+28</f>
        <v>45</v>
      </c>
      <c r="Z8" s="36">
        <v>441</v>
      </c>
      <c r="AA8" s="36">
        <f t="shared" si="3"/>
        <v>0.10204081632653061</v>
      </c>
      <c r="AB8" s="36">
        <v>6880.8673469387759</v>
      </c>
      <c r="AC8" s="22">
        <f t="shared" si="4"/>
        <v>7.0212932111620168</v>
      </c>
      <c r="AD8" s="36">
        <v>6885.2704304862436</v>
      </c>
      <c r="AE8" s="22">
        <f t="shared" si="5"/>
        <v>0.10197556191944906</v>
      </c>
    </row>
    <row r="9" spans="1:31" ht="20.25" customHeight="1">
      <c r="A9" s="13">
        <v>42515</v>
      </c>
      <c r="B9" s="35" t="s">
        <v>144</v>
      </c>
      <c r="C9" s="165">
        <v>2016</v>
      </c>
      <c r="D9" s="51">
        <v>2</v>
      </c>
      <c r="E9" s="3" t="s">
        <v>223</v>
      </c>
      <c r="F9" s="3" t="s">
        <v>224</v>
      </c>
      <c r="G9" s="3" t="s">
        <v>225</v>
      </c>
      <c r="H9" s="3" t="s">
        <v>226</v>
      </c>
      <c r="I9" s="3" t="s">
        <v>261</v>
      </c>
      <c r="J9" s="3" t="s">
        <v>262</v>
      </c>
      <c r="K9" s="3"/>
      <c r="L9" s="3">
        <v>1</v>
      </c>
      <c r="M9" s="3" t="s">
        <v>229</v>
      </c>
      <c r="N9" s="3" t="s">
        <v>264</v>
      </c>
      <c r="O9" s="36">
        <v>194</v>
      </c>
      <c r="P9" s="3">
        <f t="shared" si="0"/>
        <v>0.51546391752577314</v>
      </c>
      <c r="Q9" s="65">
        <v>3603.6734693877547</v>
      </c>
      <c r="R9" s="8">
        <f t="shared" si="1"/>
        <v>18.575636440143061</v>
      </c>
      <c r="S9" s="36">
        <v>3605.4791503378206</v>
      </c>
      <c r="T9" s="8">
        <f t="shared" si="2"/>
        <v>0.51520576504797122</v>
      </c>
      <c r="U9" s="109"/>
      <c r="V9" s="65">
        <v>250</v>
      </c>
      <c r="W9" s="51"/>
      <c r="X9" s="51"/>
      <c r="Y9" s="53">
        <v>4</v>
      </c>
      <c r="Z9" s="36">
        <v>441</v>
      </c>
      <c r="AA9" s="36">
        <f t="shared" si="3"/>
        <v>9.0702947845804991E-3</v>
      </c>
      <c r="AB9" s="36">
        <v>6880.8673469387759</v>
      </c>
      <c r="AC9" s="22">
        <f t="shared" si="4"/>
        <v>0.62411495210329038</v>
      </c>
      <c r="AD9" s="36">
        <v>6885.2704304862436</v>
      </c>
      <c r="AE9" s="22">
        <f t="shared" si="5"/>
        <v>9.0644943928399162E-3</v>
      </c>
    </row>
    <row r="10" spans="1:31" ht="20.25" customHeight="1">
      <c r="A10" s="35">
        <v>42515</v>
      </c>
      <c r="B10" s="35" t="s">
        <v>144</v>
      </c>
      <c r="C10" s="165">
        <v>2016</v>
      </c>
      <c r="D10" s="76">
        <v>4</v>
      </c>
      <c r="E10" s="36" t="s">
        <v>223</v>
      </c>
      <c r="F10" s="36" t="s">
        <v>267</v>
      </c>
      <c r="G10" s="36" t="s">
        <v>278</v>
      </c>
      <c r="H10" s="36" t="s">
        <v>269</v>
      </c>
      <c r="I10" s="36"/>
      <c r="J10" s="36"/>
      <c r="K10" s="36"/>
      <c r="L10" s="36">
        <v>1</v>
      </c>
      <c r="M10" s="36" t="s">
        <v>508</v>
      </c>
      <c r="N10" s="36" t="s">
        <v>270</v>
      </c>
      <c r="O10" s="36">
        <v>17</v>
      </c>
      <c r="P10" s="36">
        <f t="shared" si="0"/>
        <v>5.8823529411764701</v>
      </c>
      <c r="Q10" s="36">
        <v>2.5974025974025974</v>
      </c>
      <c r="R10" s="40">
        <f t="shared" si="1"/>
        <v>0.15278838808250572</v>
      </c>
      <c r="S10" s="36">
        <v>3279.7912801484231</v>
      </c>
      <c r="T10" s="8">
        <f t="shared" si="2"/>
        <v>4.6584790016147449E-3</v>
      </c>
      <c r="U10" s="109">
        <f>SUM(T10+T11+T12+T17+T18)</f>
        <v>2.3256151106065195</v>
      </c>
      <c r="V10" s="65">
        <v>1000</v>
      </c>
      <c r="W10" s="65"/>
      <c r="X10" s="65"/>
      <c r="Y10" s="53">
        <v>1</v>
      </c>
      <c r="Z10" s="36">
        <v>441</v>
      </c>
      <c r="AA10" s="36">
        <f t="shared" si="3"/>
        <v>2.2675736961451248E-3</v>
      </c>
      <c r="AB10" s="36">
        <v>4.4030835474685741</v>
      </c>
      <c r="AC10" s="22">
        <f t="shared" si="4"/>
        <v>9.9843164341691025E-5</v>
      </c>
      <c r="AD10" s="36">
        <v>6885.2704304862436</v>
      </c>
      <c r="AE10" s="22">
        <f t="shared" si="5"/>
        <v>1.4500979351458823E-6</v>
      </c>
    </row>
    <row r="11" spans="1:31" ht="20.25" customHeight="1">
      <c r="A11" s="35">
        <v>42515</v>
      </c>
      <c r="B11" s="35" t="s">
        <v>144</v>
      </c>
      <c r="C11" s="165">
        <v>2016</v>
      </c>
      <c r="D11" s="76">
        <v>4</v>
      </c>
      <c r="E11" s="65" t="s">
        <v>223</v>
      </c>
      <c r="F11" s="65" t="s">
        <v>267</v>
      </c>
      <c r="G11" s="65"/>
      <c r="H11" s="65" t="s">
        <v>273</v>
      </c>
      <c r="I11" s="65"/>
      <c r="J11" s="65"/>
      <c r="K11" s="36"/>
      <c r="L11" s="36">
        <v>3</v>
      </c>
      <c r="M11" s="36" t="s">
        <v>508</v>
      </c>
      <c r="N11" s="36" t="s">
        <v>335</v>
      </c>
      <c r="O11" s="36">
        <v>17</v>
      </c>
      <c r="P11" s="36">
        <f t="shared" si="0"/>
        <v>17.647058823529413</v>
      </c>
      <c r="Q11" s="36">
        <v>2.5974025974025974</v>
      </c>
      <c r="R11" s="40">
        <f t="shared" si="1"/>
        <v>0.45836516424751722</v>
      </c>
      <c r="S11" s="36">
        <v>3279.7912801484231</v>
      </c>
      <c r="T11" s="8">
        <f t="shared" si="2"/>
        <v>1.3975437004844236E-2</v>
      </c>
      <c r="U11" s="109"/>
      <c r="V11" s="65">
        <v>1000</v>
      </c>
      <c r="W11" s="65"/>
      <c r="X11" s="65"/>
      <c r="Y11" s="53">
        <v>3</v>
      </c>
      <c r="Z11" s="36">
        <v>441</v>
      </c>
      <c r="AA11" s="36">
        <f t="shared" si="3"/>
        <v>6.8027210884353739E-3</v>
      </c>
      <c r="AB11" s="36">
        <v>4.4030835474685741</v>
      </c>
      <c r="AC11" s="22">
        <f t="shared" si="4"/>
        <v>2.9952949302507306E-4</v>
      </c>
      <c r="AD11" s="36">
        <v>6885.2704304862436</v>
      </c>
      <c r="AE11" s="22">
        <f t="shared" si="5"/>
        <v>4.3502938054376466E-6</v>
      </c>
    </row>
    <row r="12" spans="1:31" ht="20.25" customHeight="1">
      <c r="A12" s="35">
        <v>42515</v>
      </c>
      <c r="B12" s="35" t="s">
        <v>144</v>
      </c>
      <c r="C12" s="165">
        <v>2016</v>
      </c>
      <c r="D12" s="76">
        <v>4</v>
      </c>
      <c r="E12" s="36" t="s">
        <v>288</v>
      </c>
      <c r="F12" s="36" t="s">
        <v>289</v>
      </c>
      <c r="G12" s="36"/>
      <c r="H12" s="36"/>
      <c r="I12" s="65"/>
      <c r="J12" s="65"/>
      <c r="K12" s="36"/>
      <c r="L12" s="36">
        <v>1</v>
      </c>
      <c r="M12" s="36" t="s">
        <v>221</v>
      </c>
      <c r="N12" s="36" t="s">
        <v>294</v>
      </c>
      <c r="O12" s="36">
        <v>17</v>
      </c>
      <c r="P12" s="36">
        <f t="shared" si="0"/>
        <v>5.8823529411764701</v>
      </c>
      <c r="Q12" s="36">
        <v>2.5974025974025974</v>
      </c>
      <c r="R12" s="40">
        <f t="shared" si="1"/>
        <v>0.15278838808250572</v>
      </c>
      <c r="S12" s="65">
        <v>3279.7912801484231</v>
      </c>
      <c r="T12" s="8">
        <f t="shared" si="2"/>
        <v>4.6584790016147449E-3</v>
      </c>
      <c r="U12" s="109"/>
      <c r="V12" s="65">
        <v>1000</v>
      </c>
      <c r="W12" s="65"/>
      <c r="X12" s="65"/>
      <c r="Y12" s="53">
        <v>1</v>
      </c>
      <c r="Z12" s="36">
        <v>441</v>
      </c>
      <c r="AA12" s="36">
        <f t="shared" si="3"/>
        <v>2.2675736961451248E-3</v>
      </c>
      <c r="AB12" s="36">
        <v>4.4030835474685741</v>
      </c>
      <c r="AC12" s="22">
        <f t="shared" si="4"/>
        <v>9.9843164341691025E-5</v>
      </c>
      <c r="AD12" s="36">
        <v>6885.2704304862436</v>
      </c>
      <c r="AE12" s="22">
        <f t="shared" si="5"/>
        <v>1.4500979351458823E-6</v>
      </c>
    </row>
    <row r="13" spans="1:31" ht="20.25" customHeight="1">
      <c r="A13" s="35">
        <v>42515</v>
      </c>
      <c r="B13" s="35" t="s">
        <v>144</v>
      </c>
      <c r="C13" s="165">
        <v>2016</v>
      </c>
      <c r="D13" s="76">
        <v>4</v>
      </c>
      <c r="E13" s="36" t="s">
        <v>223</v>
      </c>
      <c r="F13" s="36" t="s">
        <v>267</v>
      </c>
      <c r="G13" s="36" t="s">
        <v>278</v>
      </c>
      <c r="H13" s="36" t="s">
        <v>279</v>
      </c>
      <c r="I13" s="65" t="s">
        <v>280</v>
      </c>
      <c r="J13" s="65" t="s">
        <v>284</v>
      </c>
      <c r="K13" s="36" t="s">
        <v>285</v>
      </c>
      <c r="L13" s="36">
        <v>12</v>
      </c>
      <c r="M13" s="36" t="s">
        <v>247</v>
      </c>
      <c r="N13" s="36" t="s">
        <v>283</v>
      </c>
      <c r="O13" s="36">
        <v>17</v>
      </c>
      <c r="P13" s="36">
        <f t="shared" si="0"/>
        <v>70.588235294117652</v>
      </c>
      <c r="Q13" s="36">
        <v>2.5974025974025974</v>
      </c>
      <c r="R13" s="40">
        <f t="shared" si="1"/>
        <v>1.8334606569900689</v>
      </c>
      <c r="S13" s="65">
        <v>3279.7912801484231</v>
      </c>
      <c r="T13" s="8">
        <f t="shared" si="2"/>
        <v>5.5901748019376946E-2</v>
      </c>
      <c r="U13" s="109"/>
      <c r="V13" s="65">
        <v>1000</v>
      </c>
      <c r="W13" s="65"/>
      <c r="X13" s="65"/>
      <c r="Y13" s="53">
        <v>12</v>
      </c>
      <c r="Z13" s="36">
        <v>441</v>
      </c>
      <c r="AA13" s="36">
        <f t="shared" si="3"/>
        <v>2.7210884353741496E-2</v>
      </c>
      <c r="AB13" s="36">
        <v>4.4030835474685741</v>
      </c>
      <c r="AC13" s="22">
        <f t="shared" si="4"/>
        <v>1.1981179721002923E-3</v>
      </c>
      <c r="AD13" s="36">
        <v>6885.2704304862436</v>
      </c>
      <c r="AE13" s="22">
        <f t="shared" si="5"/>
        <v>1.7401175221750587E-5</v>
      </c>
    </row>
    <row r="14" spans="1:31" ht="20.25" customHeight="1">
      <c r="A14" s="13">
        <v>42515</v>
      </c>
      <c r="B14" s="35" t="s">
        <v>144</v>
      </c>
      <c r="C14" s="165">
        <v>2016</v>
      </c>
      <c r="D14" s="3">
        <v>4</v>
      </c>
      <c r="E14" s="3" t="s">
        <v>223</v>
      </c>
      <c r="F14" s="3" t="s">
        <v>224</v>
      </c>
      <c r="G14" s="3" t="s">
        <v>225</v>
      </c>
      <c r="H14" s="3" t="s">
        <v>226</v>
      </c>
      <c r="I14" s="3" t="s">
        <v>232</v>
      </c>
      <c r="J14" s="3" t="s">
        <v>233</v>
      </c>
      <c r="K14" s="3" t="s">
        <v>234</v>
      </c>
      <c r="L14" s="3">
        <v>1</v>
      </c>
      <c r="M14" s="3" t="s">
        <v>247</v>
      </c>
      <c r="N14" s="3" t="s">
        <v>233</v>
      </c>
      <c r="O14" s="3">
        <v>217</v>
      </c>
      <c r="P14" s="3">
        <f t="shared" si="0"/>
        <v>0.46082949308755761</v>
      </c>
      <c r="Q14" s="36">
        <v>3277.1938775510207</v>
      </c>
      <c r="R14" s="8">
        <f t="shared" si="1"/>
        <v>15.102275933414841</v>
      </c>
      <c r="S14" s="36">
        <v>3279.7912801484231</v>
      </c>
      <c r="T14" s="8">
        <f t="shared" si="2"/>
        <v>0.46046454311968915</v>
      </c>
      <c r="U14" s="109"/>
      <c r="V14" s="36">
        <v>250</v>
      </c>
      <c r="W14" s="3"/>
      <c r="X14" s="3"/>
      <c r="Y14" s="53">
        <v>1</v>
      </c>
      <c r="Z14" s="36">
        <v>441</v>
      </c>
      <c r="AA14" s="36">
        <f t="shared" si="3"/>
        <v>2.2675736961451248E-3</v>
      </c>
      <c r="AB14" s="36">
        <v>6880.8673469387759</v>
      </c>
      <c r="AC14" s="22">
        <f t="shared" si="4"/>
        <v>0.15602873802582259</v>
      </c>
      <c r="AD14" s="36">
        <v>6885.2704304862436</v>
      </c>
      <c r="AE14" s="22">
        <f t="shared" si="5"/>
        <v>2.266123598209979E-3</v>
      </c>
    </row>
    <row r="15" spans="1:31" ht="20.25" customHeight="1">
      <c r="A15" s="71">
        <v>42515</v>
      </c>
      <c r="B15" s="35" t="s">
        <v>144</v>
      </c>
      <c r="C15" s="165">
        <v>2016</v>
      </c>
      <c r="D15" s="3">
        <v>4</v>
      </c>
      <c r="E15" s="3" t="s">
        <v>223</v>
      </c>
      <c r="F15" s="3" t="s">
        <v>224</v>
      </c>
      <c r="G15" s="3" t="s">
        <v>225</v>
      </c>
      <c r="H15" s="3" t="s">
        <v>226</v>
      </c>
      <c r="I15" s="3" t="s">
        <v>235</v>
      </c>
      <c r="J15" s="3" t="s">
        <v>236</v>
      </c>
      <c r="K15" s="3"/>
      <c r="L15" s="3">
        <v>2</v>
      </c>
      <c r="M15" s="3" t="s">
        <v>229</v>
      </c>
      <c r="N15" s="3" t="s">
        <v>236</v>
      </c>
      <c r="O15" s="3">
        <v>217</v>
      </c>
      <c r="P15" s="3">
        <f t="shared" si="0"/>
        <v>0.92165898617511521</v>
      </c>
      <c r="Q15" s="36">
        <v>3277.1938775510207</v>
      </c>
      <c r="R15" s="8">
        <f t="shared" si="1"/>
        <v>30.204551866829682</v>
      </c>
      <c r="S15" s="36">
        <v>3279.7912801484231</v>
      </c>
      <c r="T15" s="8">
        <f t="shared" si="2"/>
        <v>0.9209290862393783</v>
      </c>
      <c r="U15" s="109"/>
      <c r="V15" s="3">
        <v>250</v>
      </c>
      <c r="W15" s="3"/>
      <c r="X15" s="3"/>
      <c r="Y15" s="53">
        <v>2</v>
      </c>
      <c r="Z15" s="36">
        <v>441</v>
      </c>
      <c r="AA15" s="36">
        <f t="shared" si="3"/>
        <v>4.5351473922902496E-3</v>
      </c>
      <c r="AB15" s="36">
        <v>6880.8673469387759</v>
      </c>
      <c r="AC15" s="22">
        <f t="shared" si="4"/>
        <v>0.31205747605164519</v>
      </c>
      <c r="AD15" s="36">
        <v>6885.2704304862436</v>
      </c>
      <c r="AE15" s="22">
        <f t="shared" si="5"/>
        <v>4.5322471964199581E-3</v>
      </c>
    </row>
    <row r="16" spans="1:31" ht="20.25" customHeight="1">
      <c r="A16" s="13">
        <v>42515</v>
      </c>
      <c r="B16" s="35" t="s">
        <v>144</v>
      </c>
      <c r="C16" s="165">
        <v>2016</v>
      </c>
      <c r="D16" s="3">
        <v>4</v>
      </c>
      <c r="E16" s="51" t="s">
        <v>223</v>
      </c>
      <c r="F16" s="51" t="s">
        <v>224</v>
      </c>
      <c r="G16" s="51" t="s">
        <v>225</v>
      </c>
      <c r="H16" s="51" t="s">
        <v>248</v>
      </c>
      <c r="I16" s="51" t="s">
        <v>359</v>
      </c>
      <c r="J16" s="3" t="s">
        <v>360</v>
      </c>
      <c r="K16" s="3" t="s">
        <v>361</v>
      </c>
      <c r="L16" s="3">
        <v>2</v>
      </c>
      <c r="M16" s="3" t="s">
        <v>247</v>
      </c>
      <c r="N16" s="3" t="s">
        <v>362</v>
      </c>
      <c r="O16" s="3">
        <v>217</v>
      </c>
      <c r="P16" s="3">
        <f t="shared" si="0"/>
        <v>0.92165898617511521</v>
      </c>
      <c r="Q16" s="36">
        <v>3277.1938775510207</v>
      </c>
      <c r="R16" s="8">
        <f t="shared" si="1"/>
        <v>30.204551866829682</v>
      </c>
      <c r="S16" s="65">
        <v>3279.7912801484231</v>
      </c>
      <c r="T16" s="8">
        <f t="shared" si="2"/>
        <v>0.9209290862393783</v>
      </c>
      <c r="U16" s="109"/>
      <c r="V16" s="3">
        <v>250</v>
      </c>
      <c r="W16" s="3"/>
      <c r="X16" s="3"/>
      <c r="Y16" s="53">
        <v>2</v>
      </c>
      <c r="Z16" s="36">
        <v>441</v>
      </c>
      <c r="AA16" s="36">
        <f t="shared" si="3"/>
        <v>4.5351473922902496E-3</v>
      </c>
      <c r="AB16" s="36">
        <v>6880.8673469387759</v>
      </c>
      <c r="AC16" s="22">
        <f t="shared" si="4"/>
        <v>0.31205747605164519</v>
      </c>
      <c r="AD16" s="36">
        <v>6885.2704304862436</v>
      </c>
      <c r="AE16" s="22">
        <f t="shared" si="5"/>
        <v>4.5322471964199581E-3</v>
      </c>
    </row>
    <row r="17" spans="1:31" ht="20.25" customHeight="1">
      <c r="A17" s="35">
        <v>42515</v>
      </c>
      <c r="B17" s="35" t="s">
        <v>144</v>
      </c>
      <c r="C17" s="165">
        <v>2016</v>
      </c>
      <c r="D17" s="36">
        <v>4</v>
      </c>
      <c r="E17" s="36" t="s">
        <v>216</v>
      </c>
      <c r="F17" s="36" t="s">
        <v>217</v>
      </c>
      <c r="G17" s="36"/>
      <c r="H17" s="36"/>
      <c r="I17" s="36"/>
      <c r="J17" s="36" t="s">
        <v>219</v>
      </c>
      <c r="K17" s="36"/>
      <c r="L17" s="36">
        <v>3</v>
      </c>
      <c r="M17" s="36" t="s">
        <v>229</v>
      </c>
      <c r="N17" s="36" t="s">
        <v>619</v>
      </c>
      <c r="O17" s="36">
        <v>217</v>
      </c>
      <c r="P17" s="36">
        <f t="shared" si="0"/>
        <v>1.3824884792626728</v>
      </c>
      <c r="Q17" s="36">
        <v>3277.1938775510207</v>
      </c>
      <c r="R17" s="40">
        <f t="shared" si="1"/>
        <v>45.306827800244527</v>
      </c>
      <c r="S17" s="36">
        <v>3279.7912801484231</v>
      </c>
      <c r="T17" s="40">
        <f t="shared" si="2"/>
        <v>1.3813936293590676</v>
      </c>
      <c r="U17" s="110"/>
      <c r="V17" s="36">
        <v>250</v>
      </c>
      <c r="W17" s="36" t="s">
        <v>222</v>
      </c>
      <c r="X17" s="36"/>
      <c r="Y17" s="53">
        <v>3</v>
      </c>
      <c r="Z17" s="36">
        <v>441</v>
      </c>
      <c r="AA17" s="36">
        <f t="shared" si="3"/>
        <v>6.8027210884353739E-3</v>
      </c>
      <c r="AB17" s="36">
        <v>6880.8673469387759</v>
      </c>
      <c r="AC17" s="22">
        <f t="shared" si="4"/>
        <v>0.46808621407746775</v>
      </c>
      <c r="AD17" s="36">
        <v>6885.2704304862436</v>
      </c>
      <c r="AE17" s="22">
        <f t="shared" si="5"/>
        <v>6.798370794629938E-3</v>
      </c>
    </row>
    <row r="18" spans="1:31" ht="20.25" customHeight="1">
      <c r="A18" s="35">
        <v>42515</v>
      </c>
      <c r="B18" s="35" t="s">
        <v>144</v>
      </c>
      <c r="C18" s="165">
        <v>2016</v>
      </c>
      <c r="D18" s="65">
        <v>4</v>
      </c>
      <c r="E18" s="36" t="s">
        <v>370</v>
      </c>
      <c r="F18" s="36"/>
      <c r="G18" s="36"/>
      <c r="H18" s="36"/>
      <c r="I18" s="36"/>
      <c r="J18" s="36"/>
      <c r="K18" s="36"/>
      <c r="L18" s="36">
        <v>2</v>
      </c>
      <c r="M18" s="36" t="s">
        <v>328</v>
      </c>
      <c r="N18" s="36" t="s">
        <v>328</v>
      </c>
      <c r="O18" s="36">
        <v>217</v>
      </c>
      <c r="P18" s="36">
        <f t="shared" si="0"/>
        <v>0.92165898617511521</v>
      </c>
      <c r="Q18" s="36">
        <v>3277.1938775510207</v>
      </c>
      <c r="R18" s="53">
        <f t="shared" si="1"/>
        <v>30.204551866829682</v>
      </c>
      <c r="S18" s="36">
        <v>3279.7912801484231</v>
      </c>
      <c r="T18" s="53">
        <f t="shared" si="2"/>
        <v>0.9209290862393783</v>
      </c>
      <c r="U18" s="53"/>
      <c r="V18" s="36">
        <v>250</v>
      </c>
      <c r="W18" s="36"/>
      <c r="X18" s="36"/>
      <c r="Y18" s="53">
        <v>2</v>
      </c>
      <c r="Z18" s="36">
        <v>441</v>
      </c>
      <c r="AA18" s="36">
        <f t="shared" si="3"/>
        <v>4.5351473922902496E-3</v>
      </c>
      <c r="AB18" s="36">
        <v>6880.8673469387759</v>
      </c>
      <c r="AC18" s="22">
        <f t="shared" si="4"/>
        <v>0.31205747605164519</v>
      </c>
      <c r="AD18" s="36">
        <v>6885.2704304862436</v>
      </c>
      <c r="AE18" s="22">
        <f t="shared" si="5"/>
        <v>4.5322471964199581E-3</v>
      </c>
    </row>
    <row r="19" spans="1:31" ht="20.25" customHeight="1">
      <c r="A19" s="35"/>
      <c r="B19" s="35"/>
      <c r="C19" s="165"/>
      <c r="D19" s="53"/>
      <c r="E19" s="36"/>
      <c r="F19" s="36"/>
      <c r="G19" s="36"/>
      <c r="H19" s="36"/>
      <c r="I19" s="36"/>
      <c r="J19" s="36"/>
      <c r="K19" s="36"/>
      <c r="L19" s="36"/>
      <c r="M19" s="36"/>
      <c r="N19" s="36"/>
      <c r="O19" s="36"/>
      <c r="P19" s="36"/>
      <c r="Q19" s="36"/>
      <c r="R19" s="53"/>
      <c r="S19" s="36"/>
      <c r="T19" s="53"/>
      <c r="U19" s="53"/>
      <c r="V19" s="36"/>
      <c r="W19" s="36"/>
      <c r="X19" s="36"/>
      <c r="Y19" s="36"/>
      <c r="Z19" s="36"/>
      <c r="AA19" s="36"/>
      <c r="AB19" s="36"/>
      <c r="AC19" s="22"/>
      <c r="AD19" s="36"/>
      <c r="AE19" s="22"/>
    </row>
    <row r="20" spans="1:31" ht="20.25" customHeight="1">
      <c r="A20" s="35">
        <v>42515</v>
      </c>
      <c r="B20" s="35" t="s">
        <v>144</v>
      </c>
      <c r="C20" s="165">
        <v>2016</v>
      </c>
      <c r="D20" s="76">
        <v>5</v>
      </c>
      <c r="E20" s="36" t="s">
        <v>223</v>
      </c>
      <c r="F20" s="36" t="s">
        <v>267</v>
      </c>
      <c r="G20" s="36"/>
      <c r="H20" s="36" t="s">
        <v>273</v>
      </c>
      <c r="I20" s="36"/>
      <c r="J20" s="36" t="s">
        <v>558</v>
      </c>
      <c r="K20" s="36" t="s">
        <v>559</v>
      </c>
      <c r="L20" s="36">
        <v>1</v>
      </c>
      <c r="M20" s="36" t="s">
        <v>544</v>
      </c>
      <c r="N20" s="36" t="s">
        <v>494</v>
      </c>
      <c r="O20" s="36">
        <v>17</v>
      </c>
      <c r="P20" s="36">
        <f t="shared" si="0"/>
        <v>5.8823529411764701</v>
      </c>
      <c r="Q20" s="36">
        <v>1.9005384859043395</v>
      </c>
      <c r="R20" s="40">
        <f t="shared" si="1"/>
        <v>0.11179638152378465</v>
      </c>
      <c r="S20" s="36">
        <v>3941.3797784577546</v>
      </c>
      <c r="T20" s="8">
        <f t="shared" si="2"/>
        <v>2.8364782844532204E-3</v>
      </c>
      <c r="U20" s="109">
        <f>SUM(T21+T22)</f>
        <v>4.5383652551251534E-2</v>
      </c>
      <c r="V20" s="36">
        <v>1000</v>
      </c>
      <c r="W20" s="36"/>
      <c r="X20" s="36"/>
      <c r="Y20" s="36" t="s">
        <v>697</v>
      </c>
      <c r="Z20" s="36"/>
      <c r="AA20" s="36"/>
      <c r="AB20" s="36"/>
      <c r="AC20" s="22"/>
      <c r="AD20" s="36"/>
      <c r="AE20" s="22"/>
    </row>
    <row r="21" spans="1:31" ht="20.25" customHeight="1">
      <c r="A21" s="35">
        <v>42515</v>
      </c>
      <c r="B21" s="35" t="s">
        <v>144</v>
      </c>
      <c r="C21" s="165">
        <v>2016</v>
      </c>
      <c r="D21" s="76">
        <v>5</v>
      </c>
      <c r="E21" s="36" t="s">
        <v>323</v>
      </c>
      <c r="F21" s="36" t="s">
        <v>324</v>
      </c>
      <c r="G21" s="36"/>
      <c r="H21" s="36" t="s">
        <v>325</v>
      </c>
      <c r="I21" s="36" t="s">
        <v>326</v>
      </c>
      <c r="J21" s="36" t="s">
        <v>327</v>
      </c>
      <c r="K21" s="36"/>
      <c r="L21" s="36">
        <v>2</v>
      </c>
      <c r="M21" s="36" t="s">
        <v>229</v>
      </c>
      <c r="N21" s="36" t="s">
        <v>327</v>
      </c>
      <c r="O21" s="36">
        <v>17</v>
      </c>
      <c r="P21" s="36">
        <f t="shared" si="0"/>
        <v>11.76470588235294</v>
      </c>
      <c r="Q21" s="36">
        <v>1.9005384859043395</v>
      </c>
      <c r="R21" s="40">
        <f t="shared" si="1"/>
        <v>0.22359276304756931</v>
      </c>
      <c r="S21" s="36">
        <v>3941.3797784577546</v>
      </c>
      <c r="T21" s="8">
        <f t="shared" si="2"/>
        <v>5.6729565689064409E-3</v>
      </c>
      <c r="U21" s="109"/>
      <c r="V21" s="36">
        <v>1000</v>
      </c>
      <c r="W21" s="36"/>
      <c r="X21" s="36"/>
      <c r="Y21" s="36"/>
      <c r="Z21" s="36"/>
      <c r="AA21" s="36"/>
      <c r="AB21" s="36"/>
      <c r="AC21" s="22"/>
      <c r="AD21" s="36"/>
      <c r="AE21" s="22"/>
    </row>
    <row r="22" spans="1:31" ht="20.25" customHeight="1">
      <c r="A22" s="35">
        <v>42515</v>
      </c>
      <c r="B22" s="35" t="s">
        <v>144</v>
      </c>
      <c r="C22" s="165">
        <v>2016</v>
      </c>
      <c r="D22" s="76">
        <v>5</v>
      </c>
      <c r="E22" s="36" t="s">
        <v>288</v>
      </c>
      <c r="F22" s="36" t="s">
        <v>289</v>
      </c>
      <c r="G22" s="36"/>
      <c r="H22" s="36"/>
      <c r="I22" s="36"/>
      <c r="J22" s="36"/>
      <c r="K22" s="36"/>
      <c r="L22" s="36">
        <v>14</v>
      </c>
      <c r="M22" s="36" t="s">
        <v>221</v>
      </c>
      <c r="N22" s="36" t="s">
        <v>294</v>
      </c>
      <c r="O22" s="36">
        <v>17</v>
      </c>
      <c r="P22" s="36">
        <f t="shared" si="0"/>
        <v>82.35294117647058</v>
      </c>
      <c r="Q22" s="65">
        <v>1.9005384859043395</v>
      </c>
      <c r="R22" s="40">
        <f t="shared" si="1"/>
        <v>1.5651493413329853</v>
      </c>
      <c r="S22" s="36">
        <v>3941.3797784577546</v>
      </c>
      <c r="T22" s="8">
        <f t="shared" si="2"/>
        <v>3.9710695982345091E-2</v>
      </c>
      <c r="U22" s="109"/>
      <c r="V22" s="36">
        <v>1000</v>
      </c>
      <c r="W22" s="36" t="s">
        <v>568</v>
      </c>
      <c r="X22" s="36"/>
      <c r="Y22" s="36"/>
      <c r="Z22" s="36"/>
      <c r="AA22" s="36"/>
      <c r="AB22" s="36"/>
      <c r="AC22" s="22"/>
      <c r="AD22" s="36"/>
      <c r="AE22" s="22"/>
    </row>
    <row r="23" spans="1:31" ht="20.25" customHeight="1">
      <c r="A23" s="13">
        <v>42515</v>
      </c>
      <c r="B23" s="35" t="s">
        <v>144</v>
      </c>
      <c r="C23" s="165">
        <v>2016</v>
      </c>
      <c r="D23" s="3">
        <v>5</v>
      </c>
      <c r="E23" s="3" t="s">
        <v>223</v>
      </c>
      <c r="F23" s="3" t="s">
        <v>224</v>
      </c>
      <c r="G23" s="3" t="s">
        <v>225</v>
      </c>
      <c r="H23" s="3" t="s">
        <v>226</v>
      </c>
      <c r="I23" s="3" t="s">
        <v>227</v>
      </c>
      <c r="J23" s="3" t="s">
        <v>228</v>
      </c>
      <c r="K23" s="3"/>
      <c r="L23" s="3">
        <v>2</v>
      </c>
      <c r="M23" s="3" t="s">
        <v>229</v>
      </c>
      <c r="N23" s="3" t="s">
        <v>228</v>
      </c>
      <c r="O23" s="3">
        <v>214</v>
      </c>
      <c r="P23" s="3">
        <f t="shared" si="0"/>
        <v>0.93457943925233633</v>
      </c>
      <c r="Q23" s="65">
        <v>3939.4792399718503</v>
      </c>
      <c r="R23" s="8">
        <f t="shared" si="1"/>
        <v>36.817562990391124</v>
      </c>
      <c r="S23" s="36">
        <v>3941.3797784577546</v>
      </c>
      <c r="T23" s="8">
        <f t="shared" si="2"/>
        <v>0.93412878382396536</v>
      </c>
      <c r="U23" s="109"/>
      <c r="V23" s="3">
        <v>250</v>
      </c>
      <c r="W23" s="3"/>
      <c r="X23" s="3"/>
      <c r="Y23" s="36"/>
      <c r="Z23" s="36"/>
      <c r="AA23" s="36"/>
      <c r="AB23" s="36"/>
      <c r="AC23" s="22"/>
      <c r="AD23" s="36"/>
      <c r="AE23" s="22"/>
    </row>
    <row r="24" spans="1:31" ht="20.25" customHeight="1">
      <c r="A24" s="13">
        <v>42515</v>
      </c>
      <c r="B24" s="35" t="s">
        <v>144</v>
      </c>
      <c r="C24" s="165">
        <v>2016</v>
      </c>
      <c r="D24" s="3">
        <v>5</v>
      </c>
      <c r="E24" s="51" t="s">
        <v>223</v>
      </c>
      <c r="F24" s="51" t="s">
        <v>303</v>
      </c>
      <c r="G24" s="51" t="s">
        <v>304</v>
      </c>
      <c r="H24" s="51" t="s">
        <v>305</v>
      </c>
      <c r="I24" s="51" t="s">
        <v>306</v>
      </c>
      <c r="J24" s="3" t="s">
        <v>307</v>
      </c>
      <c r="K24" s="3"/>
      <c r="L24" s="3">
        <v>9</v>
      </c>
      <c r="M24" s="3" t="s">
        <v>229</v>
      </c>
      <c r="N24" s="3" t="s">
        <v>307</v>
      </c>
      <c r="O24" s="3">
        <v>214</v>
      </c>
      <c r="P24" s="3">
        <f t="shared" si="0"/>
        <v>4.2056074766355138</v>
      </c>
      <c r="Q24" s="65">
        <v>3939.4792399718503</v>
      </c>
      <c r="R24" s="8">
        <f t="shared" si="1"/>
        <v>165.67903345676004</v>
      </c>
      <c r="S24" s="36">
        <v>3941.3797784577546</v>
      </c>
      <c r="T24" s="8">
        <f t="shared" si="2"/>
        <v>4.203579527207844</v>
      </c>
      <c r="U24" s="109"/>
      <c r="V24" s="3">
        <v>250</v>
      </c>
      <c r="W24" s="36" t="s">
        <v>620</v>
      </c>
      <c r="X24" s="3"/>
      <c r="Y24" s="36"/>
      <c r="Z24" s="36"/>
      <c r="AA24" s="36"/>
      <c r="AB24" s="36"/>
      <c r="AC24" s="22"/>
      <c r="AD24" s="36"/>
      <c r="AE24" s="22"/>
    </row>
    <row r="25" spans="1:31" ht="20.25" customHeight="1">
      <c r="A25" s="13">
        <v>42515</v>
      </c>
      <c r="B25" s="35" t="s">
        <v>144</v>
      </c>
      <c r="C25" s="165">
        <v>2016</v>
      </c>
      <c r="D25" s="3">
        <v>5</v>
      </c>
      <c r="E25" s="3" t="s">
        <v>223</v>
      </c>
      <c r="F25" s="3" t="s">
        <v>317</v>
      </c>
      <c r="G25" s="3" t="s">
        <v>314</v>
      </c>
      <c r="H25" s="3" t="s">
        <v>346</v>
      </c>
      <c r="I25" s="3" t="s">
        <v>315</v>
      </c>
      <c r="J25" s="3" t="s">
        <v>347</v>
      </c>
      <c r="K25" s="3" t="s">
        <v>348</v>
      </c>
      <c r="L25" s="3">
        <v>2</v>
      </c>
      <c r="M25" s="3" t="s">
        <v>247</v>
      </c>
      <c r="N25" s="3" t="s">
        <v>345</v>
      </c>
      <c r="O25" s="3">
        <v>214</v>
      </c>
      <c r="P25" s="3">
        <f t="shared" si="0"/>
        <v>0.93457943925233633</v>
      </c>
      <c r="Q25" s="65">
        <v>3939.4792399718503</v>
      </c>
      <c r="R25" s="8">
        <f t="shared" si="1"/>
        <v>36.817562990391124</v>
      </c>
      <c r="S25" s="36">
        <v>3941.3797784577546</v>
      </c>
      <c r="T25" s="8">
        <f t="shared" si="2"/>
        <v>0.93412878382396536</v>
      </c>
      <c r="U25" s="109"/>
      <c r="V25" s="36">
        <v>250</v>
      </c>
      <c r="W25" s="3"/>
      <c r="X25" s="3"/>
      <c r="Y25" s="36"/>
      <c r="Z25" s="36"/>
      <c r="AA25" s="36"/>
      <c r="AB25" s="36"/>
      <c r="AC25" s="22"/>
      <c r="AD25" s="36"/>
      <c r="AE25" s="22"/>
    </row>
    <row r="26" spans="1:31" ht="20.25" customHeight="1">
      <c r="A26" s="13">
        <v>42515</v>
      </c>
      <c r="B26" s="35" t="s">
        <v>144</v>
      </c>
      <c r="C26" s="165">
        <v>2016</v>
      </c>
      <c r="D26" s="3">
        <v>5</v>
      </c>
      <c r="E26" s="51" t="s">
        <v>223</v>
      </c>
      <c r="F26" s="51" t="s">
        <v>224</v>
      </c>
      <c r="G26" s="51" t="s">
        <v>225</v>
      </c>
      <c r="H26" s="51" t="s">
        <v>226</v>
      </c>
      <c r="I26" s="51" t="s">
        <v>239</v>
      </c>
      <c r="J26" s="3" t="s">
        <v>240</v>
      </c>
      <c r="K26" s="3"/>
      <c r="L26" s="3">
        <v>26</v>
      </c>
      <c r="M26" s="3" t="s">
        <v>229</v>
      </c>
      <c r="N26" s="3" t="s">
        <v>240</v>
      </c>
      <c r="O26" s="3">
        <v>214</v>
      </c>
      <c r="P26" s="3">
        <f t="shared" si="0"/>
        <v>12.149532710280374</v>
      </c>
      <c r="Q26" s="65">
        <v>3939.4792399718503</v>
      </c>
      <c r="R26" s="8">
        <f t="shared" si="1"/>
        <v>478.62831887508463</v>
      </c>
      <c r="S26" s="36">
        <v>3941.3797784577546</v>
      </c>
      <c r="T26" s="8">
        <f t="shared" si="2"/>
        <v>12.14367418971155</v>
      </c>
      <c r="U26" s="109"/>
      <c r="V26" s="36">
        <v>250</v>
      </c>
      <c r="W26" s="3"/>
      <c r="X26" s="3"/>
      <c r="Y26" s="36"/>
      <c r="Z26" s="36"/>
      <c r="AA26" s="36"/>
      <c r="AB26" s="36"/>
      <c r="AC26" s="22"/>
      <c r="AD26" s="36"/>
      <c r="AE26" s="22"/>
    </row>
    <row r="27" spans="1:31" ht="20.25" customHeight="1">
      <c r="A27" s="13">
        <v>42515</v>
      </c>
      <c r="B27" s="35" t="s">
        <v>144</v>
      </c>
      <c r="C27" s="165">
        <v>2016</v>
      </c>
      <c r="D27" s="3">
        <v>5</v>
      </c>
      <c r="E27" s="51" t="s">
        <v>223</v>
      </c>
      <c r="F27" s="51" t="s">
        <v>224</v>
      </c>
      <c r="G27" s="51" t="s">
        <v>225</v>
      </c>
      <c r="H27" s="51" t="s">
        <v>248</v>
      </c>
      <c r="I27" s="51" t="s">
        <v>249</v>
      </c>
      <c r="J27" s="3" t="s">
        <v>250</v>
      </c>
      <c r="K27" s="3"/>
      <c r="L27" s="3">
        <v>7</v>
      </c>
      <c r="M27" s="3" t="s">
        <v>229</v>
      </c>
      <c r="N27" s="3" t="s">
        <v>250</v>
      </c>
      <c r="O27" s="3">
        <v>214</v>
      </c>
      <c r="P27" s="3">
        <f t="shared" si="0"/>
        <v>3.2710280373831773</v>
      </c>
      <c r="Q27" s="65">
        <v>3939.4792399718503</v>
      </c>
      <c r="R27" s="8">
        <f t="shared" si="1"/>
        <v>128.86147046636893</v>
      </c>
      <c r="S27" s="36">
        <v>3941.3797784577546</v>
      </c>
      <c r="T27" s="8">
        <f t="shared" si="2"/>
        <v>3.2694507433838789</v>
      </c>
      <c r="U27" s="109"/>
      <c r="V27" s="3">
        <v>250</v>
      </c>
      <c r="W27" s="3"/>
      <c r="X27" s="3"/>
      <c r="Y27" s="36"/>
      <c r="Z27" s="36"/>
      <c r="AA27" s="36"/>
      <c r="AB27" s="36"/>
      <c r="AC27" s="22"/>
      <c r="AD27" s="36"/>
      <c r="AE27" s="22"/>
    </row>
    <row r="28" spans="1:31" ht="20.25" customHeight="1">
      <c r="A28" s="13">
        <v>42515</v>
      </c>
      <c r="B28" s="35" t="s">
        <v>144</v>
      </c>
      <c r="C28" s="165">
        <v>2016</v>
      </c>
      <c r="D28" s="3">
        <v>5</v>
      </c>
      <c r="E28" s="51" t="s">
        <v>223</v>
      </c>
      <c r="F28" s="51" t="s">
        <v>224</v>
      </c>
      <c r="G28" s="51" t="s">
        <v>225</v>
      </c>
      <c r="H28" s="51" t="s">
        <v>226</v>
      </c>
      <c r="I28" s="51" t="s">
        <v>253</v>
      </c>
      <c r="J28" s="3" t="s">
        <v>254</v>
      </c>
      <c r="K28" s="3"/>
      <c r="L28" s="3">
        <v>1</v>
      </c>
      <c r="M28" s="3"/>
      <c r="N28" s="3" t="s">
        <v>254</v>
      </c>
      <c r="O28" s="3">
        <v>214</v>
      </c>
      <c r="P28" s="3">
        <f t="shared" si="0"/>
        <v>0.46728971962616817</v>
      </c>
      <c r="Q28" s="65">
        <v>3939.4792399718503</v>
      </c>
      <c r="R28" s="8">
        <f t="shared" si="1"/>
        <v>18.408781495195562</v>
      </c>
      <c r="S28" s="36">
        <v>3941.3797784577546</v>
      </c>
      <c r="T28" s="8">
        <f t="shared" si="2"/>
        <v>0.46706439191198268</v>
      </c>
      <c r="U28" s="109"/>
      <c r="V28" s="36">
        <v>250</v>
      </c>
      <c r="W28" s="3"/>
      <c r="X28" s="3"/>
      <c r="Y28" s="36"/>
      <c r="Z28" s="36"/>
      <c r="AA28" s="36"/>
      <c r="AB28" s="36"/>
      <c r="AC28" s="22"/>
      <c r="AD28" s="36"/>
      <c r="AE28" s="22"/>
    </row>
    <row r="29" spans="1:31" ht="20.25" customHeight="1">
      <c r="A29" s="13">
        <v>42515</v>
      </c>
      <c r="B29" s="35" t="s">
        <v>144</v>
      </c>
      <c r="C29" s="165">
        <v>2016</v>
      </c>
      <c r="D29" s="3">
        <v>5</v>
      </c>
      <c r="E29" s="3" t="s">
        <v>223</v>
      </c>
      <c r="F29" s="3" t="s">
        <v>224</v>
      </c>
      <c r="G29" s="3" t="s">
        <v>225</v>
      </c>
      <c r="H29" s="3" t="s">
        <v>226</v>
      </c>
      <c r="I29" s="3" t="s">
        <v>253</v>
      </c>
      <c r="J29" s="3" t="s">
        <v>256</v>
      </c>
      <c r="K29" s="3"/>
      <c r="L29" s="3">
        <v>155</v>
      </c>
      <c r="M29" s="3" t="s">
        <v>229</v>
      </c>
      <c r="N29" s="3" t="s">
        <v>256</v>
      </c>
      <c r="O29" s="3">
        <v>214</v>
      </c>
      <c r="P29" s="3">
        <f t="shared" si="0"/>
        <v>72.429906542056074</v>
      </c>
      <c r="Q29" s="65">
        <v>3939.4792399718503</v>
      </c>
      <c r="R29" s="8">
        <f t="shared" si="1"/>
        <v>2853.3611317553123</v>
      </c>
      <c r="S29" s="36">
        <v>3941.3797784577546</v>
      </c>
      <c r="T29" s="8">
        <f t="shared" si="2"/>
        <v>72.394980746357319</v>
      </c>
      <c r="U29" s="109"/>
      <c r="V29" s="3">
        <v>250</v>
      </c>
      <c r="W29" s="3" t="s">
        <v>363</v>
      </c>
      <c r="X29" s="3"/>
      <c r="Y29" s="36"/>
      <c r="Z29" s="36"/>
      <c r="AA29" s="36"/>
      <c r="AB29" s="36"/>
      <c r="AC29" s="22"/>
      <c r="AD29" s="36"/>
      <c r="AE29" s="22"/>
    </row>
    <row r="30" spans="1:31" ht="20.25" customHeight="1">
      <c r="A30" s="13">
        <v>42515</v>
      </c>
      <c r="B30" s="35" t="s">
        <v>144</v>
      </c>
      <c r="C30" s="165">
        <v>2016</v>
      </c>
      <c r="D30" s="3">
        <v>5</v>
      </c>
      <c r="E30" s="3" t="s">
        <v>223</v>
      </c>
      <c r="F30" s="3" t="s">
        <v>224</v>
      </c>
      <c r="G30" s="3" t="s">
        <v>225</v>
      </c>
      <c r="H30" s="3" t="s">
        <v>226</v>
      </c>
      <c r="I30" s="3" t="s">
        <v>239</v>
      </c>
      <c r="J30" s="3" t="s">
        <v>258</v>
      </c>
      <c r="K30" s="3" t="s">
        <v>259</v>
      </c>
      <c r="L30" s="3">
        <v>1</v>
      </c>
      <c r="M30" s="3" t="s">
        <v>247</v>
      </c>
      <c r="N30" s="3" t="s">
        <v>258</v>
      </c>
      <c r="O30" s="3">
        <v>214</v>
      </c>
      <c r="P30" s="3">
        <f t="shared" si="0"/>
        <v>0.46728971962616817</v>
      </c>
      <c r="Q30" s="65">
        <v>3939.4792399718503</v>
      </c>
      <c r="R30" s="8">
        <f t="shared" si="1"/>
        <v>18.408781495195562</v>
      </c>
      <c r="S30" s="36">
        <v>3941.3797784577546</v>
      </c>
      <c r="T30" s="8">
        <f t="shared" si="2"/>
        <v>0.46706439191198268</v>
      </c>
      <c r="U30" s="109"/>
      <c r="V30" s="36">
        <v>250</v>
      </c>
      <c r="W30" s="3"/>
      <c r="X30" s="3"/>
      <c r="Y30" s="36"/>
      <c r="Z30" s="36"/>
      <c r="AA30" s="36"/>
      <c r="AB30" s="36"/>
      <c r="AC30" s="22"/>
      <c r="AD30" s="36"/>
      <c r="AE30" s="22"/>
    </row>
    <row r="31" spans="1:31" ht="20.25" customHeight="1">
      <c r="A31" s="13">
        <v>42515</v>
      </c>
      <c r="B31" s="35" t="s">
        <v>144</v>
      </c>
      <c r="C31" s="165">
        <v>2016</v>
      </c>
      <c r="D31" s="51">
        <v>5</v>
      </c>
      <c r="E31" s="51" t="s">
        <v>223</v>
      </c>
      <c r="F31" s="51" t="s">
        <v>224</v>
      </c>
      <c r="G31" s="51" t="s">
        <v>225</v>
      </c>
      <c r="H31" s="51" t="s">
        <v>226</v>
      </c>
      <c r="I31" s="51" t="s">
        <v>261</v>
      </c>
      <c r="J31" s="3" t="s">
        <v>262</v>
      </c>
      <c r="K31" s="3"/>
      <c r="L31" s="3">
        <v>11</v>
      </c>
      <c r="M31" s="3" t="s">
        <v>229</v>
      </c>
      <c r="N31" s="3" t="s">
        <v>264</v>
      </c>
      <c r="O31" s="3">
        <v>214</v>
      </c>
      <c r="P31" s="3">
        <f t="shared" si="0"/>
        <v>5.1401869158878499</v>
      </c>
      <c r="Q31" s="65">
        <v>3939.4792399718503</v>
      </c>
      <c r="R31" s="8">
        <f t="shared" si="1"/>
        <v>202.49659644715115</v>
      </c>
      <c r="S31" s="36">
        <v>3941.3797784577546</v>
      </c>
      <c r="T31" s="8">
        <f t="shared" si="2"/>
        <v>5.1377083110318083</v>
      </c>
      <c r="U31" s="109"/>
      <c r="V31" s="3">
        <v>250</v>
      </c>
      <c r="W31" s="3"/>
      <c r="X31" s="3"/>
      <c r="Y31" s="36"/>
      <c r="Z31" s="36"/>
      <c r="AA31" s="36"/>
      <c r="AB31" s="36"/>
      <c r="AC31" s="22"/>
      <c r="AD31" s="36"/>
      <c r="AE31" s="22"/>
    </row>
    <row r="32" spans="1:31" ht="20.25" customHeight="1">
      <c r="A32" s="35">
        <v>42515</v>
      </c>
      <c r="B32" s="35" t="s">
        <v>144</v>
      </c>
      <c r="C32" s="165">
        <v>2016</v>
      </c>
      <c r="D32" s="76">
        <v>8</v>
      </c>
      <c r="E32" s="36" t="s">
        <v>223</v>
      </c>
      <c r="F32" s="36" t="s">
        <v>267</v>
      </c>
      <c r="G32" s="36"/>
      <c r="H32" s="36" t="s">
        <v>273</v>
      </c>
      <c r="I32" s="36"/>
      <c r="J32" s="36"/>
      <c r="K32" s="36"/>
      <c r="L32" s="36">
        <v>1</v>
      </c>
      <c r="M32" s="36" t="s">
        <v>508</v>
      </c>
      <c r="N32" s="36" t="s">
        <v>494</v>
      </c>
      <c r="O32" s="36">
        <v>6</v>
      </c>
      <c r="P32" s="36">
        <f t="shared" si="0"/>
        <v>16.666666666666664</v>
      </c>
      <c r="Q32" s="65">
        <v>0.28352484386444365</v>
      </c>
      <c r="R32" s="53">
        <f t="shared" si="1"/>
        <v>4.7254140644073933E-2</v>
      </c>
      <c r="S32" s="36">
        <v>2329.5531274217378</v>
      </c>
      <c r="T32" s="108">
        <f t="shared" si="2"/>
        <v>2.0284637464513654E-3</v>
      </c>
      <c r="U32" s="53">
        <f>SUM(T32+T33)</f>
        <v>8.1138549858054635E-3</v>
      </c>
      <c r="V32" s="36">
        <v>1000</v>
      </c>
      <c r="W32" s="36">
        <f>SUM(T32:T46)</f>
        <v>100.05258491687668</v>
      </c>
      <c r="X32" s="36"/>
      <c r="Y32" s="36"/>
      <c r="Z32" s="36"/>
      <c r="AA32" s="36"/>
      <c r="AB32" s="36"/>
      <c r="AC32" s="22"/>
      <c r="AD32" s="36"/>
      <c r="AE32" s="22"/>
    </row>
    <row r="33" spans="1:31" ht="20.25" customHeight="1">
      <c r="A33" s="35">
        <v>42515</v>
      </c>
      <c r="B33" s="35" t="s">
        <v>144</v>
      </c>
      <c r="C33" s="165">
        <v>2016</v>
      </c>
      <c r="D33" s="76">
        <v>8</v>
      </c>
      <c r="E33" s="65" t="s">
        <v>288</v>
      </c>
      <c r="F33" s="65" t="s">
        <v>289</v>
      </c>
      <c r="G33" s="65"/>
      <c r="H33" s="65"/>
      <c r="I33" s="65"/>
      <c r="J33" s="36"/>
      <c r="K33" s="36"/>
      <c r="L33" s="36">
        <v>3</v>
      </c>
      <c r="M33" s="36" t="s">
        <v>221</v>
      </c>
      <c r="N33" s="36" t="s">
        <v>294</v>
      </c>
      <c r="O33" s="36">
        <v>6</v>
      </c>
      <c r="P33" s="36">
        <f t="shared" si="0"/>
        <v>50</v>
      </c>
      <c r="Q33" s="36">
        <v>0.28352484386444365</v>
      </c>
      <c r="R33" s="53">
        <f t="shared" si="1"/>
        <v>0.14176242193222183</v>
      </c>
      <c r="S33" s="36">
        <v>2329.5531274217378</v>
      </c>
      <c r="T33" s="108">
        <f t="shared" si="2"/>
        <v>6.0853912393540981E-3</v>
      </c>
      <c r="U33" s="53"/>
      <c r="V33" s="36">
        <v>1000</v>
      </c>
      <c r="W33" s="36"/>
      <c r="X33" s="36"/>
      <c r="Y33" s="36"/>
      <c r="Z33" s="36"/>
      <c r="AA33" s="36"/>
      <c r="AB33" s="36"/>
      <c r="AC33" s="22"/>
      <c r="AD33" s="36"/>
      <c r="AE33" s="22"/>
    </row>
    <row r="34" spans="1:31" ht="20.25" customHeight="1">
      <c r="A34" s="35">
        <v>42515</v>
      </c>
      <c r="B34" s="35" t="s">
        <v>144</v>
      </c>
      <c r="C34" s="165">
        <v>2016</v>
      </c>
      <c r="D34" s="76">
        <v>8</v>
      </c>
      <c r="E34" s="36" t="s">
        <v>223</v>
      </c>
      <c r="F34" s="36" t="s">
        <v>267</v>
      </c>
      <c r="G34" s="36" t="s">
        <v>278</v>
      </c>
      <c r="H34" s="36" t="s">
        <v>279</v>
      </c>
      <c r="I34" s="36" t="s">
        <v>280</v>
      </c>
      <c r="J34" s="36" t="s">
        <v>284</v>
      </c>
      <c r="K34" s="36" t="s">
        <v>285</v>
      </c>
      <c r="L34" s="36">
        <v>2</v>
      </c>
      <c r="M34" s="36" t="s">
        <v>247</v>
      </c>
      <c r="N34" s="36" t="s">
        <v>283</v>
      </c>
      <c r="O34" s="36">
        <v>6</v>
      </c>
      <c r="P34" s="36">
        <f t="shared" si="0"/>
        <v>33.333333333333329</v>
      </c>
      <c r="Q34" s="36">
        <v>0.28352484386444365</v>
      </c>
      <c r="R34" s="53">
        <f t="shared" si="1"/>
        <v>9.4508281288147866E-2</v>
      </c>
      <c r="S34" s="65">
        <v>2329.5531274217378</v>
      </c>
      <c r="T34" s="108">
        <f t="shared" si="2"/>
        <v>4.0569274929027309E-3</v>
      </c>
      <c r="U34" s="53"/>
      <c r="V34" s="36">
        <v>1000</v>
      </c>
      <c r="W34" s="36"/>
      <c r="X34" s="36"/>
      <c r="Y34" s="36"/>
      <c r="Z34" s="36"/>
      <c r="AA34" s="36"/>
      <c r="AB34" s="36"/>
      <c r="AC34" s="22"/>
      <c r="AD34" s="36"/>
      <c r="AE34" s="22"/>
    </row>
    <row r="35" spans="1:31" ht="20.25" customHeight="1">
      <c r="A35" s="35">
        <v>42515</v>
      </c>
      <c r="B35" s="35" t="s">
        <v>144</v>
      </c>
      <c r="C35" s="165">
        <v>2016</v>
      </c>
      <c r="D35" s="65">
        <v>8</v>
      </c>
      <c r="E35" s="65" t="s">
        <v>223</v>
      </c>
      <c r="F35" s="65" t="s">
        <v>224</v>
      </c>
      <c r="G35" s="65" t="s">
        <v>225</v>
      </c>
      <c r="H35" s="65" t="s">
        <v>226</v>
      </c>
      <c r="I35" s="65" t="s">
        <v>227</v>
      </c>
      <c r="J35" s="36" t="s">
        <v>228</v>
      </c>
      <c r="K35" s="36"/>
      <c r="L35" s="36">
        <v>22</v>
      </c>
      <c r="M35" s="36" t="s">
        <v>229</v>
      </c>
      <c r="N35" s="36" t="s">
        <v>228</v>
      </c>
      <c r="O35" s="36">
        <v>252</v>
      </c>
      <c r="P35" s="36">
        <f t="shared" si="0"/>
        <v>8.7301587301587293</v>
      </c>
      <c r="Q35" s="36">
        <v>2329.2696025778732</v>
      </c>
      <c r="R35" s="53">
        <f t="shared" si="1"/>
        <v>203.34893355838574</v>
      </c>
      <c r="S35" s="36">
        <v>2329.5531274217378</v>
      </c>
      <c r="T35" s="108">
        <f t="shared" si="2"/>
        <v>8.7290962015296341</v>
      </c>
      <c r="U35" s="53"/>
      <c r="V35" s="36">
        <v>250</v>
      </c>
      <c r="W35" s="36"/>
      <c r="X35" s="36"/>
      <c r="Y35" s="36"/>
      <c r="Z35" s="36"/>
      <c r="AA35" s="36"/>
      <c r="AB35" s="36"/>
      <c r="AC35" s="22"/>
      <c r="AD35" s="36"/>
      <c r="AE35" s="22"/>
    </row>
    <row r="36" spans="1:31" ht="20.25" customHeight="1">
      <c r="A36" s="35">
        <v>42515</v>
      </c>
      <c r="B36" s="35" t="s">
        <v>144</v>
      </c>
      <c r="C36" s="165">
        <v>2016</v>
      </c>
      <c r="D36" s="65">
        <v>8</v>
      </c>
      <c r="E36" s="36" t="s">
        <v>223</v>
      </c>
      <c r="F36" s="36" t="s">
        <v>303</v>
      </c>
      <c r="G36" s="36" t="s">
        <v>304</v>
      </c>
      <c r="H36" s="36" t="s">
        <v>305</v>
      </c>
      <c r="I36" s="36" t="s">
        <v>306</v>
      </c>
      <c r="J36" s="36" t="s">
        <v>307</v>
      </c>
      <c r="K36" s="36"/>
      <c r="L36" s="36">
        <v>9</v>
      </c>
      <c r="M36" s="36" t="s">
        <v>229</v>
      </c>
      <c r="N36" s="36" t="s">
        <v>307</v>
      </c>
      <c r="O36" s="36">
        <v>252</v>
      </c>
      <c r="P36" s="36">
        <f t="shared" si="0"/>
        <v>3.5714285714285712</v>
      </c>
      <c r="Q36" s="36">
        <v>2329.2696025778732</v>
      </c>
      <c r="R36" s="53">
        <f t="shared" si="1"/>
        <v>83.188200092066893</v>
      </c>
      <c r="S36" s="36">
        <v>2329.5531274217378</v>
      </c>
      <c r="T36" s="108">
        <f t="shared" si="2"/>
        <v>3.5709939006257603</v>
      </c>
      <c r="U36" s="53"/>
      <c r="V36" s="36">
        <v>250</v>
      </c>
      <c r="W36" s="36" t="s">
        <v>620</v>
      </c>
      <c r="X36" s="36"/>
      <c r="Y36" s="36"/>
      <c r="Z36" s="36"/>
      <c r="AA36" s="36"/>
      <c r="AB36" s="36"/>
      <c r="AC36" s="22"/>
      <c r="AD36" s="36"/>
      <c r="AE36" s="22"/>
    </row>
    <row r="37" spans="1:31" ht="20.25" customHeight="1">
      <c r="A37" s="72">
        <v>42515</v>
      </c>
      <c r="B37" s="35" t="s">
        <v>144</v>
      </c>
      <c r="C37" s="165">
        <v>2016</v>
      </c>
      <c r="D37" s="65">
        <v>8</v>
      </c>
      <c r="E37" s="36" t="s">
        <v>223</v>
      </c>
      <c r="F37" s="36" t="s">
        <v>224</v>
      </c>
      <c r="G37" s="36" t="s">
        <v>225</v>
      </c>
      <c r="H37" s="36" t="s">
        <v>226</v>
      </c>
      <c r="I37" s="36" t="s">
        <v>235</v>
      </c>
      <c r="J37" s="36" t="s">
        <v>236</v>
      </c>
      <c r="K37" s="36"/>
      <c r="L37" s="36">
        <v>2</v>
      </c>
      <c r="M37" s="36" t="s">
        <v>229</v>
      </c>
      <c r="N37" s="36" t="s">
        <v>236</v>
      </c>
      <c r="O37" s="36">
        <v>252</v>
      </c>
      <c r="P37" s="36">
        <f t="shared" si="0"/>
        <v>0.79365079365079361</v>
      </c>
      <c r="Q37" s="36">
        <v>2329.2696025778732</v>
      </c>
      <c r="R37" s="53">
        <f t="shared" si="1"/>
        <v>18.486266687125976</v>
      </c>
      <c r="S37" s="36">
        <v>2329.5531274217378</v>
      </c>
      <c r="T37" s="108">
        <f t="shared" si="2"/>
        <v>0.79355420013905775</v>
      </c>
      <c r="U37" s="53"/>
      <c r="V37" s="36">
        <v>250</v>
      </c>
      <c r="W37" s="36"/>
      <c r="X37" s="36"/>
      <c r="Y37" s="36"/>
      <c r="Z37" s="36"/>
      <c r="AA37" s="36"/>
      <c r="AB37" s="36"/>
      <c r="AC37" s="22"/>
      <c r="AD37" s="36"/>
      <c r="AE37" s="22"/>
    </row>
    <row r="38" spans="1:31" ht="20.25" customHeight="1">
      <c r="A38" s="35">
        <v>42515</v>
      </c>
      <c r="B38" s="35" t="s">
        <v>144</v>
      </c>
      <c r="C38" s="165">
        <v>2016</v>
      </c>
      <c r="D38" s="65">
        <v>8</v>
      </c>
      <c r="E38" s="76" t="s">
        <v>223</v>
      </c>
      <c r="F38" s="76" t="s">
        <v>317</v>
      </c>
      <c r="G38" s="76" t="s">
        <v>314</v>
      </c>
      <c r="H38" s="76" t="s">
        <v>346</v>
      </c>
      <c r="I38" s="76" t="s">
        <v>315</v>
      </c>
      <c r="J38" s="36" t="s">
        <v>365</v>
      </c>
      <c r="K38" s="36" t="s">
        <v>366</v>
      </c>
      <c r="L38" s="36">
        <v>23</v>
      </c>
      <c r="M38" s="36" t="s">
        <v>247</v>
      </c>
      <c r="N38" s="36" t="s">
        <v>345</v>
      </c>
      <c r="O38" s="36">
        <v>252</v>
      </c>
      <c r="P38" s="36">
        <f t="shared" si="0"/>
        <v>9.1269841269841265</v>
      </c>
      <c r="Q38" s="36">
        <v>2329.2696025778732</v>
      </c>
      <c r="R38" s="53">
        <f t="shared" si="1"/>
        <v>212.59206690194873</v>
      </c>
      <c r="S38" s="36">
        <v>2329.5531274217378</v>
      </c>
      <c r="T38" s="108">
        <f t="shared" si="2"/>
        <v>9.1258733015991655</v>
      </c>
      <c r="U38" s="53"/>
      <c r="V38" s="36">
        <v>250</v>
      </c>
      <c r="W38" s="36"/>
      <c r="X38" s="36"/>
      <c r="Y38" s="36"/>
      <c r="Z38" s="36"/>
      <c r="AA38" s="36"/>
      <c r="AB38" s="36"/>
      <c r="AC38" s="22"/>
      <c r="AD38" s="36"/>
      <c r="AE38" s="22"/>
    </row>
    <row r="39" spans="1:31" ht="20.25" customHeight="1">
      <c r="A39" s="35">
        <v>42515</v>
      </c>
      <c r="B39" s="35" t="s">
        <v>144</v>
      </c>
      <c r="C39" s="165">
        <v>2016</v>
      </c>
      <c r="D39" s="65">
        <v>8</v>
      </c>
      <c r="E39" s="65" t="s">
        <v>223</v>
      </c>
      <c r="F39" s="65" t="s">
        <v>317</v>
      </c>
      <c r="G39" s="65" t="s">
        <v>314</v>
      </c>
      <c r="H39" s="65" t="s">
        <v>346</v>
      </c>
      <c r="I39" s="65" t="s">
        <v>315</v>
      </c>
      <c r="J39" s="36" t="s">
        <v>347</v>
      </c>
      <c r="K39" s="36" t="s">
        <v>348</v>
      </c>
      <c r="L39" s="36">
        <v>2</v>
      </c>
      <c r="M39" s="36" t="s">
        <v>247</v>
      </c>
      <c r="N39" s="36" t="s">
        <v>345</v>
      </c>
      <c r="O39" s="36">
        <v>252</v>
      </c>
      <c r="P39" s="36">
        <f t="shared" si="0"/>
        <v>0.79365079365079361</v>
      </c>
      <c r="Q39" s="36">
        <v>2329.2696025778732</v>
      </c>
      <c r="R39" s="53">
        <f t="shared" si="1"/>
        <v>18.486266687125976</v>
      </c>
      <c r="S39" s="36">
        <v>2329.5531274217378</v>
      </c>
      <c r="T39" s="108">
        <f t="shared" si="2"/>
        <v>0.79355420013905775</v>
      </c>
      <c r="U39" s="53"/>
      <c r="V39" s="36">
        <v>250</v>
      </c>
      <c r="W39" s="36"/>
      <c r="X39" s="36"/>
      <c r="Y39" s="36"/>
      <c r="Z39" s="36"/>
      <c r="AA39" s="36"/>
      <c r="AB39" s="36"/>
      <c r="AC39" s="22"/>
      <c r="AD39" s="36"/>
      <c r="AE39" s="22"/>
    </row>
    <row r="40" spans="1:31" ht="20.25" customHeight="1">
      <c r="A40" s="35">
        <v>42515</v>
      </c>
      <c r="B40" s="35" t="s">
        <v>144</v>
      </c>
      <c r="C40" s="165">
        <v>2016</v>
      </c>
      <c r="D40" s="65">
        <v>8</v>
      </c>
      <c r="E40" s="65" t="s">
        <v>223</v>
      </c>
      <c r="F40" s="65" t="s">
        <v>317</v>
      </c>
      <c r="G40" s="65" t="s">
        <v>314</v>
      </c>
      <c r="H40" s="65" t="s">
        <v>346</v>
      </c>
      <c r="I40" s="65" t="s">
        <v>315</v>
      </c>
      <c r="J40" s="36" t="s">
        <v>347</v>
      </c>
      <c r="K40" s="36" t="s">
        <v>368</v>
      </c>
      <c r="L40" s="36">
        <v>11</v>
      </c>
      <c r="M40" s="36" t="s">
        <v>247</v>
      </c>
      <c r="N40" s="36" t="s">
        <v>345</v>
      </c>
      <c r="O40" s="36">
        <v>249</v>
      </c>
      <c r="P40" s="36">
        <f t="shared" si="0"/>
        <v>4.4176706827309236</v>
      </c>
      <c r="Q40" s="36">
        <v>2329.2696025778732</v>
      </c>
      <c r="R40" s="53">
        <f t="shared" si="1"/>
        <v>102.89946035484581</v>
      </c>
      <c r="S40" s="36">
        <v>2329.5531274217378</v>
      </c>
      <c r="T40" s="108">
        <f t="shared" si="2"/>
        <v>4.4171330176415031</v>
      </c>
      <c r="U40" s="53"/>
      <c r="V40" s="36">
        <v>250</v>
      </c>
      <c r="W40" s="36"/>
      <c r="X40" s="36"/>
      <c r="Y40" s="36"/>
      <c r="Z40" s="36"/>
      <c r="AA40" s="36"/>
      <c r="AB40" s="36"/>
      <c r="AC40" s="22"/>
      <c r="AD40" s="36"/>
      <c r="AE40" s="22"/>
    </row>
    <row r="41" spans="1:31" ht="20.25" customHeight="1">
      <c r="A41" s="35">
        <v>42515</v>
      </c>
      <c r="B41" s="35" t="s">
        <v>144</v>
      </c>
      <c r="C41" s="165">
        <v>2016</v>
      </c>
      <c r="D41" s="65">
        <v>8</v>
      </c>
      <c r="E41" s="65" t="s">
        <v>223</v>
      </c>
      <c r="F41" s="65" t="s">
        <v>224</v>
      </c>
      <c r="G41" s="65" t="s">
        <v>225</v>
      </c>
      <c r="H41" s="65" t="s">
        <v>226</v>
      </c>
      <c r="I41" s="65" t="s">
        <v>239</v>
      </c>
      <c r="J41" s="36" t="s">
        <v>240</v>
      </c>
      <c r="K41" s="36"/>
      <c r="L41" s="36">
        <v>61</v>
      </c>
      <c r="M41" s="36" t="s">
        <v>229</v>
      </c>
      <c r="N41" s="36" t="s">
        <v>240</v>
      </c>
      <c r="O41" s="36">
        <v>252</v>
      </c>
      <c r="P41" s="36">
        <f t="shared" si="0"/>
        <v>24.206349206349206</v>
      </c>
      <c r="Q41" s="36">
        <v>2329.2696025778732</v>
      </c>
      <c r="R41" s="53">
        <f t="shared" si="1"/>
        <v>563.83113395734233</v>
      </c>
      <c r="S41" s="36">
        <v>2329.5531274217378</v>
      </c>
      <c r="T41" s="108">
        <f t="shared" si="2"/>
        <v>24.203403104241264</v>
      </c>
      <c r="U41" s="53"/>
      <c r="V41" s="36">
        <v>250</v>
      </c>
      <c r="W41" s="36"/>
      <c r="X41" s="36"/>
      <c r="Y41" s="36"/>
      <c r="Z41" s="36"/>
      <c r="AA41" s="36"/>
      <c r="AB41" s="36"/>
      <c r="AC41" s="22"/>
      <c r="AD41" s="36"/>
      <c r="AE41" s="22"/>
    </row>
    <row r="42" spans="1:31" ht="20.25" customHeight="1">
      <c r="A42" s="35">
        <v>42515</v>
      </c>
      <c r="B42" s="35" t="s">
        <v>144</v>
      </c>
      <c r="C42" s="165">
        <v>2016</v>
      </c>
      <c r="D42" s="65">
        <v>8</v>
      </c>
      <c r="E42" s="36" t="s">
        <v>323</v>
      </c>
      <c r="F42" s="36" t="s">
        <v>489</v>
      </c>
      <c r="G42" s="36"/>
      <c r="H42" s="36" t="s">
        <v>490</v>
      </c>
      <c r="I42" s="36" t="s">
        <v>491</v>
      </c>
      <c r="J42" s="36" t="s">
        <v>371</v>
      </c>
      <c r="K42" s="36" t="s">
        <v>372</v>
      </c>
      <c r="L42" s="36">
        <v>1</v>
      </c>
      <c r="M42" s="36" t="s">
        <v>247</v>
      </c>
      <c r="N42" s="36" t="s">
        <v>371</v>
      </c>
      <c r="O42" s="36">
        <v>252</v>
      </c>
      <c r="P42" s="36">
        <f t="shared" si="0"/>
        <v>0.3968253968253968</v>
      </c>
      <c r="Q42" s="36">
        <v>2329.2696025778732</v>
      </c>
      <c r="R42" s="53">
        <f t="shared" si="1"/>
        <v>9.2431333435629881</v>
      </c>
      <c r="S42" s="36">
        <v>2329.5531274217378</v>
      </c>
      <c r="T42" s="108">
        <f t="shared" si="2"/>
        <v>0.39677710006952888</v>
      </c>
      <c r="U42" s="53"/>
      <c r="V42" s="36">
        <v>250</v>
      </c>
      <c r="W42" s="36"/>
      <c r="X42" s="36"/>
      <c r="Y42" s="36"/>
      <c r="Z42" s="36"/>
      <c r="AA42" s="36"/>
      <c r="AB42" s="36"/>
      <c r="AC42" s="22"/>
      <c r="AD42" s="36"/>
      <c r="AE42" s="22"/>
    </row>
    <row r="43" spans="1:31" ht="20.25" customHeight="1">
      <c r="A43" s="35">
        <v>42515</v>
      </c>
      <c r="B43" s="35" t="s">
        <v>144</v>
      </c>
      <c r="C43" s="165">
        <v>2016</v>
      </c>
      <c r="D43" s="65">
        <v>8</v>
      </c>
      <c r="E43" s="36" t="s">
        <v>223</v>
      </c>
      <c r="F43" s="36" t="s">
        <v>224</v>
      </c>
      <c r="G43" s="36" t="s">
        <v>225</v>
      </c>
      <c r="H43" s="36" t="s">
        <v>248</v>
      </c>
      <c r="I43" s="36" t="s">
        <v>249</v>
      </c>
      <c r="J43" s="36" t="s">
        <v>250</v>
      </c>
      <c r="K43" s="36"/>
      <c r="L43" s="36">
        <v>12</v>
      </c>
      <c r="M43" s="36" t="s">
        <v>229</v>
      </c>
      <c r="N43" s="36" t="s">
        <v>250</v>
      </c>
      <c r="O43" s="36">
        <v>252</v>
      </c>
      <c r="P43" s="36">
        <f t="shared" si="0"/>
        <v>4.7619047619047619</v>
      </c>
      <c r="Q43" s="36">
        <v>2329.2696025778732</v>
      </c>
      <c r="R43" s="53">
        <f t="shared" si="1"/>
        <v>110.91760012275586</v>
      </c>
      <c r="S43" s="36">
        <v>2329.5531274217378</v>
      </c>
      <c r="T43" s="108">
        <f t="shared" si="2"/>
        <v>4.7613252008343467</v>
      </c>
      <c r="U43" s="53"/>
      <c r="V43" s="36">
        <v>250</v>
      </c>
      <c r="W43" s="36"/>
      <c r="X43" s="36"/>
      <c r="Y43" s="36"/>
      <c r="Z43" s="36"/>
      <c r="AA43" s="36"/>
      <c r="AB43" s="36"/>
      <c r="AC43" s="22"/>
      <c r="AD43" s="36"/>
      <c r="AE43" s="22"/>
    </row>
    <row r="44" spans="1:31" ht="20.25" customHeight="1">
      <c r="A44" s="72">
        <v>42515</v>
      </c>
      <c r="B44" s="35" t="s">
        <v>144</v>
      </c>
      <c r="C44" s="165">
        <v>2016</v>
      </c>
      <c r="D44" s="65">
        <v>8</v>
      </c>
      <c r="E44" s="65" t="s">
        <v>223</v>
      </c>
      <c r="F44" s="65" t="s">
        <v>224</v>
      </c>
      <c r="G44" s="65" t="s">
        <v>225</v>
      </c>
      <c r="H44" s="65" t="s">
        <v>226</v>
      </c>
      <c r="I44" s="65" t="s">
        <v>253</v>
      </c>
      <c r="J44" s="36" t="s">
        <v>256</v>
      </c>
      <c r="K44" s="36"/>
      <c r="L44" s="36">
        <v>94</v>
      </c>
      <c r="M44" s="36" t="s">
        <v>229</v>
      </c>
      <c r="N44" s="36" t="s">
        <v>256</v>
      </c>
      <c r="O44" s="36">
        <v>252</v>
      </c>
      <c r="P44" s="36">
        <f t="shared" si="0"/>
        <v>37.301587301587304</v>
      </c>
      <c r="Q44" s="36">
        <v>2329.2696025778732</v>
      </c>
      <c r="R44" s="53">
        <f t="shared" si="1"/>
        <v>868.854534294921</v>
      </c>
      <c r="S44" s="36">
        <v>2329.5531274217378</v>
      </c>
      <c r="T44" s="108">
        <f t="shared" si="2"/>
        <v>37.297047406535718</v>
      </c>
      <c r="U44" s="53"/>
      <c r="V44" s="36">
        <v>250</v>
      </c>
      <c r="W44" s="36" t="s">
        <v>364</v>
      </c>
      <c r="X44" s="36"/>
      <c r="Y44" s="36"/>
      <c r="Z44" s="36"/>
      <c r="AA44" s="36"/>
      <c r="AB44" s="36"/>
      <c r="AC44" s="22"/>
      <c r="AD44" s="36"/>
      <c r="AE44" s="22"/>
    </row>
    <row r="45" spans="1:31" ht="20.25" customHeight="1">
      <c r="A45" s="72">
        <v>42515</v>
      </c>
      <c r="B45" s="35" t="s">
        <v>144</v>
      </c>
      <c r="C45" s="165">
        <v>2016</v>
      </c>
      <c r="D45" s="65">
        <v>8</v>
      </c>
      <c r="E45" s="36" t="s">
        <v>223</v>
      </c>
      <c r="F45" s="36" t="s">
        <v>224</v>
      </c>
      <c r="G45" s="36" t="s">
        <v>225</v>
      </c>
      <c r="H45" s="36" t="s">
        <v>226</v>
      </c>
      <c r="I45" s="36" t="s">
        <v>239</v>
      </c>
      <c r="J45" s="36" t="s">
        <v>258</v>
      </c>
      <c r="K45" s="36" t="s">
        <v>259</v>
      </c>
      <c r="L45" s="36">
        <v>1</v>
      </c>
      <c r="M45" s="36" t="s">
        <v>247</v>
      </c>
      <c r="N45" s="36" t="s">
        <v>258</v>
      </c>
      <c r="O45" s="36">
        <v>252</v>
      </c>
      <c r="P45" s="36">
        <f t="shared" si="0"/>
        <v>0.3968253968253968</v>
      </c>
      <c r="Q45" s="36">
        <v>2329.2696025778732</v>
      </c>
      <c r="R45" s="53">
        <f t="shared" si="1"/>
        <v>9.2431333435629881</v>
      </c>
      <c r="S45" s="36">
        <v>2329.5531274217378</v>
      </c>
      <c r="T45" s="108">
        <f t="shared" si="2"/>
        <v>0.39677710006952888</v>
      </c>
      <c r="U45" s="53"/>
      <c r="V45" s="36">
        <v>250</v>
      </c>
      <c r="W45" s="36"/>
      <c r="X45" s="36"/>
      <c r="Y45" s="36"/>
      <c r="Z45" s="36"/>
      <c r="AA45" s="36"/>
      <c r="AB45" s="36"/>
      <c r="AC45" s="22"/>
      <c r="AD45" s="36"/>
      <c r="AE45" s="22"/>
    </row>
    <row r="46" spans="1:31" ht="20.25" customHeight="1">
      <c r="A46" s="35">
        <v>42515</v>
      </c>
      <c r="B46" s="35" t="s">
        <v>144</v>
      </c>
      <c r="C46" s="165">
        <v>2016</v>
      </c>
      <c r="D46" s="65">
        <v>8</v>
      </c>
      <c r="E46" s="65" t="s">
        <v>223</v>
      </c>
      <c r="F46" s="65" t="s">
        <v>224</v>
      </c>
      <c r="G46" s="65" t="s">
        <v>225</v>
      </c>
      <c r="H46" s="65" t="s">
        <v>226</v>
      </c>
      <c r="I46" s="65" t="s">
        <v>261</v>
      </c>
      <c r="J46" s="36" t="s">
        <v>262</v>
      </c>
      <c r="K46" s="36"/>
      <c r="L46" s="36">
        <v>14</v>
      </c>
      <c r="M46" s="36" t="s">
        <v>229</v>
      </c>
      <c r="N46" s="36" t="s">
        <v>264</v>
      </c>
      <c r="O46" s="36">
        <v>252</v>
      </c>
      <c r="P46" s="36">
        <f t="shared" si="0"/>
        <v>5.5555555555555554</v>
      </c>
      <c r="Q46" s="36">
        <v>2329.2696025778732</v>
      </c>
      <c r="R46" s="53">
        <f t="shared" si="1"/>
        <v>129.40386680988183</v>
      </c>
      <c r="S46" s="36">
        <v>2329.5531274217378</v>
      </c>
      <c r="T46" s="108">
        <f t="shared" si="2"/>
        <v>5.5548794009734035</v>
      </c>
      <c r="U46" s="53"/>
      <c r="V46" s="36">
        <v>250</v>
      </c>
      <c r="W46" s="36"/>
      <c r="X46" s="36"/>
      <c r="Y46" s="36"/>
      <c r="Z46" s="36"/>
      <c r="AA46" s="36"/>
      <c r="AB46" s="36"/>
      <c r="AC46" s="22"/>
      <c r="AD46" s="36"/>
      <c r="AE46" s="22"/>
    </row>
    <row r="47" spans="1:31" ht="20.25" customHeight="1">
      <c r="A47" s="35"/>
      <c r="B47" s="35"/>
      <c r="C47" s="165"/>
      <c r="D47" s="53"/>
      <c r="E47" s="53"/>
      <c r="F47" s="53"/>
      <c r="G47" s="53"/>
      <c r="H47" s="53"/>
      <c r="I47" s="53"/>
      <c r="J47" s="36"/>
      <c r="K47" s="36"/>
      <c r="L47" s="36"/>
      <c r="M47" s="36"/>
      <c r="N47" s="36"/>
      <c r="O47" s="36"/>
      <c r="P47" s="36"/>
      <c r="Q47" s="36"/>
      <c r="R47" s="53"/>
      <c r="S47" s="36"/>
      <c r="T47" s="108"/>
      <c r="U47" s="53"/>
      <c r="V47" s="36"/>
      <c r="W47" s="36"/>
      <c r="X47" s="36"/>
      <c r="Y47" s="36"/>
      <c r="Z47" s="36"/>
      <c r="AA47" s="36"/>
      <c r="AB47" s="36"/>
      <c r="AC47" s="22"/>
      <c r="AD47" s="36"/>
      <c r="AE47" s="22"/>
    </row>
    <row r="48" spans="1:31" ht="20.25" customHeight="1">
      <c r="A48" s="35">
        <v>42571</v>
      </c>
      <c r="B48" s="35" t="s">
        <v>154</v>
      </c>
      <c r="C48" s="165">
        <v>2016</v>
      </c>
      <c r="D48" s="65">
        <v>2</v>
      </c>
      <c r="E48" s="36" t="s">
        <v>223</v>
      </c>
      <c r="F48" s="36" t="s">
        <v>267</v>
      </c>
      <c r="G48" s="36"/>
      <c r="H48" s="36" t="s">
        <v>273</v>
      </c>
      <c r="I48" s="36"/>
      <c r="J48" s="36"/>
      <c r="K48" s="36"/>
      <c r="L48" s="36">
        <v>2</v>
      </c>
      <c r="M48" s="36" t="s">
        <v>508</v>
      </c>
      <c r="N48" s="36" t="s">
        <v>335</v>
      </c>
      <c r="O48" s="36">
        <v>5</v>
      </c>
      <c r="P48" s="36">
        <f t="shared" si="0"/>
        <v>40</v>
      </c>
      <c r="Q48" s="36">
        <v>0.73929865201212464</v>
      </c>
      <c r="R48" s="40">
        <f t="shared" si="1"/>
        <v>0.29571946080484984</v>
      </c>
      <c r="S48" s="36">
        <v>7506.7006305531932</v>
      </c>
      <c r="T48" s="40">
        <f t="shared" si="2"/>
        <v>3.9394066096260097E-3</v>
      </c>
      <c r="U48" s="110">
        <f>SUM(T48+T49)</f>
        <v>7.8788132192520195E-3</v>
      </c>
      <c r="V48" s="36">
        <v>1000</v>
      </c>
      <c r="W48" s="36" t="s">
        <v>564</v>
      </c>
      <c r="X48" s="36"/>
      <c r="Y48" s="36">
        <v>2</v>
      </c>
      <c r="Z48" s="36">
        <v>420</v>
      </c>
      <c r="AA48" s="36">
        <f>Y48/Z48</f>
        <v>4.7619047619047623E-3</v>
      </c>
      <c r="AB48" s="36">
        <v>2.6614751472436486</v>
      </c>
      <c r="AC48" s="22">
        <f t="shared" ref="AC48:AC111" si="6">(AA48/100)*AB48</f>
        <v>1.2673691177350708E-4</v>
      </c>
      <c r="AD48" s="36">
        <v>12414.908521334139</v>
      </c>
      <c r="AE48" s="22">
        <f t="shared" ref="AE48:AE111" si="7">AC48/AD48*100</f>
        <v>1.0208445076797683E-6</v>
      </c>
    </row>
    <row r="49" spans="1:31" ht="20.25" customHeight="1">
      <c r="A49" s="72">
        <v>42571</v>
      </c>
      <c r="B49" s="64" t="s">
        <v>154</v>
      </c>
      <c r="C49" s="165">
        <v>2016</v>
      </c>
      <c r="D49" s="65">
        <v>2</v>
      </c>
      <c r="E49" s="36" t="s">
        <v>323</v>
      </c>
      <c r="F49" s="36" t="s">
        <v>324</v>
      </c>
      <c r="G49" s="36"/>
      <c r="H49" s="36" t="s">
        <v>325</v>
      </c>
      <c r="I49" s="36" t="s">
        <v>326</v>
      </c>
      <c r="J49" s="36" t="s">
        <v>327</v>
      </c>
      <c r="K49" s="36"/>
      <c r="L49" s="36">
        <v>2</v>
      </c>
      <c r="M49" s="36" t="s">
        <v>229</v>
      </c>
      <c r="N49" s="36" t="s">
        <v>327</v>
      </c>
      <c r="O49" s="36">
        <v>5</v>
      </c>
      <c r="P49" s="36">
        <f t="shared" si="0"/>
        <v>40</v>
      </c>
      <c r="Q49" s="36">
        <v>0.73929865201212464</v>
      </c>
      <c r="R49" s="40">
        <f t="shared" si="1"/>
        <v>0.29571946080484984</v>
      </c>
      <c r="S49" s="36">
        <v>7506.7006305531932</v>
      </c>
      <c r="T49" s="40">
        <f t="shared" si="2"/>
        <v>3.9394066096260097E-3</v>
      </c>
      <c r="U49" s="110"/>
      <c r="V49" s="36">
        <v>1000</v>
      </c>
      <c r="W49" s="36"/>
      <c r="X49" s="36"/>
      <c r="Y49" s="36">
        <v>2</v>
      </c>
      <c r="Z49" s="36">
        <v>420</v>
      </c>
      <c r="AA49" s="36">
        <f t="shared" ref="AA49:AA62" si="8">Y49/Z49</f>
        <v>4.7619047619047623E-3</v>
      </c>
      <c r="AB49" s="36">
        <v>2.6614751472436486</v>
      </c>
      <c r="AC49" s="22">
        <f t="shared" si="6"/>
        <v>1.2673691177350708E-4</v>
      </c>
      <c r="AD49" s="36">
        <v>12414.908521334139</v>
      </c>
      <c r="AE49" s="22">
        <f t="shared" si="7"/>
        <v>1.0208445076797683E-6</v>
      </c>
    </row>
    <row r="50" spans="1:31" ht="20.25" customHeight="1">
      <c r="A50" s="35">
        <v>42571</v>
      </c>
      <c r="B50" s="35" t="s">
        <v>154</v>
      </c>
      <c r="C50" s="165">
        <v>2016</v>
      </c>
      <c r="D50" s="65">
        <v>2</v>
      </c>
      <c r="E50" s="36" t="s">
        <v>323</v>
      </c>
      <c r="F50" s="36" t="s">
        <v>324</v>
      </c>
      <c r="G50" s="36"/>
      <c r="H50" s="36" t="s">
        <v>560</v>
      </c>
      <c r="I50" s="36" t="s">
        <v>561</v>
      </c>
      <c r="J50" s="36" t="s">
        <v>562</v>
      </c>
      <c r="K50" s="36"/>
      <c r="L50" s="36">
        <v>1</v>
      </c>
      <c r="M50" s="36" t="s">
        <v>229</v>
      </c>
      <c r="N50" s="36" t="s">
        <v>563</v>
      </c>
      <c r="O50" s="36">
        <v>5</v>
      </c>
      <c r="P50" s="36">
        <f t="shared" si="0"/>
        <v>20</v>
      </c>
      <c r="Q50" s="36">
        <v>0.73929865201212464</v>
      </c>
      <c r="R50" s="40">
        <f t="shared" si="1"/>
        <v>0.14785973040242492</v>
      </c>
      <c r="S50" s="36">
        <v>7506.7006305531932</v>
      </c>
      <c r="T50" s="40">
        <f t="shared" si="2"/>
        <v>1.9697033048130049E-3</v>
      </c>
      <c r="U50" s="110"/>
      <c r="V50" s="36">
        <v>1000</v>
      </c>
      <c r="W50" s="36"/>
      <c r="X50" s="36"/>
      <c r="Y50" s="36">
        <v>1</v>
      </c>
      <c r="Z50" s="36">
        <v>420</v>
      </c>
      <c r="AA50" s="36">
        <f t="shared" si="8"/>
        <v>2.3809523809523812E-3</v>
      </c>
      <c r="AB50" s="36">
        <v>2.6614751472436486</v>
      </c>
      <c r="AC50" s="22">
        <f t="shared" si="6"/>
        <v>6.3368455886753539E-5</v>
      </c>
      <c r="AD50" s="36">
        <v>12414.9085213341</v>
      </c>
      <c r="AE50" s="22">
        <f t="shared" si="7"/>
        <v>5.1042225383988564E-7</v>
      </c>
    </row>
    <row r="51" spans="1:31" ht="20.25" customHeight="1">
      <c r="A51" s="35">
        <v>42571</v>
      </c>
      <c r="B51" s="64" t="s">
        <v>154</v>
      </c>
      <c r="C51" s="165">
        <v>2016</v>
      </c>
      <c r="D51" s="65">
        <v>2</v>
      </c>
      <c r="E51" s="36" t="s">
        <v>223</v>
      </c>
      <c r="F51" s="36" t="s">
        <v>224</v>
      </c>
      <c r="G51" s="36" t="s">
        <v>225</v>
      </c>
      <c r="H51" s="36" t="s">
        <v>226</v>
      </c>
      <c r="I51" s="36" t="s">
        <v>227</v>
      </c>
      <c r="J51" s="36" t="s">
        <v>228</v>
      </c>
      <c r="K51" s="36"/>
      <c r="L51" s="36">
        <v>132</v>
      </c>
      <c r="M51" s="3" t="s">
        <v>229</v>
      </c>
      <c r="N51" s="36" t="s">
        <v>228</v>
      </c>
      <c r="O51" s="36">
        <v>179</v>
      </c>
      <c r="P51" s="36">
        <f t="shared" si="0"/>
        <v>73.743016759776538</v>
      </c>
      <c r="Q51" s="36">
        <v>7505.9613319011814</v>
      </c>
      <c r="R51" s="40">
        <f t="shared" si="1"/>
        <v>5535.1223229662346</v>
      </c>
      <c r="S51" s="36">
        <v>7506.7006305531932</v>
      </c>
      <c r="T51" s="40">
        <f t="shared" si="2"/>
        <v>73.735754166585608</v>
      </c>
      <c r="U51" s="110"/>
      <c r="V51" s="3">
        <v>250</v>
      </c>
      <c r="W51" s="36"/>
      <c r="X51" s="36"/>
      <c r="Y51" s="36">
        <f>132+132</f>
        <v>264</v>
      </c>
      <c r="Z51" s="36">
        <v>420</v>
      </c>
      <c r="AA51" s="36">
        <f t="shared" si="8"/>
        <v>0.62857142857142856</v>
      </c>
      <c r="AB51" s="36">
        <v>12412.247046186894</v>
      </c>
      <c r="AC51" s="22">
        <f t="shared" si="6"/>
        <v>78.019838576031916</v>
      </c>
      <c r="AD51" s="36">
        <v>12414.9085213341</v>
      </c>
      <c r="AE51" s="22">
        <f t="shared" si="7"/>
        <v>0.62843667709641682</v>
      </c>
    </row>
    <row r="52" spans="1:31" ht="20.25" customHeight="1">
      <c r="A52" s="35">
        <v>42571</v>
      </c>
      <c r="B52" s="35" t="s">
        <v>154</v>
      </c>
      <c r="C52" s="165">
        <v>2016</v>
      </c>
      <c r="D52" s="65">
        <v>2</v>
      </c>
      <c r="E52" s="36" t="s">
        <v>223</v>
      </c>
      <c r="F52" s="36" t="s">
        <v>310</v>
      </c>
      <c r="G52" s="36" t="s">
        <v>314</v>
      </c>
      <c r="H52" s="36" t="s">
        <v>311</v>
      </c>
      <c r="I52" s="36" t="s">
        <v>315</v>
      </c>
      <c r="J52" s="36" t="s">
        <v>316</v>
      </c>
      <c r="K52" s="36"/>
      <c r="L52" s="36">
        <v>2</v>
      </c>
      <c r="M52" s="36" t="s">
        <v>229</v>
      </c>
      <c r="N52" s="36" t="s">
        <v>345</v>
      </c>
      <c r="O52" s="36">
        <v>179</v>
      </c>
      <c r="P52" s="3">
        <f t="shared" si="0"/>
        <v>1.1173184357541899</v>
      </c>
      <c r="Q52" s="36">
        <v>7505.9613319011814</v>
      </c>
      <c r="R52" s="8">
        <f t="shared" si="1"/>
        <v>83.865489741912626</v>
      </c>
      <c r="S52" s="36">
        <v>7506.7006305531932</v>
      </c>
      <c r="T52" s="40">
        <f t="shared" si="2"/>
        <v>1.1172083964634181</v>
      </c>
      <c r="U52" s="110"/>
      <c r="V52" s="3">
        <v>250</v>
      </c>
      <c r="W52" s="3"/>
      <c r="X52" s="3"/>
      <c r="Y52" s="36">
        <v>2</v>
      </c>
      <c r="Z52" s="36">
        <v>420</v>
      </c>
      <c r="AA52" s="36">
        <f t="shared" si="8"/>
        <v>4.7619047619047623E-3</v>
      </c>
      <c r="AB52" s="36">
        <v>12412.247046186894</v>
      </c>
      <c r="AC52" s="22">
        <f t="shared" si="6"/>
        <v>0.59105938315175688</v>
      </c>
      <c r="AD52" s="36">
        <v>12414.9085213341</v>
      </c>
      <c r="AE52" s="22">
        <f t="shared" si="7"/>
        <v>4.7608839173970963E-3</v>
      </c>
    </row>
    <row r="53" spans="1:31" ht="20.25" customHeight="1">
      <c r="A53" s="72">
        <v>42571</v>
      </c>
      <c r="B53" s="64" t="s">
        <v>154</v>
      </c>
      <c r="C53" s="165">
        <v>2016</v>
      </c>
      <c r="D53" s="65">
        <v>2</v>
      </c>
      <c r="E53" s="36" t="s">
        <v>223</v>
      </c>
      <c r="F53" s="36" t="s">
        <v>224</v>
      </c>
      <c r="G53" s="36" t="s">
        <v>225</v>
      </c>
      <c r="H53" s="36" t="s">
        <v>226</v>
      </c>
      <c r="I53" s="36" t="s">
        <v>239</v>
      </c>
      <c r="J53" s="36" t="s">
        <v>240</v>
      </c>
      <c r="K53" s="36"/>
      <c r="L53" s="36">
        <v>43</v>
      </c>
      <c r="M53" s="3" t="s">
        <v>229</v>
      </c>
      <c r="N53" s="36" t="s">
        <v>240</v>
      </c>
      <c r="O53" s="36">
        <v>179</v>
      </c>
      <c r="P53" s="3">
        <f t="shared" si="0"/>
        <v>24.022346368715084</v>
      </c>
      <c r="Q53" s="36">
        <v>7505.9613319011814</v>
      </c>
      <c r="R53" s="8">
        <f t="shared" si="1"/>
        <v>1803.1080294511219</v>
      </c>
      <c r="S53" s="36">
        <v>7506.7006305531932</v>
      </c>
      <c r="T53" s="40">
        <f t="shared" si="2"/>
        <v>24.019980523963493</v>
      </c>
      <c r="U53" s="110"/>
      <c r="V53" s="36">
        <v>250</v>
      </c>
      <c r="W53" s="3"/>
      <c r="X53" s="3"/>
      <c r="Y53" s="36">
        <f>43+70</f>
        <v>113</v>
      </c>
      <c r="Z53" s="36">
        <v>420</v>
      </c>
      <c r="AA53" s="36">
        <f t="shared" si="8"/>
        <v>0.26904761904761904</v>
      </c>
      <c r="AB53" s="36">
        <v>12412.247046186894</v>
      </c>
      <c r="AC53" s="22">
        <f t="shared" si="6"/>
        <v>33.394855148074257</v>
      </c>
      <c r="AD53" s="36">
        <v>12414.9085213341</v>
      </c>
      <c r="AE53" s="22">
        <f t="shared" si="7"/>
        <v>0.26898994133293591</v>
      </c>
    </row>
    <row r="54" spans="1:31" ht="20.25" customHeight="1">
      <c r="A54" s="35">
        <v>42571</v>
      </c>
      <c r="B54" s="35" t="s">
        <v>154</v>
      </c>
      <c r="C54" s="165">
        <v>2016</v>
      </c>
      <c r="D54" s="65">
        <v>2</v>
      </c>
      <c r="E54" s="36" t="s">
        <v>223</v>
      </c>
      <c r="F54" s="36" t="s">
        <v>224</v>
      </c>
      <c r="G54" s="36" t="s">
        <v>225</v>
      </c>
      <c r="H54" s="36" t="s">
        <v>226</v>
      </c>
      <c r="I54" s="36" t="s">
        <v>253</v>
      </c>
      <c r="J54" s="36" t="s">
        <v>256</v>
      </c>
      <c r="K54" s="36"/>
      <c r="L54" s="36">
        <v>1</v>
      </c>
      <c r="M54" s="3" t="s">
        <v>229</v>
      </c>
      <c r="N54" s="36" t="s">
        <v>256</v>
      </c>
      <c r="O54" s="36">
        <v>179</v>
      </c>
      <c r="P54" s="3">
        <f t="shared" si="0"/>
        <v>0.55865921787709494</v>
      </c>
      <c r="Q54" s="36">
        <v>7505.9613319011814</v>
      </c>
      <c r="R54" s="8">
        <f t="shared" si="1"/>
        <v>41.932744870956313</v>
      </c>
      <c r="S54" s="36">
        <v>7506.7006305531932</v>
      </c>
      <c r="T54" s="40">
        <f t="shared" si="2"/>
        <v>0.55860419823170904</v>
      </c>
      <c r="U54" s="110"/>
      <c r="V54" s="36">
        <v>250</v>
      </c>
      <c r="W54" s="3"/>
      <c r="X54" s="3"/>
      <c r="Y54" s="36">
        <v>15</v>
      </c>
      <c r="Z54" s="36">
        <v>420</v>
      </c>
      <c r="AA54" s="36">
        <f t="shared" si="8"/>
        <v>3.5714285714285712E-2</v>
      </c>
      <c r="AB54" s="36">
        <v>12412.247046186894</v>
      </c>
      <c r="AC54" s="22">
        <f t="shared" si="6"/>
        <v>4.4329453736381765</v>
      </c>
      <c r="AD54" s="36">
        <v>12414.9085213341</v>
      </c>
      <c r="AE54" s="22">
        <f t="shared" si="7"/>
        <v>3.5706629380478222E-2</v>
      </c>
    </row>
    <row r="55" spans="1:31" ht="20.25" customHeight="1">
      <c r="A55" s="35">
        <v>42571</v>
      </c>
      <c r="B55" s="64" t="s">
        <v>154</v>
      </c>
      <c r="C55" s="165">
        <v>2016</v>
      </c>
      <c r="D55" s="65">
        <v>2</v>
      </c>
      <c r="E55" s="65" t="s">
        <v>223</v>
      </c>
      <c r="F55" s="65" t="s">
        <v>224</v>
      </c>
      <c r="G55" s="65" t="s">
        <v>225</v>
      </c>
      <c r="H55" s="65" t="s">
        <v>226</v>
      </c>
      <c r="I55" s="65" t="s">
        <v>261</v>
      </c>
      <c r="J55" s="36" t="s">
        <v>262</v>
      </c>
      <c r="K55" s="36"/>
      <c r="L55" s="36">
        <v>1</v>
      </c>
      <c r="M55" s="3" t="s">
        <v>229</v>
      </c>
      <c r="N55" s="36" t="s">
        <v>264</v>
      </c>
      <c r="O55" s="36">
        <v>179</v>
      </c>
      <c r="P55" s="3">
        <f t="shared" si="0"/>
        <v>0.55865921787709494</v>
      </c>
      <c r="Q55" s="36">
        <v>7505.9613319011814</v>
      </c>
      <c r="R55" s="8">
        <f t="shared" si="1"/>
        <v>41.932744870956313</v>
      </c>
      <c r="S55" s="36">
        <v>7506.7006305531932</v>
      </c>
      <c r="T55" s="40">
        <f t="shared" si="2"/>
        <v>0.55860419823170904</v>
      </c>
      <c r="U55" s="110"/>
      <c r="V55" s="3">
        <v>250</v>
      </c>
      <c r="W55" s="3"/>
      <c r="X55" s="3"/>
      <c r="Y55" s="59">
        <v>4</v>
      </c>
      <c r="Z55" s="36">
        <v>420</v>
      </c>
      <c r="AA55" s="36">
        <f t="shared" si="8"/>
        <v>9.5238095238095247E-3</v>
      </c>
      <c r="AB55" s="36">
        <v>12412.247046186894</v>
      </c>
      <c r="AC55" s="22">
        <f t="shared" si="6"/>
        <v>1.1821187663035138</v>
      </c>
      <c r="AD55" s="36">
        <v>12414.9085213341</v>
      </c>
      <c r="AE55" s="22">
        <f t="shared" si="7"/>
        <v>9.5217678347941925E-3</v>
      </c>
    </row>
    <row r="56" spans="1:31" ht="20.25" customHeight="1">
      <c r="A56" s="35">
        <v>42571</v>
      </c>
      <c r="B56" s="35" t="s">
        <v>154</v>
      </c>
      <c r="C56" s="165">
        <v>2016</v>
      </c>
      <c r="D56" s="36">
        <v>4</v>
      </c>
      <c r="E56" s="36" t="s">
        <v>223</v>
      </c>
      <c r="F56" s="36" t="s">
        <v>267</v>
      </c>
      <c r="G56" s="36"/>
      <c r="H56" s="36" t="s">
        <v>273</v>
      </c>
      <c r="I56" s="36" t="s">
        <v>274</v>
      </c>
      <c r="J56" s="36" t="s">
        <v>275</v>
      </c>
      <c r="K56" s="36" t="s">
        <v>276</v>
      </c>
      <c r="L56" s="36">
        <v>2</v>
      </c>
      <c r="M56" s="36" t="s">
        <v>247</v>
      </c>
      <c r="N56" s="36" t="s">
        <v>275</v>
      </c>
      <c r="O56" s="36">
        <v>13</v>
      </c>
      <c r="P56" s="36">
        <f t="shared" si="0"/>
        <v>15.384615384615385</v>
      </c>
      <c r="Q56" s="36">
        <v>1.9221764952315239</v>
      </c>
      <c r="R56" s="40">
        <f t="shared" si="1"/>
        <v>0.29571946080484984</v>
      </c>
      <c r="S56" s="36">
        <v>4908.2078907809455</v>
      </c>
      <c r="T56" s="40">
        <f t="shared" si="2"/>
        <v>6.024998683537789E-3</v>
      </c>
      <c r="U56" s="110">
        <f>SUM(T59+T62)</f>
        <v>0.89650975343997308</v>
      </c>
      <c r="V56" s="36">
        <v>1000</v>
      </c>
      <c r="W56" s="36"/>
      <c r="X56" s="36"/>
      <c r="Y56" s="59">
        <v>2</v>
      </c>
      <c r="Z56" s="36">
        <v>420</v>
      </c>
      <c r="AA56" s="36">
        <f t="shared" si="8"/>
        <v>4.7619047619047623E-3</v>
      </c>
      <c r="AB56" s="36">
        <v>2.6614751472436486</v>
      </c>
      <c r="AC56" s="22">
        <f t="shared" si="6"/>
        <v>1.2673691177350708E-4</v>
      </c>
      <c r="AD56" s="36">
        <v>12414.9085213341</v>
      </c>
      <c r="AE56" s="22">
        <f t="shared" si="7"/>
        <v>1.0208445076797713E-6</v>
      </c>
    </row>
    <row r="57" spans="1:31" ht="20.25" customHeight="1">
      <c r="A57" s="35">
        <v>42571</v>
      </c>
      <c r="B57" s="64" t="s">
        <v>154</v>
      </c>
      <c r="C57" s="165">
        <v>2016</v>
      </c>
      <c r="D57" s="36">
        <v>4</v>
      </c>
      <c r="E57" s="65" t="s">
        <v>223</v>
      </c>
      <c r="F57" s="65" t="s">
        <v>267</v>
      </c>
      <c r="G57" s="65"/>
      <c r="H57" s="65" t="s">
        <v>273</v>
      </c>
      <c r="I57" s="65"/>
      <c r="J57" s="36" t="s">
        <v>537</v>
      </c>
      <c r="K57" s="36" t="s">
        <v>538</v>
      </c>
      <c r="L57" s="36">
        <v>2</v>
      </c>
      <c r="M57" s="36" t="s">
        <v>247</v>
      </c>
      <c r="N57" s="36" t="s">
        <v>539</v>
      </c>
      <c r="O57" s="36">
        <v>13</v>
      </c>
      <c r="P57" s="36">
        <f t="shared" si="0"/>
        <v>15.384615384615385</v>
      </c>
      <c r="Q57" s="36">
        <v>1.9221764952315239</v>
      </c>
      <c r="R57" s="40">
        <f t="shared" si="1"/>
        <v>0.29571946080484984</v>
      </c>
      <c r="S57" s="36">
        <v>4908.2078907809455</v>
      </c>
      <c r="T57" s="40">
        <f t="shared" si="2"/>
        <v>6.024998683537789E-3</v>
      </c>
      <c r="U57" s="110"/>
      <c r="V57" s="36">
        <v>1000</v>
      </c>
      <c r="W57" s="36"/>
      <c r="X57" s="36"/>
      <c r="Y57" s="59">
        <v>2</v>
      </c>
      <c r="Z57" s="36">
        <v>420</v>
      </c>
      <c r="AA57" s="36">
        <f t="shared" si="8"/>
        <v>4.7619047619047623E-3</v>
      </c>
      <c r="AB57" s="36">
        <v>2.6614751472436486</v>
      </c>
      <c r="AC57" s="22">
        <f t="shared" si="6"/>
        <v>1.2673691177350708E-4</v>
      </c>
      <c r="AD57" s="36">
        <v>12414.9085213341</v>
      </c>
      <c r="AE57" s="22">
        <f t="shared" si="7"/>
        <v>1.0208445076797713E-6</v>
      </c>
    </row>
    <row r="58" spans="1:31" ht="20.25" customHeight="1">
      <c r="A58" s="35">
        <v>42571</v>
      </c>
      <c r="B58" s="35" t="s">
        <v>154</v>
      </c>
      <c r="C58" s="165">
        <v>2016</v>
      </c>
      <c r="D58" s="36">
        <v>4</v>
      </c>
      <c r="E58" s="36" t="s">
        <v>223</v>
      </c>
      <c r="F58" s="36" t="s">
        <v>267</v>
      </c>
      <c r="G58" s="36" t="s">
        <v>278</v>
      </c>
      <c r="H58" s="36" t="s">
        <v>279</v>
      </c>
      <c r="I58" s="36" t="s">
        <v>280</v>
      </c>
      <c r="J58" s="36" t="s">
        <v>284</v>
      </c>
      <c r="K58" s="36" t="s">
        <v>285</v>
      </c>
      <c r="L58" s="36">
        <v>9</v>
      </c>
      <c r="M58" s="36" t="s">
        <v>247</v>
      </c>
      <c r="N58" s="36" t="s">
        <v>24</v>
      </c>
      <c r="O58" s="36">
        <v>13</v>
      </c>
      <c r="P58" s="36">
        <f t="shared" si="0"/>
        <v>69.230769230769226</v>
      </c>
      <c r="Q58" s="36">
        <v>1.9221764952315239</v>
      </c>
      <c r="R58" s="40">
        <f t="shared" si="1"/>
        <v>1.3307375736218241</v>
      </c>
      <c r="S58" s="65">
        <v>4908.2078907809455</v>
      </c>
      <c r="T58" s="40">
        <f t="shared" si="2"/>
        <v>2.7112494075920045E-2</v>
      </c>
      <c r="U58" s="110"/>
      <c r="V58" s="36">
        <v>1000</v>
      </c>
      <c r="W58" s="36"/>
      <c r="X58" s="36"/>
      <c r="Y58" s="59">
        <v>9</v>
      </c>
      <c r="Z58" s="36">
        <v>420</v>
      </c>
      <c r="AA58" s="36">
        <f t="shared" si="8"/>
        <v>2.1428571428571429E-2</v>
      </c>
      <c r="AB58" s="36">
        <v>2.6614751472436486</v>
      </c>
      <c r="AC58" s="22">
        <f t="shared" si="6"/>
        <v>5.7031610298078185E-4</v>
      </c>
      <c r="AD58" s="36">
        <v>12414.9085213341</v>
      </c>
      <c r="AE58" s="22">
        <f t="shared" si="7"/>
        <v>4.5938002845589712E-6</v>
      </c>
    </row>
    <row r="59" spans="1:31" ht="20.25" customHeight="1">
      <c r="A59" s="35">
        <v>42571</v>
      </c>
      <c r="B59" s="35" t="s">
        <v>154</v>
      </c>
      <c r="C59" s="165">
        <v>2016</v>
      </c>
      <c r="D59" s="65">
        <v>4</v>
      </c>
      <c r="E59" s="36" t="s">
        <v>223</v>
      </c>
      <c r="F59" s="36" t="s">
        <v>224</v>
      </c>
      <c r="G59" s="36" t="s">
        <v>225</v>
      </c>
      <c r="H59" s="36" t="s">
        <v>226</v>
      </c>
      <c r="I59" s="3"/>
      <c r="J59" s="3"/>
      <c r="K59" s="3"/>
      <c r="L59" s="36">
        <v>1</v>
      </c>
      <c r="M59" s="3" t="s">
        <v>508</v>
      </c>
      <c r="N59" s="36" t="s">
        <v>600</v>
      </c>
      <c r="O59" s="3">
        <v>223</v>
      </c>
      <c r="P59" s="3">
        <f t="shared" ref="P59:P109" si="9">L59/O59*100</f>
        <v>0.44843049327354262</v>
      </c>
      <c r="Q59" s="36">
        <v>4906.2857142857138</v>
      </c>
      <c r="R59" s="8">
        <f t="shared" ref="R59:R109" si="10">(P59/100)*Q59</f>
        <v>22.00128122998078</v>
      </c>
      <c r="S59" s="36">
        <v>4908.2078907809455</v>
      </c>
      <c r="T59" s="40">
        <f t="shared" ref="T59:T109" si="11">R59/S59*100</f>
        <v>0.44825487671998654</v>
      </c>
      <c r="U59" s="110"/>
      <c r="V59" s="65">
        <v>250</v>
      </c>
      <c r="W59" s="51"/>
      <c r="X59" s="51"/>
      <c r="Y59" s="166">
        <v>1</v>
      </c>
      <c r="Z59" s="36">
        <v>420</v>
      </c>
      <c r="AA59" s="36">
        <f t="shared" si="8"/>
        <v>2.3809523809523812E-3</v>
      </c>
      <c r="AB59" s="36">
        <v>12412.247046186894</v>
      </c>
      <c r="AC59" s="22">
        <f t="shared" si="6"/>
        <v>0.29552969157587844</v>
      </c>
      <c r="AD59" s="36">
        <v>12414.9085213341</v>
      </c>
      <c r="AE59" s="22">
        <f t="shared" si="7"/>
        <v>2.3804419586985481E-3</v>
      </c>
    </row>
    <row r="60" spans="1:31" ht="20.25" customHeight="1">
      <c r="A60" s="72">
        <v>42571</v>
      </c>
      <c r="B60" s="64" t="s">
        <v>154</v>
      </c>
      <c r="C60" s="165">
        <v>2016</v>
      </c>
      <c r="D60" s="65">
        <v>4</v>
      </c>
      <c r="E60" s="51" t="s">
        <v>223</v>
      </c>
      <c r="F60" s="51" t="s">
        <v>224</v>
      </c>
      <c r="G60" s="51" t="s">
        <v>225</v>
      </c>
      <c r="H60" s="51" t="s">
        <v>226</v>
      </c>
      <c r="I60" s="51" t="s">
        <v>235</v>
      </c>
      <c r="J60" s="3" t="s">
        <v>236</v>
      </c>
      <c r="K60" s="3"/>
      <c r="L60" s="65">
        <v>1</v>
      </c>
      <c r="M60" s="51" t="s">
        <v>229</v>
      </c>
      <c r="N60" s="65" t="s">
        <v>236</v>
      </c>
      <c r="O60" s="3">
        <v>223</v>
      </c>
      <c r="P60" s="3">
        <f t="shared" si="9"/>
        <v>0.44843049327354262</v>
      </c>
      <c r="Q60" s="36">
        <v>4906.2857142857138</v>
      </c>
      <c r="R60" s="8">
        <f t="shared" si="10"/>
        <v>22.00128122998078</v>
      </c>
      <c r="S60" s="36">
        <v>4908.2078907809455</v>
      </c>
      <c r="T60" s="40">
        <f t="shared" si="11"/>
        <v>0.44825487671998654</v>
      </c>
      <c r="U60" s="110"/>
      <c r="V60" s="51">
        <v>250</v>
      </c>
      <c r="W60" s="51"/>
      <c r="X60" s="51"/>
      <c r="Y60" s="166">
        <v>1</v>
      </c>
      <c r="Z60" s="36">
        <v>420</v>
      </c>
      <c r="AA60" s="36">
        <f t="shared" si="8"/>
        <v>2.3809523809523812E-3</v>
      </c>
      <c r="AB60" s="36">
        <v>12412.247046186894</v>
      </c>
      <c r="AC60" s="22">
        <f t="shared" si="6"/>
        <v>0.29552969157587844</v>
      </c>
      <c r="AD60" s="36">
        <v>12414.9085213341</v>
      </c>
      <c r="AE60" s="22">
        <f t="shared" si="7"/>
        <v>2.3804419586985481E-3</v>
      </c>
    </row>
    <row r="61" spans="1:31" ht="20.25" customHeight="1">
      <c r="A61" s="72">
        <v>42571</v>
      </c>
      <c r="B61" s="64" t="s">
        <v>154</v>
      </c>
      <c r="C61" s="165">
        <v>2016</v>
      </c>
      <c r="D61" s="65">
        <v>4</v>
      </c>
      <c r="E61" s="51" t="s">
        <v>223</v>
      </c>
      <c r="F61" s="51" t="s">
        <v>224</v>
      </c>
      <c r="G61" s="51" t="s">
        <v>225</v>
      </c>
      <c r="H61" s="51" t="s">
        <v>248</v>
      </c>
      <c r="I61" s="51" t="s">
        <v>249</v>
      </c>
      <c r="J61" s="51" t="s">
        <v>250</v>
      </c>
      <c r="K61" s="3"/>
      <c r="L61" s="36">
        <v>1</v>
      </c>
      <c r="M61" s="3" t="s">
        <v>229</v>
      </c>
      <c r="N61" s="36" t="s">
        <v>250</v>
      </c>
      <c r="O61" s="3">
        <v>223</v>
      </c>
      <c r="P61" s="3">
        <f t="shared" si="9"/>
        <v>0.44843049327354262</v>
      </c>
      <c r="Q61" s="36">
        <v>4906.2857142857138</v>
      </c>
      <c r="R61" s="8">
        <f t="shared" si="10"/>
        <v>22.00128122998078</v>
      </c>
      <c r="S61" s="36">
        <v>4908.2078907809455</v>
      </c>
      <c r="T61" s="40">
        <f t="shared" si="11"/>
        <v>0.44825487671998654</v>
      </c>
      <c r="U61" s="110"/>
      <c r="V61" s="65">
        <v>250</v>
      </c>
      <c r="W61" s="51"/>
      <c r="X61" s="51"/>
      <c r="Y61" s="166">
        <v>1</v>
      </c>
      <c r="Z61" s="36">
        <v>420</v>
      </c>
      <c r="AA61" s="36">
        <f t="shared" si="8"/>
        <v>2.3809523809523812E-3</v>
      </c>
      <c r="AB61" s="36">
        <v>12412.247046186894</v>
      </c>
      <c r="AC61" s="22">
        <f t="shared" si="6"/>
        <v>0.29552969157587844</v>
      </c>
      <c r="AD61" s="36">
        <v>12414.9085213341</v>
      </c>
      <c r="AE61" s="22">
        <f t="shared" si="7"/>
        <v>2.3804419586985481E-3</v>
      </c>
    </row>
    <row r="62" spans="1:31" ht="20.25" customHeight="1">
      <c r="A62" s="72">
        <v>42571</v>
      </c>
      <c r="B62" s="35" t="s">
        <v>154</v>
      </c>
      <c r="C62" s="165">
        <v>2016</v>
      </c>
      <c r="D62" s="65">
        <v>4</v>
      </c>
      <c r="E62" s="3" t="s">
        <v>216</v>
      </c>
      <c r="F62" s="3" t="s">
        <v>217</v>
      </c>
      <c r="G62" s="3"/>
      <c r="H62" s="3"/>
      <c r="I62" s="51"/>
      <c r="J62" s="51" t="s">
        <v>219</v>
      </c>
      <c r="K62" s="3"/>
      <c r="L62" s="36">
        <v>1</v>
      </c>
      <c r="M62" s="36" t="s">
        <v>229</v>
      </c>
      <c r="N62" s="36" t="s">
        <v>219</v>
      </c>
      <c r="O62" s="3">
        <v>223</v>
      </c>
      <c r="P62" s="3">
        <f t="shared" si="9"/>
        <v>0.44843049327354262</v>
      </c>
      <c r="Q62" s="36">
        <v>4906.2857142857138</v>
      </c>
      <c r="R62" s="8">
        <f t="shared" si="10"/>
        <v>22.00128122998078</v>
      </c>
      <c r="S62" s="36">
        <v>4908.2078907809455</v>
      </c>
      <c r="T62" s="40">
        <f t="shared" si="11"/>
        <v>0.44825487671998654</v>
      </c>
      <c r="U62" s="110"/>
      <c r="V62" s="65">
        <v>250</v>
      </c>
      <c r="W62" s="51"/>
      <c r="X62" s="51"/>
      <c r="Y62" s="166">
        <v>1</v>
      </c>
      <c r="Z62" s="36">
        <v>420</v>
      </c>
      <c r="AA62" s="36">
        <f t="shared" si="8"/>
        <v>2.3809523809523812E-3</v>
      </c>
      <c r="AB62" s="36">
        <v>12412.247046186894</v>
      </c>
      <c r="AC62" s="22">
        <f t="shared" si="6"/>
        <v>0.29552969157587844</v>
      </c>
      <c r="AD62" s="36">
        <v>12414.9085213341</v>
      </c>
      <c r="AE62" s="22">
        <f t="shared" si="7"/>
        <v>2.3804419586985481E-3</v>
      </c>
    </row>
    <row r="63" spans="1:31" ht="20.25" customHeight="1">
      <c r="A63" s="35"/>
      <c r="B63" s="35"/>
      <c r="C63" s="165"/>
      <c r="D63" s="53"/>
      <c r="E63" s="53"/>
      <c r="F63" s="53"/>
      <c r="G63" s="53"/>
      <c r="H63" s="53"/>
      <c r="I63" s="53"/>
      <c r="J63" s="36"/>
      <c r="K63" s="3"/>
      <c r="L63" s="36"/>
      <c r="M63" s="3"/>
      <c r="N63" s="36"/>
      <c r="O63" s="3"/>
      <c r="P63" s="3"/>
      <c r="Q63" s="36"/>
      <c r="R63" s="8"/>
      <c r="S63" s="36"/>
      <c r="T63" s="40"/>
      <c r="U63" s="110"/>
      <c r="V63" s="53"/>
      <c r="W63" s="34"/>
      <c r="X63" s="34"/>
      <c r="Y63" s="53"/>
      <c r="Z63" s="36"/>
      <c r="AA63" s="36"/>
      <c r="AB63" s="36"/>
      <c r="AC63" s="22"/>
      <c r="AD63" s="36"/>
      <c r="AE63" s="22"/>
    </row>
    <row r="64" spans="1:31" ht="20.25" customHeight="1">
      <c r="A64" s="86">
        <v>42571</v>
      </c>
      <c r="B64" s="64" t="s">
        <v>154</v>
      </c>
      <c r="C64" s="165">
        <v>2016</v>
      </c>
      <c r="D64" s="76">
        <v>5</v>
      </c>
      <c r="E64" s="36" t="s">
        <v>288</v>
      </c>
      <c r="F64" s="36" t="s">
        <v>289</v>
      </c>
      <c r="G64" s="36"/>
      <c r="H64" s="36" t="s">
        <v>567</v>
      </c>
      <c r="I64" s="36" t="s">
        <v>340</v>
      </c>
      <c r="J64" s="36" t="s">
        <v>565</v>
      </c>
      <c r="K64" s="36" t="s">
        <v>566</v>
      </c>
      <c r="L64" s="36">
        <v>1</v>
      </c>
      <c r="M64" s="36" t="s">
        <v>247</v>
      </c>
      <c r="N64" s="36" t="s">
        <v>294</v>
      </c>
      <c r="O64" s="36">
        <v>2</v>
      </c>
      <c r="P64" s="36">
        <f t="shared" si="9"/>
        <v>50</v>
      </c>
      <c r="Q64" s="65">
        <v>0.27779706924091951</v>
      </c>
      <c r="R64" s="40">
        <f t="shared" si="10"/>
        <v>0.13889853462045976</v>
      </c>
      <c r="S64" s="36">
        <v>2917.1984893968047</v>
      </c>
      <c r="T64" s="40">
        <f t="shared" si="11"/>
        <v>4.7613672886955352E-3</v>
      </c>
      <c r="U64" s="110">
        <f>SUM(T72)</f>
        <v>0.47388851784560487</v>
      </c>
      <c r="V64" s="65">
        <v>1000</v>
      </c>
      <c r="W64" s="65"/>
      <c r="X64" s="65"/>
      <c r="Y64" s="108">
        <v>1</v>
      </c>
      <c r="Z64" s="36">
        <v>453</v>
      </c>
      <c r="AA64" s="36">
        <f>Y64/Z64</f>
        <v>2.2075055187637969E-3</v>
      </c>
      <c r="AB64" s="36">
        <v>0.64944449971187945</v>
      </c>
      <c r="AC64" s="22">
        <f t="shared" si="6"/>
        <v>1.433652317244767E-5</v>
      </c>
      <c r="AD64" s="36">
        <v>5590.3153639503835</v>
      </c>
      <c r="AE64" s="22">
        <f t="shared" si="7"/>
        <v>2.5645285174603815E-7</v>
      </c>
    </row>
    <row r="65" spans="1:31" ht="20.25" customHeight="1">
      <c r="A65" s="86">
        <v>42571</v>
      </c>
      <c r="B65" s="35" t="s">
        <v>154</v>
      </c>
      <c r="C65" s="165">
        <v>2016</v>
      </c>
      <c r="D65" s="76">
        <v>5</v>
      </c>
      <c r="E65" s="36" t="s">
        <v>223</v>
      </c>
      <c r="F65" s="36" t="s">
        <v>267</v>
      </c>
      <c r="G65" s="36" t="s">
        <v>278</v>
      </c>
      <c r="H65" s="36" t="s">
        <v>279</v>
      </c>
      <c r="I65" s="65" t="s">
        <v>280</v>
      </c>
      <c r="J65" s="65" t="s">
        <v>284</v>
      </c>
      <c r="K65" s="36" t="s">
        <v>285</v>
      </c>
      <c r="L65" s="36">
        <v>1</v>
      </c>
      <c r="M65" s="36" t="s">
        <v>247</v>
      </c>
      <c r="N65" s="36" t="s">
        <v>283</v>
      </c>
      <c r="O65" s="36">
        <v>2</v>
      </c>
      <c r="P65" s="36">
        <f t="shared" si="9"/>
        <v>50</v>
      </c>
      <c r="Q65" s="65">
        <v>0.27779706924091951</v>
      </c>
      <c r="R65" s="40">
        <f t="shared" si="10"/>
        <v>0.13889853462045976</v>
      </c>
      <c r="S65" s="65">
        <v>2917.1984893968047</v>
      </c>
      <c r="T65" s="40">
        <f t="shared" si="11"/>
        <v>4.7613672886955352E-3</v>
      </c>
      <c r="U65" s="110"/>
      <c r="V65" s="65">
        <v>1000</v>
      </c>
      <c r="W65" s="65"/>
      <c r="X65" s="65"/>
      <c r="Y65" s="108">
        <v>1</v>
      </c>
      <c r="Z65" s="36">
        <v>453</v>
      </c>
      <c r="AA65" s="36">
        <f t="shared" ref="AA65:AA80" si="12">Y65/Z65</f>
        <v>2.2075055187637969E-3</v>
      </c>
      <c r="AB65" s="36">
        <v>0.64944449971187945</v>
      </c>
      <c r="AC65" s="22">
        <f t="shared" si="6"/>
        <v>1.433652317244767E-5</v>
      </c>
      <c r="AD65" s="36">
        <v>5590.3153639503835</v>
      </c>
      <c r="AE65" s="22">
        <f t="shared" si="7"/>
        <v>2.5645285174603815E-7</v>
      </c>
    </row>
    <row r="66" spans="1:31" ht="20.25" customHeight="1">
      <c r="A66" s="72">
        <v>42571</v>
      </c>
      <c r="B66" s="64" t="s">
        <v>154</v>
      </c>
      <c r="C66" s="165">
        <v>2016</v>
      </c>
      <c r="D66" s="65">
        <v>5</v>
      </c>
      <c r="E66" s="3" t="s">
        <v>223</v>
      </c>
      <c r="F66" s="3" t="s">
        <v>224</v>
      </c>
      <c r="G66" s="3" t="s">
        <v>225</v>
      </c>
      <c r="H66" s="3" t="s">
        <v>226</v>
      </c>
      <c r="I66" s="51" t="s">
        <v>227</v>
      </c>
      <c r="J66" s="51" t="s">
        <v>228</v>
      </c>
      <c r="K66" s="3"/>
      <c r="L66" s="36">
        <v>104</v>
      </c>
      <c r="M66" s="3" t="s">
        <v>229</v>
      </c>
      <c r="N66" s="36" t="s">
        <v>228</v>
      </c>
      <c r="O66" s="3">
        <v>211</v>
      </c>
      <c r="P66" s="3">
        <f t="shared" si="9"/>
        <v>49.289099526066352</v>
      </c>
      <c r="Q66" s="65">
        <v>2916.9206923275638</v>
      </c>
      <c r="R66" s="8">
        <f t="shared" si="10"/>
        <v>1437.7239431377566</v>
      </c>
      <c r="S66" s="36">
        <v>2917.1984893968047</v>
      </c>
      <c r="T66" s="40">
        <f t="shared" si="11"/>
        <v>49.2844058559429</v>
      </c>
      <c r="U66" s="110"/>
      <c r="V66" s="51">
        <v>250</v>
      </c>
      <c r="W66" s="51"/>
      <c r="X66" s="51"/>
      <c r="Y66" s="65">
        <v>222</v>
      </c>
      <c r="Z66" s="36">
        <v>453</v>
      </c>
      <c r="AA66" s="36">
        <f t="shared" si="12"/>
        <v>0.49006622516556292</v>
      </c>
      <c r="AB66" s="36">
        <v>5589.665919450671</v>
      </c>
      <c r="AC66" s="22">
        <f t="shared" si="6"/>
        <v>27.393064770817862</v>
      </c>
      <c r="AD66" s="36">
        <v>5590.3153639503798</v>
      </c>
      <c r="AE66" s="22">
        <f t="shared" si="7"/>
        <v>0.49000929263247567</v>
      </c>
    </row>
    <row r="67" spans="1:31" ht="20.25" customHeight="1">
      <c r="A67" s="72">
        <v>42571</v>
      </c>
      <c r="B67" s="35" t="s">
        <v>154</v>
      </c>
      <c r="C67" s="165">
        <v>2016</v>
      </c>
      <c r="D67" s="65">
        <v>5</v>
      </c>
      <c r="E67" s="3" t="s">
        <v>223</v>
      </c>
      <c r="F67" s="3" t="s">
        <v>224</v>
      </c>
      <c r="G67" s="3" t="s">
        <v>225</v>
      </c>
      <c r="H67" s="3" t="s">
        <v>226</v>
      </c>
      <c r="I67" s="51" t="s">
        <v>235</v>
      </c>
      <c r="J67" s="51" t="s">
        <v>236</v>
      </c>
      <c r="K67" s="3"/>
      <c r="L67" s="36">
        <v>6</v>
      </c>
      <c r="M67" s="3" t="s">
        <v>229</v>
      </c>
      <c r="N67" s="36" t="s">
        <v>236</v>
      </c>
      <c r="O67" s="3">
        <v>211</v>
      </c>
      <c r="P67" s="3">
        <f t="shared" si="9"/>
        <v>2.8436018957345972</v>
      </c>
      <c r="Q67" s="65">
        <v>2916.9206923275638</v>
      </c>
      <c r="R67" s="8">
        <f t="shared" si="10"/>
        <v>82.945612104101343</v>
      </c>
      <c r="S67" s="36">
        <v>2917.1984893968047</v>
      </c>
      <c r="T67" s="40">
        <f t="shared" si="11"/>
        <v>2.8433311070736287</v>
      </c>
      <c r="U67" s="110"/>
      <c r="V67" s="65">
        <v>250</v>
      </c>
      <c r="W67" s="51"/>
      <c r="X67" s="51"/>
      <c r="Y67" s="108">
        <v>14</v>
      </c>
      <c r="Z67" s="36">
        <v>453</v>
      </c>
      <c r="AA67" s="36">
        <f t="shared" si="12"/>
        <v>3.0905077262693158E-2</v>
      </c>
      <c r="AB67" s="36">
        <v>5589.665919450671</v>
      </c>
      <c r="AC67" s="22">
        <f t="shared" si="6"/>
        <v>1.7274905711326578</v>
      </c>
      <c r="AD67" s="36">
        <v>5590.3153639503798</v>
      </c>
      <c r="AE67" s="22">
        <f t="shared" si="7"/>
        <v>3.0901486922768732E-2</v>
      </c>
    </row>
    <row r="68" spans="1:31" ht="20.25" customHeight="1">
      <c r="A68" s="35">
        <v>42571</v>
      </c>
      <c r="B68" s="64" t="s">
        <v>154</v>
      </c>
      <c r="C68" s="165">
        <v>2016</v>
      </c>
      <c r="D68" s="65">
        <v>5</v>
      </c>
      <c r="E68" s="36" t="s">
        <v>223</v>
      </c>
      <c r="F68" s="36" t="s">
        <v>224</v>
      </c>
      <c r="G68" s="36" t="s">
        <v>225</v>
      </c>
      <c r="H68" s="36" t="s">
        <v>226</v>
      </c>
      <c r="I68" s="36" t="s">
        <v>239</v>
      </c>
      <c r="J68" s="36" t="s">
        <v>240</v>
      </c>
      <c r="K68" s="3"/>
      <c r="L68" s="36">
        <v>53</v>
      </c>
      <c r="M68" s="3" t="s">
        <v>229</v>
      </c>
      <c r="N68" s="36" t="s">
        <v>240</v>
      </c>
      <c r="O68" s="3">
        <v>211</v>
      </c>
      <c r="P68" s="3">
        <f t="shared" si="9"/>
        <v>25.118483412322274</v>
      </c>
      <c r="Q68" s="65">
        <v>2916.9206923275638</v>
      </c>
      <c r="R68" s="8">
        <f t="shared" si="10"/>
        <v>732.68624025289512</v>
      </c>
      <c r="S68" s="36">
        <v>2917.1984893968047</v>
      </c>
      <c r="T68" s="40">
        <f t="shared" si="11"/>
        <v>25.116091445817052</v>
      </c>
      <c r="U68" s="110"/>
      <c r="V68" s="65">
        <v>250</v>
      </c>
      <c r="W68" s="51"/>
      <c r="X68" s="51"/>
      <c r="Y68" s="65">
        <v>90</v>
      </c>
      <c r="Z68" s="36">
        <v>453</v>
      </c>
      <c r="AA68" s="36">
        <f t="shared" si="12"/>
        <v>0.19867549668874171</v>
      </c>
      <c r="AB68" s="36">
        <v>5589.665919450671</v>
      </c>
      <c r="AC68" s="22">
        <f t="shared" si="6"/>
        <v>11.105296528709943</v>
      </c>
      <c r="AD68" s="36">
        <v>5590.3153639503798</v>
      </c>
      <c r="AE68" s="22">
        <f t="shared" si="7"/>
        <v>0.19865241593208469</v>
      </c>
    </row>
    <row r="69" spans="1:31" ht="20.25" customHeight="1">
      <c r="A69" s="72">
        <v>42571</v>
      </c>
      <c r="B69" s="35" t="s">
        <v>154</v>
      </c>
      <c r="C69" s="165">
        <v>2016</v>
      </c>
      <c r="D69" s="65">
        <v>5</v>
      </c>
      <c r="E69" s="51" t="s">
        <v>223</v>
      </c>
      <c r="F69" s="51" t="s">
        <v>224</v>
      </c>
      <c r="G69" s="51" t="s">
        <v>225</v>
      </c>
      <c r="H69" s="51" t="s">
        <v>248</v>
      </c>
      <c r="I69" s="51" t="s">
        <v>249</v>
      </c>
      <c r="J69" s="3" t="s">
        <v>250</v>
      </c>
      <c r="K69" s="3"/>
      <c r="L69" s="36">
        <v>4</v>
      </c>
      <c r="M69" s="3" t="s">
        <v>229</v>
      </c>
      <c r="N69" s="36" t="s">
        <v>250</v>
      </c>
      <c r="O69" s="3">
        <v>211</v>
      </c>
      <c r="P69" s="3">
        <f t="shared" si="9"/>
        <v>1.8957345971563981</v>
      </c>
      <c r="Q69" s="65">
        <v>2916.9206923275638</v>
      </c>
      <c r="R69" s="8">
        <f t="shared" si="10"/>
        <v>55.297074736067565</v>
      </c>
      <c r="S69" s="36">
        <v>2917.1984893968047</v>
      </c>
      <c r="T69" s="40">
        <f t="shared" si="11"/>
        <v>1.8955540713824195</v>
      </c>
      <c r="U69" s="110"/>
      <c r="V69" s="3">
        <v>250</v>
      </c>
      <c r="W69" s="3"/>
      <c r="X69" s="3"/>
      <c r="Y69" s="108">
        <v>4</v>
      </c>
      <c r="Z69" s="36">
        <v>453</v>
      </c>
      <c r="AA69" s="36">
        <f t="shared" si="12"/>
        <v>8.8300220750551876E-3</v>
      </c>
      <c r="AB69" s="36">
        <v>5589.665919450671</v>
      </c>
      <c r="AC69" s="22">
        <f t="shared" si="6"/>
        <v>0.49356873460933076</v>
      </c>
      <c r="AD69" s="36">
        <v>5590.3153639503798</v>
      </c>
      <c r="AE69" s="22">
        <f t="shared" si="7"/>
        <v>8.8289962636482078E-3</v>
      </c>
    </row>
    <row r="70" spans="1:31" ht="20.25" customHeight="1">
      <c r="A70" s="72">
        <v>42571</v>
      </c>
      <c r="B70" s="64" t="s">
        <v>154</v>
      </c>
      <c r="C70" s="165">
        <v>2016</v>
      </c>
      <c r="D70" s="65">
        <v>5</v>
      </c>
      <c r="E70" s="65" t="s">
        <v>223</v>
      </c>
      <c r="F70" s="65" t="s">
        <v>224</v>
      </c>
      <c r="G70" s="65" t="s">
        <v>225</v>
      </c>
      <c r="H70" s="65" t="s">
        <v>226</v>
      </c>
      <c r="I70" s="65" t="s">
        <v>253</v>
      </c>
      <c r="J70" s="36" t="s">
        <v>256</v>
      </c>
      <c r="K70" s="3"/>
      <c r="L70" s="36">
        <v>32</v>
      </c>
      <c r="M70" s="3" t="s">
        <v>229</v>
      </c>
      <c r="N70" s="36" t="s">
        <v>256</v>
      </c>
      <c r="O70" s="3">
        <v>211</v>
      </c>
      <c r="P70" s="3">
        <f t="shared" si="9"/>
        <v>15.165876777251185</v>
      </c>
      <c r="Q70" s="65">
        <v>2916.9206923275638</v>
      </c>
      <c r="R70" s="8">
        <f t="shared" si="10"/>
        <v>442.37659788854052</v>
      </c>
      <c r="S70" s="36">
        <v>2917.1984893968047</v>
      </c>
      <c r="T70" s="40">
        <f t="shared" si="11"/>
        <v>15.164432571059356</v>
      </c>
      <c r="U70" s="110"/>
      <c r="V70" s="36">
        <v>250</v>
      </c>
      <c r="W70" s="3"/>
      <c r="X70" s="3"/>
      <c r="Y70" s="36">
        <v>78</v>
      </c>
      <c r="Z70" s="36">
        <v>453</v>
      </c>
      <c r="AA70" s="36">
        <f t="shared" si="12"/>
        <v>0.17218543046357615</v>
      </c>
      <c r="AB70" s="36">
        <v>5589.665919450671</v>
      </c>
      <c r="AC70" s="22">
        <f t="shared" si="6"/>
        <v>9.6245903248819502</v>
      </c>
      <c r="AD70" s="36">
        <v>5590.3153639503798</v>
      </c>
      <c r="AE70" s="22">
        <f t="shared" si="7"/>
        <v>0.17216542714114008</v>
      </c>
    </row>
    <row r="71" spans="1:31" ht="20.25" customHeight="1">
      <c r="A71" s="72">
        <v>42571</v>
      </c>
      <c r="B71" s="35" t="s">
        <v>154</v>
      </c>
      <c r="C71" s="165">
        <v>2016</v>
      </c>
      <c r="D71" s="65">
        <v>5</v>
      </c>
      <c r="E71" s="36" t="s">
        <v>223</v>
      </c>
      <c r="F71" s="36" t="s">
        <v>224</v>
      </c>
      <c r="G71" s="36" t="s">
        <v>225</v>
      </c>
      <c r="H71" s="36" t="s">
        <v>226</v>
      </c>
      <c r="I71" s="36" t="s">
        <v>261</v>
      </c>
      <c r="J71" s="36" t="s">
        <v>262</v>
      </c>
      <c r="K71" s="3"/>
      <c r="L71" s="36">
        <v>11</v>
      </c>
      <c r="M71" s="3" t="s">
        <v>229</v>
      </c>
      <c r="N71" s="36" t="s">
        <v>264</v>
      </c>
      <c r="O71" s="3">
        <v>211</v>
      </c>
      <c r="P71" s="3">
        <f t="shared" si="9"/>
        <v>5.2132701421800949</v>
      </c>
      <c r="Q71" s="65">
        <v>2916.9206923275638</v>
      </c>
      <c r="R71" s="8">
        <f t="shared" si="10"/>
        <v>152.0669555241858</v>
      </c>
      <c r="S71" s="36">
        <v>2917.1984893968047</v>
      </c>
      <c r="T71" s="40">
        <f t="shared" si="11"/>
        <v>5.2127736963016531</v>
      </c>
      <c r="U71" s="110"/>
      <c r="V71" s="3">
        <v>250</v>
      </c>
      <c r="W71" s="3"/>
      <c r="X71" s="3"/>
      <c r="Y71" s="108">
        <v>31</v>
      </c>
      <c r="Z71" s="36">
        <v>453</v>
      </c>
      <c r="AA71" s="36">
        <f t="shared" si="12"/>
        <v>6.8432671081677707E-2</v>
      </c>
      <c r="AB71" s="36">
        <v>5589.665919450671</v>
      </c>
      <c r="AC71" s="22">
        <f t="shared" si="6"/>
        <v>3.8251576932223137</v>
      </c>
      <c r="AD71" s="36">
        <v>5590.3153639503798</v>
      </c>
      <c r="AE71" s="22">
        <f t="shared" si="7"/>
        <v>6.8424721043273615E-2</v>
      </c>
    </row>
    <row r="72" spans="1:31" ht="20.25" customHeight="1">
      <c r="A72" s="85">
        <v>42571</v>
      </c>
      <c r="B72" s="64" t="s">
        <v>154</v>
      </c>
      <c r="C72" s="165">
        <v>2016</v>
      </c>
      <c r="D72" s="69">
        <v>5</v>
      </c>
      <c r="E72" s="69" t="s">
        <v>370</v>
      </c>
      <c r="F72" s="69"/>
      <c r="G72" s="69"/>
      <c r="H72" s="69"/>
      <c r="I72" s="69"/>
      <c r="J72" s="67"/>
      <c r="K72" s="67"/>
      <c r="L72" s="67">
        <v>1</v>
      </c>
      <c r="M72" s="67" t="s">
        <v>328</v>
      </c>
      <c r="N72" s="67" t="s">
        <v>328</v>
      </c>
      <c r="O72" s="67">
        <v>211</v>
      </c>
      <c r="P72" s="67">
        <f t="shared" si="9"/>
        <v>0.47393364928909953</v>
      </c>
      <c r="Q72" s="65">
        <v>2916.9206923275638</v>
      </c>
      <c r="R72" s="8">
        <f t="shared" si="10"/>
        <v>13.824268684016891</v>
      </c>
      <c r="S72" s="36">
        <v>2917.1984893968047</v>
      </c>
      <c r="T72" s="40">
        <f t="shared" si="11"/>
        <v>0.47388851784560487</v>
      </c>
      <c r="U72" s="110"/>
      <c r="V72" s="67">
        <v>250</v>
      </c>
      <c r="W72" s="67"/>
      <c r="X72" s="67"/>
      <c r="Y72" s="36">
        <v>2</v>
      </c>
      <c r="Z72" s="36">
        <v>453</v>
      </c>
      <c r="AA72" s="36">
        <f t="shared" si="12"/>
        <v>4.4150110375275938E-3</v>
      </c>
      <c r="AB72" s="36">
        <v>5589.665919450671</v>
      </c>
      <c r="AC72" s="22">
        <f t="shared" si="6"/>
        <v>0.24678436730466538</v>
      </c>
      <c r="AD72" s="36">
        <v>5590.3153639503798</v>
      </c>
      <c r="AE72" s="22">
        <f t="shared" si="7"/>
        <v>4.4144981318241039E-3</v>
      </c>
    </row>
    <row r="73" spans="1:31" ht="20.25" customHeight="1">
      <c r="A73" s="35">
        <v>42571</v>
      </c>
      <c r="B73" s="35" t="s">
        <v>154</v>
      </c>
      <c r="C73" s="165">
        <v>2016</v>
      </c>
      <c r="D73" s="65">
        <v>8</v>
      </c>
      <c r="E73" s="36" t="s">
        <v>209</v>
      </c>
      <c r="F73" s="36" t="s">
        <v>210</v>
      </c>
      <c r="G73" s="36"/>
      <c r="H73" s="36" t="s">
        <v>211</v>
      </c>
      <c r="I73" s="36" t="s">
        <v>212</v>
      </c>
      <c r="J73" s="36" t="s">
        <v>213</v>
      </c>
      <c r="K73" s="36" t="s">
        <v>214</v>
      </c>
      <c r="L73" s="36">
        <v>1</v>
      </c>
      <c r="M73" s="36" t="s">
        <v>247</v>
      </c>
      <c r="N73" s="36" t="s">
        <v>215</v>
      </c>
      <c r="O73" s="36">
        <v>3</v>
      </c>
      <c r="P73" s="36">
        <f t="shared" si="9"/>
        <v>33.333333333333329</v>
      </c>
      <c r="Q73" s="36">
        <v>0.37164743047095994</v>
      </c>
      <c r="R73" s="40">
        <f t="shared" si="10"/>
        <v>0.12388247682365329</v>
      </c>
      <c r="S73" s="36">
        <v>2673.1168745535783</v>
      </c>
      <c r="T73" s="40">
        <f t="shared" si="11"/>
        <v>4.6343831054653072E-3</v>
      </c>
      <c r="U73" s="110" t="e">
        <f>SUM(T77+T80+#REF!)</f>
        <v>#REF!</v>
      </c>
      <c r="V73" s="36">
        <v>1000</v>
      </c>
      <c r="W73" s="36"/>
      <c r="X73" s="36"/>
      <c r="Y73" s="108">
        <v>1</v>
      </c>
      <c r="Z73" s="36">
        <v>453</v>
      </c>
      <c r="AA73" s="36">
        <f t="shared" si="12"/>
        <v>2.2075055187637969E-3</v>
      </c>
      <c r="AB73" s="36">
        <v>0.64944449971187945</v>
      </c>
      <c r="AC73" s="22">
        <f t="shared" si="6"/>
        <v>1.433652317244767E-5</v>
      </c>
      <c r="AD73" s="36">
        <v>5590.3153639503798</v>
      </c>
      <c r="AE73" s="22">
        <f t="shared" si="7"/>
        <v>2.5645285174603831E-7</v>
      </c>
    </row>
    <row r="74" spans="1:31" ht="20.25" customHeight="1">
      <c r="A74" s="35">
        <v>42571</v>
      </c>
      <c r="B74" s="64" t="s">
        <v>154</v>
      </c>
      <c r="C74" s="165">
        <v>2016</v>
      </c>
      <c r="D74" s="65">
        <v>8</v>
      </c>
      <c r="E74" s="36" t="s">
        <v>223</v>
      </c>
      <c r="F74" s="36" t="s">
        <v>224</v>
      </c>
      <c r="G74" s="36" t="s">
        <v>225</v>
      </c>
      <c r="H74" s="36" t="s">
        <v>555</v>
      </c>
      <c r="I74" s="36" t="s">
        <v>556</v>
      </c>
      <c r="J74" s="36" t="s">
        <v>557</v>
      </c>
      <c r="K74" s="36"/>
      <c r="L74" s="36">
        <v>1</v>
      </c>
      <c r="M74" s="36" t="s">
        <v>229</v>
      </c>
      <c r="N74" s="36" t="s">
        <v>557</v>
      </c>
      <c r="O74" s="36">
        <v>3</v>
      </c>
      <c r="P74" s="36">
        <f t="shared" si="9"/>
        <v>33.333333333333329</v>
      </c>
      <c r="Q74" s="36">
        <v>0.37164743047095994</v>
      </c>
      <c r="R74" s="40">
        <f t="shared" si="10"/>
        <v>0.12388247682365329</v>
      </c>
      <c r="S74" s="36">
        <v>2673.1168745535783</v>
      </c>
      <c r="T74" s="40">
        <f t="shared" si="11"/>
        <v>4.6343831054653072E-3</v>
      </c>
      <c r="U74" s="110"/>
      <c r="V74" s="36">
        <v>1000</v>
      </c>
      <c r="W74" s="36"/>
      <c r="X74" s="36"/>
      <c r="Y74" s="36">
        <v>1</v>
      </c>
      <c r="Z74" s="36">
        <v>453</v>
      </c>
      <c r="AA74" s="36">
        <f t="shared" si="12"/>
        <v>2.2075055187637969E-3</v>
      </c>
      <c r="AB74" s="36">
        <v>0.64944449971187945</v>
      </c>
      <c r="AC74" s="22">
        <f t="shared" si="6"/>
        <v>1.433652317244767E-5</v>
      </c>
      <c r="AD74" s="36">
        <v>5590.3153639503798</v>
      </c>
      <c r="AE74" s="22">
        <f t="shared" si="7"/>
        <v>2.5645285174603831E-7</v>
      </c>
    </row>
    <row r="75" spans="1:31" ht="20.25" customHeight="1">
      <c r="A75" s="35">
        <v>42571</v>
      </c>
      <c r="B75" s="35" t="s">
        <v>154</v>
      </c>
      <c r="C75" s="165">
        <v>2016</v>
      </c>
      <c r="D75" s="65">
        <v>8</v>
      </c>
      <c r="E75" s="36" t="s">
        <v>223</v>
      </c>
      <c r="F75" s="36" t="s">
        <v>224</v>
      </c>
      <c r="G75" s="36" t="s">
        <v>225</v>
      </c>
      <c r="H75" s="36" t="s">
        <v>521</v>
      </c>
      <c r="I75" s="36" t="s">
        <v>522</v>
      </c>
      <c r="J75" s="36" t="s">
        <v>523</v>
      </c>
      <c r="K75" s="36" t="s">
        <v>551</v>
      </c>
      <c r="L75" s="36">
        <v>1</v>
      </c>
      <c r="M75" s="36" t="s">
        <v>544</v>
      </c>
      <c r="N75" s="36" t="s">
        <v>524</v>
      </c>
      <c r="O75" s="36">
        <v>3</v>
      </c>
      <c r="P75" s="36">
        <f t="shared" si="9"/>
        <v>33.333333333333329</v>
      </c>
      <c r="Q75" s="36">
        <v>0.37164743047095994</v>
      </c>
      <c r="R75" s="40">
        <f t="shared" si="10"/>
        <v>0.12388247682365329</v>
      </c>
      <c r="S75" s="36">
        <v>2673.1168745535783</v>
      </c>
      <c r="T75" s="40">
        <f t="shared" si="11"/>
        <v>4.6343831054653072E-3</v>
      </c>
      <c r="U75" s="110"/>
      <c r="V75" s="36">
        <v>1000</v>
      </c>
      <c r="W75" s="36"/>
      <c r="X75" s="36"/>
      <c r="Y75" s="108">
        <v>1</v>
      </c>
      <c r="Z75" s="36">
        <v>453</v>
      </c>
      <c r="AA75" s="36">
        <f t="shared" si="12"/>
        <v>2.2075055187637969E-3</v>
      </c>
      <c r="AB75" s="36">
        <v>0.64944449971187945</v>
      </c>
      <c r="AC75" s="22">
        <f t="shared" si="6"/>
        <v>1.433652317244767E-5</v>
      </c>
      <c r="AD75" s="36">
        <v>5590.3153639503798</v>
      </c>
      <c r="AE75" s="22">
        <f t="shared" si="7"/>
        <v>2.5645285174603831E-7</v>
      </c>
    </row>
    <row r="76" spans="1:31" ht="20.25" customHeight="1">
      <c r="A76" s="72">
        <v>42571</v>
      </c>
      <c r="B76" s="35" t="s">
        <v>154</v>
      </c>
      <c r="C76" s="165">
        <v>2016</v>
      </c>
      <c r="D76" s="65">
        <v>8</v>
      </c>
      <c r="E76" s="51" t="s">
        <v>223</v>
      </c>
      <c r="F76" s="3" t="s">
        <v>303</v>
      </c>
      <c r="G76" s="3" t="s">
        <v>304</v>
      </c>
      <c r="H76" s="51" t="s">
        <v>305</v>
      </c>
      <c r="I76" s="51" t="s">
        <v>306</v>
      </c>
      <c r="J76" s="51" t="s">
        <v>307</v>
      </c>
      <c r="K76" s="51"/>
      <c r="L76" s="65">
        <v>1</v>
      </c>
      <c r="M76" s="51" t="s">
        <v>229</v>
      </c>
      <c r="N76" s="51" t="s">
        <v>307</v>
      </c>
      <c r="O76" s="3">
        <v>237</v>
      </c>
      <c r="P76" s="3">
        <f t="shared" si="9"/>
        <v>0.42194092827004215</v>
      </c>
      <c r="Q76" s="36">
        <v>2672.7452271231073</v>
      </c>
      <c r="R76" s="8">
        <f t="shared" si="10"/>
        <v>11.277406021616486</v>
      </c>
      <c r="S76" s="36">
        <v>2673.1168745535783</v>
      </c>
      <c r="T76" s="40">
        <f t="shared" si="11"/>
        <v>0.42188226519275773</v>
      </c>
      <c r="U76" s="110"/>
      <c r="V76" s="36">
        <v>250</v>
      </c>
      <c r="W76" s="36" t="s">
        <v>620</v>
      </c>
      <c r="X76" s="3"/>
      <c r="Y76" s="36">
        <v>1</v>
      </c>
      <c r="Z76" s="36">
        <v>453</v>
      </c>
      <c r="AA76" s="36">
        <f t="shared" si="12"/>
        <v>2.2075055187637969E-3</v>
      </c>
      <c r="AB76" s="36">
        <v>5589.665919450671</v>
      </c>
      <c r="AC76" s="22">
        <f t="shared" si="6"/>
        <v>0.12339218365233269</v>
      </c>
      <c r="AD76" s="36">
        <v>5590.3153639503798</v>
      </c>
      <c r="AE76" s="22">
        <f t="shared" si="7"/>
        <v>2.207249065912052E-3</v>
      </c>
    </row>
    <row r="77" spans="1:31" ht="20.25" customHeight="1">
      <c r="A77" s="72">
        <v>42571</v>
      </c>
      <c r="B77" s="64" t="s">
        <v>154</v>
      </c>
      <c r="C77" s="165">
        <v>2016</v>
      </c>
      <c r="D77" s="65">
        <v>8</v>
      </c>
      <c r="E77" s="36" t="s">
        <v>300</v>
      </c>
      <c r="F77" s="36" t="s">
        <v>320</v>
      </c>
      <c r="G77" s="36"/>
      <c r="H77" s="36"/>
      <c r="I77" s="36"/>
      <c r="J77" s="36"/>
      <c r="K77" s="36"/>
      <c r="L77" s="36">
        <v>3</v>
      </c>
      <c r="M77" s="36" t="s">
        <v>221</v>
      </c>
      <c r="N77" s="36" t="s">
        <v>322</v>
      </c>
      <c r="O77" s="36">
        <v>237</v>
      </c>
      <c r="P77" s="36">
        <f t="shared" si="9"/>
        <v>1.2658227848101267</v>
      </c>
      <c r="Q77" s="36">
        <v>2672.7452271231073</v>
      </c>
      <c r="R77" s="40">
        <f t="shared" si="10"/>
        <v>33.832218064849464</v>
      </c>
      <c r="S77" s="36">
        <v>2673.1168745535783</v>
      </c>
      <c r="T77" s="40">
        <f t="shared" si="11"/>
        <v>1.2656467955782735</v>
      </c>
      <c r="U77" s="110"/>
      <c r="V77" s="36">
        <v>250</v>
      </c>
      <c r="W77" s="36"/>
      <c r="X77" s="36"/>
      <c r="Y77" s="108">
        <v>3</v>
      </c>
      <c r="Z77" s="36">
        <v>453</v>
      </c>
      <c r="AA77" s="36">
        <f t="shared" si="12"/>
        <v>6.6225165562913907E-3</v>
      </c>
      <c r="AB77" s="36">
        <v>5589.665919450671</v>
      </c>
      <c r="AC77" s="22">
        <f t="shared" si="6"/>
        <v>0.37017655095699808</v>
      </c>
      <c r="AD77" s="36">
        <v>5590.3153639503798</v>
      </c>
      <c r="AE77" s="22">
        <f t="shared" si="7"/>
        <v>6.6217471977361563E-3</v>
      </c>
    </row>
    <row r="78" spans="1:31" ht="20.25" customHeight="1">
      <c r="A78" s="72">
        <v>42571</v>
      </c>
      <c r="B78" s="35" t="s">
        <v>154</v>
      </c>
      <c r="C78" s="165">
        <v>2016</v>
      </c>
      <c r="D78" s="65">
        <v>8</v>
      </c>
      <c r="E78" s="76" t="s">
        <v>295</v>
      </c>
      <c r="F78" s="38" t="s">
        <v>296</v>
      </c>
      <c r="G78" s="38"/>
      <c r="H78" s="76" t="s">
        <v>297</v>
      </c>
      <c r="I78" s="76" t="s">
        <v>298</v>
      </c>
      <c r="J78" s="76" t="s">
        <v>299</v>
      </c>
      <c r="K78" s="36"/>
      <c r="L78" s="36">
        <v>1</v>
      </c>
      <c r="M78" s="36" t="s">
        <v>229</v>
      </c>
      <c r="N78" s="36" t="s">
        <v>369</v>
      </c>
      <c r="O78" s="36">
        <v>237</v>
      </c>
      <c r="P78" s="36">
        <f t="shared" si="9"/>
        <v>0.42194092827004215</v>
      </c>
      <c r="Q78" s="36">
        <v>2672.7452271231073</v>
      </c>
      <c r="R78" s="53">
        <f t="shared" si="10"/>
        <v>11.277406021616486</v>
      </c>
      <c r="S78" s="36">
        <v>2673.1168745535783</v>
      </c>
      <c r="T78" s="53">
        <f t="shared" si="11"/>
        <v>0.42188226519275773</v>
      </c>
      <c r="U78" s="53"/>
      <c r="V78" s="36">
        <v>250</v>
      </c>
      <c r="W78" s="36"/>
      <c r="X78" s="36"/>
      <c r="Y78" s="36">
        <v>1</v>
      </c>
      <c r="Z78" s="36">
        <v>453</v>
      </c>
      <c r="AA78" s="36">
        <f t="shared" si="12"/>
        <v>2.2075055187637969E-3</v>
      </c>
      <c r="AB78" s="36">
        <v>5589.665919450671</v>
      </c>
      <c r="AC78" s="22">
        <f t="shared" si="6"/>
        <v>0.12339218365233269</v>
      </c>
      <c r="AD78" s="36">
        <v>5590.3153639503798</v>
      </c>
      <c r="AE78" s="22">
        <f t="shared" si="7"/>
        <v>2.207249065912052E-3</v>
      </c>
    </row>
    <row r="79" spans="1:31" ht="20.25" customHeight="1">
      <c r="A79" s="35">
        <v>42571</v>
      </c>
      <c r="B79" s="35" t="s">
        <v>154</v>
      </c>
      <c r="C79" s="165">
        <v>2016</v>
      </c>
      <c r="D79" s="65">
        <v>8</v>
      </c>
      <c r="E79" s="51" t="s">
        <v>223</v>
      </c>
      <c r="F79" s="51" t="s">
        <v>317</v>
      </c>
      <c r="G79" s="51" t="s">
        <v>314</v>
      </c>
      <c r="H79" s="51" t="s">
        <v>346</v>
      </c>
      <c r="I79" s="51" t="s">
        <v>315</v>
      </c>
      <c r="J79" s="3" t="s">
        <v>347</v>
      </c>
      <c r="K79" s="3"/>
      <c r="L79" s="36">
        <v>1</v>
      </c>
      <c r="M79" s="36" t="s">
        <v>229</v>
      </c>
      <c r="N79" s="36" t="s">
        <v>345</v>
      </c>
      <c r="O79" s="3">
        <v>237</v>
      </c>
      <c r="P79" s="3">
        <f t="shared" si="9"/>
        <v>0.42194092827004215</v>
      </c>
      <c r="Q79" s="36">
        <v>2672.7452271231073</v>
      </c>
      <c r="R79" s="8">
        <f t="shared" si="10"/>
        <v>11.277406021616486</v>
      </c>
      <c r="S79" s="36">
        <v>2673.1168745535783</v>
      </c>
      <c r="T79" s="40">
        <f t="shared" si="11"/>
        <v>0.42188226519275773</v>
      </c>
      <c r="U79" s="110"/>
      <c r="V79" s="3">
        <v>250</v>
      </c>
      <c r="W79" s="3"/>
      <c r="X79" s="3"/>
      <c r="Y79" s="108">
        <v>1</v>
      </c>
      <c r="Z79" s="36">
        <v>453</v>
      </c>
      <c r="AA79" s="36">
        <f t="shared" si="12"/>
        <v>2.2075055187637969E-3</v>
      </c>
      <c r="AB79" s="36">
        <v>5589.665919450671</v>
      </c>
      <c r="AC79" s="22">
        <f t="shared" si="6"/>
        <v>0.12339218365233269</v>
      </c>
      <c r="AD79" s="36">
        <v>5590.3153639503798</v>
      </c>
      <c r="AE79" s="22">
        <f t="shared" si="7"/>
        <v>2.207249065912052E-3</v>
      </c>
    </row>
    <row r="80" spans="1:31" ht="20" customHeight="1">
      <c r="A80" s="72">
        <v>42571</v>
      </c>
      <c r="B80" s="35" t="s">
        <v>154</v>
      </c>
      <c r="C80" s="165">
        <v>2016</v>
      </c>
      <c r="D80" s="65">
        <v>8</v>
      </c>
      <c r="E80" s="3" t="s">
        <v>216</v>
      </c>
      <c r="F80" s="3" t="s">
        <v>217</v>
      </c>
      <c r="G80" s="3"/>
      <c r="H80" s="3"/>
      <c r="I80" s="3"/>
      <c r="J80" s="3" t="s">
        <v>219</v>
      </c>
      <c r="K80" s="3"/>
      <c r="L80" s="36">
        <v>1</v>
      </c>
      <c r="M80" s="36" t="s">
        <v>229</v>
      </c>
      <c r="N80" s="36" t="s">
        <v>219</v>
      </c>
      <c r="O80" s="3">
        <v>237</v>
      </c>
      <c r="P80" s="3">
        <f t="shared" si="9"/>
        <v>0.42194092827004215</v>
      </c>
      <c r="Q80" s="36">
        <v>2672.7452271231073</v>
      </c>
      <c r="R80" s="8">
        <f t="shared" si="10"/>
        <v>11.277406021616486</v>
      </c>
      <c r="S80" s="36">
        <v>2673.1168745535783</v>
      </c>
      <c r="T80" s="40">
        <f t="shared" si="11"/>
        <v>0.42188226519275773</v>
      </c>
      <c r="U80" s="110"/>
      <c r="V80" s="3">
        <v>250</v>
      </c>
      <c r="W80" s="3"/>
      <c r="X80" s="3"/>
      <c r="Y80" s="36">
        <v>1</v>
      </c>
      <c r="Z80" s="36">
        <v>453</v>
      </c>
      <c r="AA80" s="36">
        <f t="shared" si="12"/>
        <v>2.2075055187637969E-3</v>
      </c>
      <c r="AB80" s="36">
        <v>5589.665919450671</v>
      </c>
      <c r="AC80" s="22">
        <f t="shared" si="6"/>
        <v>0.12339218365233269</v>
      </c>
      <c r="AD80" s="36">
        <v>5590.3153639503798</v>
      </c>
      <c r="AE80" s="22">
        <f t="shared" si="7"/>
        <v>2.207249065912052E-3</v>
      </c>
    </row>
    <row r="81" spans="1:31" ht="20.25" customHeight="1">
      <c r="A81" s="167"/>
      <c r="B81" s="64"/>
      <c r="C81" s="165"/>
      <c r="D81" s="75"/>
      <c r="E81" s="75"/>
      <c r="F81" s="75"/>
      <c r="G81" s="75"/>
      <c r="H81" s="75"/>
      <c r="I81" s="75"/>
      <c r="J81" s="67"/>
      <c r="K81" s="67"/>
      <c r="L81" s="67"/>
      <c r="M81" s="67"/>
      <c r="N81" s="67"/>
      <c r="O81" s="67"/>
      <c r="P81" s="67"/>
      <c r="Q81" s="53"/>
      <c r="R81" s="8"/>
      <c r="S81" s="36"/>
      <c r="T81" s="40"/>
      <c r="U81" s="110"/>
      <c r="V81" s="67"/>
      <c r="W81" s="67"/>
      <c r="X81" s="67"/>
      <c r="Y81" s="36"/>
      <c r="Z81" s="36"/>
      <c r="AA81" s="36"/>
      <c r="AB81" s="36"/>
      <c r="AC81" s="22"/>
      <c r="AD81" s="36"/>
      <c r="AE81" s="22"/>
    </row>
    <row r="82" spans="1:31" ht="20.25" customHeight="1">
      <c r="A82" s="35">
        <v>42634</v>
      </c>
      <c r="B82" s="35" t="s">
        <v>157</v>
      </c>
      <c r="C82" s="165">
        <v>2016</v>
      </c>
      <c r="D82" s="65">
        <v>2</v>
      </c>
      <c r="E82" s="65" t="s">
        <v>223</v>
      </c>
      <c r="F82" s="65" t="s">
        <v>267</v>
      </c>
      <c r="G82" s="65"/>
      <c r="H82" s="65" t="s">
        <v>273</v>
      </c>
      <c r="I82" s="65"/>
      <c r="J82" s="36"/>
      <c r="K82" s="36"/>
      <c r="L82" s="36">
        <v>12</v>
      </c>
      <c r="M82" s="36" t="s">
        <v>508</v>
      </c>
      <c r="N82" s="36" t="s">
        <v>494</v>
      </c>
      <c r="O82" s="36">
        <v>19</v>
      </c>
      <c r="P82" s="36">
        <f t="shared" si="9"/>
        <v>63.157894736842103</v>
      </c>
      <c r="Q82" s="36">
        <v>1.8688708413525965</v>
      </c>
      <c r="R82" s="40">
        <f t="shared" si="10"/>
        <v>1.1803394787490082</v>
      </c>
      <c r="S82" s="36">
        <v>13805.0079230722</v>
      </c>
      <c r="T82" s="40">
        <f t="shared" si="11"/>
        <v>8.5500818639612387E-3</v>
      </c>
      <c r="U82" s="110">
        <f>SUM(T82+T87)</f>
        <v>0.43767652980551514</v>
      </c>
      <c r="V82" s="36">
        <v>1000</v>
      </c>
      <c r="W82" s="36"/>
      <c r="X82" s="36"/>
      <c r="Y82" s="36">
        <v>13</v>
      </c>
      <c r="Z82" s="36">
        <v>535</v>
      </c>
      <c r="AA82" s="36">
        <f>Y82/Z82</f>
        <v>2.4299065420560748E-2</v>
      </c>
      <c r="AB82" s="36">
        <v>14.63474274035082</v>
      </c>
      <c r="AC82" s="22">
        <f t="shared" si="6"/>
        <v>3.5561057126086105E-3</v>
      </c>
      <c r="AD82" s="36">
        <v>18762.551706135309</v>
      </c>
      <c r="AE82" s="22">
        <f t="shared" si="7"/>
        <v>1.8953209394465105E-5</v>
      </c>
    </row>
    <row r="83" spans="1:31" ht="20.25" customHeight="1">
      <c r="A83" s="35">
        <v>42634</v>
      </c>
      <c r="B83" s="35" t="s">
        <v>157</v>
      </c>
      <c r="C83" s="165">
        <v>2016</v>
      </c>
      <c r="D83" s="65">
        <v>2</v>
      </c>
      <c r="E83" s="36" t="s">
        <v>223</v>
      </c>
      <c r="F83" s="36" t="s">
        <v>267</v>
      </c>
      <c r="G83" s="36"/>
      <c r="H83" s="36" t="s">
        <v>273</v>
      </c>
      <c r="I83" s="36" t="s">
        <v>274</v>
      </c>
      <c r="J83" s="36" t="s">
        <v>275</v>
      </c>
      <c r="K83" s="36" t="s">
        <v>276</v>
      </c>
      <c r="L83" s="36">
        <v>2</v>
      </c>
      <c r="M83" s="36" t="s">
        <v>247</v>
      </c>
      <c r="N83" s="36" t="s">
        <v>275</v>
      </c>
      <c r="O83" s="36">
        <v>19</v>
      </c>
      <c r="P83" s="36">
        <f t="shared" si="9"/>
        <v>10.526315789473683</v>
      </c>
      <c r="Q83" s="36">
        <v>1.8688708413525965</v>
      </c>
      <c r="R83" s="40">
        <f t="shared" si="10"/>
        <v>0.19672324645816805</v>
      </c>
      <c r="S83" s="36">
        <v>13805.0079230722</v>
      </c>
      <c r="T83" s="40">
        <f t="shared" si="11"/>
        <v>1.4250136439935398E-3</v>
      </c>
      <c r="U83" s="110"/>
      <c r="V83" s="36">
        <v>1000</v>
      </c>
      <c r="W83" s="36"/>
      <c r="X83" s="36"/>
      <c r="Y83" s="36">
        <v>6</v>
      </c>
      <c r="Z83" s="36">
        <v>535</v>
      </c>
      <c r="AA83" s="36">
        <f t="shared" ref="AA83:AA146" si="13">Y83/Z83</f>
        <v>1.1214953271028037E-2</v>
      </c>
      <c r="AB83" s="36">
        <v>14.63474274035082</v>
      </c>
      <c r="AC83" s="22">
        <f t="shared" si="6"/>
        <v>1.6412795596655123E-3</v>
      </c>
      <c r="AD83" s="36">
        <v>18762.551706135309</v>
      </c>
      <c r="AE83" s="22">
        <f t="shared" si="7"/>
        <v>8.7476351051377408E-6</v>
      </c>
    </row>
    <row r="84" spans="1:31" ht="20.25" customHeight="1">
      <c r="A84" s="35">
        <v>42634</v>
      </c>
      <c r="B84" s="35" t="s">
        <v>157</v>
      </c>
      <c r="C84" s="165">
        <v>2016</v>
      </c>
      <c r="D84" s="65">
        <v>2</v>
      </c>
      <c r="E84" s="36" t="s">
        <v>223</v>
      </c>
      <c r="F84" s="36" t="s">
        <v>267</v>
      </c>
      <c r="G84" s="36" t="s">
        <v>278</v>
      </c>
      <c r="H84" s="36" t="s">
        <v>279</v>
      </c>
      <c r="I84" s="36" t="s">
        <v>280</v>
      </c>
      <c r="J84" s="36" t="s">
        <v>284</v>
      </c>
      <c r="K84" s="36" t="s">
        <v>285</v>
      </c>
      <c r="L84" s="36">
        <v>5</v>
      </c>
      <c r="M84" s="36" t="s">
        <v>247</v>
      </c>
      <c r="N84" s="36" t="s">
        <v>24</v>
      </c>
      <c r="O84" s="36">
        <v>19</v>
      </c>
      <c r="P84" s="36">
        <f t="shared" si="9"/>
        <v>26.315789473684209</v>
      </c>
      <c r="Q84" s="36">
        <v>1.8688708413525965</v>
      </c>
      <c r="R84" s="40">
        <f t="shared" si="10"/>
        <v>0.49180811614542008</v>
      </c>
      <c r="S84" s="65">
        <v>13805.0079230722</v>
      </c>
      <c r="T84" s="40">
        <f t="shared" si="11"/>
        <v>3.5625341099838493E-3</v>
      </c>
      <c r="U84" s="110"/>
      <c r="V84" s="36">
        <v>1000</v>
      </c>
      <c r="W84" s="36"/>
      <c r="X84" s="36"/>
      <c r="Y84" s="36">
        <v>122</v>
      </c>
      <c r="Z84" s="36">
        <v>535</v>
      </c>
      <c r="AA84" s="36">
        <f t="shared" si="13"/>
        <v>0.22803738317757008</v>
      </c>
      <c r="AB84" s="36">
        <v>14.63474274035082</v>
      </c>
      <c r="AC84" s="22">
        <f t="shared" si="6"/>
        <v>3.3372684379865424E-2</v>
      </c>
      <c r="AD84" s="36">
        <v>18762.551706135298</v>
      </c>
      <c r="AE84" s="22">
        <f t="shared" si="7"/>
        <v>1.7786858047113418E-4</v>
      </c>
    </row>
    <row r="85" spans="1:31" ht="20.25" customHeight="1">
      <c r="A85" s="13">
        <v>42634</v>
      </c>
      <c r="B85" s="35" t="s">
        <v>157</v>
      </c>
      <c r="C85" s="165">
        <v>2016</v>
      </c>
      <c r="D85" s="65">
        <v>2</v>
      </c>
      <c r="E85" s="51" t="s">
        <v>223</v>
      </c>
      <c r="F85" s="51" t="s">
        <v>224</v>
      </c>
      <c r="G85" s="51" t="s">
        <v>225</v>
      </c>
      <c r="H85" s="51" t="s">
        <v>226</v>
      </c>
      <c r="I85" s="51" t="s">
        <v>227</v>
      </c>
      <c r="J85" s="3" t="s">
        <v>228</v>
      </c>
      <c r="K85" s="3"/>
      <c r="L85" s="36">
        <v>118</v>
      </c>
      <c r="M85" s="3" t="s">
        <v>229</v>
      </c>
      <c r="N85" s="36" t="s">
        <v>228</v>
      </c>
      <c r="O85" s="3">
        <v>233</v>
      </c>
      <c r="P85" s="3">
        <f t="shared" si="9"/>
        <v>50.643776824034333</v>
      </c>
      <c r="Q85" s="36">
        <v>13803.139052230848</v>
      </c>
      <c r="R85" s="8">
        <f t="shared" si="10"/>
        <v>6990.4309363229195</v>
      </c>
      <c r="S85" s="36">
        <v>13805.0079230722</v>
      </c>
      <c r="T85" s="40">
        <f t="shared" si="11"/>
        <v>50.636920857103362</v>
      </c>
      <c r="U85" s="110"/>
      <c r="V85" s="36">
        <v>250</v>
      </c>
      <c r="W85" s="3"/>
      <c r="X85" s="3"/>
      <c r="Y85" s="36">
        <f>118+111</f>
        <v>229</v>
      </c>
      <c r="Z85" s="36">
        <v>535</v>
      </c>
      <c r="AA85" s="36">
        <f t="shared" si="13"/>
        <v>0.42803738317757012</v>
      </c>
      <c r="AB85" s="36">
        <v>18747.91696339496</v>
      </c>
      <c r="AC85" s="22">
        <f t="shared" si="6"/>
        <v>80.248093170419551</v>
      </c>
      <c r="AD85" s="36">
        <v>18762.551706135298</v>
      </c>
      <c r="AE85" s="22">
        <f t="shared" si="7"/>
        <v>0.42770351510439092</v>
      </c>
    </row>
    <row r="86" spans="1:31" ht="20.25" customHeight="1">
      <c r="A86" s="71">
        <v>42634</v>
      </c>
      <c r="B86" s="35" t="s">
        <v>157</v>
      </c>
      <c r="C86" s="165">
        <v>2016</v>
      </c>
      <c r="D86" s="65">
        <v>2</v>
      </c>
      <c r="E86" s="36" t="s">
        <v>223</v>
      </c>
      <c r="F86" s="36" t="s">
        <v>224</v>
      </c>
      <c r="G86" s="36" t="s">
        <v>225</v>
      </c>
      <c r="H86" s="36" t="s">
        <v>226</v>
      </c>
      <c r="I86" s="36" t="s">
        <v>239</v>
      </c>
      <c r="J86" s="36" t="s">
        <v>240</v>
      </c>
      <c r="K86" s="3"/>
      <c r="L86" s="36">
        <v>114</v>
      </c>
      <c r="M86" s="3" t="s">
        <v>229</v>
      </c>
      <c r="N86" s="36" t="s">
        <v>240</v>
      </c>
      <c r="O86" s="3">
        <v>233</v>
      </c>
      <c r="P86" s="3">
        <f t="shared" si="9"/>
        <v>48.927038626609445</v>
      </c>
      <c r="Q86" s="36">
        <v>13803.139052230848</v>
      </c>
      <c r="R86" s="8">
        <f t="shared" si="10"/>
        <v>6753.4671757695996</v>
      </c>
      <c r="S86" s="36">
        <v>13805.0079230722</v>
      </c>
      <c r="T86" s="40">
        <f t="shared" si="11"/>
        <v>48.920415065337146</v>
      </c>
      <c r="U86" s="110"/>
      <c r="V86" s="3">
        <v>250</v>
      </c>
      <c r="W86" s="3"/>
      <c r="X86" s="3"/>
      <c r="Y86" s="36">
        <f>114+37</f>
        <v>151</v>
      </c>
      <c r="Z86" s="36">
        <v>535</v>
      </c>
      <c r="AA86" s="36">
        <f t="shared" si="13"/>
        <v>0.28224299065420561</v>
      </c>
      <c r="AB86" s="36">
        <v>18747.91696339496</v>
      </c>
      <c r="AC86" s="22">
        <f t="shared" si="6"/>
        <v>52.914681522853073</v>
      </c>
      <c r="AD86" s="36">
        <v>18762.551706135298</v>
      </c>
      <c r="AE86" s="22">
        <f t="shared" si="7"/>
        <v>0.28202284183739318</v>
      </c>
    </row>
    <row r="87" spans="1:31" ht="20.25" customHeight="1">
      <c r="A87" s="84">
        <v>42634</v>
      </c>
      <c r="B87" s="35" t="s">
        <v>157</v>
      </c>
      <c r="C87" s="165">
        <v>2016</v>
      </c>
      <c r="D87" s="53">
        <v>2</v>
      </c>
      <c r="E87" s="3" t="s">
        <v>216</v>
      </c>
      <c r="F87" s="3" t="s">
        <v>217</v>
      </c>
      <c r="G87" s="3"/>
      <c r="H87" s="3"/>
      <c r="I87" s="3"/>
      <c r="J87" s="3" t="s">
        <v>219</v>
      </c>
      <c r="K87" s="3"/>
      <c r="L87" s="36">
        <v>1</v>
      </c>
      <c r="M87" s="36" t="s">
        <v>229</v>
      </c>
      <c r="N87" s="36" t="s">
        <v>219</v>
      </c>
      <c r="O87" s="3">
        <v>233</v>
      </c>
      <c r="P87" s="3">
        <f t="shared" si="9"/>
        <v>0.42918454935622319</v>
      </c>
      <c r="Q87" s="36">
        <v>13803.139052230848</v>
      </c>
      <c r="R87" s="8">
        <f t="shared" si="10"/>
        <v>59.240940138329819</v>
      </c>
      <c r="S87" s="36">
        <v>13805.0079230722</v>
      </c>
      <c r="T87" s="40">
        <f t="shared" si="11"/>
        <v>0.42912644794155391</v>
      </c>
      <c r="U87" s="110"/>
      <c r="V87" s="36">
        <v>250</v>
      </c>
      <c r="W87" s="3"/>
      <c r="X87" s="3"/>
      <c r="Y87" s="36">
        <v>2</v>
      </c>
      <c r="Z87" s="36">
        <v>535</v>
      </c>
      <c r="AA87" s="36">
        <f t="shared" si="13"/>
        <v>3.7383177570093459E-3</v>
      </c>
      <c r="AB87" s="36">
        <v>18747.91696339496</v>
      </c>
      <c r="AC87" s="22">
        <f t="shared" si="6"/>
        <v>0.70085670891196117</v>
      </c>
      <c r="AD87" s="36">
        <v>18762.551706135298</v>
      </c>
      <c r="AE87" s="22">
        <f t="shared" si="7"/>
        <v>3.7354018786409692E-3</v>
      </c>
    </row>
    <row r="88" spans="1:31" ht="20.25" customHeight="1">
      <c r="A88" s="64">
        <v>42634</v>
      </c>
      <c r="B88" s="35" t="s">
        <v>157</v>
      </c>
      <c r="C88" s="165">
        <v>2016</v>
      </c>
      <c r="D88" s="53">
        <v>4</v>
      </c>
      <c r="E88" s="36" t="s">
        <v>223</v>
      </c>
      <c r="F88" s="36" t="s">
        <v>267</v>
      </c>
      <c r="G88" s="36" t="s">
        <v>278</v>
      </c>
      <c r="H88" s="36" t="s">
        <v>269</v>
      </c>
      <c r="I88" s="36"/>
      <c r="J88" s="36" t="s">
        <v>270</v>
      </c>
      <c r="K88" s="36"/>
      <c r="L88" s="36">
        <v>1</v>
      </c>
      <c r="M88" s="36" t="s">
        <v>229</v>
      </c>
      <c r="N88" s="36" t="s">
        <v>270</v>
      </c>
      <c r="O88" s="36">
        <v>127</v>
      </c>
      <c r="P88" s="36">
        <f t="shared" si="9"/>
        <v>0.78740157480314954</v>
      </c>
      <c r="Q88" s="65">
        <v>12.765871898998224</v>
      </c>
      <c r="R88" s="53">
        <f t="shared" si="10"/>
        <v>0.10051867637006476</v>
      </c>
      <c r="S88" s="65">
        <v>4957.5437830631108</v>
      </c>
      <c r="T88" s="53">
        <f t="shared" si="11"/>
        <v>2.0275902900439425E-3</v>
      </c>
      <c r="U88" s="110" t="e">
        <f>SUM(T88+T89+#REF!+T93+#REF!)</f>
        <v>#REF!</v>
      </c>
      <c r="V88" s="36">
        <v>1000</v>
      </c>
      <c r="W88" s="36" t="s">
        <v>531</v>
      </c>
      <c r="X88" s="36"/>
      <c r="Y88" s="36">
        <v>1</v>
      </c>
      <c r="Z88" s="36">
        <v>535</v>
      </c>
      <c r="AA88" s="36">
        <f t="shared" si="13"/>
        <v>1.869158878504673E-3</v>
      </c>
      <c r="AB88" s="36">
        <v>14.63474274035082</v>
      </c>
      <c r="AC88" s="22">
        <f t="shared" si="6"/>
        <v>2.7354659327758542E-4</v>
      </c>
      <c r="AD88" s="36">
        <v>18762.551706135298</v>
      </c>
      <c r="AE88" s="22">
        <f t="shared" si="7"/>
        <v>1.4579391841896243E-6</v>
      </c>
    </row>
    <row r="89" spans="1:31" ht="20.25" customHeight="1">
      <c r="A89" s="72">
        <v>42634</v>
      </c>
      <c r="B89" s="35" t="s">
        <v>157</v>
      </c>
      <c r="C89" s="165">
        <v>2016</v>
      </c>
      <c r="D89" s="53">
        <v>4</v>
      </c>
      <c r="E89" s="36" t="s">
        <v>300</v>
      </c>
      <c r="F89" s="36" t="s">
        <v>320</v>
      </c>
      <c r="G89" s="36"/>
      <c r="H89" s="36"/>
      <c r="I89" s="36"/>
      <c r="J89" s="36"/>
      <c r="K89" s="36"/>
      <c r="L89" s="36">
        <v>2</v>
      </c>
      <c r="M89" s="36" t="s">
        <v>221</v>
      </c>
      <c r="N89" s="36" t="s">
        <v>512</v>
      </c>
      <c r="O89" s="36">
        <v>127</v>
      </c>
      <c r="P89" s="36">
        <f t="shared" si="9"/>
        <v>1.5748031496062991</v>
      </c>
      <c r="Q89" s="65">
        <v>12.765871898998224</v>
      </c>
      <c r="R89" s="53">
        <f t="shared" si="10"/>
        <v>0.20103735274012952</v>
      </c>
      <c r="S89" s="65">
        <v>4957.5437830631108</v>
      </c>
      <c r="T89" s="53">
        <f t="shared" si="11"/>
        <v>4.0551805800878851E-3</v>
      </c>
      <c r="U89" s="110"/>
      <c r="V89" s="36">
        <v>1000</v>
      </c>
      <c r="W89" s="36"/>
      <c r="X89" s="36"/>
      <c r="Y89" s="36">
        <v>2</v>
      </c>
      <c r="Z89" s="36">
        <v>535</v>
      </c>
      <c r="AA89" s="36">
        <f t="shared" si="13"/>
        <v>3.7383177570093459E-3</v>
      </c>
      <c r="AB89" s="36">
        <v>14.63474274035082</v>
      </c>
      <c r="AC89" s="22">
        <f t="shared" si="6"/>
        <v>5.4709318655517085E-4</v>
      </c>
      <c r="AD89" s="36">
        <v>18762.551706135298</v>
      </c>
      <c r="AE89" s="22">
        <f t="shared" si="7"/>
        <v>2.9158783683792486E-6</v>
      </c>
    </row>
    <row r="90" spans="1:31" ht="20.25" customHeight="1">
      <c r="A90" s="35">
        <v>42634</v>
      </c>
      <c r="B90" s="35" t="s">
        <v>157</v>
      </c>
      <c r="C90" s="165">
        <v>2016</v>
      </c>
      <c r="D90" s="53">
        <v>4</v>
      </c>
      <c r="E90" s="36" t="s">
        <v>526</v>
      </c>
      <c r="F90" s="36" t="s">
        <v>267</v>
      </c>
      <c r="G90" s="36" t="s">
        <v>278</v>
      </c>
      <c r="H90" s="36" t="s">
        <v>272</v>
      </c>
      <c r="I90" s="36" t="s">
        <v>527</v>
      </c>
      <c r="J90" s="36" t="s">
        <v>528</v>
      </c>
      <c r="K90" s="36" t="s">
        <v>529</v>
      </c>
      <c r="L90" s="36">
        <v>1</v>
      </c>
      <c r="M90" s="36" t="s">
        <v>247</v>
      </c>
      <c r="N90" s="36" t="s">
        <v>530</v>
      </c>
      <c r="O90" s="36">
        <v>127</v>
      </c>
      <c r="P90" s="36">
        <f t="shared" si="9"/>
        <v>0.78740157480314954</v>
      </c>
      <c r="Q90" s="65">
        <v>12.765871898998224</v>
      </c>
      <c r="R90" s="53">
        <f t="shared" si="10"/>
        <v>0.10051867637006476</v>
      </c>
      <c r="S90" s="65">
        <v>4957.5437830631108</v>
      </c>
      <c r="T90" s="53">
        <f t="shared" si="11"/>
        <v>2.0275902900439425E-3</v>
      </c>
      <c r="U90" s="110"/>
      <c r="V90" s="36">
        <v>1000</v>
      </c>
      <c r="W90" s="36"/>
      <c r="X90" s="36"/>
      <c r="Y90" s="36">
        <v>1</v>
      </c>
      <c r="Z90" s="36">
        <v>535</v>
      </c>
      <c r="AA90" s="36">
        <f t="shared" si="13"/>
        <v>1.869158878504673E-3</v>
      </c>
      <c r="AB90" s="36">
        <v>14.63474274035082</v>
      </c>
      <c r="AC90" s="22">
        <f t="shared" si="6"/>
        <v>2.7354659327758542E-4</v>
      </c>
      <c r="AD90" s="36">
        <v>18762.551706135298</v>
      </c>
      <c r="AE90" s="22">
        <f t="shared" si="7"/>
        <v>1.4579391841896243E-6</v>
      </c>
    </row>
    <row r="91" spans="1:31" ht="20.25" customHeight="1">
      <c r="A91" s="35">
        <v>42634</v>
      </c>
      <c r="B91" s="35" t="s">
        <v>157</v>
      </c>
      <c r="C91" s="165">
        <v>2016</v>
      </c>
      <c r="D91" s="53">
        <v>4</v>
      </c>
      <c r="E91" s="36" t="s">
        <v>223</v>
      </c>
      <c r="F91" s="36" t="s">
        <v>224</v>
      </c>
      <c r="G91" s="36" t="s">
        <v>225</v>
      </c>
      <c r="H91" s="36" t="s">
        <v>521</v>
      </c>
      <c r="I91" s="36" t="s">
        <v>522</v>
      </c>
      <c r="J91" s="36" t="s">
        <v>523</v>
      </c>
      <c r="K91" s="36" t="s">
        <v>551</v>
      </c>
      <c r="L91" s="36">
        <v>1</v>
      </c>
      <c r="M91" s="36" t="s">
        <v>247</v>
      </c>
      <c r="N91" s="36" t="s">
        <v>524</v>
      </c>
      <c r="O91" s="36">
        <v>127</v>
      </c>
      <c r="P91" s="36">
        <f t="shared" si="9"/>
        <v>0.78740157480314954</v>
      </c>
      <c r="Q91" s="65">
        <v>12.765871898998224</v>
      </c>
      <c r="R91" s="53">
        <f t="shared" si="10"/>
        <v>0.10051867637006476</v>
      </c>
      <c r="S91" s="65">
        <v>4957.5437830631108</v>
      </c>
      <c r="T91" s="53">
        <f t="shared" si="11"/>
        <v>2.0275902900439425E-3</v>
      </c>
      <c r="U91" s="110"/>
      <c r="V91" s="36">
        <v>1000</v>
      </c>
      <c r="W91" s="36"/>
      <c r="X91" s="36"/>
      <c r="Y91" s="36">
        <v>1</v>
      </c>
      <c r="Z91" s="36">
        <v>535</v>
      </c>
      <c r="AA91" s="36">
        <f t="shared" si="13"/>
        <v>1.869158878504673E-3</v>
      </c>
      <c r="AB91" s="36">
        <v>14.63474274035082</v>
      </c>
      <c r="AC91" s="22">
        <f t="shared" si="6"/>
        <v>2.7354659327758542E-4</v>
      </c>
      <c r="AD91" s="36">
        <v>18762.551706135298</v>
      </c>
      <c r="AE91" s="22">
        <f t="shared" si="7"/>
        <v>1.4579391841896243E-6</v>
      </c>
    </row>
    <row r="92" spans="1:31" ht="20.25" customHeight="1">
      <c r="A92" s="35">
        <v>42634</v>
      </c>
      <c r="B92" s="35" t="s">
        <v>157</v>
      </c>
      <c r="C92" s="165">
        <v>2016</v>
      </c>
      <c r="D92" s="53">
        <v>4</v>
      </c>
      <c r="E92" s="65" t="s">
        <v>223</v>
      </c>
      <c r="F92" s="65" t="s">
        <v>224</v>
      </c>
      <c r="G92" s="65" t="s">
        <v>225</v>
      </c>
      <c r="H92" s="65" t="s">
        <v>226</v>
      </c>
      <c r="I92" s="65" t="s">
        <v>235</v>
      </c>
      <c r="J92" s="36" t="s">
        <v>236</v>
      </c>
      <c r="K92" s="36"/>
      <c r="L92" s="36">
        <v>1</v>
      </c>
      <c r="M92" s="36" t="s">
        <v>229</v>
      </c>
      <c r="N92" s="36" t="s">
        <v>236</v>
      </c>
      <c r="O92" s="36">
        <v>156</v>
      </c>
      <c r="P92" s="36">
        <f t="shared" si="9"/>
        <v>0.64102564102564097</v>
      </c>
      <c r="Q92" s="76">
        <v>4944.777911164113</v>
      </c>
      <c r="R92" s="53">
        <f t="shared" si="10"/>
        <v>31.697294302334058</v>
      </c>
      <c r="S92" s="65">
        <v>4957.5437830631108</v>
      </c>
      <c r="T92" s="53">
        <f t="shared" si="11"/>
        <v>0.63937497457156689</v>
      </c>
      <c r="U92" s="110"/>
      <c r="V92" s="36">
        <v>250</v>
      </c>
      <c r="W92" s="36"/>
      <c r="X92" s="36"/>
      <c r="Y92" s="36">
        <v>1</v>
      </c>
      <c r="Z92" s="36">
        <v>535</v>
      </c>
      <c r="AA92" s="36">
        <f t="shared" si="13"/>
        <v>1.869158878504673E-3</v>
      </c>
      <c r="AB92" s="36">
        <v>18747.91696339496</v>
      </c>
      <c r="AC92" s="22">
        <f t="shared" si="6"/>
        <v>0.35042835445598058</v>
      </c>
      <c r="AD92" s="36">
        <v>18762.551706135298</v>
      </c>
      <c r="AE92" s="22">
        <f t="shared" si="7"/>
        <v>1.8677009393204846E-3</v>
      </c>
    </row>
    <row r="93" spans="1:31" ht="20.25" customHeight="1">
      <c r="A93" s="35">
        <v>42634</v>
      </c>
      <c r="B93" s="35" t="s">
        <v>157</v>
      </c>
      <c r="C93" s="165">
        <v>2016</v>
      </c>
      <c r="D93" s="53">
        <v>4</v>
      </c>
      <c r="E93" s="52" t="s">
        <v>209</v>
      </c>
      <c r="F93" t="s">
        <v>210</v>
      </c>
      <c r="H93" s="52" t="s">
        <v>211</v>
      </c>
      <c r="I93" s="52" t="s">
        <v>212</v>
      </c>
      <c r="J93" s="52" t="s">
        <v>213</v>
      </c>
      <c r="K93" s="52" t="s">
        <v>214</v>
      </c>
      <c r="L93" s="52">
        <v>1</v>
      </c>
      <c r="M93" s="52" t="s">
        <v>247</v>
      </c>
      <c r="N93" s="52" t="s">
        <v>215</v>
      </c>
      <c r="O93" s="36">
        <v>156</v>
      </c>
      <c r="P93" s="36">
        <f t="shared" si="9"/>
        <v>0.64102564102564097</v>
      </c>
      <c r="Q93" s="76">
        <v>4944.777911164113</v>
      </c>
      <c r="R93" s="53">
        <f t="shared" si="10"/>
        <v>31.697294302334058</v>
      </c>
      <c r="S93" s="65">
        <v>4957.5437830631108</v>
      </c>
      <c r="T93" s="53">
        <f t="shared" si="11"/>
        <v>0.63937497457156689</v>
      </c>
      <c r="U93" s="110"/>
      <c r="V93" s="36">
        <v>250</v>
      </c>
      <c r="W93" s="36"/>
      <c r="X93" s="36"/>
      <c r="Y93" s="36">
        <v>1</v>
      </c>
      <c r="Z93" s="36">
        <v>535</v>
      </c>
      <c r="AA93" s="36">
        <f t="shared" si="13"/>
        <v>1.869158878504673E-3</v>
      </c>
      <c r="AB93" s="36">
        <v>18747.91696339496</v>
      </c>
      <c r="AC93" s="22">
        <f t="shared" si="6"/>
        <v>0.35042835445598058</v>
      </c>
      <c r="AD93" s="36">
        <v>18762.551706135298</v>
      </c>
      <c r="AE93" s="22">
        <f t="shared" si="7"/>
        <v>1.8677009393204846E-3</v>
      </c>
    </row>
    <row r="94" spans="1:31" ht="20.25" customHeight="1">
      <c r="A94" s="35">
        <v>42634</v>
      </c>
      <c r="B94" s="35" t="s">
        <v>157</v>
      </c>
      <c r="C94" s="165">
        <v>2016</v>
      </c>
      <c r="D94" s="53">
        <v>4</v>
      </c>
      <c r="E94" s="65" t="s">
        <v>323</v>
      </c>
      <c r="F94" s="65" t="s">
        <v>489</v>
      </c>
      <c r="G94" s="65"/>
      <c r="H94" s="65" t="s">
        <v>490</v>
      </c>
      <c r="I94" s="65" t="s">
        <v>491</v>
      </c>
      <c r="J94" s="36" t="s">
        <v>371</v>
      </c>
      <c r="K94" s="36" t="s">
        <v>372</v>
      </c>
      <c r="L94" s="36">
        <v>1</v>
      </c>
      <c r="M94" s="36" t="s">
        <v>247</v>
      </c>
      <c r="N94" s="36" t="s">
        <v>371</v>
      </c>
      <c r="O94" s="36">
        <v>156</v>
      </c>
      <c r="P94" s="36">
        <f t="shared" si="9"/>
        <v>0.64102564102564097</v>
      </c>
      <c r="Q94" s="76">
        <v>4944.777911164113</v>
      </c>
      <c r="R94" s="53">
        <f t="shared" si="10"/>
        <v>31.697294302334058</v>
      </c>
      <c r="S94" s="65">
        <v>4957.5437830631108</v>
      </c>
      <c r="T94" s="53">
        <f t="shared" si="11"/>
        <v>0.63937497457156689</v>
      </c>
      <c r="U94" s="110"/>
      <c r="V94" s="36">
        <v>250</v>
      </c>
      <c r="W94" s="36"/>
      <c r="X94" s="36"/>
      <c r="Y94" s="36">
        <v>1</v>
      </c>
      <c r="Z94" s="36">
        <v>535</v>
      </c>
      <c r="AA94" s="36">
        <f t="shared" si="13"/>
        <v>1.869158878504673E-3</v>
      </c>
      <c r="AB94" s="36">
        <v>18747.91696339496</v>
      </c>
      <c r="AC94" s="22">
        <f t="shared" si="6"/>
        <v>0.35042835445598058</v>
      </c>
      <c r="AD94" s="36">
        <v>18762.551706135298</v>
      </c>
      <c r="AE94" s="22">
        <f t="shared" si="7"/>
        <v>1.8677009393204846E-3</v>
      </c>
    </row>
    <row r="95" spans="1:31" ht="20.25" customHeight="1">
      <c r="A95" s="35">
        <v>42634</v>
      </c>
      <c r="B95" s="35" t="s">
        <v>157</v>
      </c>
      <c r="C95" s="165">
        <v>2016</v>
      </c>
      <c r="D95" s="53">
        <v>4</v>
      </c>
      <c r="E95" s="36" t="s">
        <v>223</v>
      </c>
      <c r="F95" s="36" t="s">
        <v>224</v>
      </c>
      <c r="G95" s="36" t="s">
        <v>225</v>
      </c>
      <c r="H95" s="36" t="s">
        <v>226</v>
      </c>
      <c r="I95" s="36" t="s">
        <v>253</v>
      </c>
      <c r="J95" s="36" t="s">
        <v>256</v>
      </c>
      <c r="K95" s="36"/>
      <c r="L95" s="36">
        <v>2</v>
      </c>
      <c r="M95" s="36" t="s">
        <v>229</v>
      </c>
      <c r="N95" s="36" t="s">
        <v>256</v>
      </c>
      <c r="O95" s="36">
        <v>156</v>
      </c>
      <c r="P95" s="36">
        <f t="shared" si="9"/>
        <v>1.2820512820512819</v>
      </c>
      <c r="Q95" s="76">
        <v>4944.777911164113</v>
      </c>
      <c r="R95" s="53">
        <f t="shared" si="10"/>
        <v>63.394588604668115</v>
      </c>
      <c r="S95" s="65">
        <v>4957.5437830631108</v>
      </c>
      <c r="T95" s="53">
        <f t="shared" si="11"/>
        <v>1.2787499491431338</v>
      </c>
      <c r="U95" s="110"/>
      <c r="V95" s="36">
        <v>250</v>
      </c>
      <c r="W95" s="36"/>
      <c r="X95" s="36"/>
      <c r="Y95" s="36">
        <v>2</v>
      </c>
      <c r="Z95" s="36">
        <v>535</v>
      </c>
      <c r="AA95" s="36">
        <f t="shared" si="13"/>
        <v>3.7383177570093459E-3</v>
      </c>
      <c r="AB95" s="36">
        <v>18747.91696339496</v>
      </c>
      <c r="AC95" s="22">
        <f t="shared" si="6"/>
        <v>0.70085670891196117</v>
      </c>
      <c r="AD95" s="36">
        <v>18762.551706135298</v>
      </c>
      <c r="AE95" s="22">
        <f t="shared" si="7"/>
        <v>3.7354018786409692E-3</v>
      </c>
    </row>
    <row r="96" spans="1:31" ht="20.25" customHeight="1">
      <c r="A96" s="35">
        <v>42634</v>
      </c>
      <c r="B96" s="35" t="s">
        <v>157</v>
      </c>
      <c r="C96" s="165">
        <v>2016</v>
      </c>
      <c r="D96" s="53">
        <v>4</v>
      </c>
      <c r="E96" s="65" t="s">
        <v>223</v>
      </c>
      <c r="F96" s="36" t="s">
        <v>224</v>
      </c>
      <c r="G96" s="36" t="s">
        <v>225</v>
      </c>
      <c r="H96" s="65" t="s">
        <v>226</v>
      </c>
      <c r="I96" s="146" t="s">
        <v>487</v>
      </c>
      <c r="J96" s="65" t="s">
        <v>486</v>
      </c>
      <c r="K96" s="36"/>
      <c r="L96" s="36">
        <v>1</v>
      </c>
      <c r="M96" s="36" t="s">
        <v>229</v>
      </c>
      <c r="N96" s="36" t="s">
        <v>488</v>
      </c>
      <c r="O96" s="36">
        <v>156</v>
      </c>
      <c r="P96" s="36">
        <f t="shared" si="9"/>
        <v>0.64102564102564097</v>
      </c>
      <c r="Q96" s="76">
        <v>4944.777911164113</v>
      </c>
      <c r="R96" s="53">
        <f t="shared" si="10"/>
        <v>31.697294302334058</v>
      </c>
      <c r="S96" s="65">
        <v>4957.5437830631108</v>
      </c>
      <c r="T96" s="53">
        <f t="shared" si="11"/>
        <v>0.63937497457156689</v>
      </c>
      <c r="U96" s="110"/>
      <c r="V96" s="36">
        <v>250</v>
      </c>
      <c r="W96" s="36" t="s">
        <v>470</v>
      </c>
      <c r="X96" s="36"/>
      <c r="Y96" s="36">
        <v>1</v>
      </c>
      <c r="Z96" s="36">
        <v>535</v>
      </c>
      <c r="AA96" s="36">
        <f t="shared" si="13"/>
        <v>1.869158878504673E-3</v>
      </c>
      <c r="AB96" s="36">
        <v>18747.91696339496</v>
      </c>
      <c r="AC96" s="22">
        <f t="shared" si="6"/>
        <v>0.35042835445598058</v>
      </c>
      <c r="AD96" s="36">
        <v>18762.551706135298</v>
      </c>
      <c r="AE96" s="22">
        <f t="shared" si="7"/>
        <v>1.8677009393204846E-3</v>
      </c>
    </row>
    <row r="97" spans="1:32" ht="20.25" customHeight="1">
      <c r="A97" s="35">
        <v>42634</v>
      </c>
      <c r="B97" s="35" t="s">
        <v>157</v>
      </c>
      <c r="C97" s="165">
        <v>2016</v>
      </c>
      <c r="D97" s="53">
        <v>4</v>
      </c>
      <c r="E97" s="36" t="s">
        <v>223</v>
      </c>
      <c r="F97" s="36" t="s">
        <v>224</v>
      </c>
      <c r="G97" s="36" t="s">
        <v>225</v>
      </c>
      <c r="H97" s="36" t="s">
        <v>226</v>
      </c>
      <c r="I97" s="36" t="s">
        <v>239</v>
      </c>
      <c r="J97" s="36" t="s">
        <v>258</v>
      </c>
      <c r="K97" s="36" t="s">
        <v>259</v>
      </c>
      <c r="L97" s="36">
        <v>1</v>
      </c>
      <c r="M97" s="36" t="s">
        <v>247</v>
      </c>
      <c r="N97" s="36" t="s">
        <v>258</v>
      </c>
      <c r="O97" s="36">
        <v>156</v>
      </c>
      <c r="P97" s="36">
        <f t="shared" si="9"/>
        <v>0.64102564102564097</v>
      </c>
      <c r="Q97" s="76">
        <v>4944.777911164113</v>
      </c>
      <c r="R97" s="53">
        <f t="shared" si="10"/>
        <v>31.697294302334058</v>
      </c>
      <c r="S97" s="65">
        <v>4957.5437830631108</v>
      </c>
      <c r="T97" s="53">
        <f t="shared" si="11"/>
        <v>0.63937497457156689</v>
      </c>
      <c r="U97" s="110"/>
      <c r="V97" s="36">
        <v>250</v>
      </c>
      <c r="W97" s="36"/>
      <c r="X97" s="36"/>
      <c r="Y97" s="36">
        <v>1</v>
      </c>
      <c r="Z97" s="36">
        <v>535</v>
      </c>
      <c r="AA97" s="36">
        <f t="shared" si="13"/>
        <v>1.869158878504673E-3</v>
      </c>
      <c r="AB97" s="36">
        <v>18747.91696339496</v>
      </c>
      <c r="AC97" s="22">
        <f t="shared" si="6"/>
        <v>0.35042835445598058</v>
      </c>
      <c r="AD97" s="36">
        <v>18762.551706135298</v>
      </c>
      <c r="AE97" s="22">
        <f t="shared" si="7"/>
        <v>1.8677009393204846E-3</v>
      </c>
    </row>
    <row r="98" spans="1:32" ht="20.25" customHeight="1">
      <c r="A98" s="35"/>
      <c r="B98" s="35"/>
      <c r="C98" s="165"/>
      <c r="D98" s="53"/>
      <c r="E98" s="36"/>
      <c r="F98" s="36"/>
      <c r="G98" s="36"/>
      <c r="H98" s="36"/>
      <c r="I98" s="36"/>
      <c r="J98" s="36"/>
      <c r="K98" s="36"/>
      <c r="L98" s="36"/>
      <c r="M98" s="36"/>
      <c r="N98" s="36"/>
      <c r="O98" s="36"/>
      <c r="P98" s="36"/>
      <c r="Q98" s="47"/>
      <c r="R98" s="53"/>
      <c r="S98" s="53"/>
      <c r="T98" s="53"/>
      <c r="U98" s="110"/>
      <c r="V98" s="36"/>
      <c r="W98" s="36"/>
      <c r="X98" s="36"/>
      <c r="Y98" s="36"/>
      <c r="Z98" s="36"/>
      <c r="AA98" s="36"/>
      <c r="AB98" s="36"/>
      <c r="AC98" s="22"/>
      <c r="AD98" s="36"/>
      <c r="AE98" s="22"/>
    </row>
    <row r="99" spans="1:32" ht="20.25" customHeight="1">
      <c r="A99" s="35">
        <v>42634</v>
      </c>
      <c r="B99" s="35" t="s">
        <v>157</v>
      </c>
      <c r="C99" s="165">
        <v>2016</v>
      </c>
      <c r="D99" s="53">
        <v>5</v>
      </c>
      <c r="E99" s="65" t="s">
        <v>209</v>
      </c>
      <c r="F99" s="65" t="s">
        <v>210</v>
      </c>
      <c r="G99" s="65"/>
      <c r="H99" s="65" t="s">
        <v>211</v>
      </c>
      <c r="I99" s="65" t="s">
        <v>212</v>
      </c>
      <c r="J99" s="36" t="s">
        <v>213</v>
      </c>
      <c r="K99" s="36" t="s">
        <v>214</v>
      </c>
      <c r="L99" s="36">
        <v>3</v>
      </c>
      <c r="M99" s="36" t="s">
        <v>247</v>
      </c>
      <c r="N99" s="36" t="s">
        <v>215</v>
      </c>
      <c r="O99" s="36">
        <v>93</v>
      </c>
      <c r="P99" s="36">
        <f t="shared" si="9"/>
        <v>3.225806451612903</v>
      </c>
      <c r="Q99" s="36">
        <v>6.9089076620779757</v>
      </c>
      <c r="R99" s="40">
        <f t="shared" si="10"/>
        <v>0.22286798909928954</v>
      </c>
      <c r="S99" s="65">
        <v>7892.0866901154131</v>
      </c>
      <c r="T99" s="40">
        <f t="shared" si="11"/>
        <v>2.8239424863189169E-3</v>
      </c>
      <c r="U99" s="110"/>
      <c r="V99" s="36">
        <v>1000</v>
      </c>
      <c r="W99" s="36"/>
      <c r="X99" s="36"/>
      <c r="Y99" s="41">
        <v>4</v>
      </c>
      <c r="Z99" s="36">
        <v>4248</v>
      </c>
      <c r="AA99" s="36">
        <f t="shared" si="13"/>
        <v>9.4161958568738226E-4</v>
      </c>
      <c r="AB99" s="36">
        <v>298.00261787342419</v>
      </c>
      <c r="AC99" s="22">
        <f t="shared" si="6"/>
        <v>2.8060510157572899E-3</v>
      </c>
      <c r="AD99" s="36">
        <f>SUM(S99+S115)</f>
        <v>12395.168860632266</v>
      </c>
      <c r="AE99" s="22">
        <f t="shared" si="7"/>
        <v>2.2638263724421386E-5</v>
      </c>
      <c r="AF99" s="38">
        <f>SUM(AE99:AE120)</f>
        <v>0.1354124610614737</v>
      </c>
    </row>
    <row r="100" spans="1:32" ht="20.25" customHeight="1">
      <c r="A100" s="35">
        <v>42634</v>
      </c>
      <c r="B100" s="35" t="s">
        <v>157</v>
      </c>
      <c r="C100" s="165">
        <v>2016</v>
      </c>
      <c r="D100" s="53">
        <v>5</v>
      </c>
      <c r="E100" s="36" t="s">
        <v>300</v>
      </c>
      <c r="F100" s="36" t="s">
        <v>320</v>
      </c>
      <c r="G100" s="36"/>
      <c r="H100" s="36"/>
      <c r="I100" s="36"/>
      <c r="J100" s="36"/>
      <c r="K100" s="36"/>
      <c r="L100" s="36">
        <v>38</v>
      </c>
      <c r="M100" s="36" t="s">
        <v>221</v>
      </c>
      <c r="N100" s="36" t="s">
        <v>512</v>
      </c>
      <c r="O100" s="36">
        <v>93</v>
      </c>
      <c r="P100" s="36">
        <f t="shared" si="9"/>
        <v>40.86021505376344</v>
      </c>
      <c r="Q100" s="36">
        <v>6.9089076620779757</v>
      </c>
      <c r="R100" s="40">
        <f t="shared" si="10"/>
        <v>2.8229945285910008</v>
      </c>
      <c r="S100" s="65">
        <v>7892.0866901154131</v>
      </c>
      <c r="T100" s="40">
        <f t="shared" si="11"/>
        <v>3.5769938160039622E-2</v>
      </c>
      <c r="U100" s="110"/>
      <c r="V100" s="36">
        <v>1000</v>
      </c>
      <c r="W100" s="36"/>
      <c r="X100" s="36"/>
      <c r="Y100" s="41">
        <v>41</v>
      </c>
      <c r="Z100" s="36">
        <v>4248</v>
      </c>
      <c r="AA100" s="36">
        <f t="shared" si="13"/>
        <v>9.6516007532956687E-3</v>
      </c>
      <c r="AB100" s="36">
        <v>298.00261787342419</v>
      </c>
      <c r="AC100" s="22">
        <f t="shared" si="6"/>
        <v>2.8762022911512222E-2</v>
      </c>
      <c r="AD100" s="36">
        <f>SUM(AB101+AB107)</f>
        <v>12395.168860632266</v>
      </c>
      <c r="AE100" s="22">
        <f t="shared" si="7"/>
        <v>2.3204220317531922E-4</v>
      </c>
    </row>
    <row r="101" spans="1:32" ht="20.25" customHeight="1">
      <c r="A101" s="35">
        <v>42634</v>
      </c>
      <c r="B101" s="35" t="s">
        <v>157</v>
      </c>
      <c r="C101" s="165">
        <v>2016</v>
      </c>
      <c r="D101" s="53">
        <v>5</v>
      </c>
      <c r="E101" s="36" t="s">
        <v>514</v>
      </c>
      <c r="F101" s="82" t="s">
        <v>515</v>
      </c>
      <c r="G101" s="36"/>
      <c r="H101" s="36"/>
      <c r="I101" s="36"/>
      <c r="J101" s="36"/>
      <c r="K101" s="36"/>
      <c r="L101" s="36">
        <v>1</v>
      </c>
      <c r="M101" s="36" t="s">
        <v>221</v>
      </c>
      <c r="N101" s="36" t="s">
        <v>516</v>
      </c>
      <c r="O101" s="36">
        <v>93</v>
      </c>
      <c r="P101" s="36">
        <f t="shared" si="9"/>
        <v>1.0752688172043012</v>
      </c>
      <c r="Q101" s="36">
        <v>6.9089076620779757</v>
      </c>
      <c r="R101" s="40">
        <f t="shared" si="10"/>
        <v>7.4289329699763179E-2</v>
      </c>
      <c r="S101" s="65">
        <v>7892.0866901154131</v>
      </c>
      <c r="T101" s="40">
        <f t="shared" si="11"/>
        <v>9.4131416210630576E-4</v>
      </c>
      <c r="U101" s="110"/>
      <c r="V101" s="36">
        <v>1000</v>
      </c>
      <c r="W101" s="36"/>
      <c r="X101" s="36"/>
      <c r="Y101" s="41">
        <v>1</v>
      </c>
      <c r="Z101" s="36">
        <v>4248</v>
      </c>
      <c r="AA101" s="36">
        <f t="shared" si="13"/>
        <v>2.3540489642184556E-4</v>
      </c>
      <c r="AB101" s="36">
        <v>298.00261787342419</v>
      </c>
      <c r="AC101" s="22">
        <f t="shared" si="6"/>
        <v>7.0151275393932249E-4</v>
      </c>
      <c r="AD101" s="36">
        <v>12395.1688606323</v>
      </c>
      <c r="AE101" s="22">
        <f t="shared" si="7"/>
        <v>5.6595659311053313E-6</v>
      </c>
    </row>
    <row r="102" spans="1:32" ht="20.25" customHeight="1">
      <c r="A102" s="35">
        <v>42634</v>
      </c>
      <c r="B102" s="35" t="s">
        <v>157</v>
      </c>
      <c r="C102" s="165">
        <v>2016</v>
      </c>
      <c r="D102" s="53">
        <v>5</v>
      </c>
      <c r="E102" s="36" t="s">
        <v>223</v>
      </c>
      <c r="F102" s="36" t="s">
        <v>267</v>
      </c>
      <c r="G102" s="36"/>
      <c r="H102" s="36" t="s">
        <v>273</v>
      </c>
      <c r="I102" s="36"/>
      <c r="J102" s="36"/>
      <c r="K102" s="36"/>
      <c r="L102" s="36">
        <v>1</v>
      </c>
      <c r="M102" s="36" t="s">
        <v>508</v>
      </c>
      <c r="N102" s="36" t="s">
        <v>494</v>
      </c>
      <c r="O102" s="36">
        <v>93</v>
      </c>
      <c r="P102" s="36">
        <f t="shared" si="9"/>
        <v>1.0752688172043012</v>
      </c>
      <c r="Q102" s="36">
        <v>6.9089076620779757</v>
      </c>
      <c r="R102" s="40">
        <f t="shared" si="10"/>
        <v>7.4289329699763179E-2</v>
      </c>
      <c r="S102" s="65">
        <v>7892.0866901154131</v>
      </c>
      <c r="T102" s="40">
        <f t="shared" si="11"/>
        <v>9.4131416210630576E-4</v>
      </c>
      <c r="U102" s="110"/>
      <c r="V102" s="36">
        <v>1000</v>
      </c>
      <c r="W102" s="36"/>
      <c r="X102" s="36"/>
      <c r="Y102" s="41">
        <v>3</v>
      </c>
      <c r="Z102" s="36">
        <v>4248</v>
      </c>
      <c r="AA102" s="36">
        <f t="shared" si="13"/>
        <v>7.0621468926553672E-4</v>
      </c>
      <c r="AB102" s="36">
        <v>298.00261787342419</v>
      </c>
      <c r="AC102" s="22">
        <f t="shared" si="6"/>
        <v>2.1045382618179675E-3</v>
      </c>
      <c r="AD102" s="36">
        <v>12395.1688606323</v>
      </c>
      <c r="AE102" s="22">
        <f t="shared" si="7"/>
        <v>1.6978697793315994E-5</v>
      </c>
    </row>
    <row r="103" spans="1:32" ht="20.25" customHeight="1">
      <c r="A103" s="35">
        <v>42634</v>
      </c>
      <c r="B103" s="35" t="s">
        <v>157</v>
      </c>
      <c r="C103" s="165">
        <v>2016</v>
      </c>
      <c r="D103" s="53">
        <v>5</v>
      </c>
      <c r="E103" s="36" t="s">
        <v>223</v>
      </c>
      <c r="F103" s="36" t="s">
        <v>267</v>
      </c>
      <c r="G103" s="36"/>
      <c r="H103" s="36" t="s">
        <v>273</v>
      </c>
      <c r="I103" s="36" t="s">
        <v>274</v>
      </c>
      <c r="J103" s="36" t="s">
        <v>275</v>
      </c>
      <c r="K103" s="36" t="s">
        <v>276</v>
      </c>
      <c r="L103" s="36">
        <v>2</v>
      </c>
      <c r="M103" s="36" t="s">
        <v>247</v>
      </c>
      <c r="N103" s="36" t="s">
        <v>275</v>
      </c>
      <c r="O103" s="36">
        <v>93</v>
      </c>
      <c r="P103" s="36">
        <f t="shared" si="9"/>
        <v>2.1505376344086025</v>
      </c>
      <c r="Q103" s="36">
        <v>6.9089076620779757</v>
      </c>
      <c r="R103" s="40">
        <f t="shared" si="10"/>
        <v>0.14857865939952636</v>
      </c>
      <c r="S103" s="65">
        <v>7892.0866901154131</v>
      </c>
      <c r="T103" s="40">
        <f t="shared" si="11"/>
        <v>1.8826283242126115E-3</v>
      </c>
      <c r="U103" s="110"/>
      <c r="V103" s="36">
        <v>1000</v>
      </c>
      <c r="W103" s="36"/>
      <c r="X103" s="36"/>
      <c r="Y103" s="41">
        <v>49</v>
      </c>
      <c r="Z103" s="36">
        <v>4248</v>
      </c>
      <c r="AA103" s="36">
        <f t="shared" si="13"/>
        <v>1.1534839924670434E-2</v>
      </c>
      <c r="AB103" s="36">
        <v>298.00261787342419</v>
      </c>
      <c r="AC103" s="22">
        <f t="shared" si="6"/>
        <v>3.4374124943026801E-2</v>
      </c>
      <c r="AD103" s="36">
        <v>12395.1688606323</v>
      </c>
      <c r="AE103" s="22">
        <f t="shared" si="7"/>
        <v>2.7731873062416125E-4</v>
      </c>
    </row>
    <row r="104" spans="1:32" ht="20.25" customHeight="1">
      <c r="A104" s="35">
        <v>42634</v>
      </c>
      <c r="B104" s="35" t="s">
        <v>157</v>
      </c>
      <c r="C104" s="165">
        <v>2016</v>
      </c>
      <c r="D104" s="53">
        <v>5</v>
      </c>
      <c r="E104" s="36" t="s">
        <v>223</v>
      </c>
      <c r="F104" s="36" t="s">
        <v>267</v>
      </c>
      <c r="G104" s="36"/>
      <c r="H104" s="36" t="s">
        <v>273</v>
      </c>
      <c r="I104" s="36"/>
      <c r="J104" s="36"/>
      <c r="K104" s="36"/>
      <c r="L104" s="36">
        <v>1</v>
      </c>
      <c r="M104" s="36" t="s">
        <v>508</v>
      </c>
      <c r="N104" s="36" t="s">
        <v>513</v>
      </c>
      <c r="O104" s="36">
        <v>93</v>
      </c>
      <c r="P104" s="36">
        <f t="shared" si="9"/>
        <v>1.0752688172043012</v>
      </c>
      <c r="Q104" s="65">
        <v>6.9089076620779757</v>
      </c>
      <c r="R104" s="40">
        <f t="shared" si="10"/>
        <v>7.4289329699763179E-2</v>
      </c>
      <c r="S104" s="65">
        <v>7892.0866901154131</v>
      </c>
      <c r="T104" s="40">
        <f t="shared" si="11"/>
        <v>9.4131416210630576E-4</v>
      </c>
      <c r="U104" s="110"/>
      <c r="V104" s="36">
        <v>1000</v>
      </c>
      <c r="W104" s="36"/>
      <c r="X104" s="36"/>
      <c r="Y104" s="41">
        <v>1</v>
      </c>
      <c r="Z104" s="36">
        <v>4248</v>
      </c>
      <c r="AA104" s="36">
        <f t="shared" si="13"/>
        <v>2.3540489642184556E-4</v>
      </c>
      <c r="AB104" s="36">
        <v>298.00261787342419</v>
      </c>
      <c r="AC104" s="22">
        <f t="shared" si="6"/>
        <v>7.0151275393932249E-4</v>
      </c>
      <c r="AD104" s="36">
        <v>12395.1688606323</v>
      </c>
      <c r="AE104" s="22">
        <f t="shared" si="7"/>
        <v>5.6595659311053313E-6</v>
      </c>
    </row>
    <row r="105" spans="1:32" ht="20.25" customHeight="1">
      <c r="A105" s="35">
        <v>42634</v>
      </c>
      <c r="B105" s="35" t="s">
        <v>157</v>
      </c>
      <c r="C105" s="165">
        <v>2016</v>
      </c>
      <c r="D105" s="53">
        <v>5</v>
      </c>
      <c r="E105" s="36" t="s">
        <v>223</v>
      </c>
      <c r="F105" s="36" t="s">
        <v>267</v>
      </c>
      <c r="G105" s="36" t="s">
        <v>278</v>
      </c>
      <c r="H105" s="36" t="s">
        <v>279</v>
      </c>
      <c r="I105" s="36" t="s">
        <v>280</v>
      </c>
      <c r="J105" s="36" t="s">
        <v>284</v>
      </c>
      <c r="K105" s="36" t="s">
        <v>285</v>
      </c>
      <c r="L105" s="36">
        <v>46</v>
      </c>
      <c r="M105" s="36" t="s">
        <v>247</v>
      </c>
      <c r="N105" s="36" t="s">
        <v>24</v>
      </c>
      <c r="O105" s="36">
        <v>93</v>
      </c>
      <c r="P105" s="36">
        <f t="shared" si="9"/>
        <v>49.462365591397848</v>
      </c>
      <c r="Q105" s="36">
        <v>6.9089076620779757</v>
      </c>
      <c r="R105" s="40">
        <f t="shared" si="10"/>
        <v>3.4173091661891064</v>
      </c>
      <c r="S105" s="65">
        <v>7892.0866901154131</v>
      </c>
      <c r="T105" s="40">
        <f t="shared" si="11"/>
        <v>4.3300451456890064E-2</v>
      </c>
      <c r="U105" s="110"/>
      <c r="V105" s="36">
        <v>1000</v>
      </c>
      <c r="W105" s="36" t="s">
        <v>511</v>
      </c>
      <c r="X105" s="36"/>
      <c r="Y105" s="41">
        <f>3601+46</f>
        <v>3647</v>
      </c>
      <c r="Z105" s="36">
        <v>4248</v>
      </c>
      <c r="AA105" s="36">
        <f t="shared" si="13"/>
        <v>0.8585216572504708</v>
      </c>
      <c r="AB105" s="36">
        <v>298.00261787342419</v>
      </c>
      <c r="AC105" s="22">
        <f t="shared" si="6"/>
        <v>2.558417013616709</v>
      </c>
      <c r="AD105" s="36">
        <v>12395.1688606323</v>
      </c>
      <c r="AE105" s="22">
        <f t="shared" si="7"/>
        <v>2.064043695074114E-2</v>
      </c>
    </row>
    <row r="106" spans="1:32" ht="20.25" customHeight="1">
      <c r="A106" s="35">
        <v>42634</v>
      </c>
      <c r="B106" s="35" t="s">
        <v>157</v>
      </c>
      <c r="C106" s="165">
        <v>2016</v>
      </c>
      <c r="D106" s="53">
        <v>5</v>
      </c>
      <c r="E106" s="36" t="s">
        <v>223</v>
      </c>
      <c r="F106" s="82" t="s">
        <v>517</v>
      </c>
      <c r="G106" s="83"/>
      <c r="H106" s="82" t="s">
        <v>518</v>
      </c>
      <c r="I106" s="36"/>
      <c r="J106" s="36"/>
      <c r="K106" s="36"/>
      <c r="L106" s="36">
        <v>1</v>
      </c>
      <c r="M106" s="36" t="s">
        <v>221</v>
      </c>
      <c r="N106" s="36" t="s">
        <v>618</v>
      </c>
      <c r="O106" s="36">
        <v>93</v>
      </c>
      <c r="P106" s="36">
        <f t="shared" si="9"/>
        <v>1.0752688172043012</v>
      </c>
      <c r="Q106" s="36">
        <v>6.9089076620779757</v>
      </c>
      <c r="R106" s="40">
        <f t="shared" si="10"/>
        <v>7.4289329699763179E-2</v>
      </c>
      <c r="S106" s="65">
        <v>7892.0866901154131</v>
      </c>
      <c r="T106" s="40">
        <f t="shared" si="11"/>
        <v>9.4131416210630576E-4</v>
      </c>
      <c r="U106" s="110"/>
      <c r="V106" s="36">
        <v>1000</v>
      </c>
      <c r="W106" s="36"/>
      <c r="X106" s="36"/>
      <c r="Y106" s="41">
        <v>1</v>
      </c>
      <c r="Z106" s="36">
        <v>4248</v>
      </c>
      <c r="AA106" s="36">
        <f t="shared" si="13"/>
        <v>2.3540489642184556E-4</v>
      </c>
      <c r="AB106" s="36">
        <v>298.00261787342419</v>
      </c>
      <c r="AC106" s="22">
        <f t="shared" si="6"/>
        <v>7.0151275393932249E-4</v>
      </c>
      <c r="AD106" s="36">
        <v>12395.1688606323</v>
      </c>
      <c r="AE106" s="22">
        <f t="shared" si="7"/>
        <v>5.6595659311053313E-6</v>
      </c>
    </row>
    <row r="107" spans="1:32" ht="20.25" customHeight="1">
      <c r="A107" s="13">
        <v>42634</v>
      </c>
      <c r="B107" s="35" t="s">
        <v>157</v>
      </c>
      <c r="C107" s="165">
        <v>2016</v>
      </c>
      <c r="D107" s="53">
        <v>5</v>
      </c>
      <c r="E107" s="36" t="s">
        <v>223</v>
      </c>
      <c r="F107" s="36" t="s">
        <v>224</v>
      </c>
      <c r="G107" s="36" t="s">
        <v>225</v>
      </c>
      <c r="H107" s="36" t="s">
        <v>226</v>
      </c>
      <c r="I107" s="36" t="s">
        <v>227</v>
      </c>
      <c r="J107" s="36" t="s">
        <v>228</v>
      </c>
      <c r="K107" s="36"/>
      <c r="L107" s="3">
        <v>179</v>
      </c>
      <c r="M107" s="3" t="s">
        <v>229</v>
      </c>
      <c r="N107" s="36" t="s">
        <v>228</v>
      </c>
      <c r="O107" s="3">
        <v>203</v>
      </c>
      <c r="P107" s="3">
        <f t="shared" si="9"/>
        <v>88.177339901477836</v>
      </c>
      <c r="Q107" s="36">
        <v>7885.1777824533356</v>
      </c>
      <c r="R107" s="8">
        <f t="shared" si="10"/>
        <v>6952.9400150696902</v>
      </c>
      <c r="S107" s="65">
        <v>7892.0866901154131</v>
      </c>
      <c r="T107" s="40">
        <f t="shared" si="11"/>
        <v>88.100147503169552</v>
      </c>
      <c r="U107" s="110"/>
      <c r="V107" s="3">
        <v>250</v>
      </c>
      <c r="W107" s="3"/>
      <c r="X107" s="3"/>
      <c r="Y107" s="41">
        <f>179+201</f>
        <v>380</v>
      </c>
      <c r="Z107" s="36">
        <v>4248</v>
      </c>
      <c r="AA107" s="36">
        <f t="shared" si="13"/>
        <v>8.9453860640301322E-2</v>
      </c>
      <c r="AB107" s="36">
        <v>12097.166242758842</v>
      </c>
      <c r="AC107" s="22">
        <f t="shared" si="6"/>
        <v>10.821382232223071</v>
      </c>
      <c r="AD107" s="36">
        <v>12395.1688606323</v>
      </c>
      <c r="AE107" s="22">
        <f t="shared" si="7"/>
        <v>8.7303225586481056E-2</v>
      </c>
    </row>
    <row r="108" spans="1:32" ht="20.25" customHeight="1">
      <c r="A108" s="13">
        <v>42634</v>
      </c>
      <c r="B108" s="35" t="s">
        <v>157</v>
      </c>
      <c r="C108" s="165">
        <v>2016</v>
      </c>
      <c r="D108" s="53">
        <v>5</v>
      </c>
      <c r="E108" s="36" t="s">
        <v>223</v>
      </c>
      <c r="F108" s="36" t="s">
        <v>224</v>
      </c>
      <c r="G108" s="36" t="s">
        <v>225</v>
      </c>
      <c r="H108" s="36" t="s">
        <v>226</v>
      </c>
      <c r="I108" s="36" t="s">
        <v>235</v>
      </c>
      <c r="J108" s="36" t="s">
        <v>236</v>
      </c>
      <c r="K108" s="36"/>
      <c r="L108" s="3">
        <v>3</v>
      </c>
      <c r="M108" s="3" t="s">
        <v>229</v>
      </c>
      <c r="N108" s="36" t="s">
        <v>236</v>
      </c>
      <c r="O108" s="3">
        <v>203</v>
      </c>
      <c r="P108" s="3">
        <f t="shared" si="9"/>
        <v>1.4778325123152709</v>
      </c>
      <c r="Q108" s="36">
        <v>7885.1777824533356</v>
      </c>
      <c r="R108" s="8">
        <f t="shared" si="10"/>
        <v>116.52972092295569</v>
      </c>
      <c r="S108" s="65">
        <v>7892.0866901154131</v>
      </c>
      <c r="T108" s="40">
        <f t="shared" si="11"/>
        <v>1.4765387849693219</v>
      </c>
      <c r="U108" s="110"/>
      <c r="V108" s="36">
        <v>250</v>
      </c>
      <c r="W108" s="3"/>
      <c r="X108" s="3"/>
      <c r="Y108" s="41">
        <v>25</v>
      </c>
      <c r="Z108" s="36">
        <v>4248</v>
      </c>
      <c r="AA108" s="36">
        <f t="shared" si="13"/>
        <v>5.8851224105461392E-3</v>
      </c>
      <c r="AB108" s="36">
        <v>12097.166242758842</v>
      </c>
      <c r="AC108" s="22">
        <f t="shared" si="6"/>
        <v>0.71193304159362292</v>
      </c>
      <c r="AD108" s="36">
        <v>12395.1688606323</v>
      </c>
      <c r="AE108" s="22">
        <f t="shared" si="7"/>
        <v>5.7436332622684896E-3</v>
      </c>
    </row>
    <row r="109" spans="1:32" ht="20.25" customHeight="1">
      <c r="A109" s="13">
        <v>42634</v>
      </c>
      <c r="B109" s="35" t="s">
        <v>157</v>
      </c>
      <c r="C109" s="165">
        <v>2016</v>
      </c>
      <c r="D109" s="53">
        <v>5</v>
      </c>
      <c r="E109" s="36" t="s">
        <v>223</v>
      </c>
      <c r="F109" s="36" t="s">
        <v>317</v>
      </c>
      <c r="G109" s="36" t="s">
        <v>314</v>
      </c>
      <c r="H109" s="36" t="s">
        <v>346</v>
      </c>
      <c r="I109" s="36" t="s">
        <v>315</v>
      </c>
      <c r="J109" s="36" t="s">
        <v>347</v>
      </c>
      <c r="K109" s="36" t="s">
        <v>348</v>
      </c>
      <c r="L109" s="3">
        <v>1</v>
      </c>
      <c r="M109" s="3" t="s">
        <v>247</v>
      </c>
      <c r="N109" s="36" t="s">
        <v>345</v>
      </c>
      <c r="O109" s="3">
        <v>203</v>
      </c>
      <c r="P109" s="3">
        <f t="shared" si="9"/>
        <v>0.49261083743842365</v>
      </c>
      <c r="Q109" s="36">
        <v>7885.1777824533356</v>
      </c>
      <c r="R109" s="8">
        <f t="shared" si="10"/>
        <v>38.843240307651897</v>
      </c>
      <c r="S109" s="65">
        <v>7892.0866901154131</v>
      </c>
      <c r="T109" s="40">
        <f t="shared" si="11"/>
        <v>0.49217959498977393</v>
      </c>
      <c r="U109" s="110"/>
      <c r="V109" s="3">
        <v>250</v>
      </c>
      <c r="W109" s="3"/>
      <c r="X109" s="3"/>
      <c r="Y109" s="41">
        <v>1</v>
      </c>
      <c r="Z109" s="36">
        <v>4248</v>
      </c>
      <c r="AA109" s="36">
        <f t="shared" si="13"/>
        <v>2.3540489642184556E-4</v>
      </c>
      <c r="AB109" s="36">
        <v>12097.166242758842</v>
      </c>
      <c r="AC109" s="22">
        <f t="shared" si="6"/>
        <v>2.847732166374492E-2</v>
      </c>
      <c r="AD109" s="36">
        <v>12395.1688606323</v>
      </c>
      <c r="AE109" s="22">
        <f t="shared" si="7"/>
        <v>2.297453304907396E-4</v>
      </c>
    </row>
    <row r="110" spans="1:32" ht="20.25" customHeight="1">
      <c r="A110" s="13">
        <v>42634</v>
      </c>
      <c r="B110" s="35" t="s">
        <v>157</v>
      </c>
      <c r="C110" s="165">
        <v>2016</v>
      </c>
      <c r="D110" s="53">
        <v>5</v>
      </c>
      <c r="E110" s="36" t="s">
        <v>223</v>
      </c>
      <c r="F110" s="36" t="s">
        <v>224</v>
      </c>
      <c r="G110" s="36" t="s">
        <v>225</v>
      </c>
      <c r="H110" s="36" t="s">
        <v>226</v>
      </c>
      <c r="I110" s="36" t="s">
        <v>239</v>
      </c>
      <c r="J110" s="36" t="s">
        <v>240</v>
      </c>
      <c r="K110" s="36"/>
      <c r="L110" s="3">
        <v>4</v>
      </c>
      <c r="M110" s="3" t="s">
        <v>229</v>
      </c>
      <c r="N110" s="36" t="s">
        <v>240</v>
      </c>
      <c r="O110" s="3">
        <v>203</v>
      </c>
      <c r="P110" s="3">
        <f t="shared" ref="P110:P120" si="14">L110/O110*100</f>
        <v>1.9704433497536946</v>
      </c>
      <c r="Q110" s="36">
        <v>7885.1777824533356</v>
      </c>
      <c r="R110" s="8">
        <f t="shared" ref="R110:R120" si="15">(P110/100)*Q110</f>
        <v>155.37296123060759</v>
      </c>
      <c r="S110" s="65">
        <v>7892.0866901154131</v>
      </c>
      <c r="T110" s="40">
        <f t="shared" ref="T110:T120" si="16">R110/S110*100</f>
        <v>1.9687183799590957</v>
      </c>
      <c r="U110" s="110"/>
      <c r="V110" s="36">
        <v>250</v>
      </c>
      <c r="W110" s="3"/>
      <c r="X110" s="3"/>
      <c r="Y110" s="41">
        <v>31</v>
      </c>
      <c r="Z110" s="36">
        <v>4248</v>
      </c>
      <c r="AA110" s="36">
        <f t="shared" si="13"/>
        <v>7.2975517890772126E-3</v>
      </c>
      <c r="AB110" s="36">
        <v>12097.166242758842</v>
      </c>
      <c r="AC110" s="22">
        <f t="shared" si="6"/>
        <v>0.88279697157609238</v>
      </c>
      <c r="AD110" s="36">
        <v>12395.1688606323</v>
      </c>
      <c r="AE110" s="22">
        <f t="shared" si="7"/>
        <v>7.1221052452129256E-3</v>
      </c>
    </row>
    <row r="111" spans="1:32" ht="20.25" customHeight="1">
      <c r="A111" s="13">
        <v>42634</v>
      </c>
      <c r="B111" s="35" t="s">
        <v>157</v>
      </c>
      <c r="C111" s="165">
        <v>2016</v>
      </c>
      <c r="D111" s="53">
        <v>5</v>
      </c>
      <c r="E111" s="36" t="s">
        <v>323</v>
      </c>
      <c r="F111" s="36" t="s">
        <v>489</v>
      </c>
      <c r="G111" s="36"/>
      <c r="H111" s="36" t="s">
        <v>490</v>
      </c>
      <c r="I111" s="36" t="s">
        <v>491</v>
      </c>
      <c r="J111" s="36" t="s">
        <v>371</v>
      </c>
      <c r="K111" s="36" t="s">
        <v>372</v>
      </c>
      <c r="L111" s="3">
        <v>4</v>
      </c>
      <c r="M111" s="3" t="s">
        <v>247</v>
      </c>
      <c r="N111" s="36" t="s">
        <v>371</v>
      </c>
      <c r="O111" s="3">
        <v>203</v>
      </c>
      <c r="P111" s="3">
        <f t="shared" si="14"/>
        <v>1.9704433497536946</v>
      </c>
      <c r="Q111" s="36">
        <v>7885.1777824533356</v>
      </c>
      <c r="R111" s="8">
        <f t="shared" si="15"/>
        <v>155.37296123060759</v>
      </c>
      <c r="S111" s="65">
        <v>7892.0866901154131</v>
      </c>
      <c r="T111" s="40">
        <f t="shared" si="16"/>
        <v>1.9687183799590957</v>
      </c>
      <c r="U111" s="110"/>
      <c r="V111" s="36">
        <v>250</v>
      </c>
      <c r="W111" s="3"/>
      <c r="X111" s="3"/>
      <c r="Y111" s="41">
        <v>13</v>
      </c>
      <c r="Z111" s="36">
        <v>4248</v>
      </c>
      <c r="AA111" s="36">
        <f t="shared" si="13"/>
        <v>3.0602636534839923E-3</v>
      </c>
      <c r="AB111" s="36">
        <v>12097.166242758842</v>
      </c>
      <c r="AC111" s="22">
        <f t="shared" si="6"/>
        <v>0.37020518162868393</v>
      </c>
      <c r="AD111" s="36">
        <v>12395.1688606323</v>
      </c>
      <c r="AE111" s="22">
        <f t="shared" si="7"/>
        <v>2.9866892963796147E-3</v>
      </c>
    </row>
    <row r="112" spans="1:32" ht="20.25" customHeight="1">
      <c r="A112" s="35">
        <v>42634</v>
      </c>
      <c r="B112" s="35" t="s">
        <v>157</v>
      </c>
      <c r="C112" s="165">
        <v>2016</v>
      </c>
      <c r="D112" s="53">
        <v>5</v>
      </c>
      <c r="E112" s="36" t="s">
        <v>216</v>
      </c>
      <c r="F112" s="36" t="s">
        <v>217</v>
      </c>
      <c r="G112" s="36"/>
      <c r="H112" s="36"/>
      <c r="I112" s="36"/>
      <c r="J112" s="36" t="s">
        <v>219</v>
      </c>
      <c r="K112" s="36"/>
      <c r="L112" s="36">
        <v>5</v>
      </c>
      <c r="M112" s="36" t="s">
        <v>229</v>
      </c>
      <c r="N112" s="36" t="s">
        <v>219</v>
      </c>
      <c r="O112" s="36">
        <v>203</v>
      </c>
      <c r="P112" s="36">
        <f t="shared" si="14"/>
        <v>2.4630541871921183</v>
      </c>
      <c r="Q112" s="36">
        <v>7885.1777824533356</v>
      </c>
      <c r="R112" s="8">
        <f t="shared" si="15"/>
        <v>194.2162015382595</v>
      </c>
      <c r="S112" s="65">
        <v>7892.0866901154131</v>
      </c>
      <c r="T112" s="40">
        <f t="shared" si="16"/>
        <v>2.4608979749488702</v>
      </c>
      <c r="U112" s="110"/>
      <c r="V112" s="36">
        <v>250</v>
      </c>
      <c r="W112" s="36"/>
      <c r="X112" s="36"/>
      <c r="Y112" s="41">
        <v>24</v>
      </c>
      <c r="Z112" s="36">
        <v>4248</v>
      </c>
      <c r="AA112" s="36">
        <f t="shared" si="13"/>
        <v>5.6497175141242938E-3</v>
      </c>
      <c r="AB112" s="36">
        <v>12097.166242758842</v>
      </c>
      <c r="AC112" s="22">
        <f t="shared" ref="AC112:AC119" si="17">(AA112/100)*AB112</f>
        <v>0.68345571992987808</v>
      </c>
      <c r="AD112" s="36">
        <v>12395.1688606323</v>
      </c>
      <c r="AE112" s="22">
        <f t="shared" ref="AE112:AE175" si="18">AC112/AD112*100</f>
        <v>5.5138879317777499E-3</v>
      </c>
    </row>
    <row r="113" spans="1:31" ht="20.25" customHeight="1">
      <c r="A113" s="13">
        <v>42634</v>
      </c>
      <c r="B113" s="35" t="s">
        <v>157</v>
      </c>
      <c r="C113" s="165">
        <v>2016</v>
      </c>
      <c r="D113" s="53">
        <v>5</v>
      </c>
      <c r="E113" s="36" t="s">
        <v>223</v>
      </c>
      <c r="F113" s="36" t="s">
        <v>224</v>
      </c>
      <c r="G113" s="36" t="s">
        <v>225</v>
      </c>
      <c r="H113" s="36" t="s">
        <v>226</v>
      </c>
      <c r="I113" s="36" t="s">
        <v>253</v>
      </c>
      <c r="J113" s="36" t="s">
        <v>256</v>
      </c>
      <c r="K113" s="3"/>
      <c r="L113" s="3">
        <v>1</v>
      </c>
      <c r="M113" s="3" t="s">
        <v>229</v>
      </c>
      <c r="N113" s="36" t="s">
        <v>256</v>
      </c>
      <c r="O113" s="3">
        <v>203</v>
      </c>
      <c r="P113" s="3">
        <f t="shared" si="14"/>
        <v>0.49261083743842365</v>
      </c>
      <c r="Q113" s="65">
        <v>7885.1777824533356</v>
      </c>
      <c r="R113" s="8">
        <f t="shared" si="15"/>
        <v>38.843240307651897</v>
      </c>
      <c r="S113" s="65">
        <v>7892.0866901154131</v>
      </c>
      <c r="T113" s="40">
        <f t="shared" si="16"/>
        <v>0.49217959498977393</v>
      </c>
      <c r="U113" s="110"/>
      <c r="V113" s="36">
        <v>250</v>
      </c>
      <c r="W113" s="3"/>
      <c r="X113" s="3"/>
      <c r="Y113" s="41">
        <v>11</v>
      </c>
      <c r="Z113" s="36">
        <v>4248</v>
      </c>
      <c r="AA113" s="36">
        <f t="shared" si="13"/>
        <v>2.5894538606403015E-3</v>
      </c>
      <c r="AB113" s="36">
        <v>12097.166242758842</v>
      </c>
      <c r="AC113" s="22">
        <f t="shared" si="17"/>
        <v>0.31325053830119415</v>
      </c>
      <c r="AD113" s="36">
        <v>12395.1688606323</v>
      </c>
      <c r="AE113" s="22">
        <f t="shared" si="18"/>
        <v>2.5271986353981356E-3</v>
      </c>
    </row>
    <row r="114" spans="1:31" ht="20.25" customHeight="1">
      <c r="A114" s="13">
        <v>42634</v>
      </c>
      <c r="B114" s="35" t="s">
        <v>157</v>
      </c>
      <c r="C114" s="165">
        <v>2016</v>
      </c>
      <c r="D114" s="53">
        <v>5</v>
      </c>
      <c r="E114" s="3" t="s">
        <v>223</v>
      </c>
      <c r="F114" s="3" t="s">
        <v>224</v>
      </c>
      <c r="G114" s="3" t="s">
        <v>225</v>
      </c>
      <c r="H114" s="3" t="s">
        <v>226</v>
      </c>
      <c r="I114" s="3" t="s">
        <v>239</v>
      </c>
      <c r="J114" s="3" t="s">
        <v>258</v>
      </c>
      <c r="K114" s="3" t="s">
        <v>259</v>
      </c>
      <c r="L114" s="3">
        <v>3</v>
      </c>
      <c r="M114" s="3" t="s">
        <v>247</v>
      </c>
      <c r="N114" s="36" t="s">
        <v>258</v>
      </c>
      <c r="O114" s="3">
        <v>203</v>
      </c>
      <c r="P114" s="3">
        <f t="shared" si="14"/>
        <v>1.4778325123152709</v>
      </c>
      <c r="Q114" s="65">
        <v>7885.1777824533356</v>
      </c>
      <c r="R114" s="8">
        <f t="shared" si="15"/>
        <v>116.52972092295569</v>
      </c>
      <c r="S114" s="65">
        <v>7892.0866901154131</v>
      </c>
      <c r="T114" s="40">
        <f t="shared" si="16"/>
        <v>1.4765387849693219</v>
      </c>
      <c r="U114" s="110"/>
      <c r="V114" s="3">
        <v>250</v>
      </c>
      <c r="W114" s="3"/>
      <c r="X114" s="3"/>
      <c r="Y114" s="41">
        <v>3</v>
      </c>
      <c r="Z114" s="36">
        <v>4248</v>
      </c>
      <c r="AA114" s="36">
        <f t="shared" si="13"/>
        <v>7.0621468926553672E-4</v>
      </c>
      <c r="AB114" s="36">
        <v>12097.166242758842</v>
      </c>
      <c r="AC114" s="22">
        <f t="shared" si="17"/>
        <v>8.543196499123476E-2</v>
      </c>
      <c r="AD114" s="36">
        <v>12395.1688606323</v>
      </c>
      <c r="AE114" s="22">
        <f t="shared" si="18"/>
        <v>6.8923599147221873E-4</v>
      </c>
    </row>
    <row r="115" spans="1:31" ht="20.25" customHeight="1">
      <c r="A115" s="72">
        <v>42634</v>
      </c>
      <c r="B115" s="35" t="s">
        <v>157</v>
      </c>
      <c r="C115" s="165">
        <v>2016</v>
      </c>
      <c r="D115" s="53">
        <v>8</v>
      </c>
      <c r="E115" s="53" t="s">
        <v>223</v>
      </c>
      <c r="F115" s="36" t="s">
        <v>267</v>
      </c>
      <c r="G115" s="36"/>
      <c r="H115" s="53" t="s">
        <v>273</v>
      </c>
      <c r="I115" s="53"/>
      <c r="J115" s="53"/>
      <c r="K115" s="53"/>
      <c r="L115" s="53">
        <v>1</v>
      </c>
      <c r="M115" s="53" t="s">
        <v>508</v>
      </c>
      <c r="N115" s="53" t="s">
        <v>335</v>
      </c>
      <c r="O115" s="36">
        <v>3658</v>
      </c>
      <c r="P115" s="36">
        <f t="shared" si="14"/>
        <v>2.7337342810278838E-2</v>
      </c>
      <c r="Q115" s="36">
        <v>291.09371021134621</v>
      </c>
      <c r="R115" s="40">
        <f t="shared" si="15"/>
        <v>7.9577285459635369E-2</v>
      </c>
      <c r="S115" s="36">
        <v>4503.0821705168528</v>
      </c>
      <c r="T115" s="40">
        <f t="shared" si="16"/>
        <v>1.7671737367053572E-3</v>
      </c>
      <c r="U115" s="110"/>
      <c r="V115" s="36">
        <v>1000</v>
      </c>
      <c r="W115" s="36"/>
      <c r="X115" s="36"/>
      <c r="Y115" s="36">
        <v>1</v>
      </c>
      <c r="Z115" s="36">
        <v>4248</v>
      </c>
      <c r="AA115" s="36">
        <f t="shared" si="13"/>
        <v>2.3540489642184556E-4</v>
      </c>
      <c r="AB115" s="36">
        <v>298.00261787342419</v>
      </c>
      <c r="AC115" s="22">
        <f t="shared" si="17"/>
        <v>7.0151275393932249E-4</v>
      </c>
      <c r="AD115" s="36">
        <v>12395.1688606323</v>
      </c>
      <c r="AE115" s="22">
        <f t="shared" si="18"/>
        <v>5.6595659311053313E-6</v>
      </c>
    </row>
    <row r="116" spans="1:31" ht="20.25" customHeight="1">
      <c r="A116" s="72">
        <v>42634</v>
      </c>
      <c r="B116" s="35" t="s">
        <v>157</v>
      </c>
      <c r="C116" s="165">
        <v>2016</v>
      </c>
      <c r="D116" s="53">
        <v>8</v>
      </c>
      <c r="E116" s="36" t="s">
        <v>288</v>
      </c>
      <c r="F116" s="36" t="s">
        <v>289</v>
      </c>
      <c r="G116" s="36"/>
      <c r="H116" s="36"/>
      <c r="I116" s="36"/>
      <c r="J116" s="36"/>
      <c r="K116" s="36"/>
      <c r="L116" s="36">
        <v>2</v>
      </c>
      <c r="M116" s="36" t="s">
        <v>221</v>
      </c>
      <c r="N116" s="36" t="s">
        <v>499</v>
      </c>
      <c r="O116" s="36">
        <v>3658</v>
      </c>
      <c r="P116" s="36">
        <f t="shared" si="14"/>
        <v>5.4674685620557675E-2</v>
      </c>
      <c r="Q116" s="36">
        <v>291.09371021134621</v>
      </c>
      <c r="R116" s="40">
        <f t="shared" si="15"/>
        <v>0.15915457091927074</v>
      </c>
      <c r="S116" s="36">
        <v>4503.0821705168528</v>
      </c>
      <c r="T116" s="40">
        <f t="shared" si="16"/>
        <v>3.5343474734107145E-3</v>
      </c>
      <c r="U116" s="110"/>
      <c r="V116" s="36">
        <v>1000</v>
      </c>
      <c r="W116" s="36"/>
      <c r="X116" s="36"/>
      <c r="Y116" s="36">
        <v>2</v>
      </c>
      <c r="Z116" s="36">
        <v>4248</v>
      </c>
      <c r="AA116" s="36">
        <f t="shared" si="13"/>
        <v>4.7080979284369113E-4</v>
      </c>
      <c r="AB116" s="36">
        <v>298.00261787342419</v>
      </c>
      <c r="AC116" s="22">
        <f t="shared" si="17"/>
        <v>1.403025507878645E-3</v>
      </c>
      <c r="AD116" s="36">
        <v>12395.1688606323</v>
      </c>
      <c r="AE116" s="22">
        <f t="shared" si="18"/>
        <v>1.1319131862210663E-5</v>
      </c>
    </row>
    <row r="117" spans="1:31" ht="20.25" customHeight="1">
      <c r="A117" s="72">
        <v>42634</v>
      </c>
      <c r="B117" s="35" t="s">
        <v>157</v>
      </c>
      <c r="C117" s="165">
        <v>2016</v>
      </c>
      <c r="D117" s="53">
        <v>8</v>
      </c>
      <c r="E117" s="36" t="s">
        <v>223</v>
      </c>
      <c r="F117" s="36" t="s">
        <v>224</v>
      </c>
      <c r="G117" s="36" t="s">
        <v>225</v>
      </c>
      <c r="H117" s="36" t="s">
        <v>521</v>
      </c>
      <c r="I117" s="36" t="s">
        <v>522</v>
      </c>
      <c r="J117" s="36" t="s">
        <v>523</v>
      </c>
      <c r="K117" s="36" t="s">
        <v>551</v>
      </c>
      <c r="L117" s="36">
        <v>1</v>
      </c>
      <c r="M117" s="36" t="s">
        <v>544</v>
      </c>
      <c r="N117" s="36" t="s">
        <v>524</v>
      </c>
      <c r="O117" s="36">
        <v>3658</v>
      </c>
      <c r="P117" s="36">
        <f t="shared" si="14"/>
        <v>2.7337342810278838E-2</v>
      </c>
      <c r="Q117" s="36">
        <v>291.09371021134621</v>
      </c>
      <c r="R117" s="40">
        <f t="shared" si="15"/>
        <v>7.9577285459635369E-2</v>
      </c>
      <c r="S117" s="36">
        <v>4503.0821705168528</v>
      </c>
      <c r="T117" s="40">
        <f t="shared" si="16"/>
        <v>1.7671737367053572E-3</v>
      </c>
      <c r="U117" s="110"/>
      <c r="V117" s="36">
        <v>1000</v>
      </c>
      <c r="W117" s="36" t="s">
        <v>525</v>
      </c>
      <c r="X117" s="36"/>
      <c r="Y117" s="36">
        <v>1</v>
      </c>
      <c r="Z117" s="36">
        <v>4248</v>
      </c>
      <c r="AA117" s="36">
        <f t="shared" si="13"/>
        <v>2.3540489642184556E-4</v>
      </c>
      <c r="AB117" s="36">
        <v>298.00261787342419</v>
      </c>
      <c r="AC117" s="22">
        <f t="shared" si="17"/>
        <v>7.0151275393932249E-4</v>
      </c>
      <c r="AD117" s="36">
        <v>12395.1688606323</v>
      </c>
      <c r="AE117" s="22">
        <f t="shared" si="18"/>
        <v>5.6595659311053313E-6</v>
      </c>
    </row>
    <row r="118" spans="1:31" ht="20.25" customHeight="1">
      <c r="A118" s="72">
        <v>42634</v>
      </c>
      <c r="B118" s="35" t="s">
        <v>157</v>
      </c>
      <c r="C118" s="165">
        <v>2016</v>
      </c>
      <c r="D118" s="65">
        <v>8</v>
      </c>
      <c r="E118" s="36" t="s">
        <v>223</v>
      </c>
      <c r="F118" s="36" t="s">
        <v>303</v>
      </c>
      <c r="G118" s="36" t="s">
        <v>304</v>
      </c>
      <c r="H118" s="36" t="s">
        <v>305</v>
      </c>
      <c r="I118" s="36" t="s">
        <v>306</v>
      </c>
      <c r="J118" s="36" t="s">
        <v>307</v>
      </c>
      <c r="K118" s="36"/>
      <c r="L118" s="36">
        <v>1</v>
      </c>
      <c r="M118" s="3" t="s">
        <v>229</v>
      </c>
      <c r="N118" s="3" t="s">
        <v>307</v>
      </c>
      <c r="O118" s="36">
        <v>294</v>
      </c>
      <c r="P118" s="36">
        <f t="shared" si="14"/>
        <v>0.3401360544217687</v>
      </c>
      <c r="Q118" s="36">
        <v>4211.988460305507</v>
      </c>
      <c r="R118" s="8">
        <f t="shared" si="15"/>
        <v>14.326491361583356</v>
      </c>
      <c r="S118" s="36">
        <v>4503.0821705168528</v>
      </c>
      <c r="T118" s="40">
        <f t="shared" si="16"/>
        <v>0.31814856622833948</v>
      </c>
      <c r="U118" s="110"/>
      <c r="V118" s="36">
        <v>250</v>
      </c>
      <c r="W118" s="36" t="s">
        <v>308</v>
      </c>
      <c r="X118" s="36"/>
      <c r="Y118" s="36">
        <v>1</v>
      </c>
      <c r="Z118" s="36">
        <v>4248</v>
      </c>
      <c r="AA118" s="36">
        <f t="shared" si="13"/>
        <v>2.3540489642184556E-4</v>
      </c>
      <c r="AB118" s="36">
        <v>12097.166242758842</v>
      </c>
      <c r="AC118" s="22">
        <f t="shared" si="17"/>
        <v>2.847732166374492E-2</v>
      </c>
      <c r="AD118" s="36">
        <v>12395.1688606323</v>
      </c>
      <c r="AE118" s="22">
        <f t="shared" si="18"/>
        <v>2.297453304907396E-4</v>
      </c>
    </row>
    <row r="119" spans="1:31" ht="20.25" customHeight="1">
      <c r="A119" s="35">
        <v>42634</v>
      </c>
      <c r="B119" s="35" t="s">
        <v>157</v>
      </c>
      <c r="C119" s="165">
        <v>2016</v>
      </c>
      <c r="D119" s="65">
        <v>8</v>
      </c>
      <c r="E119" s="36" t="s">
        <v>223</v>
      </c>
      <c r="F119" s="36" t="s">
        <v>224</v>
      </c>
      <c r="G119" s="36" t="s">
        <v>225</v>
      </c>
      <c r="H119" s="36" t="s">
        <v>248</v>
      </c>
      <c r="I119" s="36" t="s">
        <v>249</v>
      </c>
      <c r="J119" s="36" t="s">
        <v>250</v>
      </c>
      <c r="K119" s="36"/>
      <c r="L119" s="36">
        <v>1</v>
      </c>
      <c r="M119" s="3" t="s">
        <v>229</v>
      </c>
      <c r="N119" s="36" t="s">
        <v>250</v>
      </c>
      <c r="O119" s="36">
        <v>294</v>
      </c>
      <c r="P119" s="36">
        <f t="shared" si="14"/>
        <v>0.3401360544217687</v>
      </c>
      <c r="Q119" s="36">
        <v>4211.988460305507</v>
      </c>
      <c r="R119" s="8">
        <f t="shared" si="15"/>
        <v>14.326491361583356</v>
      </c>
      <c r="S119" s="36">
        <v>4503.0821705168528</v>
      </c>
      <c r="T119" s="40">
        <f t="shared" si="16"/>
        <v>0.31814856622833948</v>
      </c>
      <c r="U119" s="110"/>
      <c r="V119" s="3">
        <v>250</v>
      </c>
      <c r="W119" s="36"/>
      <c r="X119" s="36"/>
      <c r="Y119" s="36">
        <v>1</v>
      </c>
      <c r="Z119" s="36">
        <v>4248</v>
      </c>
      <c r="AA119" s="36">
        <f t="shared" si="13"/>
        <v>2.3540489642184556E-4</v>
      </c>
      <c r="AB119" s="36">
        <v>12097.166242758842</v>
      </c>
      <c r="AC119" s="22">
        <f t="shared" si="17"/>
        <v>2.847732166374492E-2</v>
      </c>
      <c r="AD119" s="36">
        <v>12395.1688606323</v>
      </c>
      <c r="AE119" s="22">
        <f t="shared" si="18"/>
        <v>2.297453304907396E-4</v>
      </c>
    </row>
    <row r="120" spans="1:31" ht="20.25" customHeight="1">
      <c r="A120" s="35">
        <v>42634</v>
      </c>
      <c r="B120" s="35" t="s">
        <v>157</v>
      </c>
      <c r="C120" s="165">
        <v>2016</v>
      </c>
      <c r="D120" s="53">
        <v>8</v>
      </c>
      <c r="E120" s="36" t="s">
        <v>370</v>
      </c>
      <c r="F120" s="36"/>
      <c r="G120" s="36"/>
      <c r="H120" s="36"/>
      <c r="I120" s="36"/>
      <c r="J120" s="36"/>
      <c r="K120" s="36"/>
      <c r="L120" s="36">
        <v>7</v>
      </c>
      <c r="M120" s="36" t="s">
        <v>708</v>
      </c>
      <c r="N120" s="36" t="s">
        <v>708</v>
      </c>
      <c r="O120" s="36">
        <v>294</v>
      </c>
      <c r="P120" s="36">
        <f t="shared" si="14"/>
        <v>2.3809523809523809</v>
      </c>
      <c r="Q120" s="36">
        <v>4211.988460305507</v>
      </c>
      <c r="R120" s="53">
        <f t="shared" si="15"/>
        <v>100.2854395310835</v>
      </c>
      <c r="S120" s="36">
        <v>4503.0821705168528</v>
      </c>
      <c r="T120" s="53">
        <f t="shared" si="16"/>
        <v>2.2270399635983766</v>
      </c>
      <c r="U120" s="53"/>
      <c r="V120" s="36">
        <v>250</v>
      </c>
      <c r="W120" s="36"/>
      <c r="X120" s="36"/>
      <c r="Y120" s="36">
        <v>7</v>
      </c>
      <c r="Z120" s="36">
        <v>4248</v>
      </c>
      <c r="AA120" s="36">
        <f t="shared" si="13"/>
        <v>1.6478342749529191E-3</v>
      </c>
      <c r="AB120" s="36">
        <v>12097.166242758842</v>
      </c>
      <c r="AC120" s="22">
        <f>(AA120/100)*AB120</f>
        <v>0.19934125164621444</v>
      </c>
      <c r="AD120" s="36">
        <v>12395.1688606323</v>
      </c>
      <c r="AE120" s="36">
        <f t="shared" si="18"/>
        <v>1.608217313435177E-3</v>
      </c>
    </row>
    <row r="121" spans="1:31">
      <c r="AA121" s="36"/>
      <c r="AC121" s="22">
        <f t="shared" ref="AC121:AC184" si="19">(AA121/100)*AB121</f>
        <v>0</v>
      </c>
      <c r="AE121" s="36" t="e">
        <f t="shared" si="18"/>
        <v>#DIV/0!</v>
      </c>
    </row>
    <row r="122" spans="1:31">
      <c r="AA122" s="36"/>
      <c r="AC122" s="22">
        <f t="shared" si="19"/>
        <v>0</v>
      </c>
      <c r="AE122" s="36" t="e">
        <f t="shared" si="18"/>
        <v>#DIV/0!</v>
      </c>
    </row>
    <row r="123" spans="1:31" s="33" customFormat="1" ht="20.25" customHeight="1">
      <c r="A123" s="35">
        <v>41422</v>
      </c>
      <c r="B123" s="35" t="s">
        <v>144</v>
      </c>
      <c r="C123" s="164">
        <v>2013</v>
      </c>
      <c r="D123" s="65">
        <v>2</v>
      </c>
      <c r="E123" s="36" t="s">
        <v>323</v>
      </c>
      <c r="F123" s="36" t="s">
        <v>324</v>
      </c>
      <c r="G123" s="36"/>
      <c r="H123" s="36" t="s">
        <v>325</v>
      </c>
      <c r="I123" s="36" t="s">
        <v>326</v>
      </c>
      <c r="J123" s="36" t="s">
        <v>327</v>
      </c>
      <c r="K123" s="36"/>
      <c r="L123" s="36">
        <v>4</v>
      </c>
      <c r="M123" s="36" t="s">
        <v>229</v>
      </c>
      <c r="N123" s="36" t="s">
        <v>327</v>
      </c>
      <c r="O123" s="36">
        <v>8</v>
      </c>
      <c r="P123" s="36">
        <f t="shared" ref="P123:P161" si="20">L123/O123*100</f>
        <v>50</v>
      </c>
      <c r="Q123" s="65">
        <v>0.87725390286607707</v>
      </c>
      <c r="R123" s="40">
        <f t="shared" ref="R123:R161" si="21">(P123/100)*Q123</f>
        <v>0.43862695143303854</v>
      </c>
      <c r="S123" s="36">
        <v>1858.4673888788602</v>
      </c>
      <c r="T123" s="40">
        <f t="shared" ref="T123:T161" si="22">R123/S123*100</f>
        <v>2.3601541466791342E-2</v>
      </c>
      <c r="U123" s="110">
        <f>SUM(T123+T124+T126+T133)</f>
        <v>15.040122620493547</v>
      </c>
      <c r="V123" s="36">
        <v>1000</v>
      </c>
      <c r="W123" s="36"/>
      <c r="X123" s="36"/>
      <c r="Y123" s="36">
        <f>4+13</f>
        <v>17</v>
      </c>
      <c r="Z123" s="32">
        <v>242</v>
      </c>
      <c r="AA123" s="36">
        <f t="shared" si="13"/>
        <v>7.0247933884297523E-2</v>
      </c>
      <c r="AB123" s="33">
        <f>Q123+Q135</f>
        <v>11.063146441699931</v>
      </c>
      <c r="AC123" s="22">
        <f t="shared" si="19"/>
        <v>7.7716317978883823E-3</v>
      </c>
      <c r="AD123" s="32">
        <v>8763.6877695312705</v>
      </c>
      <c r="AE123" s="36">
        <f t="shared" si="18"/>
        <v>8.8679925646233419E-5</v>
      </c>
    </row>
    <row r="124" spans="1:31" s="33" customFormat="1" ht="20.25" customHeight="1">
      <c r="A124" s="35">
        <v>41422</v>
      </c>
      <c r="B124" s="35" t="s">
        <v>144</v>
      </c>
      <c r="C124" s="164">
        <v>2013</v>
      </c>
      <c r="D124" s="65">
        <v>2</v>
      </c>
      <c r="E124" s="65" t="s">
        <v>328</v>
      </c>
      <c r="F124" s="65"/>
      <c r="G124" s="65"/>
      <c r="H124" s="65"/>
      <c r="I124" s="65"/>
      <c r="J124" s="36" t="s">
        <v>328</v>
      </c>
      <c r="K124" s="36"/>
      <c r="L124" s="36">
        <v>4</v>
      </c>
      <c r="M124" s="36" t="s">
        <v>328</v>
      </c>
      <c r="N124" s="36" t="s">
        <v>328</v>
      </c>
      <c r="O124" s="36">
        <v>8</v>
      </c>
      <c r="P124" s="36">
        <f t="shared" si="20"/>
        <v>50</v>
      </c>
      <c r="Q124" s="36">
        <v>0.87725390286607707</v>
      </c>
      <c r="R124" s="40">
        <f t="shared" si="21"/>
        <v>0.43862695143303854</v>
      </c>
      <c r="S124" s="36">
        <v>1858.4673888788602</v>
      </c>
      <c r="T124" s="40">
        <f t="shared" si="22"/>
        <v>2.3601541466791342E-2</v>
      </c>
      <c r="U124" s="110"/>
      <c r="V124" s="36">
        <v>1000</v>
      </c>
      <c r="W124" s="36" t="s">
        <v>328</v>
      </c>
      <c r="X124" s="36"/>
      <c r="Y124" s="36">
        <v>4</v>
      </c>
      <c r="Z124" s="32">
        <v>242</v>
      </c>
      <c r="AA124" s="36">
        <f t="shared" si="13"/>
        <v>1.6528925619834711E-2</v>
      </c>
      <c r="AB124" s="33">
        <v>11.063146441699931</v>
      </c>
      <c r="AC124" s="22">
        <f t="shared" si="19"/>
        <v>1.8286192465619723E-3</v>
      </c>
      <c r="AD124" s="32">
        <v>8763.6877695312705</v>
      </c>
      <c r="AE124" s="36">
        <f t="shared" si="18"/>
        <v>2.0865864857937274E-5</v>
      </c>
    </row>
    <row r="125" spans="1:31" s="33" customFormat="1" ht="20.25" customHeight="1">
      <c r="A125" s="71">
        <v>41422</v>
      </c>
      <c r="B125" s="35" t="s">
        <v>144</v>
      </c>
      <c r="C125" s="164">
        <v>2013</v>
      </c>
      <c r="D125" s="51">
        <v>2</v>
      </c>
      <c r="E125" s="3" t="s">
        <v>223</v>
      </c>
      <c r="F125" s="3" t="s">
        <v>224</v>
      </c>
      <c r="G125" s="3" t="s">
        <v>225</v>
      </c>
      <c r="H125" s="3" t="s">
        <v>226</v>
      </c>
      <c r="I125" s="3" t="s">
        <v>227</v>
      </c>
      <c r="J125" s="3" t="s">
        <v>228</v>
      </c>
      <c r="K125" s="3"/>
      <c r="L125" s="3">
        <v>7</v>
      </c>
      <c r="M125" s="3" t="s">
        <v>229</v>
      </c>
      <c r="N125" s="3" t="s">
        <v>228</v>
      </c>
      <c r="O125" s="3">
        <v>40</v>
      </c>
      <c r="P125" s="3">
        <f t="shared" si="20"/>
        <v>17.5</v>
      </c>
      <c r="Q125" s="36">
        <v>1857.590134975994</v>
      </c>
      <c r="R125" s="8">
        <f t="shared" si="21"/>
        <v>325.07827362079894</v>
      </c>
      <c r="S125" s="36">
        <v>1858.46738887886</v>
      </c>
      <c r="T125" s="8">
        <f t="shared" si="22"/>
        <v>17.491739460486624</v>
      </c>
      <c r="U125" s="109"/>
      <c r="V125" s="3">
        <v>250</v>
      </c>
      <c r="W125" s="3" t="s">
        <v>230</v>
      </c>
      <c r="X125" s="3"/>
      <c r="Y125" s="36">
        <f>7+11</f>
        <v>18</v>
      </c>
      <c r="Z125" s="32">
        <v>242</v>
      </c>
      <c r="AA125" s="36">
        <f t="shared" si="13"/>
        <v>7.43801652892562E-2</v>
      </c>
      <c r="AB125" s="33">
        <f>Q125+Q136</f>
        <v>8752.6246230895649</v>
      </c>
      <c r="AC125" s="22">
        <f t="shared" si="19"/>
        <v>6.510216661802156</v>
      </c>
      <c r="AD125" s="32">
        <v>8763.6877695312705</v>
      </c>
      <c r="AE125" s="174">
        <f t="shared" si="18"/>
        <v>7.4286268897395438E-2</v>
      </c>
    </row>
    <row r="126" spans="1:31" s="33" customFormat="1" ht="20.25" customHeight="1">
      <c r="A126" s="35">
        <v>41422</v>
      </c>
      <c r="B126" s="35" t="s">
        <v>144</v>
      </c>
      <c r="C126" s="164">
        <v>2013</v>
      </c>
      <c r="D126" s="65">
        <v>2</v>
      </c>
      <c r="E126" s="65" t="s">
        <v>223</v>
      </c>
      <c r="F126" s="65" t="s">
        <v>267</v>
      </c>
      <c r="G126" s="65" t="s">
        <v>268</v>
      </c>
      <c r="H126" s="65" t="s">
        <v>269</v>
      </c>
      <c r="I126" s="65"/>
      <c r="J126" s="36" t="s">
        <v>270</v>
      </c>
      <c r="K126" s="36"/>
      <c r="L126" s="36">
        <v>1</v>
      </c>
      <c r="M126" s="36" t="s">
        <v>229</v>
      </c>
      <c r="N126" s="36" t="s">
        <v>270</v>
      </c>
      <c r="O126" s="36">
        <v>40</v>
      </c>
      <c r="P126" s="36">
        <f t="shared" si="20"/>
        <v>2.5</v>
      </c>
      <c r="Q126" s="36">
        <v>1857.590134975994</v>
      </c>
      <c r="R126" s="53">
        <f t="shared" si="21"/>
        <v>46.439753374399857</v>
      </c>
      <c r="S126" s="36">
        <v>1858.46738887886</v>
      </c>
      <c r="T126" s="53">
        <f t="shared" si="22"/>
        <v>2.498819922926661</v>
      </c>
      <c r="U126" s="110"/>
      <c r="V126" s="36">
        <v>250</v>
      </c>
      <c r="W126" s="36" t="s">
        <v>271</v>
      </c>
      <c r="X126" s="36"/>
      <c r="Y126" s="36">
        <v>25</v>
      </c>
      <c r="Z126" s="32">
        <v>242</v>
      </c>
      <c r="AA126" s="36">
        <f t="shared" si="13"/>
        <v>0.10330578512396695</v>
      </c>
      <c r="AB126" s="33">
        <v>8752.6246230895649</v>
      </c>
      <c r="AC126" s="22">
        <f t="shared" si="19"/>
        <v>9.0419675858363284</v>
      </c>
      <c r="AD126" s="32">
        <v>8763.6877695312705</v>
      </c>
      <c r="AE126" s="174">
        <f t="shared" si="18"/>
        <v>0.10317537346860477</v>
      </c>
    </row>
    <row r="127" spans="1:31" customFormat="1" ht="20.25" customHeight="1">
      <c r="A127" s="35">
        <v>41422</v>
      </c>
      <c r="B127" s="35" t="s">
        <v>144</v>
      </c>
      <c r="C127" s="164">
        <v>2013</v>
      </c>
      <c r="D127" s="65">
        <v>2</v>
      </c>
      <c r="E127" s="65" t="s">
        <v>223</v>
      </c>
      <c r="F127" s="65" t="s">
        <v>303</v>
      </c>
      <c r="G127" s="65" t="s">
        <v>304</v>
      </c>
      <c r="H127" s="65" t="s">
        <v>305</v>
      </c>
      <c r="I127" s="65" t="s">
        <v>306</v>
      </c>
      <c r="J127" s="36" t="s">
        <v>307</v>
      </c>
      <c r="K127" s="36"/>
      <c r="L127" s="36">
        <v>3</v>
      </c>
      <c r="M127" s="36" t="s">
        <v>229</v>
      </c>
      <c r="N127" s="36" t="s">
        <v>307</v>
      </c>
      <c r="O127" s="36">
        <v>40</v>
      </c>
      <c r="P127" s="36">
        <f t="shared" si="20"/>
        <v>7.5</v>
      </c>
      <c r="Q127" s="36">
        <v>1857.590134975994</v>
      </c>
      <c r="R127" s="53">
        <f t="shared" si="21"/>
        <v>139.31926012319954</v>
      </c>
      <c r="S127" s="36">
        <v>1858.46738887886</v>
      </c>
      <c r="T127" s="53">
        <f t="shared" si="22"/>
        <v>7.4964597687799808</v>
      </c>
      <c r="U127" s="110"/>
      <c r="V127" s="36">
        <v>250</v>
      </c>
      <c r="W127" s="36" t="s">
        <v>308</v>
      </c>
      <c r="X127" s="36"/>
      <c r="Y127" s="36">
        <v>7</v>
      </c>
      <c r="Z127" s="32">
        <v>242</v>
      </c>
      <c r="AA127" s="36">
        <f t="shared" si="13"/>
        <v>2.8925619834710745E-2</v>
      </c>
      <c r="AB127" s="33">
        <v>8752.6246230895649</v>
      </c>
      <c r="AC127" s="22">
        <f t="shared" si="19"/>
        <v>2.531750924034172</v>
      </c>
      <c r="AD127" s="32">
        <v>8763.6877695312705</v>
      </c>
      <c r="AE127" s="174">
        <f t="shared" si="18"/>
        <v>2.8889104571209339E-2</v>
      </c>
    </row>
    <row r="128" spans="1:31" customFormat="1" ht="20.25" customHeight="1">
      <c r="A128" s="72">
        <v>41422</v>
      </c>
      <c r="B128" s="35" t="s">
        <v>144</v>
      </c>
      <c r="C128" s="164">
        <v>2013</v>
      </c>
      <c r="D128" s="65">
        <v>2</v>
      </c>
      <c r="E128" s="36" t="s">
        <v>300</v>
      </c>
      <c r="F128" s="36" t="s">
        <v>320</v>
      </c>
      <c r="G128" s="36"/>
      <c r="H128" s="36"/>
      <c r="I128" s="36"/>
      <c r="J128" s="36" t="s">
        <v>321</v>
      </c>
      <c r="K128" s="36"/>
      <c r="L128" s="36">
        <v>2</v>
      </c>
      <c r="M128" s="36" t="s">
        <v>221</v>
      </c>
      <c r="N128" s="36" t="s">
        <v>322</v>
      </c>
      <c r="O128" s="36">
        <v>40</v>
      </c>
      <c r="P128" s="36">
        <f t="shared" si="20"/>
        <v>5</v>
      </c>
      <c r="Q128" s="36">
        <v>1857.590134975994</v>
      </c>
      <c r="R128" s="53">
        <f t="shared" si="21"/>
        <v>92.879506748799713</v>
      </c>
      <c r="S128" s="36">
        <v>1858.46738887886</v>
      </c>
      <c r="T128" s="53">
        <f t="shared" si="22"/>
        <v>4.997639845853322</v>
      </c>
      <c r="U128" s="110"/>
      <c r="V128" s="36">
        <v>250</v>
      </c>
      <c r="W128" s="36" t="s">
        <v>222</v>
      </c>
      <c r="X128" s="36"/>
      <c r="Y128" s="36">
        <v>3</v>
      </c>
      <c r="Z128" s="32">
        <v>242</v>
      </c>
      <c r="AA128" s="36">
        <f t="shared" si="13"/>
        <v>1.2396694214876033E-2</v>
      </c>
      <c r="AB128" s="33">
        <v>8752.6246230895649</v>
      </c>
      <c r="AC128" s="22">
        <f t="shared" si="19"/>
        <v>1.0850361103003594</v>
      </c>
      <c r="AD128" s="32">
        <v>8763.6877695312705</v>
      </c>
      <c r="AE128" s="174">
        <f t="shared" si="18"/>
        <v>1.2381044816232574E-2</v>
      </c>
    </row>
    <row r="129" spans="1:31" customFormat="1" ht="20.25" customHeight="1">
      <c r="A129" s="72">
        <v>41422</v>
      </c>
      <c r="B129" s="35" t="s">
        <v>144</v>
      </c>
      <c r="C129" s="164">
        <v>2013</v>
      </c>
      <c r="D129" s="65">
        <v>2</v>
      </c>
      <c r="E129" s="36" t="s">
        <v>223</v>
      </c>
      <c r="F129" s="36" t="s">
        <v>317</v>
      </c>
      <c r="G129" s="36"/>
      <c r="H129" s="36" t="s">
        <v>311</v>
      </c>
      <c r="I129" s="36" t="s">
        <v>318</v>
      </c>
      <c r="J129" s="36" t="s">
        <v>319</v>
      </c>
      <c r="K129" s="36"/>
      <c r="L129" s="36">
        <v>11</v>
      </c>
      <c r="M129" s="36" t="s">
        <v>229</v>
      </c>
      <c r="N129" s="36" t="s">
        <v>345</v>
      </c>
      <c r="O129" s="36">
        <v>40</v>
      </c>
      <c r="P129" s="36">
        <f t="shared" si="20"/>
        <v>27.500000000000004</v>
      </c>
      <c r="Q129" s="36">
        <v>1857.590134975994</v>
      </c>
      <c r="R129" s="53">
        <f t="shared" si="21"/>
        <v>510.83728711839842</v>
      </c>
      <c r="S129" s="36">
        <v>1858.46738887886</v>
      </c>
      <c r="T129" s="53">
        <f t="shared" si="22"/>
        <v>27.48701915219327</v>
      </c>
      <c r="U129" s="110"/>
      <c r="V129" s="36">
        <v>250</v>
      </c>
      <c r="W129" s="36" t="s">
        <v>271</v>
      </c>
      <c r="X129" s="36"/>
      <c r="Y129" s="36">
        <v>17</v>
      </c>
      <c r="Z129" s="32">
        <v>242</v>
      </c>
      <c r="AA129" s="36">
        <f t="shared" si="13"/>
        <v>7.0247933884297523E-2</v>
      </c>
      <c r="AB129" s="33">
        <v>8752.6246230895649</v>
      </c>
      <c r="AC129" s="22">
        <f t="shared" si="19"/>
        <v>6.1485379583687028</v>
      </c>
      <c r="AD129" s="32">
        <v>8763.6877695312705</v>
      </c>
      <c r="AE129" s="174">
        <f t="shared" si="18"/>
        <v>7.0159253958651246E-2</v>
      </c>
    </row>
    <row r="130" spans="1:31" customFormat="1" ht="20.25" customHeight="1">
      <c r="A130" s="71">
        <v>41422</v>
      </c>
      <c r="B130" s="35" t="s">
        <v>144</v>
      </c>
      <c r="C130" s="164">
        <v>2013</v>
      </c>
      <c r="D130" s="51">
        <v>2</v>
      </c>
      <c r="E130" s="3" t="s">
        <v>223</v>
      </c>
      <c r="F130" s="3" t="s">
        <v>224</v>
      </c>
      <c r="G130" s="3" t="s">
        <v>225</v>
      </c>
      <c r="H130" s="3" t="s">
        <v>226</v>
      </c>
      <c r="I130" s="3" t="s">
        <v>239</v>
      </c>
      <c r="J130" s="3" t="s">
        <v>240</v>
      </c>
      <c r="K130" s="3"/>
      <c r="L130" s="3">
        <v>3</v>
      </c>
      <c r="M130" s="3" t="s">
        <v>229</v>
      </c>
      <c r="N130" s="3" t="s">
        <v>240</v>
      </c>
      <c r="O130" s="3">
        <v>40</v>
      </c>
      <c r="P130" s="3">
        <f t="shared" si="20"/>
        <v>7.5</v>
      </c>
      <c r="Q130" s="65">
        <v>1857.590134975994</v>
      </c>
      <c r="R130" s="8">
        <f t="shared" si="21"/>
        <v>139.31926012319954</v>
      </c>
      <c r="S130" s="36">
        <v>1858.46738887886</v>
      </c>
      <c r="T130" s="8">
        <f t="shared" si="22"/>
        <v>7.4964597687799808</v>
      </c>
      <c r="U130" s="109"/>
      <c r="V130" s="3">
        <v>250</v>
      </c>
      <c r="W130" s="3" t="s">
        <v>241</v>
      </c>
      <c r="X130" s="3"/>
      <c r="Y130" s="36">
        <v>25</v>
      </c>
      <c r="Z130" s="32">
        <v>242</v>
      </c>
      <c r="AA130" s="36">
        <f t="shared" si="13"/>
        <v>0.10330578512396695</v>
      </c>
      <c r="AB130" s="33">
        <v>8752.6246230895649</v>
      </c>
      <c r="AC130" s="22">
        <f t="shared" si="19"/>
        <v>9.0419675858363284</v>
      </c>
      <c r="AD130" s="32">
        <v>8763.6877695312705</v>
      </c>
      <c r="AE130" s="174">
        <f t="shared" si="18"/>
        <v>0.10317537346860477</v>
      </c>
    </row>
    <row r="131" spans="1:31" customFormat="1" ht="20.25" customHeight="1">
      <c r="A131" s="71">
        <v>41422</v>
      </c>
      <c r="B131" s="35" t="s">
        <v>144</v>
      </c>
      <c r="C131" s="164">
        <v>2013</v>
      </c>
      <c r="D131" s="51">
        <v>2</v>
      </c>
      <c r="E131" s="3" t="s">
        <v>223</v>
      </c>
      <c r="F131" s="3" t="s">
        <v>224</v>
      </c>
      <c r="G131" s="3" t="s">
        <v>225</v>
      </c>
      <c r="H131" s="3" t="s">
        <v>243</v>
      </c>
      <c r="I131" s="3" t="s">
        <v>244</v>
      </c>
      <c r="J131" s="3" t="s">
        <v>245</v>
      </c>
      <c r="K131" s="3" t="s">
        <v>246</v>
      </c>
      <c r="L131" s="3">
        <v>4</v>
      </c>
      <c r="M131" s="3" t="s">
        <v>247</v>
      </c>
      <c r="N131" s="3" t="s">
        <v>673</v>
      </c>
      <c r="O131" s="3">
        <v>40</v>
      </c>
      <c r="P131" s="3">
        <f t="shared" si="20"/>
        <v>10</v>
      </c>
      <c r="Q131" s="65">
        <v>1857.590134975994</v>
      </c>
      <c r="R131" s="8">
        <f t="shared" si="21"/>
        <v>185.75901349759943</v>
      </c>
      <c r="S131" s="36">
        <v>1858.46738887886</v>
      </c>
      <c r="T131" s="8">
        <f t="shared" si="22"/>
        <v>9.995279691706644</v>
      </c>
      <c r="U131" s="109"/>
      <c r="V131" s="3">
        <v>250</v>
      </c>
      <c r="W131" s="3"/>
      <c r="X131" s="3"/>
      <c r="Y131" s="36">
        <v>14</v>
      </c>
      <c r="Z131" s="32">
        <v>242</v>
      </c>
      <c r="AA131" s="36">
        <f t="shared" si="13"/>
        <v>5.7851239669421489E-2</v>
      </c>
      <c r="AB131" s="33">
        <v>8752.6246230895649</v>
      </c>
      <c r="AC131" s="22">
        <f t="shared" si="19"/>
        <v>5.063501848068344</v>
      </c>
      <c r="AD131" s="32">
        <v>8763.6877695312705</v>
      </c>
      <c r="AE131" s="174">
        <f t="shared" si="18"/>
        <v>5.7778209142418678E-2</v>
      </c>
    </row>
    <row r="132" spans="1:31" customFormat="1" ht="20.25" customHeight="1">
      <c r="A132" s="71">
        <v>41422</v>
      </c>
      <c r="B132" s="35" t="s">
        <v>144</v>
      </c>
      <c r="C132" s="164">
        <v>2013</v>
      </c>
      <c r="D132" s="51">
        <v>2</v>
      </c>
      <c r="E132" s="51" t="s">
        <v>223</v>
      </c>
      <c r="F132" s="51" t="s">
        <v>224</v>
      </c>
      <c r="G132" s="51" t="s">
        <v>225</v>
      </c>
      <c r="H132" s="51" t="s">
        <v>226</v>
      </c>
      <c r="I132" s="51" t="s">
        <v>253</v>
      </c>
      <c r="J132" s="3" t="s">
        <v>254</v>
      </c>
      <c r="K132" s="3"/>
      <c r="L132" s="3">
        <v>1</v>
      </c>
      <c r="M132" s="3" t="s">
        <v>229</v>
      </c>
      <c r="N132" s="3" t="s">
        <v>254</v>
      </c>
      <c r="O132" s="3">
        <v>40</v>
      </c>
      <c r="P132" s="3">
        <f t="shared" si="20"/>
        <v>2.5</v>
      </c>
      <c r="Q132" s="65">
        <v>1857.590134975994</v>
      </c>
      <c r="R132" s="8">
        <f t="shared" si="21"/>
        <v>46.439753374399857</v>
      </c>
      <c r="S132" s="36">
        <v>1858.46738887886</v>
      </c>
      <c r="T132" s="8">
        <f t="shared" si="22"/>
        <v>2.498819922926661</v>
      </c>
      <c r="U132" s="109"/>
      <c r="V132" s="3">
        <v>250</v>
      </c>
      <c r="W132" s="3" t="s">
        <v>255</v>
      </c>
      <c r="X132" s="3"/>
      <c r="Y132" s="36">
        <v>1</v>
      </c>
      <c r="Z132" s="32">
        <v>242</v>
      </c>
      <c r="AA132" s="36">
        <f t="shared" si="13"/>
        <v>4.1322314049586778E-3</v>
      </c>
      <c r="AB132" s="33">
        <v>8752.6246230895649</v>
      </c>
      <c r="AC132" s="22">
        <f t="shared" si="19"/>
        <v>0.3616787034334531</v>
      </c>
      <c r="AD132" s="32">
        <v>8763.6877695312705</v>
      </c>
      <c r="AE132" s="36">
        <f t="shared" si="18"/>
        <v>4.1270149387441909E-3</v>
      </c>
    </row>
    <row r="133" spans="1:31" customFormat="1" ht="20.25" customHeight="1">
      <c r="A133" s="13">
        <v>41422</v>
      </c>
      <c r="B133" s="35" t="s">
        <v>144</v>
      </c>
      <c r="C133" s="164">
        <v>2013</v>
      </c>
      <c r="D133" s="51">
        <v>2</v>
      </c>
      <c r="E133" s="3" t="s">
        <v>216</v>
      </c>
      <c r="F133" s="3" t="s">
        <v>217</v>
      </c>
      <c r="G133" s="3"/>
      <c r="H133" s="3"/>
      <c r="I133" s="3"/>
      <c r="J133" s="3" t="s">
        <v>220</v>
      </c>
      <c r="K133" s="3"/>
      <c r="L133" s="3">
        <v>5</v>
      </c>
      <c r="M133" s="36" t="s">
        <v>229</v>
      </c>
      <c r="N133" s="3" t="s">
        <v>219</v>
      </c>
      <c r="O133" s="3">
        <v>40</v>
      </c>
      <c r="P133" s="3">
        <f t="shared" si="20"/>
        <v>12.5</v>
      </c>
      <c r="Q133" s="65">
        <v>1857.590134975994</v>
      </c>
      <c r="R133" s="8">
        <f t="shared" si="21"/>
        <v>232.19876687199925</v>
      </c>
      <c r="S133" s="36">
        <v>1858.46738887886</v>
      </c>
      <c r="T133" s="8">
        <f t="shared" si="22"/>
        <v>12.494099614633303</v>
      </c>
      <c r="U133" s="109"/>
      <c r="V133" s="3">
        <v>250</v>
      </c>
      <c r="W133" s="3" t="s">
        <v>222</v>
      </c>
      <c r="X133" s="3"/>
      <c r="Y133" s="36">
        <v>14</v>
      </c>
      <c r="Z133" s="32">
        <v>242</v>
      </c>
      <c r="AA133" s="36">
        <f t="shared" si="13"/>
        <v>5.7851239669421489E-2</v>
      </c>
      <c r="AB133" s="33">
        <v>8752.6246230895649</v>
      </c>
      <c r="AC133" s="22">
        <f t="shared" si="19"/>
        <v>5.063501848068344</v>
      </c>
      <c r="AD133" s="32">
        <v>8763.6877695312705</v>
      </c>
      <c r="AE133" s="174">
        <f t="shared" si="18"/>
        <v>5.7778209142418678E-2</v>
      </c>
    </row>
    <row r="134" spans="1:31" customFormat="1" ht="20.25" customHeight="1">
      <c r="A134" s="71">
        <v>41422</v>
      </c>
      <c r="B134" s="35" t="s">
        <v>144</v>
      </c>
      <c r="C134" s="164">
        <v>2013</v>
      </c>
      <c r="D134" s="51">
        <v>2</v>
      </c>
      <c r="E134" s="3" t="s">
        <v>223</v>
      </c>
      <c r="F134" s="3" t="s">
        <v>224</v>
      </c>
      <c r="G134" s="3" t="s">
        <v>225</v>
      </c>
      <c r="H134" s="3" t="s">
        <v>226</v>
      </c>
      <c r="I134" s="3" t="s">
        <v>239</v>
      </c>
      <c r="J134" s="3" t="s">
        <v>258</v>
      </c>
      <c r="K134" s="3" t="s">
        <v>259</v>
      </c>
      <c r="L134" s="3">
        <v>1</v>
      </c>
      <c r="M134" s="3" t="s">
        <v>247</v>
      </c>
      <c r="N134" s="3" t="s">
        <v>260</v>
      </c>
      <c r="O134" s="3">
        <v>40</v>
      </c>
      <c r="P134" s="3">
        <f t="shared" si="20"/>
        <v>2.5</v>
      </c>
      <c r="Q134" s="65">
        <v>1857.590134975994</v>
      </c>
      <c r="R134" s="8">
        <f t="shared" si="21"/>
        <v>46.439753374399857</v>
      </c>
      <c r="S134" s="36">
        <v>1858.46738887886</v>
      </c>
      <c r="T134" s="8">
        <f t="shared" si="22"/>
        <v>2.498819922926661</v>
      </c>
      <c r="U134" s="109"/>
      <c r="V134" s="3">
        <v>250</v>
      </c>
      <c r="W134" s="3"/>
      <c r="X134" s="3"/>
      <c r="Y134" s="36">
        <v>4</v>
      </c>
      <c r="Z134" s="32">
        <v>242</v>
      </c>
      <c r="AA134" s="36">
        <f t="shared" si="13"/>
        <v>1.6528925619834711E-2</v>
      </c>
      <c r="AB134" s="33">
        <v>8752.6246230895649</v>
      </c>
      <c r="AC134" s="22">
        <f t="shared" si="19"/>
        <v>1.4467148137338124</v>
      </c>
      <c r="AD134" s="32">
        <v>8763.6877695312705</v>
      </c>
      <c r="AE134" s="174">
        <f t="shared" si="18"/>
        <v>1.6508059754976764E-2</v>
      </c>
    </row>
    <row r="135" spans="1:31" customFormat="1" ht="20.25" customHeight="1">
      <c r="A135" s="35">
        <v>41422</v>
      </c>
      <c r="B135" s="35" t="s">
        <v>144</v>
      </c>
      <c r="C135" s="164">
        <v>2013</v>
      </c>
      <c r="D135" s="65">
        <v>4</v>
      </c>
      <c r="E135" s="65" t="s">
        <v>223</v>
      </c>
      <c r="F135" s="65" t="s">
        <v>267</v>
      </c>
      <c r="G135" s="65" t="s">
        <v>278</v>
      </c>
      <c r="H135" s="65" t="s">
        <v>279</v>
      </c>
      <c r="I135" s="65" t="s">
        <v>280</v>
      </c>
      <c r="J135" s="36" t="s">
        <v>284</v>
      </c>
      <c r="K135" s="36" t="s">
        <v>285</v>
      </c>
      <c r="L135" s="36">
        <v>51</v>
      </c>
      <c r="M135" s="36" t="s">
        <v>247</v>
      </c>
      <c r="N135" s="36" t="s">
        <v>283</v>
      </c>
      <c r="O135" s="36">
        <v>88</v>
      </c>
      <c r="P135" s="36">
        <f t="shared" si="20"/>
        <v>57.95454545454546</v>
      </c>
      <c r="Q135" s="36">
        <v>10.185892538833855</v>
      </c>
      <c r="R135" s="40">
        <f t="shared" si="21"/>
        <v>5.9031877213696209</v>
      </c>
      <c r="S135" s="65">
        <v>6905.2203806524103</v>
      </c>
      <c r="T135" s="40">
        <f t="shared" si="22"/>
        <v>8.5488766410839495E-2</v>
      </c>
      <c r="U135" s="110"/>
      <c r="V135" s="36">
        <v>1000</v>
      </c>
      <c r="W135" s="36"/>
      <c r="X135" s="36"/>
      <c r="Y135" s="36">
        <v>51</v>
      </c>
      <c r="Z135" s="32">
        <v>242</v>
      </c>
      <c r="AA135" s="36">
        <f t="shared" si="13"/>
        <v>0.21074380165289255</v>
      </c>
      <c r="AB135" s="33">
        <v>11.063146441699931</v>
      </c>
      <c r="AC135" s="22">
        <f t="shared" si="19"/>
        <v>2.3314895393665144E-2</v>
      </c>
      <c r="AD135" s="32">
        <v>8763.6877695312705</v>
      </c>
      <c r="AE135" s="174">
        <f t="shared" si="18"/>
        <v>2.660397769387002E-4</v>
      </c>
    </row>
    <row r="136" spans="1:31" customFormat="1" ht="20.25" customHeight="1">
      <c r="A136" s="13">
        <v>41422</v>
      </c>
      <c r="B136" s="35" t="s">
        <v>144</v>
      </c>
      <c r="C136" s="164">
        <v>2013</v>
      </c>
      <c r="D136" s="51">
        <v>4</v>
      </c>
      <c r="E136" s="3" t="s">
        <v>295</v>
      </c>
      <c r="F136" s="3" t="s">
        <v>296</v>
      </c>
      <c r="G136" s="3"/>
      <c r="H136" s="3" t="s">
        <v>297</v>
      </c>
      <c r="I136" s="3" t="s">
        <v>298</v>
      </c>
      <c r="J136" s="3" t="s">
        <v>299</v>
      </c>
      <c r="K136" s="3"/>
      <c r="L136" s="3">
        <v>1</v>
      </c>
      <c r="M136" s="3" t="s">
        <v>229</v>
      </c>
      <c r="N136" s="3" t="s">
        <v>479</v>
      </c>
      <c r="O136" s="3">
        <v>106</v>
      </c>
      <c r="P136" s="3">
        <f t="shared" si="20"/>
        <v>0.94339622641509435</v>
      </c>
      <c r="Q136" s="65">
        <v>6895.0344881135716</v>
      </c>
      <c r="R136" s="8">
        <f t="shared" si="21"/>
        <v>65.047495170882755</v>
      </c>
      <c r="S136" s="36">
        <v>6905.2203806524103</v>
      </c>
      <c r="T136" s="8">
        <f t="shared" si="22"/>
        <v>0.94200462237436966</v>
      </c>
      <c r="U136" s="109"/>
      <c r="V136" s="3">
        <v>250</v>
      </c>
      <c r="W136" s="3" t="s">
        <v>222</v>
      </c>
      <c r="X136" s="3"/>
      <c r="Y136" s="36">
        <v>1</v>
      </c>
      <c r="Z136" s="32">
        <v>242</v>
      </c>
      <c r="AA136" s="36">
        <f t="shared" si="13"/>
        <v>4.1322314049586778E-3</v>
      </c>
      <c r="AB136" s="33">
        <v>8752.6246230895649</v>
      </c>
      <c r="AC136" s="22">
        <f t="shared" si="19"/>
        <v>0.3616787034334531</v>
      </c>
      <c r="AD136" s="32">
        <v>8763.6877695312705</v>
      </c>
      <c r="AE136" s="36">
        <f t="shared" si="18"/>
        <v>4.1270149387441909E-3</v>
      </c>
    </row>
    <row r="137" spans="1:31" customFormat="1" ht="20.25" customHeight="1">
      <c r="A137" s="13">
        <v>41422</v>
      </c>
      <c r="B137" s="35" t="s">
        <v>144</v>
      </c>
      <c r="C137" s="164">
        <v>2013</v>
      </c>
      <c r="D137" s="51">
        <v>4</v>
      </c>
      <c r="E137" s="3" t="s">
        <v>223</v>
      </c>
      <c r="F137" s="3" t="s">
        <v>224</v>
      </c>
      <c r="G137" s="3" t="s">
        <v>225</v>
      </c>
      <c r="H137" s="3" t="s">
        <v>226</v>
      </c>
      <c r="I137" s="3"/>
      <c r="J137" s="3"/>
      <c r="K137" s="3"/>
      <c r="L137" s="3">
        <v>11</v>
      </c>
      <c r="M137" s="3" t="s">
        <v>508</v>
      </c>
      <c r="N137" s="36" t="s">
        <v>600</v>
      </c>
      <c r="O137" s="3">
        <v>106</v>
      </c>
      <c r="P137" s="3">
        <f t="shared" si="20"/>
        <v>10.377358490566039</v>
      </c>
      <c r="Q137" s="65">
        <v>6895.0344881135716</v>
      </c>
      <c r="R137" s="8">
        <f t="shared" si="21"/>
        <v>715.52244687971029</v>
      </c>
      <c r="S137" s="36">
        <v>6905.2203806524103</v>
      </c>
      <c r="T137" s="8">
        <f t="shared" si="22"/>
        <v>10.362050846118066</v>
      </c>
      <c r="U137" s="109"/>
      <c r="V137" s="3">
        <v>250</v>
      </c>
      <c r="W137" s="3" t="s">
        <v>265</v>
      </c>
      <c r="X137" s="3"/>
      <c r="Y137" s="36">
        <v>11</v>
      </c>
      <c r="Z137" s="32">
        <v>242</v>
      </c>
      <c r="AA137" s="36">
        <f t="shared" si="13"/>
        <v>4.5454545454545456E-2</v>
      </c>
      <c r="AB137" s="33">
        <v>8752.6246230895649</v>
      </c>
      <c r="AC137" s="22">
        <f t="shared" si="19"/>
        <v>3.978465737767984</v>
      </c>
      <c r="AD137" s="32">
        <v>8763.6877695312705</v>
      </c>
      <c r="AE137" s="36">
        <f t="shared" si="18"/>
        <v>4.5397164326186096E-2</v>
      </c>
    </row>
    <row r="138" spans="1:31" customFormat="1" ht="20.25" customHeight="1">
      <c r="A138" s="13">
        <v>41422</v>
      </c>
      <c r="B138" s="35" t="s">
        <v>144</v>
      </c>
      <c r="C138" s="164">
        <v>2013</v>
      </c>
      <c r="D138" s="51">
        <v>4</v>
      </c>
      <c r="E138" s="3" t="s">
        <v>223</v>
      </c>
      <c r="F138" s="3" t="s">
        <v>224</v>
      </c>
      <c r="G138" s="3" t="s">
        <v>225</v>
      </c>
      <c r="H138" s="3" t="s">
        <v>226</v>
      </c>
      <c r="I138" s="3" t="s">
        <v>235</v>
      </c>
      <c r="J138" s="3" t="s">
        <v>236</v>
      </c>
      <c r="K138" s="3" t="s">
        <v>237</v>
      </c>
      <c r="L138" s="3">
        <v>1</v>
      </c>
      <c r="M138" s="3" t="s">
        <v>247</v>
      </c>
      <c r="N138" s="3" t="s">
        <v>238</v>
      </c>
      <c r="O138" s="3">
        <v>106</v>
      </c>
      <c r="P138" s="3">
        <f t="shared" si="20"/>
        <v>0.94339622641509435</v>
      </c>
      <c r="Q138" s="65">
        <v>6895.0344881135716</v>
      </c>
      <c r="R138" s="8">
        <f t="shared" si="21"/>
        <v>65.047495170882755</v>
      </c>
      <c r="S138" s="36">
        <v>6905.2203806524103</v>
      </c>
      <c r="T138" s="8">
        <f t="shared" si="22"/>
        <v>0.94200462237436966</v>
      </c>
      <c r="U138" s="109"/>
      <c r="V138" s="3">
        <v>250</v>
      </c>
      <c r="W138" s="3"/>
      <c r="X138" s="3"/>
      <c r="Y138" s="36">
        <v>1</v>
      </c>
      <c r="Z138" s="32">
        <v>242</v>
      </c>
      <c r="AA138" s="36">
        <f t="shared" si="13"/>
        <v>4.1322314049586778E-3</v>
      </c>
      <c r="AB138" s="33">
        <v>8752.6246230895649</v>
      </c>
      <c r="AC138" s="22">
        <f t="shared" si="19"/>
        <v>0.3616787034334531</v>
      </c>
      <c r="AD138" s="32">
        <v>8763.6877695312705</v>
      </c>
      <c r="AE138" s="36">
        <f t="shared" si="18"/>
        <v>4.1270149387441909E-3</v>
      </c>
    </row>
    <row r="139" spans="1:31" customFormat="1" ht="20.25" customHeight="1">
      <c r="A139" s="71">
        <v>41422</v>
      </c>
      <c r="B139" s="35" t="s">
        <v>144</v>
      </c>
      <c r="C139" s="164">
        <v>2013</v>
      </c>
      <c r="D139" s="51">
        <v>4</v>
      </c>
      <c r="E139" s="51" t="s">
        <v>223</v>
      </c>
      <c r="F139" s="51" t="s">
        <v>224</v>
      </c>
      <c r="G139" s="51" t="s">
        <v>225</v>
      </c>
      <c r="H139" s="51" t="s">
        <v>248</v>
      </c>
      <c r="I139" s="51" t="s">
        <v>249</v>
      </c>
      <c r="J139" s="3" t="s">
        <v>250</v>
      </c>
      <c r="K139" s="3" t="s">
        <v>251</v>
      </c>
      <c r="L139" s="3">
        <v>18</v>
      </c>
      <c r="M139" s="3" t="s">
        <v>247</v>
      </c>
      <c r="N139" s="3" t="s">
        <v>250</v>
      </c>
      <c r="O139" s="3">
        <v>106</v>
      </c>
      <c r="P139" s="3">
        <f t="shared" si="20"/>
        <v>16.981132075471699</v>
      </c>
      <c r="Q139" s="65">
        <v>6895.0344881135716</v>
      </c>
      <c r="R139" s="8">
        <f t="shared" si="21"/>
        <v>1170.8549130758897</v>
      </c>
      <c r="S139" s="36">
        <v>6905.2203806524103</v>
      </c>
      <c r="T139" s="8">
        <f t="shared" si="22"/>
        <v>16.956083202738657</v>
      </c>
      <c r="U139" s="109"/>
      <c r="V139" s="3">
        <v>250</v>
      </c>
      <c r="W139" s="3"/>
      <c r="X139" s="3"/>
      <c r="Y139" s="36">
        <v>18</v>
      </c>
      <c r="Z139" s="32">
        <v>242</v>
      </c>
      <c r="AA139" s="36">
        <f t="shared" si="13"/>
        <v>7.43801652892562E-2</v>
      </c>
      <c r="AB139" s="33">
        <v>8752.6246230895649</v>
      </c>
      <c r="AC139" s="22">
        <f t="shared" si="19"/>
        <v>6.510216661802156</v>
      </c>
      <c r="AD139" s="32">
        <v>8763.6877695312705</v>
      </c>
      <c r="AE139" s="36">
        <f t="shared" si="18"/>
        <v>7.4286268897395438E-2</v>
      </c>
    </row>
    <row r="140" spans="1:31" s="70" customFormat="1" ht="20.25" customHeight="1">
      <c r="A140" s="71">
        <v>41422</v>
      </c>
      <c r="B140" s="35" t="s">
        <v>144</v>
      </c>
      <c r="C140" s="164">
        <v>2013</v>
      </c>
      <c r="D140" s="51">
        <v>4</v>
      </c>
      <c r="E140" s="3" t="s">
        <v>223</v>
      </c>
      <c r="F140" s="3" t="s">
        <v>224</v>
      </c>
      <c r="G140" s="3" t="s">
        <v>225</v>
      </c>
      <c r="H140" s="3" t="s">
        <v>226</v>
      </c>
      <c r="I140" s="3" t="s">
        <v>253</v>
      </c>
      <c r="J140" s="3" t="s">
        <v>256</v>
      </c>
      <c r="K140" s="3"/>
      <c r="L140" s="3">
        <v>6</v>
      </c>
      <c r="M140" s="3" t="s">
        <v>229</v>
      </c>
      <c r="N140" s="3" t="s">
        <v>256</v>
      </c>
      <c r="O140" s="3">
        <v>106</v>
      </c>
      <c r="P140" s="3">
        <f t="shared" si="20"/>
        <v>5.6603773584905666</v>
      </c>
      <c r="Q140" s="36">
        <v>6895.0344881135716</v>
      </c>
      <c r="R140" s="8">
        <f t="shared" si="21"/>
        <v>390.28497102529656</v>
      </c>
      <c r="S140" s="36">
        <v>6905.2203806524103</v>
      </c>
      <c r="T140" s="8">
        <f t="shared" si="22"/>
        <v>5.6520277342462188</v>
      </c>
      <c r="U140" s="109"/>
      <c r="V140" s="3">
        <v>250</v>
      </c>
      <c r="W140" s="3" t="s">
        <v>255</v>
      </c>
      <c r="X140" s="3"/>
      <c r="Y140" s="36">
        <v>6</v>
      </c>
      <c r="Z140" s="32">
        <v>242</v>
      </c>
      <c r="AA140" s="36">
        <f t="shared" si="13"/>
        <v>2.4793388429752067E-2</v>
      </c>
      <c r="AB140" s="33">
        <v>8752.6246230895649</v>
      </c>
      <c r="AC140" s="22">
        <f t="shared" si="19"/>
        <v>2.1700722206007188</v>
      </c>
      <c r="AD140" s="32">
        <v>8763.6877695312705</v>
      </c>
      <c r="AE140" s="36">
        <f t="shared" si="18"/>
        <v>2.4762089632465147E-2</v>
      </c>
    </row>
    <row r="141" spans="1:31" customFormat="1" ht="20.25" customHeight="1">
      <c r="A141" s="71">
        <v>41422</v>
      </c>
      <c r="B141" s="35" t="s">
        <v>144</v>
      </c>
      <c r="C141" s="164">
        <v>2013</v>
      </c>
      <c r="D141" s="51">
        <v>4</v>
      </c>
      <c r="E141" s="3" t="s">
        <v>223</v>
      </c>
      <c r="F141" s="3" t="s">
        <v>224</v>
      </c>
      <c r="G141" s="3" t="s">
        <v>225</v>
      </c>
      <c r="H141" s="3" t="s">
        <v>226</v>
      </c>
      <c r="I141" s="3" t="s">
        <v>261</v>
      </c>
      <c r="J141" s="3" t="s">
        <v>262</v>
      </c>
      <c r="K141" s="3" t="s">
        <v>263</v>
      </c>
      <c r="L141" s="3">
        <v>2</v>
      </c>
      <c r="M141" s="3" t="s">
        <v>247</v>
      </c>
      <c r="N141" s="3" t="s">
        <v>264</v>
      </c>
      <c r="O141" s="3">
        <v>106</v>
      </c>
      <c r="P141" s="3">
        <f t="shared" si="20"/>
        <v>1.8867924528301887</v>
      </c>
      <c r="Q141" s="36">
        <v>6895.0344881135716</v>
      </c>
      <c r="R141" s="8">
        <f t="shared" si="21"/>
        <v>130.09499034176551</v>
      </c>
      <c r="S141" s="36">
        <v>6905.2203806524103</v>
      </c>
      <c r="T141" s="8">
        <f t="shared" si="22"/>
        <v>1.8840092447487393</v>
      </c>
      <c r="U141" s="109"/>
      <c r="V141" s="3">
        <v>250</v>
      </c>
      <c r="W141" s="3"/>
      <c r="X141" s="3"/>
      <c r="Y141" s="36">
        <v>2</v>
      </c>
      <c r="Z141" s="32">
        <v>242</v>
      </c>
      <c r="AA141" s="36">
        <f t="shared" si="13"/>
        <v>8.2644628099173556E-3</v>
      </c>
      <c r="AB141" s="33">
        <v>8752.6246230895649</v>
      </c>
      <c r="AC141" s="22">
        <f t="shared" si="19"/>
        <v>0.72335740686690619</v>
      </c>
      <c r="AD141" s="32">
        <v>8763.6877695312705</v>
      </c>
      <c r="AE141" s="36">
        <f t="shared" si="18"/>
        <v>8.2540298774883818E-3</v>
      </c>
    </row>
    <row r="142" spans="1:31" customFormat="1" ht="20.25" customHeight="1">
      <c r="A142" s="84"/>
      <c r="B142" s="35"/>
      <c r="C142" s="164"/>
      <c r="D142" s="34"/>
      <c r="E142" s="3"/>
      <c r="F142" s="3"/>
      <c r="G142" s="3"/>
      <c r="H142" s="3"/>
      <c r="I142" s="3"/>
      <c r="J142" s="3"/>
      <c r="K142" s="3"/>
      <c r="L142" s="3"/>
      <c r="M142" s="3"/>
      <c r="N142" s="3"/>
      <c r="O142" s="3"/>
      <c r="P142" s="3"/>
      <c r="Q142" s="36"/>
      <c r="R142" s="8"/>
      <c r="S142" s="36"/>
      <c r="T142" s="8"/>
      <c r="U142" s="109"/>
      <c r="V142" s="3"/>
      <c r="W142" s="3"/>
      <c r="X142" s="3"/>
      <c r="Y142" s="36"/>
      <c r="Z142" s="3"/>
      <c r="AA142" s="36"/>
      <c r="AB142" s="3"/>
      <c r="AC142" s="22"/>
      <c r="AD142" s="3"/>
      <c r="AE142" s="36"/>
    </row>
    <row r="143" spans="1:31" customFormat="1" ht="20.25" customHeight="1">
      <c r="A143" s="13">
        <v>41422</v>
      </c>
      <c r="B143" s="35" t="s">
        <v>144</v>
      </c>
      <c r="C143" s="164">
        <v>2013</v>
      </c>
      <c r="D143" s="51">
        <v>5</v>
      </c>
      <c r="E143" s="3" t="s">
        <v>223</v>
      </c>
      <c r="F143" s="3" t="s">
        <v>224</v>
      </c>
      <c r="G143" s="3" t="s">
        <v>225</v>
      </c>
      <c r="H143" s="3" t="s">
        <v>226</v>
      </c>
      <c r="I143" s="3" t="s">
        <v>227</v>
      </c>
      <c r="J143" s="3" t="s">
        <v>228</v>
      </c>
      <c r="K143" s="3"/>
      <c r="L143" s="3">
        <v>33</v>
      </c>
      <c r="M143" s="3" t="s">
        <v>229</v>
      </c>
      <c r="N143" s="3" t="s">
        <v>228</v>
      </c>
      <c r="O143" s="3">
        <v>120</v>
      </c>
      <c r="P143" s="3">
        <f t="shared" si="20"/>
        <v>27.500000000000004</v>
      </c>
      <c r="Q143" s="36">
        <v>6166.1908760830775</v>
      </c>
      <c r="R143" s="8">
        <f t="shared" si="21"/>
        <v>1695.7024909228464</v>
      </c>
      <c r="S143" s="36">
        <v>6166.1908760830775</v>
      </c>
      <c r="T143" s="8">
        <f t="shared" si="22"/>
        <v>27.500000000000004</v>
      </c>
      <c r="U143" s="109">
        <f>SUM(T145+T146+T151+T155+T156)</f>
        <v>6.6706808997630036</v>
      </c>
      <c r="V143" s="3">
        <v>250</v>
      </c>
      <c r="W143" s="3" t="s">
        <v>617</v>
      </c>
      <c r="X143" s="3"/>
      <c r="Y143" s="36">
        <f>33+7</f>
        <v>40</v>
      </c>
      <c r="Z143" s="3">
        <v>228</v>
      </c>
      <c r="AA143" s="36">
        <f t="shared" si="13"/>
        <v>0.17543859649122806</v>
      </c>
      <c r="AB143" s="3">
        <v>14339.648616820463</v>
      </c>
      <c r="AC143" s="22">
        <f t="shared" si="19"/>
        <v>25.157278275123616</v>
      </c>
      <c r="AD143" s="3">
        <v>14341.727122338531</v>
      </c>
      <c r="AE143" s="36">
        <f t="shared" si="18"/>
        <v>0.17541317067690468</v>
      </c>
    </row>
    <row r="144" spans="1:31" customFormat="1" ht="20.25" customHeight="1">
      <c r="A144" s="13">
        <v>41422</v>
      </c>
      <c r="B144" s="35" t="s">
        <v>144</v>
      </c>
      <c r="C144" s="164">
        <v>2013</v>
      </c>
      <c r="D144" s="51">
        <v>5</v>
      </c>
      <c r="E144" s="3" t="s">
        <v>223</v>
      </c>
      <c r="F144" s="3" t="s">
        <v>303</v>
      </c>
      <c r="G144" s="3" t="s">
        <v>304</v>
      </c>
      <c r="H144" s="3" t="s">
        <v>305</v>
      </c>
      <c r="I144" s="3" t="s">
        <v>306</v>
      </c>
      <c r="J144" s="3" t="s">
        <v>307</v>
      </c>
      <c r="K144" s="3"/>
      <c r="L144" s="3">
        <v>12</v>
      </c>
      <c r="M144" s="3" t="s">
        <v>229</v>
      </c>
      <c r="N144" s="3" t="s">
        <v>307</v>
      </c>
      <c r="O144" s="3">
        <v>120</v>
      </c>
      <c r="P144" s="3">
        <f t="shared" si="20"/>
        <v>10</v>
      </c>
      <c r="Q144" s="36">
        <v>6166.1908760830775</v>
      </c>
      <c r="R144" s="8">
        <f t="shared" si="21"/>
        <v>616.61908760830784</v>
      </c>
      <c r="S144" s="36">
        <v>6166.1908760830775</v>
      </c>
      <c r="T144" s="8">
        <f t="shared" si="22"/>
        <v>10.000000000000002</v>
      </c>
      <c r="U144" s="109"/>
      <c r="V144" s="3">
        <v>250</v>
      </c>
      <c r="W144" s="36" t="s">
        <v>308</v>
      </c>
      <c r="X144" s="3"/>
      <c r="Y144" s="36">
        <f>12+5+4+2</f>
        <v>23</v>
      </c>
      <c r="Z144" s="3">
        <v>228</v>
      </c>
      <c r="AA144" s="36">
        <f t="shared" si="13"/>
        <v>0.10087719298245613</v>
      </c>
      <c r="AB144" s="3">
        <v>14339.648616820463</v>
      </c>
      <c r="AC144" s="22">
        <f t="shared" si="19"/>
        <v>14.465435008196081</v>
      </c>
      <c r="AD144" s="3">
        <v>14341.727122338531</v>
      </c>
      <c r="AE144" s="36">
        <f t="shared" si="18"/>
        <v>0.1008625731392202</v>
      </c>
    </row>
    <row r="145" spans="1:31" customFormat="1" ht="20.25" customHeight="1">
      <c r="A145" s="72">
        <v>41422</v>
      </c>
      <c r="B145" s="35" t="s">
        <v>144</v>
      </c>
      <c r="C145" s="164">
        <v>2013</v>
      </c>
      <c r="D145" s="65">
        <v>5</v>
      </c>
      <c r="E145" s="36" t="s">
        <v>300</v>
      </c>
      <c r="F145" s="36" t="s">
        <v>320</v>
      </c>
      <c r="G145" s="36"/>
      <c r="H145" s="36"/>
      <c r="I145" s="36"/>
      <c r="J145" s="36"/>
      <c r="K145" s="36"/>
      <c r="L145" s="36">
        <v>2</v>
      </c>
      <c r="M145" s="36" t="s">
        <v>221</v>
      </c>
      <c r="N145" s="36" t="s">
        <v>322</v>
      </c>
      <c r="O145" s="3">
        <v>120</v>
      </c>
      <c r="P145" s="36">
        <f t="shared" si="20"/>
        <v>1.6666666666666667</v>
      </c>
      <c r="Q145" s="36">
        <v>6166.1908760830775</v>
      </c>
      <c r="R145" s="8">
        <f t="shared" si="21"/>
        <v>102.76984793471796</v>
      </c>
      <c r="S145" s="36">
        <v>6166.1908760830775</v>
      </c>
      <c r="T145" s="8">
        <f t="shared" si="22"/>
        <v>1.6666666666666667</v>
      </c>
      <c r="U145" s="109"/>
      <c r="V145" s="36">
        <v>250</v>
      </c>
      <c r="W145" s="36" t="s">
        <v>222</v>
      </c>
      <c r="X145" s="36"/>
      <c r="Y145" s="36">
        <v>3</v>
      </c>
      <c r="Z145" s="3">
        <v>228</v>
      </c>
      <c r="AA145" s="36">
        <f t="shared" si="13"/>
        <v>1.3157894736842105E-2</v>
      </c>
      <c r="AB145" s="3">
        <v>14339.648616820463</v>
      </c>
      <c r="AC145" s="22">
        <f t="shared" si="19"/>
        <v>1.8867958706342713</v>
      </c>
      <c r="AD145" s="3">
        <v>14341.727122338531</v>
      </c>
      <c r="AE145" s="36">
        <f t="shared" si="18"/>
        <v>1.3155987800767852E-2</v>
      </c>
    </row>
    <row r="146" spans="1:31" customFormat="1" ht="20.25" customHeight="1">
      <c r="A146" s="71">
        <v>41422</v>
      </c>
      <c r="B146" s="35" t="s">
        <v>144</v>
      </c>
      <c r="C146" s="164">
        <v>2013</v>
      </c>
      <c r="D146" s="51">
        <v>5</v>
      </c>
      <c r="E146" s="3" t="s">
        <v>223</v>
      </c>
      <c r="F146" s="3" t="s">
        <v>224</v>
      </c>
      <c r="G146" s="3" t="s">
        <v>225</v>
      </c>
      <c r="H146" s="3" t="s">
        <v>226</v>
      </c>
      <c r="I146" s="3"/>
      <c r="J146" s="3"/>
      <c r="K146" s="3"/>
      <c r="L146" s="3">
        <v>3</v>
      </c>
      <c r="M146" s="3" t="s">
        <v>508</v>
      </c>
      <c r="N146" s="36" t="s">
        <v>600</v>
      </c>
      <c r="O146" s="3">
        <v>120</v>
      </c>
      <c r="P146" s="3">
        <f t="shared" si="20"/>
        <v>2.5</v>
      </c>
      <c r="Q146" s="36">
        <v>6166.1908760830775</v>
      </c>
      <c r="R146" s="8">
        <f t="shared" si="21"/>
        <v>154.15477190207696</v>
      </c>
      <c r="S146" s="36">
        <v>6166.1908760830775</v>
      </c>
      <c r="T146" s="8">
        <f t="shared" si="22"/>
        <v>2.5000000000000004</v>
      </c>
      <c r="U146" s="109"/>
      <c r="V146" s="3">
        <v>250</v>
      </c>
      <c r="W146" s="3" t="s">
        <v>222</v>
      </c>
      <c r="X146" s="3"/>
      <c r="Y146" s="36">
        <v>10</v>
      </c>
      <c r="Z146" s="3">
        <v>228</v>
      </c>
      <c r="AA146" s="36">
        <f t="shared" si="13"/>
        <v>4.3859649122807015E-2</v>
      </c>
      <c r="AB146" s="3">
        <v>14339.648616820463</v>
      </c>
      <c r="AC146" s="22">
        <f t="shared" si="19"/>
        <v>6.289319568780904</v>
      </c>
      <c r="AD146" s="3">
        <v>14341.727122338531</v>
      </c>
      <c r="AE146" s="36">
        <f t="shared" si="18"/>
        <v>4.385329266922617E-2</v>
      </c>
    </row>
    <row r="147" spans="1:31" customFormat="1" ht="20.25" customHeight="1">
      <c r="A147" s="71">
        <v>41422</v>
      </c>
      <c r="B147" s="35" t="s">
        <v>144</v>
      </c>
      <c r="C147" s="164">
        <v>2013</v>
      </c>
      <c r="D147" s="51">
        <v>5</v>
      </c>
      <c r="E147" s="3" t="s">
        <v>223</v>
      </c>
      <c r="F147" s="3" t="s">
        <v>224</v>
      </c>
      <c r="G147" s="3" t="s">
        <v>225</v>
      </c>
      <c r="H147" s="3" t="s">
        <v>226</v>
      </c>
      <c r="I147" s="3" t="s">
        <v>235</v>
      </c>
      <c r="J147" s="3" t="s">
        <v>236</v>
      </c>
      <c r="K147" s="3" t="s">
        <v>237</v>
      </c>
      <c r="L147" s="3">
        <v>7</v>
      </c>
      <c r="M147" s="3" t="s">
        <v>247</v>
      </c>
      <c r="N147" s="3" t="s">
        <v>238</v>
      </c>
      <c r="O147" s="3">
        <v>120</v>
      </c>
      <c r="P147" s="3">
        <f t="shared" si="20"/>
        <v>5.833333333333333</v>
      </c>
      <c r="Q147" s="36">
        <v>6166.1908760830775</v>
      </c>
      <c r="R147" s="8">
        <f t="shared" si="21"/>
        <v>359.69446777151279</v>
      </c>
      <c r="S147" s="36">
        <v>6166.1908760830775</v>
      </c>
      <c r="T147" s="8">
        <f t="shared" si="22"/>
        <v>5.8333333333333321</v>
      </c>
      <c r="U147" s="109"/>
      <c r="V147" s="3">
        <v>250</v>
      </c>
      <c r="W147" s="3"/>
      <c r="X147" s="3"/>
      <c r="Y147" s="36">
        <v>11</v>
      </c>
      <c r="Z147" s="3">
        <v>228</v>
      </c>
      <c r="AA147" s="36">
        <f t="shared" ref="AA147:AA210" si="23">Y147/Z147</f>
        <v>4.8245614035087717E-2</v>
      </c>
      <c r="AB147" s="3">
        <v>14339.648616820463</v>
      </c>
      <c r="AC147" s="22">
        <f t="shared" si="19"/>
        <v>6.9182515256589951</v>
      </c>
      <c r="AD147" s="3">
        <v>14341.727122338531</v>
      </c>
      <c r="AE147" s="36">
        <f t="shared" si="18"/>
        <v>4.8238621936148793E-2</v>
      </c>
    </row>
    <row r="148" spans="1:31" customFormat="1" ht="20.25" customHeight="1">
      <c r="A148" s="71">
        <v>41422</v>
      </c>
      <c r="B148" s="35" t="s">
        <v>144</v>
      </c>
      <c r="C148" s="164">
        <v>2013</v>
      </c>
      <c r="D148" s="51">
        <v>5</v>
      </c>
      <c r="E148" s="51" t="s">
        <v>223</v>
      </c>
      <c r="F148" s="51" t="s">
        <v>224</v>
      </c>
      <c r="G148" s="51" t="s">
        <v>225</v>
      </c>
      <c r="H148" s="51" t="s">
        <v>226</v>
      </c>
      <c r="I148" s="51" t="s">
        <v>239</v>
      </c>
      <c r="J148" s="3" t="s">
        <v>240</v>
      </c>
      <c r="K148" s="3"/>
      <c r="L148" s="3">
        <v>22</v>
      </c>
      <c r="M148" s="3" t="s">
        <v>229</v>
      </c>
      <c r="N148" s="3" t="s">
        <v>240</v>
      </c>
      <c r="O148" s="3">
        <v>120</v>
      </c>
      <c r="P148" s="3">
        <f t="shared" si="20"/>
        <v>18.333333333333332</v>
      </c>
      <c r="Q148" s="36">
        <v>6166.1908760830775</v>
      </c>
      <c r="R148" s="8">
        <f t="shared" si="21"/>
        <v>1130.4683272818975</v>
      </c>
      <c r="S148" s="36">
        <v>6166.1908760830775</v>
      </c>
      <c r="T148" s="8">
        <f t="shared" si="22"/>
        <v>18.333333333333332</v>
      </c>
      <c r="U148" s="109"/>
      <c r="V148" s="3">
        <v>250</v>
      </c>
      <c r="W148" s="3" t="s">
        <v>242</v>
      </c>
      <c r="X148" s="3"/>
      <c r="Y148" s="41">
        <f>22+26</f>
        <v>48</v>
      </c>
      <c r="Z148" s="3">
        <v>228</v>
      </c>
      <c r="AA148" s="36">
        <f t="shared" si="23"/>
        <v>0.21052631578947367</v>
      </c>
      <c r="AB148" s="3">
        <v>14339.648616820463</v>
      </c>
      <c r="AC148" s="22">
        <f t="shared" si="19"/>
        <v>30.188733930148341</v>
      </c>
      <c r="AD148" s="3">
        <v>14341.727122338531</v>
      </c>
      <c r="AE148" s="36">
        <f t="shared" si="18"/>
        <v>0.21049580481228564</v>
      </c>
    </row>
    <row r="149" spans="1:31" customFormat="1" ht="20.25" customHeight="1">
      <c r="A149" s="71">
        <v>41422</v>
      </c>
      <c r="B149" s="35" t="s">
        <v>144</v>
      </c>
      <c r="C149" s="164">
        <v>2013</v>
      </c>
      <c r="D149" s="51">
        <v>5</v>
      </c>
      <c r="E149" s="3" t="s">
        <v>223</v>
      </c>
      <c r="F149" s="3" t="s">
        <v>224</v>
      </c>
      <c r="G149" s="3" t="s">
        <v>225</v>
      </c>
      <c r="H149" s="3" t="s">
        <v>243</v>
      </c>
      <c r="I149" s="3" t="s">
        <v>244</v>
      </c>
      <c r="J149" s="3" t="s">
        <v>245</v>
      </c>
      <c r="K149" s="3" t="s">
        <v>246</v>
      </c>
      <c r="L149" s="3">
        <v>1</v>
      </c>
      <c r="M149" s="3" t="s">
        <v>247</v>
      </c>
      <c r="N149" s="3" t="s">
        <v>673</v>
      </c>
      <c r="O149" s="3">
        <v>120</v>
      </c>
      <c r="P149" s="3">
        <f t="shared" si="20"/>
        <v>0.83333333333333337</v>
      </c>
      <c r="Q149" s="36">
        <v>6166.1908760830775</v>
      </c>
      <c r="R149" s="8">
        <f t="shared" si="21"/>
        <v>51.384923967358979</v>
      </c>
      <c r="S149" s="36">
        <v>6166.1908760830775</v>
      </c>
      <c r="T149" s="8">
        <f t="shared" si="22"/>
        <v>0.83333333333333337</v>
      </c>
      <c r="U149" s="109"/>
      <c r="V149" s="3">
        <v>250</v>
      </c>
      <c r="W149" s="3"/>
      <c r="X149" s="3"/>
      <c r="Y149" s="36">
        <v>3</v>
      </c>
      <c r="Z149" s="3">
        <v>228</v>
      </c>
      <c r="AA149" s="36">
        <f t="shared" si="23"/>
        <v>1.3157894736842105E-2</v>
      </c>
      <c r="AB149" s="3">
        <v>14339.648616820463</v>
      </c>
      <c r="AC149" s="22">
        <f t="shared" si="19"/>
        <v>1.8867958706342713</v>
      </c>
      <c r="AD149" s="3">
        <v>14341.727122338531</v>
      </c>
      <c r="AE149" s="36">
        <f t="shared" si="18"/>
        <v>1.3155987800767852E-2</v>
      </c>
    </row>
    <row r="150" spans="1:31" customFormat="1" ht="20.25" customHeight="1">
      <c r="A150" s="71">
        <v>41422</v>
      </c>
      <c r="B150" s="35" t="s">
        <v>144</v>
      </c>
      <c r="C150" s="164">
        <v>2013</v>
      </c>
      <c r="D150" s="51">
        <v>5</v>
      </c>
      <c r="E150" s="51" t="s">
        <v>223</v>
      </c>
      <c r="F150" s="51" t="s">
        <v>224</v>
      </c>
      <c r="G150" s="51" t="s">
        <v>225</v>
      </c>
      <c r="H150" s="51" t="s">
        <v>248</v>
      </c>
      <c r="I150" s="51" t="s">
        <v>249</v>
      </c>
      <c r="J150" s="3" t="s">
        <v>250</v>
      </c>
      <c r="K150" s="3" t="s">
        <v>251</v>
      </c>
      <c r="L150" s="3">
        <v>15</v>
      </c>
      <c r="M150" s="3" t="s">
        <v>247</v>
      </c>
      <c r="N150" s="3" t="s">
        <v>250</v>
      </c>
      <c r="O150" s="3">
        <v>120</v>
      </c>
      <c r="P150" s="3">
        <f t="shared" si="20"/>
        <v>12.5</v>
      </c>
      <c r="Q150" s="36">
        <v>6166.1908760830775</v>
      </c>
      <c r="R150" s="8">
        <f t="shared" si="21"/>
        <v>770.77385951038468</v>
      </c>
      <c r="S150" s="36">
        <v>6166.1908760830775</v>
      </c>
      <c r="T150" s="8">
        <f t="shared" si="22"/>
        <v>12.5</v>
      </c>
      <c r="U150" s="109"/>
      <c r="V150" s="3">
        <v>250</v>
      </c>
      <c r="W150" s="3"/>
      <c r="X150" s="3"/>
      <c r="Y150" s="36">
        <f>15+20</f>
        <v>35</v>
      </c>
      <c r="Z150" s="3">
        <v>228</v>
      </c>
      <c r="AA150" s="36">
        <f t="shared" si="23"/>
        <v>0.15350877192982457</v>
      </c>
      <c r="AB150" s="3">
        <v>14339.648616820463</v>
      </c>
      <c r="AC150" s="22">
        <f t="shared" si="19"/>
        <v>22.012618490733168</v>
      </c>
      <c r="AD150" s="3">
        <v>14341.727122338531</v>
      </c>
      <c r="AE150" s="36">
        <f t="shared" si="18"/>
        <v>0.15348652434229162</v>
      </c>
    </row>
    <row r="151" spans="1:31" ht="20.25" customHeight="1">
      <c r="A151" s="13">
        <v>41422</v>
      </c>
      <c r="B151" s="35" t="s">
        <v>144</v>
      </c>
      <c r="C151" s="164">
        <v>2013</v>
      </c>
      <c r="D151" s="51">
        <v>5</v>
      </c>
      <c r="E151" s="3" t="s">
        <v>216</v>
      </c>
      <c r="F151" s="3" t="s">
        <v>217</v>
      </c>
      <c r="G151" s="3"/>
      <c r="H151" s="3"/>
      <c r="I151" s="3"/>
      <c r="J151" s="3" t="s">
        <v>219</v>
      </c>
      <c r="K151" s="3"/>
      <c r="L151" s="3">
        <v>3</v>
      </c>
      <c r="M151" s="36" t="s">
        <v>229</v>
      </c>
      <c r="N151" s="3" t="s">
        <v>219</v>
      </c>
      <c r="O151" s="3">
        <v>120</v>
      </c>
      <c r="P151" s="3">
        <f t="shared" si="20"/>
        <v>2.5</v>
      </c>
      <c r="Q151" s="36">
        <v>6166.1908760830775</v>
      </c>
      <c r="R151" s="8">
        <f t="shared" si="21"/>
        <v>154.15477190207696</v>
      </c>
      <c r="S151" s="36">
        <v>6166.1908760830775</v>
      </c>
      <c r="T151" s="8">
        <f t="shared" si="22"/>
        <v>2.5000000000000004</v>
      </c>
      <c r="U151" s="109"/>
      <c r="V151" s="3">
        <v>250</v>
      </c>
      <c r="W151" s="3"/>
      <c r="X151" s="3"/>
      <c r="Y151" s="36">
        <v>11</v>
      </c>
      <c r="Z151" s="3">
        <v>228</v>
      </c>
      <c r="AA151" s="36">
        <f t="shared" si="23"/>
        <v>4.8245614035087717E-2</v>
      </c>
      <c r="AB151" s="3">
        <v>14339.648616820463</v>
      </c>
      <c r="AC151" s="22">
        <f t="shared" si="19"/>
        <v>6.9182515256589951</v>
      </c>
      <c r="AD151" s="3">
        <v>14341.727122338531</v>
      </c>
      <c r="AE151" s="36">
        <f t="shared" si="18"/>
        <v>4.8238621936148793E-2</v>
      </c>
    </row>
    <row r="152" spans="1:31" ht="20.25" customHeight="1">
      <c r="A152" s="13">
        <v>41422</v>
      </c>
      <c r="B152" s="35" t="s">
        <v>144</v>
      </c>
      <c r="C152" s="164">
        <v>2013</v>
      </c>
      <c r="D152" s="51">
        <v>5</v>
      </c>
      <c r="E152" s="3" t="s">
        <v>223</v>
      </c>
      <c r="F152" s="3" t="s">
        <v>224</v>
      </c>
      <c r="G152" s="3" t="s">
        <v>225</v>
      </c>
      <c r="H152" s="3" t="s">
        <v>226</v>
      </c>
      <c r="I152" s="3" t="s">
        <v>253</v>
      </c>
      <c r="J152" s="3" t="s">
        <v>256</v>
      </c>
      <c r="K152" s="3"/>
      <c r="L152" s="3">
        <v>11</v>
      </c>
      <c r="M152" s="3" t="s">
        <v>229</v>
      </c>
      <c r="N152" s="3" t="s">
        <v>256</v>
      </c>
      <c r="O152" s="3">
        <v>120</v>
      </c>
      <c r="P152" s="3">
        <f t="shared" si="20"/>
        <v>9.1666666666666661</v>
      </c>
      <c r="Q152" s="36">
        <v>6166.1908760830775</v>
      </c>
      <c r="R152" s="8">
        <f t="shared" si="21"/>
        <v>565.23416364094874</v>
      </c>
      <c r="S152" s="36">
        <v>6166.1908760830775</v>
      </c>
      <c r="T152" s="8">
        <f t="shared" si="22"/>
        <v>9.1666666666666661</v>
      </c>
      <c r="U152" s="109"/>
      <c r="V152" s="3">
        <v>250</v>
      </c>
      <c r="W152" s="3" t="s">
        <v>257</v>
      </c>
      <c r="X152" s="3"/>
      <c r="Y152" s="36">
        <v>13</v>
      </c>
      <c r="Z152" s="3">
        <v>228</v>
      </c>
      <c r="AA152" s="36">
        <f t="shared" si="23"/>
        <v>5.701754385964912E-2</v>
      </c>
      <c r="AB152" s="3">
        <v>14339.648616820463</v>
      </c>
      <c r="AC152" s="22">
        <f t="shared" si="19"/>
        <v>8.1761154394151756</v>
      </c>
      <c r="AD152" s="3">
        <v>14341.727122338531</v>
      </c>
      <c r="AE152" s="36">
        <f t="shared" si="18"/>
        <v>5.7009280469994025E-2</v>
      </c>
    </row>
    <row r="153" spans="1:31" ht="20.25" customHeight="1">
      <c r="A153" s="71">
        <v>41422</v>
      </c>
      <c r="B153" s="35" t="s">
        <v>144</v>
      </c>
      <c r="C153" s="164">
        <v>2013</v>
      </c>
      <c r="D153" s="51">
        <v>5</v>
      </c>
      <c r="E153" s="51" t="s">
        <v>223</v>
      </c>
      <c r="F153" s="51" t="s">
        <v>224</v>
      </c>
      <c r="G153" s="51" t="s">
        <v>225</v>
      </c>
      <c r="H153" s="51" t="s">
        <v>226</v>
      </c>
      <c r="I153" s="51" t="s">
        <v>239</v>
      </c>
      <c r="J153" s="51" t="s">
        <v>258</v>
      </c>
      <c r="K153" s="3" t="s">
        <v>259</v>
      </c>
      <c r="L153" s="3">
        <v>1</v>
      </c>
      <c r="M153" s="3" t="s">
        <v>247</v>
      </c>
      <c r="N153" s="3" t="s">
        <v>260</v>
      </c>
      <c r="O153" s="3">
        <v>120</v>
      </c>
      <c r="P153" s="3">
        <f t="shared" si="20"/>
        <v>0.83333333333333337</v>
      </c>
      <c r="Q153" s="36">
        <v>6166.1908760830775</v>
      </c>
      <c r="R153" s="8">
        <f t="shared" si="21"/>
        <v>51.384923967358979</v>
      </c>
      <c r="S153" s="36">
        <v>6166.1908760830775</v>
      </c>
      <c r="T153" s="8">
        <f t="shared" si="22"/>
        <v>0.83333333333333337</v>
      </c>
      <c r="U153" s="109"/>
      <c r="V153" s="3">
        <v>250</v>
      </c>
      <c r="W153" s="3"/>
      <c r="X153" s="3"/>
      <c r="Y153" s="36">
        <v>1</v>
      </c>
      <c r="Z153" s="3">
        <v>228</v>
      </c>
      <c r="AA153" s="36">
        <f t="shared" si="23"/>
        <v>4.3859649122807015E-3</v>
      </c>
      <c r="AB153" s="3">
        <v>14339.648616820463</v>
      </c>
      <c r="AC153" s="22">
        <f t="shared" si="19"/>
        <v>0.62893195687809045</v>
      </c>
      <c r="AD153" s="3">
        <v>14341.727122338531</v>
      </c>
      <c r="AE153" s="36">
        <f t="shared" si="18"/>
        <v>4.3853292669226171E-3</v>
      </c>
    </row>
    <row r="154" spans="1:31" ht="20.25" customHeight="1">
      <c r="A154" s="71">
        <v>41422</v>
      </c>
      <c r="B154" s="35" t="s">
        <v>144</v>
      </c>
      <c r="C154" s="164">
        <v>2013</v>
      </c>
      <c r="D154" s="51">
        <v>5</v>
      </c>
      <c r="E154" s="51" t="s">
        <v>223</v>
      </c>
      <c r="F154" s="51" t="s">
        <v>224</v>
      </c>
      <c r="G154" s="51" t="s">
        <v>225</v>
      </c>
      <c r="H154" s="51" t="s">
        <v>226</v>
      </c>
      <c r="I154" s="51" t="s">
        <v>261</v>
      </c>
      <c r="J154" s="3" t="s">
        <v>262</v>
      </c>
      <c r="K154" s="3" t="s">
        <v>263</v>
      </c>
      <c r="L154" s="3">
        <v>5</v>
      </c>
      <c r="M154" s="3" t="s">
        <v>247</v>
      </c>
      <c r="N154" s="3" t="s">
        <v>264</v>
      </c>
      <c r="O154" s="3">
        <v>120</v>
      </c>
      <c r="P154" s="3">
        <f t="shared" si="20"/>
        <v>4.1666666666666661</v>
      </c>
      <c r="Q154" s="36">
        <v>6166.1908760830775</v>
      </c>
      <c r="R154" s="8">
        <f t="shared" si="21"/>
        <v>256.92461983679482</v>
      </c>
      <c r="S154" s="36">
        <v>6166.1908760830775</v>
      </c>
      <c r="T154" s="8">
        <f t="shared" si="22"/>
        <v>4.1666666666666661</v>
      </c>
      <c r="U154" s="109"/>
      <c r="V154" s="3">
        <v>250</v>
      </c>
      <c r="W154" s="3"/>
      <c r="X154" s="3"/>
      <c r="Y154" s="36">
        <v>7</v>
      </c>
      <c r="Z154" s="3">
        <v>228</v>
      </c>
      <c r="AA154" s="36">
        <f t="shared" si="23"/>
        <v>3.0701754385964911E-2</v>
      </c>
      <c r="AB154" s="3">
        <v>14339.648616820463</v>
      </c>
      <c r="AC154" s="22">
        <f t="shared" si="19"/>
        <v>4.4025236981466325</v>
      </c>
      <c r="AD154" s="3">
        <v>14341.727122338531</v>
      </c>
      <c r="AE154" s="36">
        <f t="shared" si="18"/>
        <v>3.0697304868458314E-2</v>
      </c>
    </row>
    <row r="155" spans="1:31" customFormat="1" ht="20.25" customHeight="1">
      <c r="A155" s="35">
        <v>41422</v>
      </c>
      <c r="B155" s="35" t="s">
        <v>144</v>
      </c>
      <c r="C155" s="164">
        <v>2013</v>
      </c>
      <c r="D155" s="65">
        <v>8</v>
      </c>
      <c r="E155" s="65" t="s">
        <v>223</v>
      </c>
      <c r="F155" s="65" t="s">
        <v>267</v>
      </c>
      <c r="G155" s="65" t="s">
        <v>268</v>
      </c>
      <c r="H155" s="65" t="s">
        <v>269</v>
      </c>
      <c r="I155" s="65"/>
      <c r="J155" s="36"/>
      <c r="K155" s="36"/>
      <c r="L155" s="36">
        <v>1</v>
      </c>
      <c r="M155" s="36" t="s">
        <v>634</v>
      </c>
      <c r="N155" s="36" t="s">
        <v>270</v>
      </c>
      <c r="O155" s="36">
        <v>19</v>
      </c>
      <c r="P155" s="36">
        <f t="shared" si="20"/>
        <v>5.2631578947368416</v>
      </c>
      <c r="Q155" s="36">
        <v>2.0785055180675185</v>
      </c>
      <c r="R155" s="40">
        <f t="shared" si="21"/>
        <v>0.10939502726671149</v>
      </c>
      <c r="S155" s="36">
        <v>8175.5362462554531</v>
      </c>
      <c r="T155" s="40">
        <f t="shared" si="22"/>
        <v>1.3380776987786756E-3</v>
      </c>
      <c r="U155" s="110"/>
      <c r="V155" s="36">
        <v>1000</v>
      </c>
      <c r="W155" s="36" t="s">
        <v>287</v>
      </c>
      <c r="X155" s="36"/>
      <c r="Y155" s="36">
        <v>1</v>
      </c>
      <c r="Z155" s="3">
        <v>228</v>
      </c>
      <c r="AA155" s="36">
        <f t="shared" si="23"/>
        <v>4.3859649122807015E-3</v>
      </c>
      <c r="AB155" s="3">
        <f>Q155</f>
        <v>2.0785055180675185</v>
      </c>
      <c r="AC155" s="22">
        <f t="shared" si="19"/>
        <v>9.116252272225958E-5</v>
      </c>
      <c r="AD155" s="3">
        <v>14341.727122338531</v>
      </c>
      <c r="AE155" s="36">
        <f t="shared" si="18"/>
        <v>6.356453580842837E-7</v>
      </c>
    </row>
    <row r="156" spans="1:31" customFormat="1" ht="20.25" customHeight="1">
      <c r="A156" s="35">
        <v>41422</v>
      </c>
      <c r="B156" s="35" t="s">
        <v>144</v>
      </c>
      <c r="C156" s="164">
        <v>2013</v>
      </c>
      <c r="D156" s="65">
        <v>8</v>
      </c>
      <c r="E156" s="36" t="s">
        <v>223</v>
      </c>
      <c r="F156" s="36" t="s">
        <v>267</v>
      </c>
      <c r="G156" s="36"/>
      <c r="H156" s="36" t="s">
        <v>273</v>
      </c>
      <c r="I156" s="36" t="s">
        <v>274</v>
      </c>
      <c r="J156" s="36" t="s">
        <v>275</v>
      </c>
      <c r="K156" s="36" t="s">
        <v>276</v>
      </c>
      <c r="L156" s="36">
        <v>2</v>
      </c>
      <c r="M156" s="36" t="s">
        <v>247</v>
      </c>
      <c r="N156" s="36" t="s">
        <v>275</v>
      </c>
      <c r="O156" s="36">
        <v>19</v>
      </c>
      <c r="P156" s="36">
        <f t="shared" si="20"/>
        <v>10.526315789473683</v>
      </c>
      <c r="Q156" s="36">
        <v>2.0785055180675185</v>
      </c>
      <c r="R156" s="40">
        <f t="shared" si="21"/>
        <v>0.21879005453342298</v>
      </c>
      <c r="S156" s="36">
        <v>8175.5362462554531</v>
      </c>
      <c r="T156" s="40">
        <f t="shared" si="22"/>
        <v>2.6761553975573511E-3</v>
      </c>
      <c r="U156" s="110"/>
      <c r="V156" s="36">
        <v>1000</v>
      </c>
      <c r="W156" s="36"/>
      <c r="X156" s="36"/>
      <c r="Y156" s="36">
        <v>3</v>
      </c>
      <c r="Z156" s="3">
        <v>228</v>
      </c>
      <c r="AA156" s="36">
        <f t="shared" si="23"/>
        <v>1.3157894736842105E-2</v>
      </c>
      <c r="AB156" s="3">
        <f>Q156</f>
        <v>2.0785055180675185</v>
      </c>
      <c r="AC156" s="22">
        <f t="shared" si="19"/>
        <v>2.7348756816677875E-4</v>
      </c>
      <c r="AD156" s="3">
        <v>14341.727122338531</v>
      </c>
      <c r="AE156" s="36">
        <f t="shared" si="18"/>
        <v>1.9069360742528509E-6</v>
      </c>
    </row>
    <row r="157" spans="1:31" customFormat="1" ht="20.25" customHeight="1">
      <c r="A157" s="35">
        <v>41422</v>
      </c>
      <c r="B157" s="35" t="s">
        <v>144</v>
      </c>
      <c r="C157" s="164">
        <v>2013</v>
      </c>
      <c r="D157" s="65">
        <v>8</v>
      </c>
      <c r="E157" s="36" t="s">
        <v>223</v>
      </c>
      <c r="F157" s="36" t="s">
        <v>267</v>
      </c>
      <c r="G157" s="36" t="s">
        <v>278</v>
      </c>
      <c r="H157" s="36" t="s">
        <v>279</v>
      </c>
      <c r="I157" s="36" t="s">
        <v>280</v>
      </c>
      <c r="J157" s="36" t="s">
        <v>281</v>
      </c>
      <c r="K157" s="36" t="s">
        <v>282</v>
      </c>
      <c r="L157" s="36">
        <v>1</v>
      </c>
      <c r="M157" s="36" t="s">
        <v>247</v>
      </c>
      <c r="N157" s="36" t="s">
        <v>283</v>
      </c>
      <c r="O157" s="36">
        <v>19</v>
      </c>
      <c r="P157" s="36">
        <f t="shared" si="20"/>
        <v>5.2631578947368416</v>
      </c>
      <c r="Q157" s="36">
        <v>2.0785055180675198</v>
      </c>
      <c r="R157" s="40">
        <f t="shared" si="21"/>
        <v>0.10939502726671156</v>
      </c>
      <c r="S157" s="65">
        <v>8175.5362462554504</v>
      </c>
      <c r="T157" s="40">
        <f t="shared" si="22"/>
        <v>1.3380776987786771E-3</v>
      </c>
      <c r="U157" s="110"/>
      <c r="V157" s="36">
        <v>1000</v>
      </c>
      <c r="W157" s="36"/>
      <c r="X157" s="36"/>
      <c r="Y157" s="36">
        <v>15</v>
      </c>
      <c r="Z157" s="3">
        <v>228</v>
      </c>
      <c r="AA157" s="36">
        <f t="shared" si="23"/>
        <v>6.5789473684210523E-2</v>
      </c>
      <c r="AB157" s="3">
        <f>Q157</f>
        <v>2.0785055180675198</v>
      </c>
      <c r="AC157" s="22">
        <f t="shared" si="19"/>
        <v>1.3674378408338947E-3</v>
      </c>
      <c r="AD157" s="3">
        <v>14341.727122338531</v>
      </c>
      <c r="AE157" s="36">
        <f t="shared" si="18"/>
        <v>9.534680371264262E-6</v>
      </c>
    </row>
    <row r="158" spans="1:31" ht="20.25" customHeight="1">
      <c r="A158" s="13">
        <v>41422</v>
      </c>
      <c r="B158" s="35" t="s">
        <v>144</v>
      </c>
      <c r="C158" s="164">
        <v>2013</v>
      </c>
      <c r="D158" s="51">
        <v>8</v>
      </c>
      <c r="E158" s="3" t="s">
        <v>223</v>
      </c>
      <c r="F158" s="3" t="s">
        <v>224</v>
      </c>
      <c r="G158" s="3" t="s">
        <v>225</v>
      </c>
      <c r="H158" s="3" t="s">
        <v>226</v>
      </c>
      <c r="I158" s="3" t="s">
        <v>232</v>
      </c>
      <c r="J158" s="3" t="s">
        <v>233</v>
      </c>
      <c r="K158" s="3" t="s">
        <v>234</v>
      </c>
      <c r="L158" s="3">
        <v>1</v>
      </c>
      <c r="M158" s="3" t="s">
        <v>247</v>
      </c>
      <c r="N158" s="3" t="s">
        <v>233</v>
      </c>
      <c r="O158" s="3">
        <v>89</v>
      </c>
      <c r="P158" s="3">
        <f t="shared" si="20"/>
        <v>1.1235955056179776</v>
      </c>
      <c r="Q158" s="36">
        <v>8173.4577407373854</v>
      </c>
      <c r="R158" s="8">
        <f t="shared" si="21"/>
        <v>91.836603828509965</v>
      </c>
      <c r="S158" s="36">
        <v>8175.5362462554504</v>
      </c>
      <c r="T158" s="8">
        <f t="shared" si="22"/>
        <v>1.1233098485811601</v>
      </c>
      <c r="U158" s="109"/>
      <c r="V158" s="3">
        <v>250</v>
      </c>
      <c r="W158" s="3"/>
      <c r="X158" s="3"/>
      <c r="Y158" s="36">
        <v>1</v>
      </c>
      <c r="Z158" s="3">
        <v>228</v>
      </c>
      <c r="AA158" s="36">
        <f t="shared" si="23"/>
        <v>4.3859649122807015E-3</v>
      </c>
      <c r="AB158" s="3">
        <v>14339.648616820463</v>
      </c>
      <c r="AC158" s="22">
        <f t="shared" si="19"/>
        <v>0.62893195687809045</v>
      </c>
      <c r="AD158" s="3">
        <v>14341.727122338531</v>
      </c>
      <c r="AE158" s="36">
        <f t="shared" si="18"/>
        <v>4.3853292669226171E-3</v>
      </c>
    </row>
    <row r="159" spans="1:31" ht="20.25" customHeight="1">
      <c r="A159" s="35">
        <v>41422</v>
      </c>
      <c r="B159" s="35" t="s">
        <v>144</v>
      </c>
      <c r="C159" s="164">
        <v>2013</v>
      </c>
      <c r="D159" s="65">
        <v>8</v>
      </c>
      <c r="E159" s="65" t="s">
        <v>300</v>
      </c>
      <c r="F159" s="65" t="s">
        <v>301</v>
      </c>
      <c r="G159" s="65"/>
      <c r="H159" s="65"/>
      <c r="I159" s="65"/>
      <c r="J159" s="36"/>
      <c r="K159" s="36"/>
      <c r="L159" s="36">
        <v>3</v>
      </c>
      <c r="M159" s="36" t="s">
        <v>221</v>
      </c>
      <c r="N159" s="36" t="s">
        <v>302</v>
      </c>
      <c r="O159" s="3">
        <v>89</v>
      </c>
      <c r="P159" s="36">
        <f t="shared" si="20"/>
        <v>3.3707865168539324</v>
      </c>
      <c r="Q159" s="36">
        <v>8173.4577407373854</v>
      </c>
      <c r="R159" s="8">
        <f t="shared" si="21"/>
        <v>275.50981148552984</v>
      </c>
      <c r="S159" s="36">
        <v>8175.5362462554504</v>
      </c>
      <c r="T159" s="8">
        <f t="shared" si="22"/>
        <v>3.3699295457434797</v>
      </c>
      <c r="U159" s="109"/>
      <c r="V159" s="36">
        <v>250</v>
      </c>
      <c r="W159" s="36" t="s">
        <v>222</v>
      </c>
      <c r="X159" s="36"/>
      <c r="Y159" s="36">
        <v>3</v>
      </c>
      <c r="Z159" s="3">
        <v>228</v>
      </c>
      <c r="AA159" s="36">
        <f t="shared" si="23"/>
        <v>1.3157894736842105E-2</v>
      </c>
      <c r="AB159" s="3">
        <v>14339.648616820463</v>
      </c>
      <c r="AC159" s="22">
        <f t="shared" si="19"/>
        <v>1.8867958706342713</v>
      </c>
      <c r="AD159" s="3">
        <v>14341.727122338531</v>
      </c>
      <c r="AE159" s="36">
        <f t="shared" si="18"/>
        <v>1.3155987800767852E-2</v>
      </c>
    </row>
    <row r="160" spans="1:31" s="90" customFormat="1" ht="20.25" customHeight="1">
      <c r="A160" s="84"/>
      <c r="B160" s="35"/>
      <c r="C160" s="164"/>
      <c r="D160" s="34"/>
      <c r="E160" s="3"/>
      <c r="F160" s="3"/>
      <c r="G160" s="3"/>
      <c r="H160" s="3"/>
      <c r="I160" s="3"/>
      <c r="J160" s="3"/>
      <c r="K160" s="3"/>
      <c r="L160" s="3"/>
      <c r="M160" s="3"/>
      <c r="N160" s="3"/>
      <c r="O160" s="3"/>
      <c r="P160" s="3"/>
      <c r="Q160" s="53"/>
      <c r="R160" s="8"/>
      <c r="S160" s="36"/>
      <c r="T160" s="8"/>
      <c r="U160" s="109"/>
      <c r="V160" s="3"/>
      <c r="W160" s="3"/>
      <c r="X160" s="3"/>
      <c r="Y160" s="36"/>
      <c r="Z160" s="59"/>
      <c r="AA160" s="36"/>
      <c r="AB160" s="59"/>
      <c r="AC160" s="22"/>
      <c r="AD160" s="59"/>
      <c r="AE160" s="36"/>
    </row>
    <row r="161" spans="1:31" s="90" customFormat="1" ht="20.25" customHeight="1">
      <c r="A161" s="35">
        <v>41480</v>
      </c>
      <c r="B161" s="35" t="s">
        <v>693</v>
      </c>
      <c r="C161" s="164">
        <v>2013</v>
      </c>
      <c r="D161" s="65">
        <v>2</v>
      </c>
      <c r="E161" s="36" t="s">
        <v>223</v>
      </c>
      <c r="F161" s="36" t="s">
        <v>267</v>
      </c>
      <c r="G161" s="36" t="s">
        <v>273</v>
      </c>
      <c r="H161" s="36"/>
      <c r="I161" s="36"/>
      <c r="J161" s="36"/>
      <c r="K161" s="36"/>
      <c r="L161" s="36">
        <v>19</v>
      </c>
      <c r="M161" s="36" t="s">
        <v>510</v>
      </c>
      <c r="N161" s="36" t="s">
        <v>335</v>
      </c>
      <c r="O161" s="36">
        <v>126</v>
      </c>
      <c r="P161" s="36">
        <f t="shared" si="20"/>
        <v>15.079365079365079</v>
      </c>
      <c r="Q161" s="36">
        <v>13.431165277950504</v>
      </c>
      <c r="R161" s="53">
        <f t="shared" si="21"/>
        <v>2.025334446675076</v>
      </c>
      <c r="S161" s="36">
        <v>10645.381165277951</v>
      </c>
      <c r="T161" s="53">
        <f t="shared" si="22"/>
        <v>1.9025476074836203E-2</v>
      </c>
      <c r="U161" s="110">
        <f>SUM(T161+T162)</f>
        <v>2.4032180305056258E-2</v>
      </c>
      <c r="V161" s="36">
        <v>1000</v>
      </c>
      <c r="W161" s="36" t="s">
        <v>336</v>
      </c>
      <c r="X161" s="36">
        <f>SUM(T161:T169)</f>
        <v>99.999999999999531</v>
      </c>
      <c r="Y161" s="36">
        <v>21</v>
      </c>
      <c r="Z161" s="59">
        <v>488</v>
      </c>
      <c r="AA161" s="36">
        <f t="shared" si="23"/>
        <v>4.3032786885245901E-2</v>
      </c>
      <c r="AB161" s="59">
        <v>30.988881738957097</v>
      </c>
      <c r="AC161" s="22">
        <f t="shared" si="19"/>
        <v>1.3335379436846291E-2</v>
      </c>
      <c r="AD161" s="59">
        <v>17033.896396006556</v>
      </c>
      <c r="AE161" s="36">
        <f t="shared" si="18"/>
        <v>7.8287310940629247E-5</v>
      </c>
    </row>
    <row r="162" spans="1:31" s="90" customFormat="1" ht="20.25" customHeight="1">
      <c r="A162" s="72">
        <v>41480</v>
      </c>
      <c r="B162" s="64" t="s">
        <v>693</v>
      </c>
      <c r="C162" s="164">
        <v>2013</v>
      </c>
      <c r="D162" s="65">
        <v>2</v>
      </c>
      <c r="E162" s="36" t="s">
        <v>323</v>
      </c>
      <c r="F162" s="36" t="s">
        <v>324</v>
      </c>
      <c r="G162" s="36"/>
      <c r="H162" s="36" t="s">
        <v>325</v>
      </c>
      <c r="I162" s="36" t="s">
        <v>326</v>
      </c>
      <c r="J162" s="36"/>
      <c r="K162" s="36"/>
      <c r="L162" s="36">
        <v>5</v>
      </c>
      <c r="M162" s="36" t="s">
        <v>509</v>
      </c>
      <c r="N162" s="36" t="s">
        <v>327</v>
      </c>
      <c r="O162" s="36">
        <v>126</v>
      </c>
      <c r="P162" s="36">
        <f t="shared" ref="P162:P196" si="24">L162/O162*100</f>
        <v>3.9682539682539679</v>
      </c>
      <c r="Q162" s="36">
        <v>13.431165277950504</v>
      </c>
      <c r="R162" s="53">
        <f t="shared" ref="R162:R196" si="25">(P162/100)*Q162</f>
        <v>0.53298274912501997</v>
      </c>
      <c r="S162" s="36">
        <v>10645.381165277951</v>
      </c>
      <c r="T162" s="53">
        <f t="shared" ref="T162:T196" si="26">R162/S162*100</f>
        <v>5.0067042302200538E-3</v>
      </c>
      <c r="U162" s="110"/>
      <c r="V162" s="36">
        <v>1000</v>
      </c>
      <c r="W162" s="36"/>
      <c r="X162" s="36"/>
      <c r="Y162" s="36">
        <v>7</v>
      </c>
      <c r="Z162" s="59">
        <v>488</v>
      </c>
      <c r="AA162" s="36">
        <f t="shared" si="23"/>
        <v>1.4344262295081968E-2</v>
      </c>
      <c r="AB162" s="59">
        <v>30.988881738957097</v>
      </c>
      <c r="AC162" s="22">
        <f t="shared" si="19"/>
        <v>4.4451264789487641E-3</v>
      </c>
      <c r="AD162" s="59">
        <v>17033.896396006556</v>
      </c>
      <c r="AE162" s="36">
        <f t="shared" si="18"/>
        <v>2.6095770313543082E-5</v>
      </c>
    </row>
    <row r="163" spans="1:31" s="90" customFormat="1" ht="20.25" customHeight="1">
      <c r="A163" s="35">
        <v>41480</v>
      </c>
      <c r="B163" s="35" t="s">
        <v>154</v>
      </c>
      <c r="C163" s="164">
        <v>2013</v>
      </c>
      <c r="D163" s="65">
        <v>2</v>
      </c>
      <c r="E163" s="36" t="s">
        <v>223</v>
      </c>
      <c r="F163" s="36" t="s">
        <v>267</v>
      </c>
      <c r="G163" s="36" t="s">
        <v>278</v>
      </c>
      <c r="H163" s="36" t="s">
        <v>269</v>
      </c>
      <c r="I163" s="36" t="s">
        <v>333</v>
      </c>
      <c r="J163" s="36" t="s">
        <v>334</v>
      </c>
      <c r="K163" s="36"/>
      <c r="L163" s="36">
        <v>1</v>
      </c>
      <c r="M163" s="36" t="s">
        <v>229</v>
      </c>
      <c r="N163" s="36" t="s">
        <v>270</v>
      </c>
      <c r="O163" s="36">
        <v>126</v>
      </c>
      <c r="P163" s="36">
        <f t="shared" si="24"/>
        <v>0.79365079365079361</v>
      </c>
      <c r="Q163" s="36">
        <v>13.431165277950504</v>
      </c>
      <c r="R163" s="53">
        <f t="shared" si="25"/>
        <v>0.10659654982500399</v>
      </c>
      <c r="S163" s="36">
        <v>10645.381165278</v>
      </c>
      <c r="T163" s="53">
        <f t="shared" si="26"/>
        <v>1.001340846044006E-3</v>
      </c>
      <c r="U163" s="110"/>
      <c r="V163" s="36">
        <v>1000</v>
      </c>
      <c r="W163" s="36"/>
      <c r="X163" s="36"/>
      <c r="Y163" s="36">
        <v>2</v>
      </c>
      <c r="Z163" s="59">
        <v>488</v>
      </c>
      <c r="AA163" s="36">
        <f t="shared" si="23"/>
        <v>4.0983606557377051E-3</v>
      </c>
      <c r="AB163" s="59">
        <v>30.988881738957097</v>
      </c>
      <c r="AC163" s="22">
        <f t="shared" si="19"/>
        <v>1.2700361368425039E-3</v>
      </c>
      <c r="AD163" s="59">
        <v>17033.896396006556</v>
      </c>
      <c r="AE163" s="36">
        <f t="shared" si="18"/>
        <v>7.4559343752980234E-6</v>
      </c>
    </row>
    <row r="164" spans="1:31" s="90" customFormat="1" ht="20.25" customHeight="1">
      <c r="A164" s="35">
        <v>41480</v>
      </c>
      <c r="B164" s="64" t="s">
        <v>154</v>
      </c>
      <c r="C164" s="164">
        <v>2013</v>
      </c>
      <c r="D164" s="65">
        <v>2</v>
      </c>
      <c r="E164" s="36" t="s">
        <v>223</v>
      </c>
      <c r="F164" s="36" t="s">
        <v>267</v>
      </c>
      <c r="G164" s="36" t="s">
        <v>278</v>
      </c>
      <c r="H164" s="36" t="s">
        <v>279</v>
      </c>
      <c r="I164" s="36" t="s">
        <v>280</v>
      </c>
      <c r="J164" s="36" t="s">
        <v>284</v>
      </c>
      <c r="K164" s="36" t="s">
        <v>285</v>
      </c>
      <c r="L164" s="36">
        <v>101</v>
      </c>
      <c r="M164" s="36" t="s">
        <v>247</v>
      </c>
      <c r="N164" s="36" t="s">
        <v>283</v>
      </c>
      <c r="O164" s="36">
        <v>126</v>
      </c>
      <c r="P164" s="36">
        <f t="shared" si="24"/>
        <v>80.158730158730165</v>
      </c>
      <c r="Q164" s="36">
        <v>13.431165277950504</v>
      </c>
      <c r="R164" s="53">
        <f t="shared" si="25"/>
        <v>10.766251532325404</v>
      </c>
      <c r="S164" s="36">
        <v>10645.381165278</v>
      </c>
      <c r="T164" s="53">
        <f t="shared" si="26"/>
        <v>0.1011354254504446</v>
      </c>
      <c r="U164" s="110"/>
      <c r="V164" s="36">
        <v>1000</v>
      </c>
      <c r="W164" s="36"/>
      <c r="X164" s="36"/>
      <c r="Y164" s="36">
        <f>101+1+107</f>
        <v>209</v>
      </c>
      <c r="Z164" s="59">
        <v>488</v>
      </c>
      <c r="AA164" s="36">
        <f t="shared" si="23"/>
        <v>0.42827868852459017</v>
      </c>
      <c r="AB164" s="59">
        <v>30.988881738957097</v>
      </c>
      <c r="AC164" s="22">
        <f t="shared" si="19"/>
        <v>0.13271877630004167</v>
      </c>
      <c r="AD164" s="59">
        <v>17033.896396006556</v>
      </c>
      <c r="AE164" s="36">
        <f t="shared" si="18"/>
        <v>7.7914514221864341E-4</v>
      </c>
    </row>
    <row r="165" spans="1:31" s="90" customFormat="1" ht="20.25" customHeight="1">
      <c r="A165" s="72">
        <v>41480</v>
      </c>
      <c r="B165" s="35" t="s">
        <v>154</v>
      </c>
      <c r="C165" s="164">
        <v>2013</v>
      </c>
      <c r="D165" s="65">
        <v>2</v>
      </c>
      <c r="E165" s="65" t="s">
        <v>223</v>
      </c>
      <c r="F165" s="65" t="s">
        <v>224</v>
      </c>
      <c r="G165" s="65" t="s">
        <v>225</v>
      </c>
      <c r="H165" s="65" t="s">
        <v>226</v>
      </c>
      <c r="I165" s="65" t="s">
        <v>227</v>
      </c>
      <c r="J165" s="36" t="s">
        <v>228</v>
      </c>
      <c r="K165" s="36"/>
      <c r="L165" s="36">
        <v>105</v>
      </c>
      <c r="M165" s="36" t="s">
        <v>229</v>
      </c>
      <c r="N165" s="36" t="s">
        <v>228</v>
      </c>
      <c r="O165" s="36">
        <v>125</v>
      </c>
      <c r="P165" s="36">
        <f t="shared" si="24"/>
        <v>84</v>
      </c>
      <c r="Q165" s="36">
        <v>10631.95</v>
      </c>
      <c r="R165" s="53">
        <f t="shared" si="25"/>
        <v>8930.8379999999997</v>
      </c>
      <c r="S165" s="36">
        <v>10645.381165278</v>
      </c>
      <c r="T165" s="53">
        <f t="shared" si="26"/>
        <v>83.894018084854309</v>
      </c>
      <c r="U165" s="110"/>
      <c r="V165" s="36">
        <v>250</v>
      </c>
      <c r="W165" s="36"/>
      <c r="X165" s="36"/>
      <c r="Y165" s="36">
        <f>52+105</f>
        <v>157</v>
      </c>
      <c r="Z165" s="59">
        <v>488</v>
      </c>
      <c r="AA165" s="36">
        <f t="shared" si="23"/>
        <v>0.32172131147540983</v>
      </c>
      <c r="AB165" s="59">
        <f>SUM(Q165+Q170)</f>
        <v>17002.907514267597</v>
      </c>
      <c r="AC165" s="22">
        <f t="shared" si="19"/>
        <v>54.701977043852715</v>
      </c>
      <c r="AD165" s="59">
        <v>17033.896396006556</v>
      </c>
      <c r="AE165" s="36">
        <f t="shared" si="18"/>
        <v>0.3211360206269489</v>
      </c>
    </row>
    <row r="166" spans="1:31" s="90" customFormat="1" ht="20.25" customHeight="1">
      <c r="A166" s="72">
        <v>41480</v>
      </c>
      <c r="B166" s="64" t="s">
        <v>154</v>
      </c>
      <c r="C166" s="164">
        <v>2013</v>
      </c>
      <c r="D166" s="65">
        <v>2</v>
      </c>
      <c r="E166" s="65" t="s">
        <v>223</v>
      </c>
      <c r="F166" s="65" t="s">
        <v>224</v>
      </c>
      <c r="G166" s="65" t="s">
        <v>304</v>
      </c>
      <c r="H166" s="65" t="s">
        <v>329</v>
      </c>
      <c r="I166" s="65" t="s">
        <v>330</v>
      </c>
      <c r="J166" s="36" t="s">
        <v>307</v>
      </c>
      <c r="K166" s="36"/>
      <c r="L166" s="36">
        <v>2</v>
      </c>
      <c r="M166" s="36" t="s">
        <v>229</v>
      </c>
      <c r="N166" s="36" t="s">
        <v>307</v>
      </c>
      <c r="O166" s="36">
        <v>125</v>
      </c>
      <c r="P166" s="36">
        <f t="shared" si="24"/>
        <v>1.6</v>
      </c>
      <c r="Q166" s="36">
        <v>10631.95</v>
      </c>
      <c r="R166" s="53">
        <f t="shared" si="25"/>
        <v>170.11120000000003</v>
      </c>
      <c r="S166" s="36">
        <v>10645.381165278</v>
      </c>
      <c r="T166" s="53">
        <f t="shared" si="26"/>
        <v>1.5979812968543678</v>
      </c>
      <c r="U166" s="110"/>
      <c r="V166" s="36">
        <v>250</v>
      </c>
      <c r="W166" s="36" t="s">
        <v>308</v>
      </c>
      <c r="X166" s="36"/>
      <c r="Y166" s="36">
        <v>5</v>
      </c>
      <c r="Z166" s="59">
        <v>488</v>
      </c>
      <c r="AA166" s="36">
        <f t="shared" si="23"/>
        <v>1.0245901639344262E-2</v>
      </c>
      <c r="AB166" s="59">
        <v>17002.907514267597</v>
      </c>
      <c r="AC166" s="22">
        <f t="shared" si="19"/>
        <v>1.7421011797405324</v>
      </c>
      <c r="AD166" s="59">
        <v>17033.896396006556</v>
      </c>
      <c r="AE166" s="36">
        <f t="shared" si="18"/>
        <v>1.0227261803406015E-2</v>
      </c>
    </row>
    <row r="167" spans="1:31" s="90" customFormat="1" ht="20.25" customHeight="1">
      <c r="A167" s="72">
        <v>41480</v>
      </c>
      <c r="B167" s="35" t="s">
        <v>154</v>
      </c>
      <c r="C167" s="164">
        <v>2013</v>
      </c>
      <c r="D167" s="65">
        <v>2</v>
      </c>
      <c r="E167" s="36" t="s">
        <v>223</v>
      </c>
      <c r="F167" s="36" t="s">
        <v>224</v>
      </c>
      <c r="G167" s="36" t="s">
        <v>225</v>
      </c>
      <c r="H167" s="36" t="s">
        <v>226</v>
      </c>
      <c r="I167" s="36" t="s">
        <v>239</v>
      </c>
      <c r="J167" s="36" t="s">
        <v>240</v>
      </c>
      <c r="K167" s="36"/>
      <c r="L167" s="36">
        <v>15</v>
      </c>
      <c r="M167" s="36" t="s">
        <v>229</v>
      </c>
      <c r="N167" s="36" t="s">
        <v>240</v>
      </c>
      <c r="O167" s="36">
        <v>125</v>
      </c>
      <c r="P167" s="36">
        <f t="shared" si="24"/>
        <v>12</v>
      </c>
      <c r="Q167" s="36">
        <v>10631.95</v>
      </c>
      <c r="R167" s="53">
        <f t="shared" si="25"/>
        <v>1275.8340000000001</v>
      </c>
      <c r="S167" s="36">
        <v>10645.381165278</v>
      </c>
      <c r="T167" s="53">
        <f t="shared" si="26"/>
        <v>11.984859726407759</v>
      </c>
      <c r="U167" s="110"/>
      <c r="V167" s="36">
        <v>250</v>
      </c>
      <c r="W167" s="36"/>
      <c r="X167" s="36"/>
      <c r="Y167" s="36">
        <v>30</v>
      </c>
      <c r="Z167" s="59">
        <v>488</v>
      </c>
      <c r="AA167" s="36">
        <f t="shared" si="23"/>
        <v>6.1475409836065573E-2</v>
      </c>
      <c r="AB167" s="59">
        <v>17002.907514267597</v>
      </c>
      <c r="AC167" s="22">
        <f t="shared" si="19"/>
        <v>10.452607078443194</v>
      </c>
      <c r="AD167" s="59">
        <v>17033.896396006556</v>
      </c>
      <c r="AE167" s="36">
        <f t="shared" si="18"/>
        <v>6.1363570820436086E-2</v>
      </c>
    </row>
    <row r="168" spans="1:31" s="90" customFormat="1" ht="20.25" customHeight="1">
      <c r="A168" s="72">
        <v>41480</v>
      </c>
      <c r="B168" s="64" t="s">
        <v>154</v>
      </c>
      <c r="C168" s="164">
        <v>2013</v>
      </c>
      <c r="D168" s="65">
        <v>2</v>
      </c>
      <c r="E168" s="36" t="s">
        <v>223</v>
      </c>
      <c r="F168" s="36" t="s">
        <v>224</v>
      </c>
      <c r="G168" s="36" t="s">
        <v>225</v>
      </c>
      <c r="H168" s="36" t="s">
        <v>248</v>
      </c>
      <c r="I168" s="36" t="s">
        <v>249</v>
      </c>
      <c r="J168" s="36" t="s">
        <v>250</v>
      </c>
      <c r="K168" s="36" t="s">
        <v>251</v>
      </c>
      <c r="L168" s="36">
        <v>1</v>
      </c>
      <c r="M168" s="36" t="s">
        <v>247</v>
      </c>
      <c r="N168" s="36" t="s">
        <v>250</v>
      </c>
      <c r="O168" s="36">
        <v>125</v>
      </c>
      <c r="P168" s="36">
        <f t="shared" si="24"/>
        <v>0.8</v>
      </c>
      <c r="Q168" s="36">
        <v>10631.95</v>
      </c>
      <c r="R168" s="53">
        <f t="shared" si="25"/>
        <v>85.055600000000013</v>
      </c>
      <c r="S168" s="36">
        <v>10645.381165278</v>
      </c>
      <c r="T168" s="53">
        <f t="shared" si="26"/>
        <v>0.79899064842718392</v>
      </c>
      <c r="U168" s="110"/>
      <c r="V168" s="36">
        <v>250</v>
      </c>
      <c r="W168" s="36"/>
      <c r="X168" s="36"/>
      <c r="Y168" s="36">
        <v>9</v>
      </c>
      <c r="Z168" s="59">
        <v>488</v>
      </c>
      <c r="AA168" s="36">
        <f t="shared" si="23"/>
        <v>1.8442622950819672E-2</v>
      </c>
      <c r="AB168" s="59">
        <v>17002.907514267597</v>
      </c>
      <c r="AC168" s="22">
        <f t="shared" si="19"/>
        <v>3.1357821235329584</v>
      </c>
      <c r="AD168" s="59">
        <v>17033.896396006556</v>
      </c>
      <c r="AE168" s="36">
        <f t="shared" si="18"/>
        <v>1.840907124613083E-2</v>
      </c>
    </row>
    <row r="169" spans="1:31" customFormat="1" ht="20.25" customHeight="1">
      <c r="A169" s="72">
        <v>41480</v>
      </c>
      <c r="B169" s="35" t="s">
        <v>154</v>
      </c>
      <c r="C169" s="164">
        <v>2013</v>
      </c>
      <c r="D169" s="65">
        <v>2</v>
      </c>
      <c r="E169" s="36" t="s">
        <v>223</v>
      </c>
      <c r="F169" s="36" t="s">
        <v>224</v>
      </c>
      <c r="G169" s="36" t="s">
        <v>225</v>
      </c>
      <c r="H169" s="36" t="s">
        <v>226</v>
      </c>
      <c r="I169" s="36" t="s">
        <v>253</v>
      </c>
      <c r="J169" s="36" t="s">
        <v>256</v>
      </c>
      <c r="K169" s="36"/>
      <c r="L169" s="36">
        <v>2</v>
      </c>
      <c r="M169" s="36" t="s">
        <v>229</v>
      </c>
      <c r="N169" s="36" t="s">
        <v>256</v>
      </c>
      <c r="O169" s="36">
        <v>125</v>
      </c>
      <c r="P169" s="36">
        <f t="shared" si="24"/>
        <v>1.6</v>
      </c>
      <c r="Q169" s="36">
        <v>10631.95</v>
      </c>
      <c r="R169" s="53">
        <f t="shared" si="25"/>
        <v>170.11120000000003</v>
      </c>
      <c r="S169" s="36">
        <v>10645.381165278</v>
      </c>
      <c r="T169" s="53">
        <f t="shared" si="26"/>
        <v>1.5979812968543678</v>
      </c>
      <c r="U169" s="110"/>
      <c r="V169" s="36">
        <v>250</v>
      </c>
      <c r="W169" s="36"/>
      <c r="X169" s="36"/>
      <c r="Y169" s="36">
        <v>26</v>
      </c>
      <c r="Z169" s="59">
        <v>488</v>
      </c>
      <c r="AA169" s="36">
        <f t="shared" si="23"/>
        <v>5.3278688524590161E-2</v>
      </c>
      <c r="AB169" s="59">
        <v>17002.907514267597</v>
      </c>
      <c r="AC169" s="22">
        <f t="shared" si="19"/>
        <v>9.0589261346507683</v>
      </c>
      <c r="AD169" s="59">
        <v>17033.896396006556</v>
      </c>
      <c r="AE169" s="36">
        <f t="shared" si="18"/>
        <v>5.3181761377711273E-2</v>
      </c>
    </row>
    <row r="170" spans="1:31" ht="20.25" customHeight="1">
      <c r="A170" s="72">
        <v>41480</v>
      </c>
      <c r="B170" s="64" t="s">
        <v>154</v>
      </c>
      <c r="C170" s="164">
        <v>2013</v>
      </c>
      <c r="D170" s="65">
        <v>4</v>
      </c>
      <c r="E170" s="65" t="s">
        <v>300</v>
      </c>
      <c r="F170" s="65" t="s">
        <v>320</v>
      </c>
      <c r="G170" s="65"/>
      <c r="H170" s="65"/>
      <c r="I170" s="65"/>
      <c r="J170" s="36"/>
      <c r="K170" s="36"/>
      <c r="L170" s="36">
        <v>9</v>
      </c>
      <c r="M170" s="36" t="s">
        <v>221</v>
      </c>
      <c r="N170" s="36" t="s">
        <v>322</v>
      </c>
      <c r="O170" s="36">
        <v>124</v>
      </c>
      <c r="P170" s="36">
        <f t="shared" si="24"/>
        <v>7.2580645161290329</v>
      </c>
      <c r="Q170" s="65">
        <v>6370.9575142675976</v>
      </c>
      <c r="R170" s="8">
        <f t="shared" si="25"/>
        <v>462.40820668071274</v>
      </c>
      <c r="S170" s="36">
        <v>6388.5152307285998</v>
      </c>
      <c r="T170" s="8">
        <f t="shared" si="26"/>
        <v>7.238116995582021</v>
      </c>
      <c r="U170" s="109"/>
      <c r="V170" s="36">
        <v>250</v>
      </c>
      <c r="W170" s="36" t="s">
        <v>222</v>
      </c>
      <c r="X170" s="36"/>
      <c r="Y170" s="41">
        <v>9</v>
      </c>
      <c r="Z170" s="59">
        <v>488</v>
      </c>
      <c r="AA170" s="36">
        <f t="shared" si="23"/>
        <v>1.8442622950819672E-2</v>
      </c>
      <c r="AB170" s="59">
        <v>17002.907514267597</v>
      </c>
      <c r="AC170" s="22">
        <f t="shared" si="19"/>
        <v>3.1357821235329584</v>
      </c>
      <c r="AD170" s="59">
        <v>17033.896396006556</v>
      </c>
      <c r="AE170" s="36">
        <f t="shared" si="18"/>
        <v>1.840907124613083E-2</v>
      </c>
    </row>
    <row r="171" spans="1:31" ht="20.25" customHeight="1">
      <c r="A171" s="13">
        <v>41480</v>
      </c>
      <c r="B171" s="35" t="s">
        <v>154</v>
      </c>
      <c r="C171" s="164">
        <v>2013</v>
      </c>
      <c r="D171" s="51">
        <v>4</v>
      </c>
      <c r="E171" s="3" t="s">
        <v>223</v>
      </c>
      <c r="F171" s="3" t="s">
        <v>224</v>
      </c>
      <c r="G171" s="3" t="s">
        <v>225</v>
      </c>
      <c r="H171" s="3" t="s">
        <v>226</v>
      </c>
      <c r="I171" s="3"/>
      <c r="J171" s="3"/>
      <c r="K171" s="3"/>
      <c r="L171" s="3">
        <v>2</v>
      </c>
      <c r="M171" s="3" t="s">
        <v>508</v>
      </c>
      <c r="N171" s="36" t="s">
        <v>600</v>
      </c>
      <c r="O171" s="3">
        <v>124</v>
      </c>
      <c r="P171" s="3">
        <f t="shared" si="24"/>
        <v>1.6129032258064515</v>
      </c>
      <c r="Q171" s="36">
        <v>6370.9575142675976</v>
      </c>
      <c r="R171" s="8">
        <f t="shared" si="25"/>
        <v>102.75737926238061</v>
      </c>
      <c r="S171" s="36">
        <v>6388.5152307285998</v>
      </c>
      <c r="T171" s="8">
        <f t="shared" si="26"/>
        <v>1.6084704434626715</v>
      </c>
      <c r="U171" s="109"/>
      <c r="V171" s="3">
        <v>250</v>
      </c>
      <c r="W171" s="3" t="s">
        <v>309</v>
      </c>
      <c r="X171" s="3"/>
      <c r="Y171" s="41">
        <v>3</v>
      </c>
      <c r="Z171" s="59">
        <v>488</v>
      </c>
      <c r="AA171" s="36">
        <f t="shared" si="23"/>
        <v>6.1475409836065573E-3</v>
      </c>
      <c r="AB171" s="59">
        <v>17002.907514267597</v>
      </c>
      <c r="AC171" s="22">
        <f t="shared" si="19"/>
        <v>1.0452607078443195</v>
      </c>
      <c r="AD171" s="59">
        <v>17033.896396006556</v>
      </c>
      <c r="AE171" s="36">
        <f t="shared" si="18"/>
        <v>6.13635708204361E-3</v>
      </c>
    </row>
    <row r="172" spans="1:31" ht="20.25" customHeight="1">
      <c r="A172" s="13">
        <v>41480</v>
      </c>
      <c r="B172" s="35" t="s">
        <v>154</v>
      </c>
      <c r="C172" s="164">
        <v>2013</v>
      </c>
      <c r="D172" s="51">
        <v>4</v>
      </c>
      <c r="E172" s="3" t="s">
        <v>223</v>
      </c>
      <c r="F172" s="3" t="s">
        <v>224</v>
      </c>
      <c r="G172" s="3" t="s">
        <v>225</v>
      </c>
      <c r="H172" s="3" t="s">
        <v>226</v>
      </c>
      <c r="I172" s="3" t="s">
        <v>232</v>
      </c>
      <c r="J172" s="3" t="s">
        <v>233</v>
      </c>
      <c r="K172" s="3" t="s">
        <v>234</v>
      </c>
      <c r="L172" s="3">
        <v>4</v>
      </c>
      <c r="M172" s="3" t="s">
        <v>247</v>
      </c>
      <c r="N172" s="3" t="s">
        <v>233</v>
      </c>
      <c r="O172" s="3">
        <v>124</v>
      </c>
      <c r="P172" s="3">
        <f t="shared" si="24"/>
        <v>3.225806451612903</v>
      </c>
      <c r="Q172" s="36">
        <v>6370.9575142675976</v>
      </c>
      <c r="R172" s="8">
        <f t="shared" si="25"/>
        <v>205.51475852476122</v>
      </c>
      <c r="S172" s="36">
        <v>6388.5152307285998</v>
      </c>
      <c r="T172" s="8">
        <f t="shared" si="26"/>
        <v>3.2169408869253431</v>
      </c>
      <c r="U172" s="109"/>
      <c r="V172" s="3">
        <v>250</v>
      </c>
      <c r="W172" s="3"/>
      <c r="X172" s="3"/>
      <c r="Y172" s="41">
        <v>4</v>
      </c>
      <c r="Z172" s="59">
        <v>488</v>
      </c>
      <c r="AA172" s="36">
        <f t="shared" si="23"/>
        <v>8.1967213114754103E-3</v>
      </c>
      <c r="AB172" s="59">
        <v>17002.907514267597</v>
      </c>
      <c r="AC172" s="22">
        <f t="shared" si="19"/>
        <v>1.393680943792426</v>
      </c>
      <c r="AD172" s="59">
        <v>17033.896396006556</v>
      </c>
      <c r="AE172" s="36">
        <f t="shared" si="18"/>
        <v>8.1818094427248134E-3</v>
      </c>
    </row>
    <row r="173" spans="1:31" ht="20.25" customHeight="1">
      <c r="A173" s="13">
        <v>41480</v>
      </c>
      <c r="B173" s="64" t="s">
        <v>154</v>
      </c>
      <c r="C173" s="164">
        <v>2013</v>
      </c>
      <c r="D173" s="51">
        <v>4</v>
      </c>
      <c r="E173" s="51" t="s">
        <v>223</v>
      </c>
      <c r="F173" s="51" t="s">
        <v>317</v>
      </c>
      <c r="G173" s="51" t="s">
        <v>314</v>
      </c>
      <c r="H173" s="51" t="s">
        <v>346</v>
      </c>
      <c r="I173" s="51" t="s">
        <v>315</v>
      </c>
      <c r="J173" s="3" t="s">
        <v>347</v>
      </c>
      <c r="K173" s="3" t="s">
        <v>348</v>
      </c>
      <c r="L173" s="3">
        <v>1</v>
      </c>
      <c r="M173" s="3" t="s">
        <v>247</v>
      </c>
      <c r="N173" s="3" t="s">
        <v>345</v>
      </c>
      <c r="O173" s="3">
        <v>124</v>
      </c>
      <c r="P173" s="3">
        <f t="shared" si="24"/>
        <v>0.80645161290322576</v>
      </c>
      <c r="Q173" s="36">
        <v>6370.9575142675976</v>
      </c>
      <c r="R173" s="8">
        <f t="shared" si="25"/>
        <v>51.378689631190305</v>
      </c>
      <c r="S173" s="36">
        <v>6388.5152307285998</v>
      </c>
      <c r="T173" s="8">
        <f t="shared" si="26"/>
        <v>0.80423522173133577</v>
      </c>
      <c r="U173" s="109"/>
      <c r="V173" s="3">
        <v>250</v>
      </c>
      <c r="W173" s="3"/>
      <c r="X173" s="3"/>
      <c r="Y173" s="41">
        <v>1</v>
      </c>
      <c r="Z173" s="59">
        <v>488</v>
      </c>
      <c r="AA173" s="36">
        <f t="shared" si="23"/>
        <v>2.0491803278688526E-3</v>
      </c>
      <c r="AB173" s="59">
        <v>17002.907514267597</v>
      </c>
      <c r="AC173" s="22">
        <f t="shared" si="19"/>
        <v>0.3484202359481065</v>
      </c>
      <c r="AD173" s="59">
        <v>17033.896396006556</v>
      </c>
      <c r="AE173" s="36">
        <f t="shared" si="18"/>
        <v>2.0454523606812033E-3</v>
      </c>
    </row>
    <row r="174" spans="1:31" ht="20.25" customHeight="1">
      <c r="A174" s="35">
        <v>41480</v>
      </c>
      <c r="B174" s="64" t="s">
        <v>154</v>
      </c>
      <c r="C174" s="164">
        <v>2013</v>
      </c>
      <c r="D174" s="65">
        <v>4</v>
      </c>
      <c r="E174" s="36" t="s">
        <v>300</v>
      </c>
      <c r="F174" s="36" t="s">
        <v>301</v>
      </c>
      <c r="G174" s="36"/>
      <c r="H174" s="36"/>
      <c r="I174" s="36"/>
      <c r="J174" s="36"/>
      <c r="K174" s="36"/>
      <c r="L174" s="36">
        <v>1</v>
      </c>
      <c r="M174" s="36" t="s">
        <v>221</v>
      </c>
      <c r="N174" s="36" t="s">
        <v>302</v>
      </c>
      <c r="O174" s="36">
        <v>124</v>
      </c>
      <c r="P174" s="36">
        <f t="shared" si="24"/>
        <v>0.80645161290322576</v>
      </c>
      <c r="Q174" s="65">
        <v>6370.9575142675976</v>
      </c>
      <c r="R174" s="8">
        <f t="shared" si="25"/>
        <v>51.378689631190305</v>
      </c>
      <c r="S174" s="65">
        <v>6388.5152307285998</v>
      </c>
      <c r="T174" s="8">
        <f t="shared" si="26"/>
        <v>0.80423522173133577</v>
      </c>
      <c r="U174" s="109"/>
      <c r="V174" s="36">
        <v>250</v>
      </c>
      <c r="W174" s="36" t="s">
        <v>222</v>
      </c>
      <c r="X174" s="36"/>
      <c r="Y174" s="41">
        <v>1</v>
      </c>
      <c r="Z174" s="59">
        <v>488</v>
      </c>
      <c r="AA174" s="36">
        <f t="shared" si="23"/>
        <v>2.0491803278688526E-3</v>
      </c>
      <c r="AB174" s="59">
        <v>17002.907514267597</v>
      </c>
      <c r="AC174" s="22">
        <f t="shared" si="19"/>
        <v>0.3484202359481065</v>
      </c>
      <c r="AD174" s="59">
        <v>17033.896396006556</v>
      </c>
      <c r="AE174" s="36">
        <f t="shared" si="18"/>
        <v>2.0454523606812033E-3</v>
      </c>
    </row>
    <row r="175" spans="1:31" customFormat="1" ht="20.25" customHeight="1">
      <c r="A175" s="13">
        <v>41480</v>
      </c>
      <c r="B175" s="35" t="s">
        <v>154</v>
      </c>
      <c r="C175" s="164">
        <v>2013</v>
      </c>
      <c r="D175" s="51">
        <v>4</v>
      </c>
      <c r="E175" s="3" t="s">
        <v>223</v>
      </c>
      <c r="F175" s="3" t="s">
        <v>224</v>
      </c>
      <c r="G175" s="3" t="s">
        <v>225</v>
      </c>
      <c r="H175" s="3" t="s">
        <v>243</v>
      </c>
      <c r="I175" s="3" t="s">
        <v>244</v>
      </c>
      <c r="J175" s="3" t="s">
        <v>245</v>
      </c>
      <c r="K175" s="3" t="s">
        <v>246</v>
      </c>
      <c r="L175" s="3">
        <v>4</v>
      </c>
      <c r="M175" s="3" t="s">
        <v>247</v>
      </c>
      <c r="N175" s="3" t="s">
        <v>673</v>
      </c>
      <c r="O175" s="3">
        <v>124</v>
      </c>
      <c r="P175" s="3">
        <f t="shared" si="24"/>
        <v>3.225806451612903</v>
      </c>
      <c r="Q175" s="65">
        <v>6370.9575142675976</v>
      </c>
      <c r="R175" s="8">
        <f t="shared" si="25"/>
        <v>205.51475852476122</v>
      </c>
      <c r="S175" s="36">
        <v>6388.5152307285998</v>
      </c>
      <c r="T175" s="8">
        <f t="shared" si="26"/>
        <v>3.2169408869253431</v>
      </c>
      <c r="U175" s="109"/>
      <c r="V175" s="3">
        <v>250</v>
      </c>
      <c r="W175" s="3"/>
      <c r="X175" s="3"/>
      <c r="Y175" s="41">
        <v>4</v>
      </c>
      <c r="Z175" s="59">
        <v>488</v>
      </c>
      <c r="AA175" s="36">
        <f t="shared" si="23"/>
        <v>8.1967213114754103E-3</v>
      </c>
      <c r="AB175" s="59">
        <v>17002.907514267597</v>
      </c>
      <c r="AC175" s="22">
        <f t="shared" si="19"/>
        <v>1.393680943792426</v>
      </c>
      <c r="AD175" s="59">
        <v>17033.896396006556</v>
      </c>
      <c r="AE175" s="36">
        <f t="shared" si="18"/>
        <v>8.1818094427248134E-3</v>
      </c>
    </row>
    <row r="176" spans="1:31" customFormat="1" ht="20.25" customHeight="1">
      <c r="A176" s="13"/>
      <c r="B176" s="35"/>
      <c r="C176" s="164"/>
      <c r="D176" s="34"/>
      <c r="E176" s="34"/>
      <c r="F176" s="34"/>
      <c r="G176" s="34"/>
      <c r="H176" s="34"/>
      <c r="I176" s="34"/>
      <c r="J176" s="3"/>
      <c r="K176" s="3"/>
      <c r="L176" s="3"/>
      <c r="M176" s="3"/>
      <c r="N176" s="3"/>
      <c r="O176" s="3"/>
      <c r="P176" s="3"/>
      <c r="Q176" s="53"/>
      <c r="R176" s="8"/>
      <c r="S176" s="36"/>
      <c r="T176" s="8"/>
      <c r="U176" s="109"/>
      <c r="V176" s="3"/>
      <c r="W176" s="3"/>
      <c r="X176" s="3"/>
      <c r="Y176" s="36"/>
      <c r="Z176" s="3"/>
      <c r="AA176" s="36"/>
      <c r="AB176" s="3">
        <v>17.557716461006592</v>
      </c>
      <c r="AC176" s="22"/>
      <c r="AD176" s="3"/>
      <c r="AE176" s="36"/>
    </row>
    <row r="177" spans="1:31" customFormat="1" ht="20.25" customHeight="1">
      <c r="A177" s="72">
        <v>41480</v>
      </c>
      <c r="B177" s="64" t="s">
        <v>154</v>
      </c>
      <c r="C177" s="164">
        <v>2013</v>
      </c>
      <c r="D177" s="65">
        <v>5</v>
      </c>
      <c r="E177" s="65" t="s">
        <v>209</v>
      </c>
      <c r="F177" s="65" t="s">
        <v>210</v>
      </c>
      <c r="G177" s="65"/>
      <c r="H177" s="65" t="s">
        <v>211</v>
      </c>
      <c r="I177" s="65" t="s">
        <v>212</v>
      </c>
      <c r="J177" s="36" t="s">
        <v>213</v>
      </c>
      <c r="K177" s="36" t="s">
        <v>214</v>
      </c>
      <c r="L177" s="36">
        <v>1</v>
      </c>
      <c r="M177" s="36" t="s">
        <v>247</v>
      </c>
      <c r="N177" s="36" t="s">
        <v>215</v>
      </c>
      <c r="O177" s="36">
        <v>45</v>
      </c>
      <c r="P177" s="36">
        <f t="shared" si="24"/>
        <v>2.2222222222222223</v>
      </c>
      <c r="Q177" s="36">
        <v>2.3818051259975315</v>
      </c>
      <c r="R177" s="40">
        <f t="shared" si="25"/>
        <v>5.2929002799945148E-2</v>
      </c>
      <c r="S177" s="36">
        <v>16891.941079298133</v>
      </c>
      <c r="T177" s="40">
        <f t="shared" si="26"/>
        <v>3.1333878416620888E-4</v>
      </c>
      <c r="U177" s="110"/>
      <c r="V177" s="36">
        <v>1000</v>
      </c>
      <c r="W177" s="36"/>
      <c r="X177" s="36"/>
      <c r="Y177" s="36">
        <v>1</v>
      </c>
      <c r="Z177" s="3">
        <v>466</v>
      </c>
      <c r="AA177" s="36">
        <f t="shared" si="23"/>
        <v>2.1459227467811159E-3</v>
      </c>
      <c r="AB177" s="3">
        <v>3.9130918662454359</v>
      </c>
      <c r="AC177" s="22">
        <f t="shared" si="19"/>
        <v>8.3971928460202492E-5</v>
      </c>
      <c r="AD177" s="3">
        <v>51319.597920889362</v>
      </c>
      <c r="AE177" s="36">
        <f t="shared" ref="AE177:AE232" si="27">AC177/AD177*100</f>
        <v>1.6362546056897724E-7</v>
      </c>
    </row>
    <row r="178" spans="1:31" customFormat="1" ht="20.25" customHeight="1">
      <c r="A178" s="72">
        <v>41480</v>
      </c>
      <c r="B178" s="35" t="s">
        <v>154</v>
      </c>
      <c r="C178" s="164">
        <v>2013</v>
      </c>
      <c r="D178" s="65">
        <v>5</v>
      </c>
      <c r="E178" s="36" t="s">
        <v>351</v>
      </c>
      <c r="F178" s="36"/>
      <c r="G178" s="36"/>
      <c r="H178" s="36"/>
      <c r="I178" s="36"/>
      <c r="J178" s="36"/>
      <c r="K178" s="36"/>
      <c r="L178" s="36">
        <v>2</v>
      </c>
      <c r="M178" s="36" t="s">
        <v>474</v>
      </c>
      <c r="N178" s="36" t="s">
        <v>352</v>
      </c>
      <c r="O178" s="36">
        <v>45</v>
      </c>
      <c r="P178" s="36">
        <f t="shared" si="24"/>
        <v>4.4444444444444446</v>
      </c>
      <c r="Q178" s="65">
        <v>2.3818051259975315</v>
      </c>
      <c r="R178" s="40">
        <f t="shared" si="25"/>
        <v>0.1058580055998903</v>
      </c>
      <c r="S178" s="36">
        <v>16891.941079298133</v>
      </c>
      <c r="T178" s="40">
        <f t="shared" si="26"/>
        <v>6.2667756833241777E-4</v>
      </c>
      <c r="U178" s="110"/>
      <c r="V178" s="36">
        <v>1000</v>
      </c>
      <c r="W178" s="36" t="s">
        <v>222</v>
      </c>
      <c r="X178" s="36"/>
      <c r="Y178" s="36">
        <v>5</v>
      </c>
      <c r="Z178" s="3">
        <v>466</v>
      </c>
      <c r="AA178" s="36">
        <f t="shared" si="23"/>
        <v>1.0729613733905579E-2</v>
      </c>
      <c r="AB178" s="3">
        <v>3.9130918662454359</v>
      </c>
      <c r="AC178" s="22">
        <f t="shared" si="19"/>
        <v>4.1985964230101242E-4</v>
      </c>
      <c r="AD178" s="3">
        <v>51319.597920889362</v>
      </c>
      <c r="AE178" s="36">
        <f t="shared" si="27"/>
        <v>8.1812730284488624E-7</v>
      </c>
    </row>
    <row r="179" spans="1:31" customFormat="1" ht="20.25" customHeight="1">
      <c r="A179" s="72">
        <v>41480</v>
      </c>
      <c r="B179" s="64" t="s">
        <v>154</v>
      </c>
      <c r="C179" s="164">
        <v>2013</v>
      </c>
      <c r="D179" s="65">
        <v>5</v>
      </c>
      <c r="E179" s="65" t="s">
        <v>223</v>
      </c>
      <c r="F179" s="65" t="s">
        <v>267</v>
      </c>
      <c r="G179" s="65"/>
      <c r="H179" s="65" t="s">
        <v>273</v>
      </c>
      <c r="I179" s="65"/>
      <c r="J179" s="36"/>
      <c r="K179" s="36"/>
      <c r="L179" s="36">
        <v>10</v>
      </c>
      <c r="M179" s="36" t="s">
        <v>508</v>
      </c>
      <c r="N179" s="36" t="s">
        <v>335</v>
      </c>
      <c r="O179" s="36">
        <v>45</v>
      </c>
      <c r="P179" s="36">
        <f t="shared" si="24"/>
        <v>22.222222222222221</v>
      </c>
      <c r="Q179" s="36">
        <v>2.3818051259975315</v>
      </c>
      <c r="R179" s="40">
        <f t="shared" si="25"/>
        <v>0.52929002799945146</v>
      </c>
      <c r="S179" s="36">
        <v>16891.9410792981</v>
      </c>
      <c r="T179" s="40">
        <f t="shared" si="26"/>
        <v>3.1333878416620951E-3</v>
      </c>
      <c r="U179" s="110"/>
      <c r="V179" s="36">
        <v>1000</v>
      </c>
      <c r="W179" s="36" t="s">
        <v>336</v>
      </c>
      <c r="X179" s="36"/>
      <c r="Y179" s="36">
        <v>13</v>
      </c>
      <c r="Z179" s="3">
        <v>466</v>
      </c>
      <c r="AA179" s="36">
        <f t="shared" si="23"/>
        <v>2.7896995708154508E-2</v>
      </c>
      <c r="AB179" s="3">
        <v>3.9130918662454359</v>
      </c>
      <c r="AC179" s="22">
        <f t="shared" si="19"/>
        <v>1.0916350699826324E-3</v>
      </c>
      <c r="AD179" s="3">
        <v>51319.597920889362</v>
      </c>
      <c r="AE179" s="36">
        <f t="shared" si="27"/>
        <v>2.1271309873967043E-6</v>
      </c>
    </row>
    <row r="180" spans="1:31" s="70" customFormat="1" ht="20.25" customHeight="1">
      <c r="A180" s="72">
        <v>41480</v>
      </c>
      <c r="B180" s="64" t="s">
        <v>154</v>
      </c>
      <c r="C180" s="164">
        <v>2013</v>
      </c>
      <c r="D180" s="65">
        <v>5</v>
      </c>
      <c r="E180" s="36" t="s">
        <v>323</v>
      </c>
      <c r="F180" s="36" t="s">
        <v>324</v>
      </c>
      <c r="G180" s="36"/>
      <c r="H180" s="36" t="s">
        <v>325</v>
      </c>
      <c r="I180" s="36" t="s">
        <v>326</v>
      </c>
      <c r="J180" s="36"/>
      <c r="K180" s="36"/>
      <c r="L180" s="36">
        <v>4</v>
      </c>
      <c r="M180" s="36" t="s">
        <v>509</v>
      </c>
      <c r="N180" s="36" t="s">
        <v>327</v>
      </c>
      <c r="O180" s="36">
        <v>45</v>
      </c>
      <c r="P180" s="36">
        <f t="shared" si="24"/>
        <v>8.8888888888888893</v>
      </c>
      <c r="Q180" s="65">
        <v>2.3818051259975315</v>
      </c>
      <c r="R180" s="40">
        <f t="shared" si="25"/>
        <v>0.21171601119978059</v>
      </c>
      <c r="S180" s="36">
        <v>16891.9410792981</v>
      </c>
      <c r="T180" s="40">
        <f t="shared" si="26"/>
        <v>1.2533551366648377E-3</v>
      </c>
      <c r="U180" s="110"/>
      <c r="V180" s="36">
        <v>1000</v>
      </c>
      <c r="W180" s="36"/>
      <c r="X180" s="36"/>
      <c r="Y180" s="36">
        <v>5</v>
      </c>
      <c r="Z180" s="3">
        <v>466</v>
      </c>
      <c r="AA180" s="36">
        <f t="shared" si="23"/>
        <v>1.0729613733905579E-2</v>
      </c>
      <c r="AB180" s="3">
        <v>3.9130918662454359</v>
      </c>
      <c r="AC180" s="22">
        <f t="shared" si="19"/>
        <v>4.1985964230101242E-4</v>
      </c>
      <c r="AD180" s="3">
        <v>51319.597920889362</v>
      </c>
      <c r="AE180" s="36">
        <f t="shared" si="27"/>
        <v>8.1812730284488624E-7</v>
      </c>
    </row>
    <row r="181" spans="1:31" customFormat="1" ht="20.25" customHeight="1">
      <c r="A181" s="72">
        <v>41480</v>
      </c>
      <c r="B181" s="35" t="s">
        <v>154</v>
      </c>
      <c r="C181" s="164">
        <v>2013</v>
      </c>
      <c r="D181" s="65">
        <v>5</v>
      </c>
      <c r="E181" s="65" t="s">
        <v>288</v>
      </c>
      <c r="F181" s="65" t="s">
        <v>289</v>
      </c>
      <c r="G181" s="65" t="s">
        <v>290</v>
      </c>
      <c r="H181" s="65" t="s">
        <v>291</v>
      </c>
      <c r="I181" s="65" t="s">
        <v>292</v>
      </c>
      <c r="J181" s="36" t="s">
        <v>293</v>
      </c>
      <c r="K181" s="36"/>
      <c r="L181" s="36">
        <v>2</v>
      </c>
      <c r="M181" s="36" t="s">
        <v>229</v>
      </c>
      <c r="N181" s="36" t="s">
        <v>294</v>
      </c>
      <c r="O181" s="36">
        <v>45</v>
      </c>
      <c r="P181" s="36">
        <f t="shared" si="24"/>
        <v>4.4444444444444446</v>
      </c>
      <c r="Q181" s="36">
        <v>2.3818051259975315</v>
      </c>
      <c r="R181" s="40">
        <f t="shared" si="25"/>
        <v>0.1058580055998903</v>
      </c>
      <c r="S181" s="36">
        <v>16891.9410792981</v>
      </c>
      <c r="T181" s="40">
        <f t="shared" si="26"/>
        <v>6.2667756833241885E-4</v>
      </c>
      <c r="U181" s="110"/>
      <c r="V181" s="36">
        <v>1000</v>
      </c>
      <c r="W181" s="36"/>
      <c r="X181" s="36"/>
      <c r="Y181" s="36">
        <v>9</v>
      </c>
      <c r="Z181" s="3">
        <v>466</v>
      </c>
      <c r="AA181" s="36">
        <f t="shared" si="23"/>
        <v>1.9313304721030045E-2</v>
      </c>
      <c r="AB181" s="3">
        <v>3.9130918662454359</v>
      </c>
      <c r="AC181" s="22">
        <f t="shared" si="19"/>
        <v>7.5574735614182249E-4</v>
      </c>
      <c r="AD181" s="3">
        <v>51319.597920889362</v>
      </c>
      <c r="AE181" s="36">
        <f t="shared" si="27"/>
        <v>1.4726291451207954E-6</v>
      </c>
    </row>
    <row r="182" spans="1:31" customFormat="1" ht="20.25" customHeight="1">
      <c r="A182" s="35">
        <v>41480</v>
      </c>
      <c r="B182" s="35" t="s">
        <v>154</v>
      </c>
      <c r="C182" s="164">
        <v>2013</v>
      </c>
      <c r="D182" s="65">
        <v>5</v>
      </c>
      <c r="E182" s="36" t="s">
        <v>223</v>
      </c>
      <c r="F182" s="36" t="s">
        <v>267</v>
      </c>
      <c r="G182" s="36" t="s">
        <v>278</v>
      </c>
      <c r="H182" s="36" t="s">
        <v>279</v>
      </c>
      <c r="I182" s="36" t="s">
        <v>280</v>
      </c>
      <c r="J182" s="36" t="s">
        <v>281</v>
      </c>
      <c r="K182" s="36" t="s">
        <v>282</v>
      </c>
      <c r="L182" s="36">
        <v>26</v>
      </c>
      <c r="M182" s="36" t="s">
        <v>247</v>
      </c>
      <c r="N182" s="36" t="s">
        <v>283</v>
      </c>
      <c r="O182" s="36">
        <v>45</v>
      </c>
      <c r="P182" s="36">
        <f t="shared" si="24"/>
        <v>57.777777777777771</v>
      </c>
      <c r="Q182" s="36">
        <v>2.3818051259975315</v>
      </c>
      <c r="R182" s="40">
        <f t="shared" si="25"/>
        <v>1.3761540727985737</v>
      </c>
      <c r="S182" s="36">
        <v>16891.9410792981</v>
      </c>
      <c r="T182" s="40">
        <f t="shared" si="26"/>
        <v>8.1468083883214464E-3</v>
      </c>
      <c r="U182" s="110"/>
      <c r="V182" s="36">
        <v>1000</v>
      </c>
      <c r="W182" s="36"/>
      <c r="X182" s="36"/>
      <c r="Y182" s="36">
        <v>26</v>
      </c>
      <c r="Z182" s="3">
        <v>466</v>
      </c>
      <c r="AA182" s="36">
        <f t="shared" si="23"/>
        <v>5.5793991416309016E-2</v>
      </c>
      <c r="AB182" s="3">
        <v>3.9130918662454359</v>
      </c>
      <c r="AC182" s="22">
        <f t="shared" si="19"/>
        <v>2.1832701399652648E-3</v>
      </c>
      <c r="AD182" s="3">
        <v>51319.597920889362</v>
      </c>
      <c r="AE182" s="36">
        <f t="shared" si="27"/>
        <v>4.2542619747934086E-6</v>
      </c>
    </row>
    <row r="183" spans="1:31" customFormat="1" ht="20.25" customHeight="1">
      <c r="A183" s="13">
        <v>41480</v>
      </c>
      <c r="B183" s="35" t="s">
        <v>154</v>
      </c>
      <c r="C183" s="164">
        <v>2013</v>
      </c>
      <c r="D183" s="51">
        <v>5</v>
      </c>
      <c r="E183" s="3" t="s">
        <v>223</v>
      </c>
      <c r="F183" s="3" t="s">
        <v>224</v>
      </c>
      <c r="G183" s="3" t="s">
        <v>225</v>
      </c>
      <c r="H183" s="3" t="s">
        <v>226</v>
      </c>
      <c r="I183" s="3" t="s">
        <v>227</v>
      </c>
      <c r="J183" s="3" t="s">
        <v>228</v>
      </c>
      <c r="K183" s="3"/>
      <c r="L183" s="3">
        <v>102</v>
      </c>
      <c r="M183" s="3" t="s">
        <v>229</v>
      </c>
      <c r="N183" s="3" t="s">
        <v>228</v>
      </c>
      <c r="O183" s="3">
        <v>155</v>
      </c>
      <c r="P183" s="3">
        <f t="shared" si="24"/>
        <v>65.806451612903231</v>
      </c>
      <c r="Q183" s="36">
        <v>16889.559274172134</v>
      </c>
      <c r="R183" s="8">
        <f t="shared" si="25"/>
        <v>11114.419651390695</v>
      </c>
      <c r="S183" s="36">
        <v>16891.9410792981</v>
      </c>
      <c r="T183" s="8">
        <f t="shared" si="26"/>
        <v>65.797172741810954</v>
      </c>
      <c r="U183" s="109"/>
      <c r="V183" s="3">
        <v>250</v>
      </c>
      <c r="W183" s="3"/>
      <c r="X183" s="3"/>
      <c r="Y183" s="36">
        <f>102+121</f>
        <v>223</v>
      </c>
      <c r="Z183" s="3">
        <v>466</v>
      </c>
      <c r="AA183" s="36">
        <f t="shared" si="23"/>
        <v>0.47854077253218885</v>
      </c>
      <c r="AB183" s="3">
        <v>51315.684829023114</v>
      </c>
      <c r="AC183" s="22">
        <f t="shared" si="19"/>
        <v>245.56647461099044</v>
      </c>
      <c r="AD183" s="3">
        <v>51319.597920889362</v>
      </c>
      <c r="AE183" s="36">
        <f t="shared" si="27"/>
        <v>0.47850428405448192</v>
      </c>
    </row>
    <row r="184" spans="1:31" customFormat="1" ht="20.25" customHeight="1">
      <c r="A184" s="13">
        <v>41480</v>
      </c>
      <c r="B184" s="64" t="s">
        <v>154</v>
      </c>
      <c r="C184" s="164">
        <v>2013</v>
      </c>
      <c r="D184" s="51">
        <v>5</v>
      </c>
      <c r="E184" s="3" t="s">
        <v>223</v>
      </c>
      <c r="F184" s="3" t="s">
        <v>303</v>
      </c>
      <c r="G184" s="3" t="s">
        <v>304</v>
      </c>
      <c r="H184" s="3" t="s">
        <v>305</v>
      </c>
      <c r="I184" s="3" t="s">
        <v>306</v>
      </c>
      <c r="J184" s="3" t="s">
        <v>307</v>
      </c>
      <c r="K184" s="3"/>
      <c r="L184" s="3">
        <v>5</v>
      </c>
      <c r="M184" s="3" t="s">
        <v>229</v>
      </c>
      <c r="N184" s="3" t="s">
        <v>307</v>
      </c>
      <c r="O184" s="3">
        <v>155</v>
      </c>
      <c r="P184" s="3">
        <f t="shared" si="24"/>
        <v>3.225806451612903</v>
      </c>
      <c r="Q184" s="36">
        <v>16889.559274172134</v>
      </c>
      <c r="R184" s="8">
        <f t="shared" si="25"/>
        <v>544.82449271523012</v>
      </c>
      <c r="S184" s="36">
        <v>16891.9410792981</v>
      </c>
      <c r="T184" s="8">
        <f t="shared" si="26"/>
        <v>3.2253516049907325</v>
      </c>
      <c r="U184" s="109"/>
      <c r="V184" s="3">
        <v>250</v>
      </c>
      <c r="W184" s="36" t="s">
        <v>308</v>
      </c>
      <c r="X184" s="3"/>
      <c r="Y184" s="36">
        <v>28</v>
      </c>
      <c r="Z184" s="3">
        <v>466</v>
      </c>
      <c r="AA184" s="36">
        <f t="shared" si="23"/>
        <v>6.0085836909871244E-2</v>
      </c>
      <c r="AB184" s="3">
        <v>51315.684829023114</v>
      </c>
      <c r="AC184" s="22">
        <f t="shared" si="19"/>
        <v>30.83345869555037</v>
      </c>
      <c r="AD184" s="3">
        <v>51319.597920889362</v>
      </c>
      <c r="AE184" s="36">
        <f t="shared" si="27"/>
        <v>6.0081255396975314E-2</v>
      </c>
    </row>
    <row r="185" spans="1:31" customFormat="1" ht="20.25" customHeight="1">
      <c r="A185" s="35">
        <v>41480</v>
      </c>
      <c r="B185" s="35" t="s">
        <v>154</v>
      </c>
      <c r="C185" s="164">
        <v>2013</v>
      </c>
      <c r="D185" s="65">
        <v>5</v>
      </c>
      <c r="E185" s="36" t="s">
        <v>300</v>
      </c>
      <c r="F185" s="36" t="s">
        <v>320</v>
      </c>
      <c r="G185" s="36"/>
      <c r="H185" s="36"/>
      <c r="I185" s="36"/>
      <c r="J185" s="36"/>
      <c r="K185" s="36"/>
      <c r="L185" s="36">
        <v>8</v>
      </c>
      <c r="M185" s="36" t="s">
        <v>221</v>
      </c>
      <c r="N185" s="36" t="s">
        <v>322</v>
      </c>
      <c r="O185" s="3">
        <v>155</v>
      </c>
      <c r="P185" s="36">
        <f t="shared" si="24"/>
        <v>5.161290322580645</v>
      </c>
      <c r="Q185" s="36">
        <v>16889.559274172134</v>
      </c>
      <c r="R185" s="8">
        <f t="shared" si="25"/>
        <v>871.71918834436815</v>
      </c>
      <c r="S185" s="36">
        <v>16891.9410792981</v>
      </c>
      <c r="T185" s="8">
        <f t="shared" si="26"/>
        <v>5.1605625679851723</v>
      </c>
      <c r="U185" s="109"/>
      <c r="V185" s="36">
        <v>250</v>
      </c>
      <c r="W185" s="36" t="s">
        <v>222</v>
      </c>
      <c r="X185" s="36"/>
      <c r="Y185" s="36">
        <v>8</v>
      </c>
      <c r="Z185" s="3">
        <v>466</v>
      </c>
      <c r="AA185" s="36">
        <f t="shared" si="23"/>
        <v>1.7167381974248927E-2</v>
      </c>
      <c r="AB185" s="3">
        <v>51315.684829023114</v>
      </c>
      <c r="AC185" s="22">
        <f t="shared" ref="AC185:AC232" si="28">(AA185/100)*AB185</f>
        <v>8.8095596273001053</v>
      </c>
      <c r="AD185" s="3">
        <v>51319.597920889362</v>
      </c>
      <c r="AE185" s="36">
        <f t="shared" si="27"/>
        <v>1.7166072970564376E-2</v>
      </c>
    </row>
    <row r="186" spans="1:31" customFormat="1" ht="20.25" customHeight="1">
      <c r="A186" s="13">
        <v>41480</v>
      </c>
      <c r="B186" s="64" t="s">
        <v>154</v>
      </c>
      <c r="C186" s="164">
        <v>2013</v>
      </c>
      <c r="D186" s="51">
        <v>5</v>
      </c>
      <c r="E186" s="51" t="s">
        <v>223</v>
      </c>
      <c r="F186" s="51" t="s">
        <v>317</v>
      </c>
      <c r="G186" s="51" t="s">
        <v>314</v>
      </c>
      <c r="H186" s="51" t="s">
        <v>346</v>
      </c>
      <c r="I186" s="51" t="s">
        <v>315</v>
      </c>
      <c r="J186" s="3" t="s">
        <v>347</v>
      </c>
      <c r="K186" s="3" t="s">
        <v>348</v>
      </c>
      <c r="L186" s="3">
        <v>1</v>
      </c>
      <c r="M186" s="3" t="s">
        <v>247</v>
      </c>
      <c r="N186" s="3" t="s">
        <v>345</v>
      </c>
      <c r="O186" s="3">
        <v>155</v>
      </c>
      <c r="P186" s="3">
        <f t="shared" si="24"/>
        <v>0.64516129032258063</v>
      </c>
      <c r="Q186" s="65">
        <v>16889.559274172134</v>
      </c>
      <c r="R186" s="8">
        <f t="shared" si="25"/>
        <v>108.96489854304602</v>
      </c>
      <c r="S186" s="36">
        <v>16891.9410792981</v>
      </c>
      <c r="T186" s="8">
        <f t="shared" si="26"/>
        <v>0.64507032099814654</v>
      </c>
      <c r="U186" s="109"/>
      <c r="V186" s="3">
        <v>250</v>
      </c>
      <c r="W186" s="3"/>
      <c r="X186" s="3"/>
      <c r="Y186" s="36">
        <v>8</v>
      </c>
      <c r="Z186" s="3">
        <v>466</v>
      </c>
      <c r="AA186" s="36">
        <f t="shared" si="23"/>
        <v>1.7167381974248927E-2</v>
      </c>
      <c r="AB186" s="3">
        <v>51315.684829023114</v>
      </c>
      <c r="AC186" s="22">
        <f t="shared" si="28"/>
        <v>8.8095596273001053</v>
      </c>
      <c r="AD186" s="3">
        <v>51319.597920889362</v>
      </c>
      <c r="AE186" s="36">
        <f t="shared" si="27"/>
        <v>1.7166072970564376E-2</v>
      </c>
    </row>
    <row r="187" spans="1:31" customFormat="1" ht="20.25" customHeight="1">
      <c r="A187" s="71">
        <v>41480</v>
      </c>
      <c r="B187" s="35" t="s">
        <v>154</v>
      </c>
      <c r="C187" s="164">
        <v>2013</v>
      </c>
      <c r="D187" s="51">
        <v>5</v>
      </c>
      <c r="E187" s="3" t="s">
        <v>223</v>
      </c>
      <c r="F187" s="3" t="s">
        <v>224</v>
      </c>
      <c r="G187" s="3" t="s">
        <v>225</v>
      </c>
      <c r="H187" s="3" t="s">
        <v>226</v>
      </c>
      <c r="I187" s="3" t="s">
        <v>239</v>
      </c>
      <c r="J187" s="3" t="s">
        <v>240</v>
      </c>
      <c r="K187" s="3"/>
      <c r="L187" s="3">
        <v>12</v>
      </c>
      <c r="M187" s="3" t="s">
        <v>229</v>
      </c>
      <c r="N187" s="3" t="s">
        <v>240</v>
      </c>
      <c r="O187" s="3">
        <v>155</v>
      </c>
      <c r="P187" s="3">
        <f t="shared" si="24"/>
        <v>7.741935483870968</v>
      </c>
      <c r="Q187" s="65">
        <v>16889.559274172134</v>
      </c>
      <c r="R187" s="8">
        <f t="shared" si="25"/>
        <v>1307.5787825165523</v>
      </c>
      <c r="S187" s="36">
        <v>16891.9410792981</v>
      </c>
      <c r="T187" s="8">
        <f t="shared" si="26"/>
        <v>7.7408438519777576</v>
      </c>
      <c r="U187" s="109"/>
      <c r="V187" s="3">
        <v>250</v>
      </c>
      <c r="W187" s="3"/>
      <c r="X187" s="3"/>
      <c r="Y187" s="36">
        <f>12+16</f>
        <v>28</v>
      </c>
      <c r="Z187" s="3">
        <v>466</v>
      </c>
      <c r="AA187" s="36">
        <f t="shared" si="23"/>
        <v>6.0085836909871244E-2</v>
      </c>
      <c r="AB187" s="3">
        <v>51315.684829023114</v>
      </c>
      <c r="AC187" s="22">
        <f t="shared" si="28"/>
        <v>30.83345869555037</v>
      </c>
      <c r="AD187" s="3">
        <v>51319.597920889362</v>
      </c>
      <c r="AE187" s="36">
        <f t="shared" si="27"/>
        <v>6.0081255396975314E-2</v>
      </c>
    </row>
    <row r="188" spans="1:31" customFormat="1" ht="20.25" customHeight="1">
      <c r="A188" s="72">
        <v>41480</v>
      </c>
      <c r="B188" s="64" t="s">
        <v>154</v>
      </c>
      <c r="C188" s="164">
        <v>2013</v>
      </c>
      <c r="D188" s="65">
        <v>5</v>
      </c>
      <c r="E188" s="65" t="s">
        <v>300</v>
      </c>
      <c r="F188" s="65" t="s">
        <v>301</v>
      </c>
      <c r="G188" s="65"/>
      <c r="H188" s="65"/>
      <c r="I188" s="65"/>
      <c r="J188" s="36"/>
      <c r="K188" s="36"/>
      <c r="L188" s="36">
        <v>9</v>
      </c>
      <c r="M188" s="36" t="s">
        <v>221</v>
      </c>
      <c r="N188" s="36" t="s">
        <v>302</v>
      </c>
      <c r="O188" s="3">
        <v>155</v>
      </c>
      <c r="P188" s="36">
        <f t="shared" si="24"/>
        <v>5.806451612903226</v>
      </c>
      <c r="Q188" s="65">
        <v>16889.559274172134</v>
      </c>
      <c r="R188" s="8">
        <f t="shared" si="25"/>
        <v>980.68408688741431</v>
      </c>
      <c r="S188" s="36">
        <v>16891.9410792981</v>
      </c>
      <c r="T188" s="8">
        <f t="shared" si="26"/>
        <v>5.8056328889833191</v>
      </c>
      <c r="U188" s="109"/>
      <c r="V188" s="36">
        <v>250</v>
      </c>
      <c r="W188" s="36" t="s">
        <v>222</v>
      </c>
      <c r="X188" s="36"/>
      <c r="Y188" s="36">
        <v>11</v>
      </c>
      <c r="Z188" s="3">
        <v>466</v>
      </c>
      <c r="AA188" s="36">
        <f t="shared" si="23"/>
        <v>2.3605150214592276E-2</v>
      </c>
      <c r="AB188" s="3">
        <v>51315.684829023114</v>
      </c>
      <c r="AC188" s="22">
        <f t="shared" si="28"/>
        <v>12.113144487537644</v>
      </c>
      <c r="AD188" s="3">
        <v>51319.597920889362</v>
      </c>
      <c r="AE188" s="36">
        <f t="shared" si="27"/>
        <v>2.3603350334526013E-2</v>
      </c>
    </row>
    <row r="189" spans="1:31" customFormat="1" ht="20.25" customHeight="1">
      <c r="A189" s="71">
        <v>41480</v>
      </c>
      <c r="B189" s="35" t="s">
        <v>154</v>
      </c>
      <c r="C189" s="164">
        <v>2013</v>
      </c>
      <c r="D189" s="51">
        <v>5</v>
      </c>
      <c r="E189" s="51" t="s">
        <v>223</v>
      </c>
      <c r="F189" s="51" t="s">
        <v>224</v>
      </c>
      <c r="G189" s="51" t="s">
        <v>225</v>
      </c>
      <c r="H189" s="51" t="s">
        <v>248</v>
      </c>
      <c r="I189" s="51" t="s">
        <v>249</v>
      </c>
      <c r="J189" s="3" t="s">
        <v>250</v>
      </c>
      <c r="K189" s="3" t="s">
        <v>251</v>
      </c>
      <c r="L189" s="3">
        <v>4</v>
      </c>
      <c r="M189" s="3" t="s">
        <v>247</v>
      </c>
      <c r="N189" s="3" t="s">
        <v>250</v>
      </c>
      <c r="O189" s="3">
        <v>155</v>
      </c>
      <c r="P189" s="3">
        <f t="shared" si="24"/>
        <v>2.5806451612903225</v>
      </c>
      <c r="Q189" s="65">
        <v>16889.559274172134</v>
      </c>
      <c r="R189" s="8">
        <f t="shared" si="25"/>
        <v>435.85959417218407</v>
      </c>
      <c r="S189" s="36">
        <v>16891.9410792981</v>
      </c>
      <c r="T189" s="8">
        <f t="shared" si="26"/>
        <v>2.5802812839925862</v>
      </c>
      <c r="U189" s="109"/>
      <c r="V189" s="3">
        <v>250</v>
      </c>
      <c r="W189" s="3"/>
      <c r="X189" s="3"/>
      <c r="Y189" s="36">
        <v>29</v>
      </c>
      <c r="Z189" s="3">
        <v>466</v>
      </c>
      <c r="AA189" s="36">
        <f t="shared" si="23"/>
        <v>6.2231759656652362E-2</v>
      </c>
      <c r="AB189" s="3">
        <v>51315.684829023114</v>
      </c>
      <c r="AC189" s="22">
        <f t="shared" si="28"/>
        <v>31.934653648962886</v>
      </c>
      <c r="AD189" s="3">
        <v>51319.597920889362</v>
      </c>
      <c r="AE189" s="36">
        <f t="shared" si="27"/>
        <v>6.2227014518295862E-2</v>
      </c>
    </row>
    <row r="190" spans="1:31" s="50" customFormat="1" ht="20.25" customHeight="1">
      <c r="A190" s="71">
        <v>41480</v>
      </c>
      <c r="B190" s="64" t="s">
        <v>154</v>
      </c>
      <c r="C190" s="164">
        <v>2013</v>
      </c>
      <c r="D190" s="51">
        <v>5</v>
      </c>
      <c r="E190" s="51" t="s">
        <v>223</v>
      </c>
      <c r="F190" s="51" t="s">
        <v>224</v>
      </c>
      <c r="G190" s="51" t="s">
        <v>225</v>
      </c>
      <c r="H190" s="51" t="s">
        <v>226</v>
      </c>
      <c r="I190" s="51" t="s">
        <v>253</v>
      </c>
      <c r="J190" s="51" t="s">
        <v>256</v>
      </c>
      <c r="K190" s="3"/>
      <c r="L190" s="3">
        <v>7</v>
      </c>
      <c r="M190" s="3" t="s">
        <v>229</v>
      </c>
      <c r="N190" s="3" t="s">
        <v>256</v>
      </c>
      <c r="O190" s="3">
        <v>155</v>
      </c>
      <c r="P190" s="3">
        <f t="shared" si="24"/>
        <v>4.5161290322580641</v>
      </c>
      <c r="Q190" s="65">
        <v>16889.559274172134</v>
      </c>
      <c r="R190" s="8">
        <f t="shared" si="25"/>
        <v>762.7542898013221</v>
      </c>
      <c r="S190" s="36">
        <v>16891.9410792981</v>
      </c>
      <c r="T190" s="8">
        <f t="shared" si="26"/>
        <v>4.5154922469870256</v>
      </c>
      <c r="U190" s="109"/>
      <c r="V190" s="3">
        <v>250</v>
      </c>
      <c r="W190" s="3"/>
      <c r="X190" s="3"/>
      <c r="Y190" s="36">
        <f>25+7</f>
        <v>32</v>
      </c>
      <c r="Z190" s="3">
        <v>466</v>
      </c>
      <c r="AA190" s="36">
        <f t="shared" si="23"/>
        <v>6.8669527896995708E-2</v>
      </c>
      <c r="AB190" s="3">
        <v>51315.684829023114</v>
      </c>
      <c r="AC190" s="22">
        <f t="shared" si="28"/>
        <v>35.238238509200421</v>
      </c>
      <c r="AD190" s="3">
        <v>51319.597920889362</v>
      </c>
      <c r="AE190" s="36">
        <f t="shared" si="27"/>
        <v>6.8664291882257505E-2</v>
      </c>
    </row>
    <row r="191" spans="1:31" customFormat="1" ht="20.25" customHeight="1">
      <c r="A191" s="71">
        <v>41480</v>
      </c>
      <c r="B191" s="35" t="s">
        <v>154</v>
      </c>
      <c r="C191" s="164">
        <v>2013</v>
      </c>
      <c r="D191" s="51">
        <v>5</v>
      </c>
      <c r="E191" s="3" t="s">
        <v>223</v>
      </c>
      <c r="F191" s="3" t="s">
        <v>224</v>
      </c>
      <c r="G191" s="3" t="s">
        <v>225</v>
      </c>
      <c r="H191" s="3" t="s">
        <v>226</v>
      </c>
      <c r="I191" s="3" t="s">
        <v>239</v>
      </c>
      <c r="J191" s="3" t="s">
        <v>258</v>
      </c>
      <c r="K191" s="3" t="s">
        <v>259</v>
      </c>
      <c r="L191" s="3">
        <v>5</v>
      </c>
      <c r="M191" s="3" t="s">
        <v>247</v>
      </c>
      <c r="N191" s="3" t="s">
        <v>260</v>
      </c>
      <c r="O191" s="3">
        <v>155</v>
      </c>
      <c r="P191" s="3">
        <f t="shared" si="24"/>
        <v>3.225806451612903</v>
      </c>
      <c r="Q191" s="65">
        <v>16889.559274172134</v>
      </c>
      <c r="R191" s="8">
        <f t="shared" si="25"/>
        <v>544.82449271523012</v>
      </c>
      <c r="S191" s="36">
        <v>16891.9410792981</v>
      </c>
      <c r="T191" s="8">
        <f t="shared" si="26"/>
        <v>3.2253516049907325</v>
      </c>
      <c r="U191" s="109"/>
      <c r="V191" s="3">
        <v>250</v>
      </c>
      <c r="W191" s="3"/>
      <c r="X191" s="3"/>
      <c r="Y191" s="36">
        <f>5+22</f>
        <v>27</v>
      </c>
      <c r="Z191" s="3">
        <v>466</v>
      </c>
      <c r="AA191" s="36">
        <f t="shared" si="23"/>
        <v>5.7939914163090127E-2</v>
      </c>
      <c r="AB191" s="3">
        <v>51315.684829023114</v>
      </c>
      <c r="AC191" s="22">
        <f t="shared" si="28"/>
        <v>29.732263742137857</v>
      </c>
      <c r="AD191" s="3">
        <v>51319.597920889362</v>
      </c>
      <c r="AE191" s="36">
        <f t="shared" si="27"/>
        <v>5.7935496275654766E-2</v>
      </c>
    </row>
    <row r="192" spans="1:31" customFormat="1" ht="20.25" customHeight="1">
      <c r="A192" s="71">
        <v>41480</v>
      </c>
      <c r="B192" s="64" t="s">
        <v>154</v>
      </c>
      <c r="C192" s="164">
        <v>2013</v>
      </c>
      <c r="D192" s="51">
        <v>5</v>
      </c>
      <c r="E192" s="3" t="s">
        <v>223</v>
      </c>
      <c r="F192" s="3" t="s">
        <v>224</v>
      </c>
      <c r="G192" s="3" t="s">
        <v>225</v>
      </c>
      <c r="H192" s="3" t="s">
        <v>226</v>
      </c>
      <c r="I192" s="3" t="s">
        <v>261</v>
      </c>
      <c r="J192" s="3" t="s">
        <v>262</v>
      </c>
      <c r="K192" s="3" t="s">
        <v>263</v>
      </c>
      <c r="L192" s="3">
        <v>2</v>
      </c>
      <c r="M192" s="3" t="s">
        <v>247</v>
      </c>
      <c r="N192" s="3" t="s">
        <v>264</v>
      </c>
      <c r="O192" s="3">
        <v>155</v>
      </c>
      <c r="P192" s="3">
        <f t="shared" si="24"/>
        <v>1.2903225806451613</v>
      </c>
      <c r="Q192" s="65">
        <v>16889.559274172134</v>
      </c>
      <c r="R192" s="8">
        <f t="shared" si="25"/>
        <v>217.92979708609204</v>
      </c>
      <c r="S192" s="36">
        <v>16891.9410792981</v>
      </c>
      <c r="T192" s="8">
        <f t="shared" si="26"/>
        <v>1.2901406419962931</v>
      </c>
      <c r="U192" s="109"/>
      <c r="V192" s="3">
        <v>250</v>
      </c>
      <c r="W192" s="3"/>
      <c r="X192" s="3"/>
      <c r="Y192" s="36">
        <v>2</v>
      </c>
      <c r="Z192" s="3">
        <v>466</v>
      </c>
      <c r="AA192" s="36">
        <f t="shared" si="23"/>
        <v>4.2918454935622317E-3</v>
      </c>
      <c r="AB192" s="3">
        <v>51315.684829023114</v>
      </c>
      <c r="AC192" s="22">
        <f t="shared" si="28"/>
        <v>2.2023899068250263</v>
      </c>
      <c r="AD192" s="3">
        <v>51319.597920889362</v>
      </c>
      <c r="AE192" s="36">
        <f t="shared" si="27"/>
        <v>4.2915182426410941E-3</v>
      </c>
    </row>
    <row r="193" spans="1:31" customFormat="1" ht="20.25" customHeight="1">
      <c r="A193" s="72">
        <v>41480</v>
      </c>
      <c r="B193" s="35" t="s">
        <v>154</v>
      </c>
      <c r="C193" s="164">
        <v>2013</v>
      </c>
      <c r="D193" s="65">
        <v>8</v>
      </c>
      <c r="E193" s="36" t="s">
        <v>223</v>
      </c>
      <c r="F193" s="36" t="s">
        <v>267</v>
      </c>
      <c r="G193" s="36"/>
      <c r="H193" s="36" t="s">
        <v>273</v>
      </c>
      <c r="I193" s="36" t="s">
        <v>274</v>
      </c>
      <c r="J193" s="36" t="s">
        <v>275</v>
      </c>
      <c r="K193" s="36" t="s">
        <v>276</v>
      </c>
      <c r="L193" s="36">
        <v>1</v>
      </c>
      <c r="M193" s="36" t="s">
        <v>247</v>
      </c>
      <c r="N193" s="36" t="s">
        <v>275</v>
      </c>
      <c r="O193" s="36">
        <v>15</v>
      </c>
      <c r="P193" s="36">
        <f t="shared" si="24"/>
        <v>6.666666666666667</v>
      </c>
      <c r="Q193" s="65">
        <v>1.5312867402479047</v>
      </c>
      <c r="R193" s="40">
        <f t="shared" si="25"/>
        <v>0.10208578268319364</v>
      </c>
      <c r="S193" s="36">
        <v>34427.656841591226</v>
      </c>
      <c r="T193" s="40">
        <f t="shared" si="26"/>
        <v>2.9652259854021275E-4</v>
      </c>
      <c r="U193" s="110"/>
      <c r="V193" s="36">
        <v>1000</v>
      </c>
      <c r="W193" s="36" t="s">
        <v>222</v>
      </c>
      <c r="X193" s="36"/>
      <c r="Y193" s="36">
        <v>1</v>
      </c>
      <c r="Z193" s="3">
        <v>466</v>
      </c>
      <c r="AA193" s="36">
        <f t="shared" si="23"/>
        <v>2.1459227467811159E-3</v>
      </c>
      <c r="AB193" s="3">
        <v>3.9130918662454359</v>
      </c>
      <c r="AC193" s="22">
        <f t="shared" si="28"/>
        <v>8.3971928460202492E-5</v>
      </c>
      <c r="AD193" s="3">
        <v>51319.597920889362</v>
      </c>
      <c r="AE193" s="36">
        <f t="shared" si="27"/>
        <v>1.6362546056897724E-7</v>
      </c>
    </row>
    <row r="194" spans="1:31" customFormat="1" ht="20.25" customHeight="1">
      <c r="A194" s="13">
        <v>41480</v>
      </c>
      <c r="B194" s="35" t="s">
        <v>154</v>
      </c>
      <c r="C194" s="164">
        <v>2013</v>
      </c>
      <c r="D194" s="51">
        <v>8</v>
      </c>
      <c r="E194" s="51" t="s">
        <v>223</v>
      </c>
      <c r="F194" s="51" t="s">
        <v>224</v>
      </c>
      <c r="G194" s="51" t="s">
        <v>225</v>
      </c>
      <c r="H194" s="51" t="s">
        <v>226</v>
      </c>
      <c r="I194" s="51"/>
      <c r="J194" s="3"/>
      <c r="K194" s="3"/>
      <c r="L194" s="3">
        <v>4</v>
      </c>
      <c r="M194" s="3" t="s">
        <v>508</v>
      </c>
      <c r="N194" s="36" t="s">
        <v>600</v>
      </c>
      <c r="O194" s="3">
        <v>251</v>
      </c>
      <c r="P194" s="3">
        <f t="shared" si="24"/>
        <v>1.593625498007968</v>
      </c>
      <c r="Q194" s="65">
        <v>34426.12555485098</v>
      </c>
      <c r="R194" s="8">
        <f t="shared" si="25"/>
        <v>548.6235148183423</v>
      </c>
      <c r="S194" s="36">
        <v>34427.656841591197</v>
      </c>
      <c r="T194" s="8">
        <f t="shared" si="26"/>
        <v>1.5935546161119041</v>
      </c>
      <c r="U194" s="109"/>
      <c r="V194" s="3">
        <v>250</v>
      </c>
      <c r="W194" s="3" t="s">
        <v>332</v>
      </c>
      <c r="X194" s="3"/>
      <c r="Y194" s="36">
        <v>4</v>
      </c>
      <c r="Z194" s="3">
        <v>466</v>
      </c>
      <c r="AA194" s="36">
        <f t="shared" si="23"/>
        <v>8.5836909871244635E-3</v>
      </c>
      <c r="AB194" s="3">
        <v>51315.684829023114</v>
      </c>
      <c r="AC194" s="22">
        <f t="shared" si="28"/>
        <v>4.4047798136500527</v>
      </c>
      <c r="AD194" s="3">
        <v>51319.597920889362</v>
      </c>
      <c r="AE194" s="36">
        <f t="shared" si="27"/>
        <v>8.5830364852821882E-3</v>
      </c>
    </row>
    <row r="195" spans="1:31" customFormat="1" ht="20.25" customHeight="1">
      <c r="A195" s="13">
        <v>41480</v>
      </c>
      <c r="B195" s="64" t="s">
        <v>154</v>
      </c>
      <c r="C195" s="164">
        <v>2013</v>
      </c>
      <c r="D195" s="51">
        <v>8</v>
      </c>
      <c r="E195" s="51" t="s">
        <v>223</v>
      </c>
      <c r="F195" s="51" t="s">
        <v>224</v>
      </c>
      <c r="G195" s="51" t="s">
        <v>225</v>
      </c>
      <c r="H195" s="51" t="s">
        <v>226</v>
      </c>
      <c r="I195" s="51" t="s">
        <v>235</v>
      </c>
      <c r="J195" s="3" t="s">
        <v>236</v>
      </c>
      <c r="K195" s="3" t="s">
        <v>237</v>
      </c>
      <c r="L195" s="3">
        <v>3</v>
      </c>
      <c r="M195" s="3" t="s">
        <v>247</v>
      </c>
      <c r="N195" s="3" t="s">
        <v>238</v>
      </c>
      <c r="O195" s="3">
        <v>251</v>
      </c>
      <c r="P195" s="3">
        <f t="shared" si="24"/>
        <v>1.1952191235059761</v>
      </c>
      <c r="Q195" s="65">
        <v>34426.12555485098</v>
      </c>
      <c r="R195" s="8">
        <f t="shared" si="25"/>
        <v>411.46763611375673</v>
      </c>
      <c r="S195" s="36">
        <v>34427.656841591197</v>
      </c>
      <c r="T195" s="8">
        <f t="shared" si="26"/>
        <v>1.1951659620839281</v>
      </c>
      <c r="U195" s="109"/>
      <c r="V195" s="3">
        <v>250</v>
      </c>
      <c r="W195" s="3"/>
      <c r="X195" s="3"/>
      <c r="Y195" s="36">
        <v>2</v>
      </c>
      <c r="Z195" s="3">
        <v>466</v>
      </c>
      <c r="AA195" s="36">
        <f t="shared" si="23"/>
        <v>4.2918454935622317E-3</v>
      </c>
      <c r="AB195" s="3">
        <v>51315.684829023114</v>
      </c>
      <c r="AC195" s="22">
        <f t="shared" si="28"/>
        <v>2.2023899068250263</v>
      </c>
      <c r="AD195" s="3">
        <v>51319.597920889362</v>
      </c>
      <c r="AE195" s="36">
        <f t="shared" si="27"/>
        <v>4.2915182426410941E-3</v>
      </c>
    </row>
    <row r="196" spans="1:31" ht="20.25" customHeight="1">
      <c r="A196" s="13">
        <v>41480</v>
      </c>
      <c r="B196" s="35" t="s">
        <v>154</v>
      </c>
      <c r="C196" s="164">
        <v>2013</v>
      </c>
      <c r="D196" s="51">
        <v>8</v>
      </c>
      <c r="E196" s="3" t="s">
        <v>223</v>
      </c>
      <c r="F196" s="3" t="s">
        <v>224</v>
      </c>
      <c r="G196" s="3" t="s">
        <v>225</v>
      </c>
      <c r="H196" s="3" t="s">
        <v>243</v>
      </c>
      <c r="I196" s="3" t="s">
        <v>244</v>
      </c>
      <c r="J196" s="3" t="s">
        <v>245</v>
      </c>
      <c r="K196" s="3" t="s">
        <v>246</v>
      </c>
      <c r="L196" s="3">
        <v>1</v>
      </c>
      <c r="M196" s="3" t="s">
        <v>247</v>
      </c>
      <c r="N196" s="3" t="s">
        <v>673</v>
      </c>
      <c r="O196" s="3">
        <v>251</v>
      </c>
      <c r="P196" s="3">
        <f t="shared" si="24"/>
        <v>0.39840637450199201</v>
      </c>
      <c r="Q196" s="36">
        <v>34426.12555485098</v>
      </c>
      <c r="R196" s="8">
        <f t="shared" si="25"/>
        <v>137.15587870458558</v>
      </c>
      <c r="S196" s="36">
        <v>34427.656841591197</v>
      </c>
      <c r="T196" s="8">
        <f t="shared" si="26"/>
        <v>0.39838865402797602</v>
      </c>
      <c r="U196" s="109"/>
      <c r="V196" s="3">
        <v>250</v>
      </c>
      <c r="W196" s="3"/>
      <c r="X196" s="3"/>
      <c r="Y196" s="36">
        <v>1</v>
      </c>
      <c r="Z196" s="3">
        <v>466</v>
      </c>
      <c r="AA196" s="36">
        <f t="shared" si="23"/>
        <v>2.1459227467811159E-3</v>
      </c>
      <c r="AB196" s="3">
        <v>51315.684829023114</v>
      </c>
      <c r="AC196" s="22">
        <f t="shared" si="28"/>
        <v>1.1011949534125132</v>
      </c>
      <c r="AD196" s="3">
        <v>51319.597920889362</v>
      </c>
      <c r="AE196" s="36">
        <f t="shared" si="27"/>
        <v>2.145759121320547E-3</v>
      </c>
    </row>
    <row r="197" spans="1:31" ht="20.25" customHeight="1">
      <c r="A197" s="13">
        <v>41480</v>
      </c>
      <c r="B197" s="35" t="s">
        <v>154</v>
      </c>
      <c r="C197" s="164">
        <v>2013</v>
      </c>
      <c r="D197" s="51">
        <v>8</v>
      </c>
      <c r="E197" s="3" t="s">
        <v>328</v>
      </c>
      <c r="F197" s="3"/>
      <c r="G197" s="3"/>
      <c r="H197" s="3"/>
      <c r="I197" s="3"/>
      <c r="J197" s="3"/>
      <c r="K197" s="3"/>
      <c r="L197" s="3">
        <v>2</v>
      </c>
      <c r="M197" s="3" t="s">
        <v>328</v>
      </c>
      <c r="N197" s="3" t="s">
        <v>328</v>
      </c>
      <c r="O197" s="3">
        <v>251</v>
      </c>
      <c r="P197" s="3">
        <f t="shared" ref="P197:P232" si="29">L197/O197*100</f>
        <v>0.79681274900398402</v>
      </c>
      <c r="Q197" s="36">
        <v>34426.12555485098</v>
      </c>
      <c r="R197" s="8">
        <f t="shared" ref="R197:R232" si="30">(P197/100)*Q197</f>
        <v>274.31175740917115</v>
      </c>
      <c r="S197" s="36">
        <v>34427.656841591197</v>
      </c>
      <c r="T197" s="8">
        <f t="shared" ref="T197:T232" si="31">R197/S197*100</f>
        <v>0.79677730805595204</v>
      </c>
      <c r="U197" s="109"/>
      <c r="V197" s="3">
        <v>250</v>
      </c>
      <c r="W197" s="3" t="s">
        <v>353</v>
      </c>
      <c r="X197" s="3"/>
      <c r="Y197" s="36">
        <v>2</v>
      </c>
      <c r="Z197" s="3">
        <v>466</v>
      </c>
      <c r="AA197" s="36">
        <f t="shared" si="23"/>
        <v>4.2918454935622317E-3</v>
      </c>
      <c r="AB197" s="3">
        <v>51315.684829023114</v>
      </c>
      <c r="AC197" s="22">
        <f t="shared" si="28"/>
        <v>2.2023899068250263</v>
      </c>
      <c r="AD197" s="3">
        <v>51319.597920889362</v>
      </c>
      <c r="AE197" s="36">
        <f t="shared" si="27"/>
        <v>4.2915182426410941E-3</v>
      </c>
    </row>
    <row r="198" spans="1:31" ht="20.25" customHeight="1">
      <c r="A198" s="13"/>
      <c r="B198" s="35"/>
      <c r="C198" s="164"/>
      <c r="D198" s="34"/>
      <c r="E198" s="3"/>
      <c r="F198" s="3"/>
      <c r="G198" s="3"/>
      <c r="H198" s="3"/>
      <c r="I198" s="3"/>
      <c r="J198" s="3"/>
      <c r="K198" s="3"/>
      <c r="L198" s="3"/>
      <c r="M198" s="3"/>
      <c r="N198" s="3"/>
      <c r="O198" s="3"/>
      <c r="P198" s="3"/>
      <c r="Q198" s="36"/>
      <c r="R198" s="8"/>
      <c r="S198" s="36"/>
      <c r="T198" s="8"/>
      <c r="U198" s="109"/>
      <c r="V198" s="3"/>
      <c r="W198" s="3"/>
      <c r="X198" s="3"/>
      <c r="Y198" s="36"/>
      <c r="Z198" s="3"/>
      <c r="AA198" s="36"/>
      <c r="AB198" s="36"/>
      <c r="AC198" s="22"/>
      <c r="AD198" s="36"/>
      <c r="AE198" s="36"/>
    </row>
    <row r="199" spans="1:31" s="42" customFormat="1" ht="20.25" customHeight="1">
      <c r="A199" s="72">
        <v>41542</v>
      </c>
      <c r="B199" s="64" t="s">
        <v>157</v>
      </c>
      <c r="C199" s="164">
        <v>2013</v>
      </c>
      <c r="D199" s="65">
        <v>2</v>
      </c>
      <c r="E199" s="36" t="s">
        <v>209</v>
      </c>
      <c r="F199" s="36" t="s">
        <v>210</v>
      </c>
      <c r="G199" s="36"/>
      <c r="H199" s="36" t="s">
        <v>211</v>
      </c>
      <c r="I199" s="36" t="s">
        <v>212</v>
      </c>
      <c r="J199" s="36" t="s">
        <v>213</v>
      </c>
      <c r="K199" s="36" t="s">
        <v>214</v>
      </c>
      <c r="L199" s="36">
        <v>1</v>
      </c>
      <c r="M199" s="36" t="s">
        <v>247</v>
      </c>
      <c r="N199" s="36" t="s">
        <v>215</v>
      </c>
      <c r="O199" s="36">
        <v>244</v>
      </c>
      <c r="P199" s="36">
        <f t="shared" si="29"/>
        <v>0.4098360655737705</v>
      </c>
      <c r="Q199" s="36">
        <v>23.397719681254372</v>
      </c>
      <c r="R199" s="40">
        <f t="shared" si="30"/>
        <v>9.5892293775632673E-2</v>
      </c>
      <c r="S199" s="36">
        <v>2597.5342227288907</v>
      </c>
      <c r="T199" s="40">
        <f t="shared" si="31"/>
        <v>3.6916662324044816E-3</v>
      </c>
      <c r="U199" s="110">
        <v>0</v>
      </c>
      <c r="V199" s="36">
        <v>1000</v>
      </c>
      <c r="W199" s="36"/>
      <c r="X199" s="36"/>
      <c r="Y199" s="36">
        <v>2</v>
      </c>
      <c r="Z199" s="41">
        <v>1035</v>
      </c>
      <c r="AA199" s="36">
        <f t="shared" si="23"/>
        <v>1.9323671497584541E-3</v>
      </c>
      <c r="AB199" s="41">
        <v>93.563882654040711</v>
      </c>
      <c r="AC199" s="22">
        <f t="shared" si="28"/>
        <v>1.8079977324452312E-3</v>
      </c>
      <c r="AD199" s="3">
        <v>9022.4879570396606</v>
      </c>
      <c r="AE199" s="36">
        <f t="shared" si="27"/>
        <v>2.0038793524069689E-5</v>
      </c>
    </row>
    <row r="200" spans="1:31" s="42" customFormat="1" ht="20.25" customHeight="1">
      <c r="A200" s="35">
        <v>41542</v>
      </c>
      <c r="B200" s="64" t="s">
        <v>157</v>
      </c>
      <c r="C200" s="164">
        <v>2013</v>
      </c>
      <c r="D200" s="65">
        <v>2</v>
      </c>
      <c r="E200" s="36" t="s">
        <v>223</v>
      </c>
      <c r="F200" s="36" t="s">
        <v>267</v>
      </c>
      <c r="G200" s="36" t="s">
        <v>278</v>
      </c>
      <c r="H200" s="36" t="s">
        <v>279</v>
      </c>
      <c r="I200" s="36" t="s">
        <v>280</v>
      </c>
      <c r="J200" s="36" t="s">
        <v>284</v>
      </c>
      <c r="K200" s="36" t="s">
        <v>285</v>
      </c>
      <c r="L200" s="36">
        <v>243</v>
      </c>
      <c r="M200" s="36" t="s">
        <v>247</v>
      </c>
      <c r="N200" s="36" t="s">
        <v>283</v>
      </c>
      <c r="O200" s="36">
        <v>244</v>
      </c>
      <c r="P200" s="36">
        <f t="shared" si="29"/>
        <v>99.590163934426229</v>
      </c>
      <c r="Q200" s="36">
        <v>23.397719681254372</v>
      </c>
      <c r="R200" s="40">
        <f t="shared" si="30"/>
        <v>23.301827387478742</v>
      </c>
      <c r="S200" s="36">
        <v>2597.5342227288907</v>
      </c>
      <c r="T200" s="40">
        <f t="shared" si="31"/>
        <v>0.89707489447428901</v>
      </c>
      <c r="U200" s="110"/>
      <c r="V200" s="36">
        <v>1000</v>
      </c>
      <c r="W200" s="36"/>
      <c r="X200" s="36"/>
      <c r="Y200" s="36">
        <v>755</v>
      </c>
      <c r="Z200" s="41">
        <v>1035</v>
      </c>
      <c r="AA200" s="36">
        <f t="shared" si="23"/>
        <v>0.72946859903381644</v>
      </c>
      <c r="AB200" s="41">
        <v>93.563882654040711</v>
      </c>
      <c r="AC200" s="22">
        <f t="shared" si="28"/>
        <v>0.68251914399807478</v>
      </c>
      <c r="AD200" s="3">
        <v>9022.4879570396606</v>
      </c>
      <c r="AE200" s="36">
        <f t="shared" si="27"/>
        <v>7.5646445553363088E-3</v>
      </c>
    </row>
    <row r="201" spans="1:31" customFormat="1" ht="20.25" customHeight="1">
      <c r="A201" s="71">
        <v>41542</v>
      </c>
      <c r="B201" s="64" t="s">
        <v>157</v>
      </c>
      <c r="C201" s="164">
        <v>2013</v>
      </c>
      <c r="D201" s="51">
        <v>2</v>
      </c>
      <c r="E201" s="34" t="s">
        <v>223</v>
      </c>
      <c r="F201" s="34" t="s">
        <v>224</v>
      </c>
      <c r="G201" s="34" t="s">
        <v>225</v>
      </c>
      <c r="H201" s="34" t="s">
        <v>226</v>
      </c>
      <c r="I201" s="34" t="s">
        <v>227</v>
      </c>
      <c r="J201" s="3" t="s">
        <v>228</v>
      </c>
      <c r="K201" s="3"/>
      <c r="L201" s="3">
        <v>71</v>
      </c>
      <c r="M201" s="3" t="s">
        <v>229</v>
      </c>
      <c r="N201" s="3" t="s">
        <v>228</v>
      </c>
      <c r="O201" s="3">
        <v>110</v>
      </c>
      <c r="P201" s="3">
        <f t="shared" si="29"/>
        <v>64.545454545454547</v>
      </c>
      <c r="Q201" s="36">
        <v>2574.1365030476363</v>
      </c>
      <c r="R201" s="8">
        <f t="shared" si="30"/>
        <v>1661.4881065125653</v>
      </c>
      <c r="S201" s="36">
        <v>2597.5342227288902</v>
      </c>
      <c r="T201" s="8">
        <f t="shared" si="31"/>
        <v>63.964050674452963</v>
      </c>
      <c r="U201" s="109"/>
      <c r="V201" s="3">
        <v>250</v>
      </c>
      <c r="W201" s="3"/>
      <c r="X201" s="3"/>
      <c r="Y201" s="36">
        <f>71+73</f>
        <v>144</v>
      </c>
      <c r="Z201" s="3">
        <v>1035</v>
      </c>
      <c r="AA201" s="36">
        <f t="shared" si="23"/>
        <v>0.1391304347826087</v>
      </c>
      <c r="AB201" s="3">
        <v>8928.9240743856208</v>
      </c>
      <c r="AC201" s="22">
        <f t="shared" si="28"/>
        <v>12.422850886101735</v>
      </c>
      <c r="AD201" s="3">
        <v>9022.4879570396606</v>
      </c>
      <c r="AE201" s="36">
        <f t="shared" si="27"/>
        <v>0.1376876416488757</v>
      </c>
    </row>
    <row r="202" spans="1:31" customFormat="1" ht="20.25" customHeight="1">
      <c r="A202" s="71">
        <v>41542</v>
      </c>
      <c r="B202" s="64" t="s">
        <v>157</v>
      </c>
      <c r="C202" s="164">
        <v>2013</v>
      </c>
      <c r="D202" s="51">
        <v>2</v>
      </c>
      <c r="E202" s="3" t="s">
        <v>223</v>
      </c>
      <c r="F202" s="3" t="s">
        <v>303</v>
      </c>
      <c r="G202" s="3" t="s">
        <v>304</v>
      </c>
      <c r="H202" s="3" t="s">
        <v>305</v>
      </c>
      <c r="I202" s="3" t="s">
        <v>306</v>
      </c>
      <c r="J202" s="3" t="s">
        <v>307</v>
      </c>
      <c r="K202" s="3"/>
      <c r="L202" s="3">
        <v>1</v>
      </c>
      <c r="M202" s="3" t="s">
        <v>229</v>
      </c>
      <c r="N202" s="3" t="s">
        <v>307</v>
      </c>
      <c r="O202" s="3">
        <v>110</v>
      </c>
      <c r="P202" s="3">
        <f t="shared" si="29"/>
        <v>0.90909090909090906</v>
      </c>
      <c r="Q202" s="36">
        <v>2574.1365030476363</v>
      </c>
      <c r="R202" s="8">
        <f t="shared" si="30"/>
        <v>23.401240936796693</v>
      </c>
      <c r="S202" s="36">
        <v>2597.5342227288902</v>
      </c>
      <c r="T202" s="8">
        <f t="shared" si="31"/>
        <v>0.90090212217539389</v>
      </c>
      <c r="U202" s="109"/>
      <c r="V202" s="3">
        <v>250</v>
      </c>
      <c r="W202" s="3"/>
      <c r="X202" s="3"/>
      <c r="Y202" s="36">
        <v>11</v>
      </c>
      <c r="Z202" s="3">
        <v>1035</v>
      </c>
      <c r="AA202" s="36">
        <f t="shared" si="23"/>
        <v>1.0628019323671498E-2</v>
      </c>
      <c r="AB202" s="3">
        <v>8928.9240743856208</v>
      </c>
      <c r="AC202" s="22">
        <f t="shared" si="28"/>
        <v>0.94896777602166016</v>
      </c>
      <c r="AD202" s="3">
        <v>9022.4879570396606</v>
      </c>
      <c r="AE202" s="36">
        <f t="shared" si="27"/>
        <v>1.0517805959289115E-2</v>
      </c>
    </row>
    <row r="203" spans="1:31" customFormat="1" ht="20.25" customHeight="1">
      <c r="A203" s="71">
        <v>41542</v>
      </c>
      <c r="B203" s="64" t="s">
        <v>157</v>
      </c>
      <c r="C203" s="164">
        <v>2013</v>
      </c>
      <c r="D203" s="51">
        <v>2</v>
      </c>
      <c r="E203" s="3" t="s">
        <v>295</v>
      </c>
      <c r="F203" s="3" t="s">
        <v>296</v>
      </c>
      <c r="G203" s="3"/>
      <c r="H203" s="3" t="s">
        <v>297</v>
      </c>
      <c r="I203" s="3" t="s">
        <v>298</v>
      </c>
      <c r="J203" s="3" t="s">
        <v>299</v>
      </c>
      <c r="K203" s="3"/>
      <c r="L203" s="3">
        <v>1</v>
      </c>
      <c r="M203" s="3" t="s">
        <v>229</v>
      </c>
      <c r="N203" s="3" t="s">
        <v>479</v>
      </c>
      <c r="O203" s="3">
        <v>110</v>
      </c>
      <c r="P203" s="3">
        <f t="shared" si="29"/>
        <v>0.90909090909090906</v>
      </c>
      <c r="Q203" s="36">
        <v>2574.1365030476363</v>
      </c>
      <c r="R203" s="8">
        <f t="shared" si="30"/>
        <v>23.401240936796693</v>
      </c>
      <c r="S203" s="36">
        <v>2597.5342227288902</v>
      </c>
      <c r="T203" s="8">
        <f t="shared" si="31"/>
        <v>0.90090212217539389</v>
      </c>
      <c r="U203" s="109"/>
      <c r="V203" s="3">
        <v>250</v>
      </c>
      <c r="W203" s="3" t="s">
        <v>222</v>
      </c>
      <c r="X203" s="3"/>
      <c r="Y203" s="36">
        <v>4</v>
      </c>
      <c r="Z203" s="3">
        <v>1035</v>
      </c>
      <c r="AA203" s="36">
        <f t="shared" si="23"/>
        <v>3.8647342995169081E-3</v>
      </c>
      <c r="AB203" s="3">
        <v>8928.9240743856208</v>
      </c>
      <c r="AC203" s="22">
        <f t="shared" si="28"/>
        <v>0.34507919128060371</v>
      </c>
      <c r="AD203" s="3">
        <v>9022.4879570396606</v>
      </c>
      <c r="AE203" s="36">
        <f t="shared" si="27"/>
        <v>3.8246567124687694E-3</v>
      </c>
    </row>
    <row r="204" spans="1:31" customFormat="1" ht="20.25" customHeight="1">
      <c r="A204" s="71">
        <v>41542</v>
      </c>
      <c r="B204" s="64" t="s">
        <v>157</v>
      </c>
      <c r="C204" s="164">
        <v>2013</v>
      </c>
      <c r="D204" s="51">
        <v>2</v>
      </c>
      <c r="E204" s="3" t="s">
        <v>223</v>
      </c>
      <c r="F204" s="3" t="s">
        <v>310</v>
      </c>
      <c r="G204" s="3" t="s">
        <v>314</v>
      </c>
      <c r="H204" s="3" t="s">
        <v>311</v>
      </c>
      <c r="I204" s="3" t="s">
        <v>315</v>
      </c>
      <c r="J204" s="3" t="s">
        <v>347</v>
      </c>
      <c r="K204" s="3" t="s">
        <v>348</v>
      </c>
      <c r="L204" s="3">
        <v>1</v>
      </c>
      <c r="M204" s="3" t="s">
        <v>247</v>
      </c>
      <c r="N204" s="3" t="s">
        <v>345</v>
      </c>
      <c r="O204" s="3">
        <v>110</v>
      </c>
      <c r="P204" s="3">
        <f t="shared" si="29"/>
        <v>0.90909090909090906</v>
      </c>
      <c r="Q204" s="36">
        <v>2574.1365030476363</v>
      </c>
      <c r="R204" s="8">
        <f t="shared" si="30"/>
        <v>23.401240936796693</v>
      </c>
      <c r="S204" s="36">
        <v>2597.5342227288902</v>
      </c>
      <c r="T204" s="8">
        <f t="shared" si="31"/>
        <v>0.90090212217539389</v>
      </c>
      <c r="U204" s="109"/>
      <c r="V204" s="3">
        <v>250</v>
      </c>
      <c r="W204" s="3"/>
      <c r="X204" s="3"/>
      <c r="Y204" s="36">
        <v>2</v>
      </c>
      <c r="Z204" s="3">
        <v>1035</v>
      </c>
      <c r="AA204" s="36">
        <f t="shared" si="23"/>
        <v>1.9323671497584541E-3</v>
      </c>
      <c r="AB204" s="3">
        <v>8928.9240743856208</v>
      </c>
      <c r="AC204" s="22">
        <f t="shared" si="28"/>
        <v>0.17253959564030186</v>
      </c>
      <c r="AD204" s="3">
        <v>9022.4879570396606</v>
      </c>
      <c r="AE204" s="36">
        <f t="shared" si="27"/>
        <v>1.9123283562343847E-3</v>
      </c>
    </row>
    <row r="205" spans="1:31" customFormat="1" ht="20.25" customHeight="1">
      <c r="A205" s="71">
        <v>41542</v>
      </c>
      <c r="B205" s="64" t="s">
        <v>157</v>
      </c>
      <c r="C205" s="164">
        <v>2013</v>
      </c>
      <c r="D205" s="51">
        <v>2</v>
      </c>
      <c r="E205" s="3" t="s">
        <v>223</v>
      </c>
      <c r="F205" s="3" t="s">
        <v>224</v>
      </c>
      <c r="G205" s="3" t="s">
        <v>225</v>
      </c>
      <c r="H205" s="3" t="s">
        <v>226</v>
      </c>
      <c r="I205" s="3" t="s">
        <v>239</v>
      </c>
      <c r="J205" s="3" t="s">
        <v>240</v>
      </c>
      <c r="K205" s="3"/>
      <c r="L205" s="3">
        <v>18</v>
      </c>
      <c r="M205" s="3" t="s">
        <v>229</v>
      </c>
      <c r="N205" s="3" t="s">
        <v>240</v>
      </c>
      <c r="O205" s="3">
        <v>110</v>
      </c>
      <c r="P205" s="3">
        <f t="shared" si="29"/>
        <v>16.363636363636363</v>
      </c>
      <c r="Q205" s="36">
        <v>2574.1365030476363</v>
      </c>
      <c r="R205" s="8">
        <f t="shared" si="30"/>
        <v>421.22233686234051</v>
      </c>
      <c r="S205" s="36">
        <v>2597.5342227288902</v>
      </c>
      <c r="T205" s="8">
        <f t="shared" si="31"/>
        <v>16.21623819915709</v>
      </c>
      <c r="U205" s="109"/>
      <c r="V205" s="3">
        <v>250</v>
      </c>
      <c r="W205" s="3"/>
      <c r="X205" s="3"/>
      <c r="Y205" s="36">
        <f>18+33</f>
        <v>51</v>
      </c>
      <c r="Z205" s="3">
        <v>1035</v>
      </c>
      <c r="AA205" s="36">
        <f t="shared" si="23"/>
        <v>4.9275362318840582E-2</v>
      </c>
      <c r="AB205" s="3">
        <v>8928.9240743856208</v>
      </c>
      <c r="AC205" s="22">
        <f t="shared" si="28"/>
        <v>4.3997596888276975</v>
      </c>
      <c r="AD205" s="3">
        <v>9022.4879570396606</v>
      </c>
      <c r="AE205" s="36">
        <f t="shared" si="27"/>
        <v>4.8764373083976811E-2</v>
      </c>
    </row>
    <row r="206" spans="1:31" customFormat="1" ht="20.25" customHeight="1">
      <c r="A206" s="13">
        <v>41542</v>
      </c>
      <c r="B206" s="64" t="s">
        <v>157</v>
      </c>
      <c r="C206" s="164">
        <v>2013</v>
      </c>
      <c r="D206" s="51">
        <v>2</v>
      </c>
      <c r="E206" s="3" t="s">
        <v>223</v>
      </c>
      <c r="F206" s="3" t="s">
        <v>224</v>
      </c>
      <c r="G206" s="3" t="s">
        <v>225</v>
      </c>
      <c r="H206" s="3" t="s">
        <v>243</v>
      </c>
      <c r="I206" s="3" t="s">
        <v>244</v>
      </c>
      <c r="J206" s="3" t="s">
        <v>245</v>
      </c>
      <c r="K206" s="3" t="s">
        <v>246</v>
      </c>
      <c r="L206" s="3">
        <v>2</v>
      </c>
      <c r="M206" s="3" t="s">
        <v>247</v>
      </c>
      <c r="N206" s="3" t="s">
        <v>673</v>
      </c>
      <c r="O206" s="3">
        <v>110</v>
      </c>
      <c r="P206" s="3">
        <f t="shared" si="29"/>
        <v>1.8181818181818181</v>
      </c>
      <c r="Q206" s="36">
        <v>2574.1365030476363</v>
      </c>
      <c r="R206" s="8">
        <f t="shared" si="30"/>
        <v>46.802481873593386</v>
      </c>
      <c r="S206" s="36">
        <v>2597.5342227288902</v>
      </c>
      <c r="T206" s="8">
        <f t="shared" si="31"/>
        <v>1.8018042443507878</v>
      </c>
      <c r="U206" s="109"/>
      <c r="V206" s="3">
        <v>250</v>
      </c>
      <c r="W206" s="3"/>
      <c r="X206" s="3"/>
      <c r="Y206" s="36">
        <v>3</v>
      </c>
      <c r="Z206" s="3">
        <v>1035</v>
      </c>
      <c r="AA206" s="36">
        <f t="shared" si="23"/>
        <v>2.8985507246376812E-3</v>
      </c>
      <c r="AB206" s="3">
        <v>8928.9240743856208</v>
      </c>
      <c r="AC206" s="22">
        <f t="shared" si="28"/>
        <v>0.25880939346045279</v>
      </c>
      <c r="AD206" s="3">
        <v>9022.4879570396606</v>
      </c>
      <c r="AE206" s="36">
        <f t="shared" si="27"/>
        <v>2.8684925343515767E-3</v>
      </c>
    </row>
    <row r="207" spans="1:31" customFormat="1" ht="20.25" customHeight="1">
      <c r="A207" s="13">
        <v>41542</v>
      </c>
      <c r="B207" s="64" t="s">
        <v>157</v>
      </c>
      <c r="C207" s="164">
        <v>2013</v>
      </c>
      <c r="D207" s="51">
        <v>2</v>
      </c>
      <c r="E207" s="3" t="s">
        <v>223</v>
      </c>
      <c r="F207" s="3" t="s">
        <v>224</v>
      </c>
      <c r="G207" s="3" t="s">
        <v>225</v>
      </c>
      <c r="H207" s="3" t="s">
        <v>248</v>
      </c>
      <c r="I207" s="3" t="s">
        <v>249</v>
      </c>
      <c r="J207" s="3" t="s">
        <v>250</v>
      </c>
      <c r="K207" s="3" t="s">
        <v>251</v>
      </c>
      <c r="L207" s="3">
        <v>5</v>
      </c>
      <c r="M207" s="3" t="s">
        <v>247</v>
      </c>
      <c r="N207" s="3" t="s">
        <v>250</v>
      </c>
      <c r="O207" s="3">
        <v>110</v>
      </c>
      <c r="P207" s="3">
        <f t="shared" si="29"/>
        <v>4.5454545454545459</v>
      </c>
      <c r="Q207" s="36">
        <v>2574.1365030476363</v>
      </c>
      <c r="R207" s="8">
        <f t="shared" si="30"/>
        <v>117.00620468398347</v>
      </c>
      <c r="S207" s="36">
        <v>2597.5342227288902</v>
      </c>
      <c r="T207" s="8">
        <f t="shared" si="31"/>
        <v>4.5045106108769692</v>
      </c>
      <c r="U207" s="109"/>
      <c r="V207" s="3">
        <v>250</v>
      </c>
      <c r="W207" s="3"/>
      <c r="X207" s="3"/>
      <c r="Y207" s="36">
        <v>12</v>
      </c>
      <c r="Z207" s="3">
        <v>1035</v>
      </c>
      <c r="AA207" s="36">
        <f t="shared" si="23"/>
        <v>1.1594202898550725E-2</v>
      </c>
      <c r="AB207" s="3">
        <v>8928.9240743856208</v>
      </c>
      <c r="AC207" s="22">
        <f t="shared" si="28"/>
        <v>1.0352375738418111</v>
      </c>
      <c r="AD207" s="3">
        <v>9022.4879570396606</v>
      </c>
      <c r="AE207" s="36">
        <f t="shared" si="27"/>
        <v>1.1473970137406307E-2</v>
      </c>
    </row>
    <row r="208" spans="1:31" customFormat="1" ht="20.25" customHeight="1">
      <c r="A208" s="13">
        <v>41542</v>
      </c>
      <c r="B208" s="64" t="s">
        <v>157</v>
      </c>
      <c r="C208" s="164">
        <v>2013</v>
      </c>
      <c r="D208" s="51">
        <v>2</v>
      </c>
      <c r="E208" s="51" t="s">
        <v>223</v>
      </c>
      <c r="F208" s="51" t="s">
        <v>224</v>
      </c>
      <c r="G208" s="51" t="s">
        <v>225</v>
      </c>
      <c r="H208" s="51" t="s">
        <v>226</v>
      </c>
      <c r="I208" s="51" t="s">
        <v>355</v>
      </c>
      <c r="J208" s="3" t="s">
        <v>356</v>
      </c>
      <c r="K208" s="3"/>
      <c r="L208" s="3">
        <v>1</v>
      </c>
      <c r="M208" s="3"/>
      <c r="N208" s="3" t="s">
        <v>356</v>
      </c>
      <c r="O208" s="3">
        <v>110</v>
      </c>
      <c r="P208" s="3">
        <f t="shared" si="29"/>
        <v>0.90909090909090906</v>
      </c>
      <c r="Q208" s="36">
        <v>2574.1365030476363</v>
      </c>
      <c r="R208" s="8">
        <f t="shared" si="30"/>
        <v>23.401240936796693</v>
      </c>
      <c r="S208" s="36">
        <v>2597.5342227288902</v>
      </c>
      <c r="T208" s="8">
        <f t="shared" si="31"/>
        <v>0.90090212217539389</v>
      </c>
      <c r="U208" s="109"/>
      <c r="V208" s="3">
        <v>250</v>
      </c>
      <c r="W208" s="3"/>
      <c r="X208" s="3"/>
      <c r="Y208" s="36">
        <v>1</v>
      </c>
      <c r="Z208" s="3">
        <v>1035</v>
      </c>
      <c r="AA208" s="36">
        <f t="shared" si="23"/>
        <v>9.6618357487922703E-4</v>
      </c>
      <c r="AB208" s="3">
        <v>8928.9240743856208</v>
      </c>
      <c r="AC208" s="22">
        <f t="shared" si="28"/>
        <v>8.6269797820150929E-2</v>
      </c>
      <c r="AD208" s="3">
        <v>9022.4879570396606</v>
      </c>
      <c r="AE208" s="36">
        <f t="shared" si="27"/>
        <v>9.5616417811719234E-4</v>
      </c>
    </row>
    <row r="209" spans="1:31" customFormat="1" ht="20.25" customHeight="1">
      <c r="A209" s="71">
        <v>41542</v>
      </c>
      <c r="B209" s="64" t="s">
        <v>157</v>
      </c>
      <c r="C209" s="164">
        <v>2013</v>
      </c>
      <c r="D209" s="51">
        <v>2</v>
      </c>
      <c r="E209" s="51" t="s">
        <v>223</v>
      </c>
      <c r="F209" s="51" t="s">
        <v>224</v>
      </c>
      <c r="G209" s="51" t="s">
        <v>225</v>
      </c>
      <c r="H209" s="51" t="s">
        <v>226</v>
      </c>
      <c r="I209" s="51" t="s">
        <v>239</v>
      </c>
      <c r="J209" s="51" t="s">
        <v>258</v>
      </c>
      <c r="K209" s="51" t="s">
        <v>259</v>
      </c>
      <c r="L209" s="51">
        <v>10</v>
      </c>
      <c r="M209" s="51" t="s">
        <v>247</v>
      </c>
      <c r="N209" s="51" t="s">
        <v>260</v>
      </c>
      <c r="O209" s="3">
        <v>110</v>
      </c>
      <c r="P209" s="3">
        <f t="shared" si="29"/>
        <v>9.0909090909090917</v>
      </c>
      <c r="Q209" s="36">
        <v>2574.1365030476363</v>
      </c>
      <c r="R209" s="8">
        <f t="shared" si="30"/>
        <v>234.01240936796694</v>
      </c>
      <c r="S209" s="36">
        <v>2597.5342227288902</v>
      </c>
      <c r="T209" s="8">
        <f t="shared" si="31"/>
        <v>9.0090212217539385</v>
      </c>
      <c r="U209" s="109"/>
      <c r="V209" s="3">
        <v>250</v>
      </c>
      <c r="W209" s="3"/>
      <c r="X209" s="3"/>
      <c r="Y209" s="36">
        <v>10</v>
      </c>
      <c r="Z209" s="3">
        <v>1035</v>
      </c>
      <c r="AA209" s="36">
        <f t="shared" si="23"/>
        <v>9.6618357487922701E-3</v>
      </c>
      <c r="AB209" s="100">
        <v>8928.9240740000005</v>
      </c>
      <c r="AC209" s="22">
        <f t="shared" si="28"/>
        <v>0.8626979781642512</v>
      </c>
      <c r="AD209" s="3">
        <v>9022.4879570396606</v>
      </c>
      <c r="AE209" s="36">
        <f t="shared" si="27"/>
        <v>9.5616417807589775E-3</v>
      </c>
    </row>
    <row r="210" spans="1:31" customFormat="1" ht="20.25" customHeight="1">
      <c r="A210" s="72">
        <v>41542</v>
      </c>
      <c r="B210" s="64" t="s">
        <v>157</v>
      </c>
      <c r="C210" s="164">
        <v>2013</v>
      </c>
      <c r="D210" s="65">
        <v>4</v>
      </c>
      <c r="E210" s="36" t="s">
        <v>223</v>
      </c>
      <c r="F210" s="36" t="s">
        <v>267</v>
      </c>
      <c r="G210" s="36"/>
      <c r="H210" s="36" t="s">
        <v>273</v>
      </c>
      <c r="I210" s="36" t="s">
        <v>274</v>
      </c>
      <c r="J210" s="36" t="s">
        <v>275</v>
      </c>
      <c r="K210" s="36" t="s">
        <v>276</v>
      </c>
      <c r="L210" s="36">
        <v>6</v>
      </c>
      <c r="M210" s="36" t="s">
        <v>247</v>
      </c>
      <c r="N210" s="36" t="s">
        <v>275</v>
      </c>
      <c r="O210" s="36">
        <v>522</v>
      </c>
      <c r="P210" s="36">
        <f t="shared" si="29"/>
        <v>1.1494252873563218</v>
      </c>
      <c r="Q210" s="65">
        <v>70.166162972786339</v>
      </c>
      <c r="R210" s="40">
        <f t="shared" si="30"/>
        <v>0.80650762037685442</v>
      </c>
      <c r="S210" s="36">
        <v>6424.9537343107695</v>
      </c>
      <c r="T210" s="40">
        <f t="shared" si="31"/>
        <v>1.2552738178796735E-2</v>
      </c>
      <c r="U210" s="110"/>
      <c r="V210" s="36">
        <v>1000</v>
      </c>
      <c r="W210" s="36"/>
      <c r="X210" s="36"/>
      <c r="Y210" s="36">
        <v>6</v>
      </c>
      <c r="Z210" s="3">
        <v>1035</v>
      </c>
      <c r="AA210" s="36">
        <f t="shared" si="23"/>
        <v>5.7971014492753624E-3</v>
      </c>
      <c r="AB210" s="41">
        <v>93.563882654040711</v>
      </c>
      <c r="AC210" s="22">
        <f t="shared" si="28"/>
        <v>5.423993197335694E-3</v>
      </c>
      <c r="AD210" s="3">
        <v>9022.4879570396606</v>
      </c>
      <c r="AE210" s="36">
        <f t="shared" si="27"/>
        <v>6.011638057220908E-5</v>
      </c>
    </row>
    <row r="211" spans="1:31" customFormat="1" ht="20.25" customHeight="1">
      <c r="A211" s="72">
        <v>41542</v>
      </c>
      <c r="B211" s="64" t="s">
        <v>157</v>
      </c>
      <c r="C211" s="164">
        <v>2013</v>
      </c>
      <c r="D211" s="65">
        <v>4</v>
      </c>
      <c r="E211" s="65" t="s">
        <v>288</v>
      </c>
      <c r="F211" s="65" t="s">
        <v>289</v>
      </c>
      <c r="G211" s="65" t="s">
        <v>290</v>
      </c>
      <c r="H211" s="65" t="s">
        <v>339</v>
      </c>
      <c r="I211" s="65" t="s">
        <v>340</v>
      </c>
      <c r="J211" s="36" t="s">
        <v>341</v>
      </c>
      <c r="K211" s="36"/>
      <c r="L211" s="36">
        <v>2</v>
      </c>
      <c r="M211" s="36" t="s">
        <v>229</v>
      </c>
      <c r="N211" s="36" t="s">
        <v>294</v>
      </c>
      <c r="O211" s="36">
        <v>522</v>
      </c>
      <c r="P211" s="36">
        <f t="shared" si="29"/>
        <v>0.38314176245210724</v>
      </c>
      <c r="Q211" s="65">
        <v>70.166162972786339</v>
      </c>
      <c r="R211" s="40">
        <f t="shared" si="30"/>
        <v>0.26883587345895144</v>
      </c>
      <c r="S211" s="36">
        <v>6424.9537343107704</v>
      </c>
      <c r="T211" s="40">
        <f t="shared" si="31"/>
        <v>4.18424605959891E-3</v>
      </c>
      <c r="U211" s="110"/>
      <c r="V211" s="36">
        <v>1000</v>
      </c>
      <c r="W211" s="36"/>
      <c r="X211" s="36"/>
      <c r="Y211" s="36">
        <v>2</v>
      </c>
      <c r="Z211" s="3">
        <v>1035</v>
      </c>
      <c r="AA211" s="36">
        <f t="shared" ref="AA211:AA232" si="32">Y211/Z211</f>
        <v>1.9323671497584541E-3</v>
      </c>
      <c r="AB211" s="41">
        <v>93.563882654040711</v>
      </c>
      <c r="AC211" s="22">
        <f t="shared" si="28"/>
        <v>1.8079977324452312E-3</v>
      </c>
      <c r="AD211" s="3">
        <v>9022.4879570396606</v>
      </c>
      <c r="AE211" s="36">
        <f t="shared" si="27"/>
        <v>2.0038793524069689E-5</v>
      </c>
    </row>
    <row r="212" spans="1:31" customFormat="1" ht="20.25" customHeight="1">
      <c r="A212" s="35">
        <v>41542</v>
      </c>
      <c r="B212" s="64" t="s">
        <v>157</v>
      </c>
      <c r="C212" s="164">
        <v>2013</v>
      </c>
      <c r="D212" s="65">
        <v>4</v>
      </c>
      <c r="E212" s="36" t="s">
        <v>223</v>
      </c>
      <c r="F212" s="36" t="s">
        <v>267</v>
      </c>
      <c r="G212" s="36"/>
      <c r="H212" s="36" t="s">
        <v>273</v>
      </c>
      <c r="I212" s="36"/>
      <c r="J212" s="36"/>
      <c r="K212" s="36"/>
      <c r="L212" s="36">
        <v>1</v>
      </c>
      <c r="M212" s="36" t="s">
        <v>508</v>
      </c>
      <c r="N212" s="36" t="s">
        <v>335</v>
      </c>
      <c r="O212" s="36">
        <v>522</v>
      </c>
      <c r="P212" s="36">
        <f t="shared" si="29"/>
        <v>0.19157088122605362</v>
      </c>
      <c r="Q212" s="36">
        <v>70.166162972786339</v>
      </c>
      <c r="R212" s="40">
        <f t="shared" si="30"/>
        <v>0.13441793672947572</v>
      </c>
      <c r="S212" s="36">
        <v>6424.9537343107704</v>
      </c>
      <c r="T212" s="40">
        <f t="shared" si="31"/>
        <v>2.092123029799455E-3</v>
      </c>
      <c r="U212" s="110"/>
      <c r="V212" s="36">
        <v>1000</v>
      </c>
      <c r="W212" s="36"/>
      <c r="X212" s="36"/>
      <c r="Y212" s="36">
        <v>1</v>
      </c>
      <c r="Z212" s="3">
        <v>1035</v>
      </c>
      <c r="AA212" s="36">
        <f t="shared" si="32"/>
        <v>9.6618357487922703E-4</v>
      </c>
      <c r="AB212" s="41">
        <v>93.563882654040711</v>
      </c>
      <c r="AC212" s="22">
        <f t="shared" si="28"/>
        <v>9.039988662226156E-4</v>
      </c>
      <c r="AD212" s="3">
        <v>9022.4879570396606</v>
      </c>
      <c r="AE212" s="36">
        <f t="shared" si="27"/>
        <v>1.0019396762034844E-5</v>
      </c>
    </row>
    <row r="213" spans="1:31" customFormat="1" ht="20.25" customHeight="1">
      <c r="A213" s="13">
        <v>41542</v>
      </c>
      <c r="B213" s="64" t="s">
        <v>157</v>
      </c>
      <c r="C213" s="164">
        <v>2013</v>
      </c>
      <c r="D213" s="51">
        <v>4</v>
      </c>
      <c r="E213" s="3" t="s">
        <v>223</v>
      </c>
      <c r="F213" s="3" t="s">
        <v>224</v>
      </c>
      <c r="G213" s="3" t="s">
        <v>225</v>
      </c>
      <c r="H213" s="3" t="s">
        <v>226</v>
      </c>
      <c r="I213" s="3" t="s">
        <v>235</v>
      </c>
      <c r="J213" s="3" t="s">
        <v>236</v>
      </c>
      <c r="K213" s="3" t="s">
        <v>237</v>
      </c>
      <c r="L213" s="3">
        <v>7</v>
      </c>
      <c r="M213" s="3" t="s">
        <v>247</v>
      </c>
      <c r="N213" s="3" t="s">
        <v>238</v>
      </c>
      <c r="O213" s="3">
        <v>159</v>
      </c>
      <c r="P213" s="3">
        <f t="shared" si="29"/>
        <v>4.4025157232704402</v>
      </c>
      <c r="Q213" s="36">
        <v>6354.7875713379835</v>
      </c>
      <c r="R213" s="8">
        <f t="shared" si="30"/>
        <v>279.77052200859043</v>
      </c>
      <c r="S213" s="65">
        <v>6424.9537343107704</v>
      </c>
      <c r="T213" s="8">
        <f t="shared" si="31"/>
        <v>4.3544363676044817</v>
      </c>
      <c r="U213" s="109"/>
      <c r="V213" s="3">
        <v>250</v>
      </c>
      <c r="W213" s="3"/>
      <c r="X213" s="3"/>
      <c r="Y213" s="36">
        <v>7</v>
      </c>
      <c r="Z213" s="3">
        <v>1035</v>
      </c>
      <c r="AA213" s="36">
        <f t="shared" si="32"/>
        <v>6.7632850241545897E-3</v>
      </c>
      <c r="AB213" s="100">
        <v>8928.9240740000005</v>
      </c>
      <c r="AC213" s="22">
        <f t="shared" si="28"/>
        <v>0.60388858471497597</v>
      </c>
      <c r="AD213" s="3">
        <v>9022.4879570396606</v>
      </c>
      <c r="AE213" s="36">
        <f t="shared" si="27"/>
        <v>6.6931492465312848E-3</v>
      </c>
    </row>
    <row r="214" spans="1:31" customFormat="1" ht="20.25" customHeight="1">
      <c r="A214" s="13">
        <v>41542</v>
      </c>
      <c r="B214" s="64" t="s">
        <v>157</v>
      </c>
      <c r="C214" s="164">
        <v>2013</v>
      </c>
      <c r="D214" s="51">
        <v>4</v>
      </c>
      <c r="E214" s="51" t="s">
        <v>223</v>
      </c>
      <c r="F214" s="51" t="s">
        <v>224</v>
      </c>
      <c r="G214" s="51" t="s">
        <v>225</v>
      </c>
      <c r="H214" s="51" t="s">
        <v>226</v>
      </c>
      <c r="I214" s="51" t="s">
        <v>253</v>
      </c>
      <c r="J214" s="3" t="s">
        <v>254</v>
      </c>
      <c r="K214" s="3"/>
      <c r="L214" s="3">
        <v>2</v>
      </c>
      <c r="M214" s="3"/>
      <c r="N214" s="3" t="s">
        <v>254</v>
      </c>
      <c r="O214" s="3">
        <v>159</v>
      </c>
      <c r="P214" s="3">
        <f t="shared" si="29"/>
        <v>1.257861635220126</v>
      </c>
      <c r="Q214" s="36">
        <v>6354.7875713379835</v>
      </c>
      <c r="R214" s="8">
        <f t="shared" si="30"/>
        <v>79.934434859597289</v>
      </c>
      <c r="S214" s="65">
        <v>6424.9537343107704</v>
      </c>
      <c r="T214" s="8">
        <f t="shared" si="31"/>
        <v>1.2441246764584237</v>
      </c>
      <c r="U214" s="109"/>
      <c r="V214" s="3">
        <v>250</v>
      </c>
      <c r="W214" s="3"/>
      <c r="X214" s="3"/>
      <c r="Y214" s="36">
        <v>2</v>
      </c>
      <c r="Z214" s="3">
        <v>1035</v>
      </c>
      <c r="AA214" s="36">
        <f t="shared" si="32"/>
        <v>1.9323671497584541E-3</v>
      </c>
      <c r="AB214" s="100">
        <v>8928.9240740000005</v>
      </c>
      <c r="AC214" s="22">
        <f t="shared" si="28"/>
        <v>0.17253959563285026</v>
      </c>
      <c r="AD214" s="3">
        <v>9022.4879570396606</v>
      </c>
      <c r="AE214" s="36">
        <f t="shared" si="27"/>
        <v>1.9123283561517956E-3</v>
      </c>
    </row>
    <row r="215" spans="1:31" customFormat="1" ht="20.25" customHeight="1">
      <c r="A215" s="13">
        <v>41542</v>
      </c>
      <c r="B215" s="64" t="s">
        <v>157</v>
      </c>
      <c r="C215" s="164">
        <v>2013</v>
      </c>
      <c r="D215" s="51">
        <v>4</v>
      </c>
      <c r="E215" s="3" t="s">
        <v>223</v>
      </c>
      <c r="F215" s="3" t="s">
        <v>224</v>
      </c>
      <c r="G215" s="3" t="s">
        <v>225</v>
      </c>
      <c r="H215" s="3" t="s">
        <v>226</v>
      </c>
      <c r="I215" s="3" t="s">
        <v>253</v>
      </c>
      <c r="J215" s="3" t="s">
        <v>256</v>
      </c>
      <c r="K215" s="3"/>
      <c r="L215" s="3">
        <v>21</v>
      </c>
      <c r="M215" s="3" t="s">
        <v>229</v>
      </c>
      <c r="N215" s="3" t="s">
        <v>256</v>
      </c>
      <c r="O215" s="3">
        <v>159</v>
      </c>
      <c r="P215" s="3">
        <f t="shared" si="29"/>
        <v>13.20754716981132</v>
      </c>
      <c r="Q215" s="36">
        <v>6354.7875713379835</v>
      </c>
      <c r="R215" s="8">
        <f t="shared" si="30"/>
        <v>839.31156602577141</v>
      </c>
      <c r="S215" s="65">
        <v>6424.9537343107704</v>
      </c>
      <c r="T215" s="8">
        <f t="shared" si="31"/>
        <v>13.063309102813447</v>
      </c>
      <c r="U215" s="109"/>
      <c r="V215" s="3">
        <v>250</v>
      </c>
      <c r="W215" s="3"/>
      <c r="X215" s="3"/>
      <c r="Y215" s="36">
        <v>21</v>
      </c>
      <c r="Z215" s="3">
        <v>1035</v>
      </c>
      <c r="AA215" s="36">
        <f t="shared" si="32"/>
        <v>2.0289855072463767E-2</v>
      </c>
      <c r="AB215" s="100">
        <v>8928.9240740000005</v>
      </c>
      <c r="AC215" s="22">
        <f t="shared" si="28"/>
        <v>1.8116657541449275</v>
      </c>
      <c r="AD215" s="3">
        <v>9022.4879570396606</v>
      </c>
      <c r="AE215" s="36">
        <f t="shared" si="27"/>
        <v>2.0079447739593848E-2</v>
      </c>
    </row>
    <row r="216" spans="1:31" customFormat="1" ht="20.25" customHeight="1">
      <c r="A216" s="13">
        <v>41542</v>
      </c>
      <c r="B216" s="64" t="s">
        <v>157</v>
      </c>
      <c r="C216" s="164">
        <v>2013</v>
      </c>
      <c r="D216" s="51">
        <v>4</v>
      </c>
      <c r="E216" s="3" t="s">
        <v>223</v>
      </c>
      <c r="F216" s="3" t="s">
        <v>224</v>
      </c>
      <c r="G216" s="3" t="s">
        <v>225</v>
      </c>
      <c r="H216" s="3" t="s">
        <v>226</v>
      </c>
      <c r="I216" s="3" t="s">
        <v>261</v>
      </c>
      <c r="J216" s="3" t="s">
        <v>262</v>
      </c>
      <c r="K216" s="3" t="s">
        <v>263</v>
      </c>
      <c r="L216" s="3">
        <v>1</v>
      </c>
      <c r="M216" s="3" t="s">
        <v>247</v>
      </c>
      <c r="N216" s="3" t="s">
        <v>264</v>
      </c>
      <c r="O216" s="3">
        <v>159</v>
      </c>
      <c r="P216" s="3">
        <f t="shared" si="29"/>
        <v>0.62893081761006298</v>
      </c>
      <c r="Q216" s="36">
        <v>6354.7875713379835</v>
      </c>
      <c r="R216" s="8">
        <f t="shared" si="30"/>
        <v>39.967217429798644</v>
      </c>
      <c r="S216" s="65">
        <v>6424.9537343107704</v>
      </c>
      <c r="T216" s="8">
        <f t="shared" si="31"/>
        <v>0.62206233822921186</v>
      </c>
      <c r="U216" s="109"/>
      <c r="V216" s="3">
        <v>250</v>
      </c>
      <c r="W216" s="3"/>
      <c r="X216" s="3"/>
      <c r="Y216" s="36">
        <v>1</v>
      </c>
      <c r="Z216" s="3">
        <v>1035</v>
      </c>
      <c r="AA216" s="36">
        <f t="shared" si="32"/>
        <v>9.6618357487922703E-4</v>
      </c>
      <c r="AB216" s="100">
        <v>8928.9240740000005</v>
      </c>
      <c r="AC216" s="22">
        <f t="shared" si="28"/>
        <v>8.6269797816425131E-2</v>
      </c>
      <c r="AD216" s="3">
        <v>9022.4879570396606</v>
      </c>
      <c r="AE216" s="36">
        <f t="shared" si="27"/>
        <v>9.5616417807589779E-4</v>
      </c>
    </row>
    <row r="217" spans="1:31" customFormat="1" ht="20.25" customHeight="1">
      <c r="A217" s="13"/>
      <c r="B217" s="64"/>
      <c r="C217" s="164"/>
      <c r="D217" s="34"/>
      <c r="E217" s="3"/>
      <c r="F217" s="3"/>
      <c r="G217" s="3"/>
      <c r="H217" s="3"/>
      <c r="I217" s="3"/>
      <c r="J217" s="3"/>
      <c r="K217" s="3"/>
      <c r="L217" s="3"/>
      <c r="M217" s="3"/>
      <c r="N217" s="3"/>
      <c r="O217" s="3"/>
      <c r="P217" s="3"/>
      <c r="Q217" s="36"/>
      <c r="R217" s="8"/>
      <c r="S217" s="53"/>
      <c r="T217" s="8"/>
      <c r="U217" s="109"/>
      <c r="V217" s="3"/>
      <c r="W217" s="3"/>
      <c r="X217" s="3"/>
      <c r="Y217" s="36"/>
      <c r="Z217" s="3"/>
      <c r="AA217" s="36"/>
      <c r="AB217" s="3"/>
      <c r="AC217" s="22"/>
      <c r="AD217" s="3"/>
      <c r="AE217" s="36"/>
    </row>
    <row r="218" spans="1:31" customFormat="1" ht="20.25" customHeight="1">
      <c r="A218" s="72">
        <v>41542</v>
      </c>
      <c r="B218" s="64" t="s">
        <v>157</v>
      </c>
      <c r="C218" s="164">
        <v>2013</v>
      </c>
      <c r="D218" s="65">
        <v>5</v>
      </c>
      <c r="E218" s="65" t="s">
        <v>209</v>
      </c>
      <c r="F218" s="65" t="s">
        <v>210</v>
      </c>
      <c r="G218" s="65"/>
      <c r="H218" s="65" t="s">
        <v>211</v>
      </c>
      <c r="I218" s="65" t="s">
        <v>212</v>
      </c>
      <c r="J218" s="36" t="s">
        <v>213</v>
      </c>
      <c r="K218" s="36" t="s">
        <v>214</v>
      </c>
      <c r="L218" s="36">
        <v>3</v>
      </c>
      <c r="M218" s="36" t="s">
        <v>247</v>
      </c>
      <c r="N218" s="36" t="s">
        <v>215</v>
      </c>
      <c r="O218" s="36">
        <v>41</v>
      </c>
      <c r="P218" s="36">
        <f t="shared" si="29"/>
        <v>7.3170731707317067</v>
      </c>
      <c r="Q218" s="36">
        <v>2.334530650204746</v>
      </c>
      <c r="R218" s="40">
        <f t="shared" si="30"/>
        <v>0.17081931586863994</v>
      </c>
      <c r="S218" s="36">
        <v>7247.1936664414907</v>
      </c>
      <c r="T218" s="40">
        <f t="shared" si="31"/>
        <v>2.3570408592725718E-3</v>
      </c>
      <c r="U218" s="110">
        <f>SUM(T220+T232)</f>
        <v>0.49863708481220448</v>
      </c>
      <c r="V218" s="36">
        <v>1000</v>
      </c>
      <c r="W218" s="36"/>
      <c r="X218" s="36"/>
      <c r="Y218" s="36">
        <v>3</v>
      </c>
      <c r="Z218" s="3">
        <v>431</v>
      </c>
      <c r="AA218" s="36">
        <f t="shared" si="32"/>
        <v>6.9605568445475635E-3</v>
      </c>
      <c r="AB218" s="41">
        <v>2.4298248631460169</v>
      </c>
      <c r="AC218" s="22">
        <f t="shared" si="28"/>
        <v>1.6912934082222855E-4</v>
      </c>
      <c r="AD218" s="41">
        <v>10386.160235226404</v>
      </c>
      <c r="AE218" s="36">
        <f t="shared" si="27"/>
        <v>1.6284106637272747E-6</v>
      </c>
    </row>
    <row r="219" spans="1:31" s="42" customFormat="1" ht="20.25" customHeight="1">
      <c r="A219" s="35">
        <v>41542</v>
      </c>
      <c r="B219" s="64" t="s">
        <v>157</v>
      </c>
      <c r="C219" s="164">
        <v>2013</v>
      </c>
      <c r="D219" s="65">
        <v>5</v>
      </c>
      <c r="E219" s="36" t="s">
        <v>223</v>
      </c>
      <c r="F219" s="36" t="s">
        <v>267</v>
      </c>
      <c r="G219" s="36"/>
      <c r="H219" s="36" t="s">
        <v>273</v>
      </c>
      <c r="I219" s="36" t="s">
        <v>274</v>
      </c>
      <c r="J219" s="36" t="s">
        <v>275</v>
      </c>
      <c r="K219" s="36" t="s">
        <v>276</v>
      </c>
      <c r="L219" s="36">
        <v>3</v>
      </c>
      <c r="M219" s="36" t="s">
        <v>247</v>
      </c>
      <c r="N219" s="36" t="s">
        <v>275</v>
      </c>
      <c r="O219" s="36">
        <v>41</v>
      </c>
      <c r="P219" s="36">
        <f t="shared" si="29"/>
        <v>7.3170731707317067</v>
      </c>
      <c r="Q219" s="65">
        <v>2.334530650204746</v>
      </c>
      <c r="R219" s="40">
        <f t="shared" si="30"/>
        <v>0.17081931586863994</v>
      </c>
      <c r="S219" s="36">
        <v>7247.1936664414907</v>
      </c>
      <c r="T219" s="40">
        <f t="shared" si="31"/>
        <v>2.3570408592725718E-3</v>
      </c>
      <c r="U219" s="110"/>
      <c r="V219" s="36">
        <v>1000</v>
      </c>
      <c r="W219" s="36"/>
      <c r="X219" s="36"/>
      <c r="Y219" s="36">
        <v>3</v>
      </c>
      <c r="Z219" s="3">
        <v>431</v>
      </c>
      <c r="AA219" s="36">
        <f t="shared" si="32"/>
        <v>6.9605568445475635E-3</v>
      </c>
      <c r="AB219" s="41">
        <v>2.4298248631460169</v>
      </c>
      <c r="AC219" s="22">
        <f t="shared" si="28"/>
        <v>1.6912934082222855E-4</v>
      </c>
      <c r="AD219" s="41">
        <v>10386.160235226404</v>
      </c>
      <c r="AE219" s="36">
        <f t="shared" si="27"/>
        <v>1.6284106637272747E-6</v>
      </c>
    </row>
    <row r="220" spans="1:31" s="42" customFormat="1" ht="20.25" customHeight="1">
      <c r="A220" s="35">
        <v>41542</v>
      </c>
      <c r="B220" s="64" t="s">
        <v>157</v>
      </c>
      <c r="C220" s="164">
        <v>2013</v>
      </c>
      <c r="D220" s="65">
        <v>5</v>
      </c>
      <c r="E220" s="36" t="s">
        <v>351</v>
      </c>
      <c r="F220" s="36"/>
      <c r="G220" s="36"/>
      <c r="H220" s="36"/>
      <c r="I220" s="36"/>
      <c r="J220" s="36"/>
      <c r="K220" s="36"/>
      <c r="L220" s="36">
        <v>17</v>
      </c>
      <c r="M220" s="36" t="s">
        <v>474</v>
      </c>
      <c r="N220" s="36" t="s">
        <v>352</v>
      </c>
      <c r="O220" s="36">
        <v>41</v>
      </c>
      <c r="P220" s="36">
        <f t="shared" si="29"/>
        <v>41.463414634146339</v>
      </c>
      <c r="Q220" s="65">
        <v>2.334530650204746</v>
      </c>
      <c r="R220" s="40">
        <f t="shared" si="30"/>
        <v>0.96797612325562632</v>
      </c>
      <c r="S220" s="36">
        <v>7247.1936664414898</v>
      </c>
      <c r="T220" s="40">
        <f t="shared" si="31"/>
        <v>1.3356564869211244E-2</v>
      </c>
      <c r="U220" s="110"/>
      <c r="V220" s="36">
        <v>1000</v>
      </c>
      <c r="W220" s="36" t="s">
        <v>222</v>
      </c>
      <c r="X220" s="36"/>
      <c r="Y220" s="36">
        <v>17</v>
      </c>
      <c r="Z220" s="3">
        <v>431</v>
      </c>
      <c r="AA220" s="36">
        <f t="shared" si="32"/>
        <v>3.9443155452436193E-2</v>
      </c>
      <c r="AB220" s="41">
        <v>2.4298248631460169</v>
      </c>
      <c r="AC220" s="22">
        <f t="shared" si="28"/>
        <v>9.5839959799262837E-4</v>
      </c>
      <c r="AD220" s="41">
        <v>10386.160235226404</v>
      </c>
      <c r="AE220" s="36">
        <f t="shared" si="27"/>
        <v>9.2276604277878883E-6</v>
      </c>
    </row>
    <row r="221" spans="1:31" customFormat="1" ht="20.25" customHeight="1">
      <c r="A221" s="35">
        <v>41542</v>
      </c>
      <c r="B221" s="64" t="s">
        <v>157</v>
      </c>
      <c r="C221" s="164">
        <v>2013</v>
      </c>
      <c r="D221" s="65">
        <v>5</v>
      </c>
      <c r="E221" s="36" t="s">
        <v>288</v>
      </c>
      <c r="F221" s="36" t="s">
        <v>289</v>
      </c>
      <c r="G221" s="36" t="s">
        <v>290</v>
      </c>
      <c r="H221" s="36" t="s">
        <v>339</v>
      </c>
      <c r="I221" s="36" t="s">
        <v>340</v>
      </c>
      <c r="J221" s="36" t="s">
        <v>341</v>
      </c>
      <c r="K221" s="36"/>
      <c r="L221" s="36">
        <v>2</v>
      </c>
      <c r="M221" s="36" t="s">
        <v>229</v>
      </c>
      <c r="N221" s="36" t="s">
        <v>294</v>
      </c>
      <c r="O221" s="36">
        <v>41</v>
      </c>
      <c r="P221" s="36">
        <f t="shared" si="29"/>
        <v>4.8780487804878048</v>
      </c>
      <c r="Q221" s="65">
        <v>2.334530650204746</v>
      </c>
      <c r="R221" s="40">
        <f t="shared" si="30"/>
        <v>0.11387954391242663</v>
      </c>
      <c r="S221" s="36">
        <v>7247.1936664414898</v>
      </c>
      <c r="T221" s="40">
        <f t="shared" si="31"/>
        <v>1.5713605728483817E-3</v>
      </c>
      <c r="U221" s="110"/>
      <c r="V221" s="36">
        <v>1000</v>
      </c>
      <c r="W221" s="36"/>
      <c r="X221" s="36"/>
      <c r="Y221" s="36">
        <v>3</v>
      </c>
      <c r="Z221" s="3">
        <v>431</v>
      </c>
      <c r="AA221" s="36">
        <f t="shared" si="32"/>
        <v>6.9605568445475635E-3</v>
      </c>
      <c r="AB221" s="41">
        <v>2.4298248631460169</v>
      </c>
      <c r="AC221" s="22">
        <f t="shared" si="28"/>
        <v>1.6912934082222855E-4</v>
      </c>
      <c r="AD221" s="41">
        <v>10386.160235226404</v>
      </c>
      <c r="AE221" s="36">
        <f t="shared" si="27"/>
        <v>1.6284106637272747E-6</v>
      </c>
    </row>
    <row r="222" spans="1:31" customFormat="1" ht="20.25" customHeight="1">
      <c r="A222" s="35">
        <v>41542</v>
      </c>
      <c r="B222" s="64" t="s">
        <v>157</v>
      </c>
      <c r="C222" s="164">
        <v>2013</v>
      </c>
      <c r="D222" s="65">
        <v>5</v>
      </c>
      <c r="E222" s="36" t="s">
        <v>223</v>
      </c>
      <c r="F222" s="36" t="s">
        <v>267</v>
      </c>
      <c r="G222" s="36" t="s">
        <v>278</v>
      </c>
      <c r="H222" s="36" t="s">
        <v>279</v>
      </c>
      <c r="I222" s="36" t="s">
        <v>280</v>
      </c>
      <c r="J222" s="36" t="s">
        <v>284</v>
      </c>
      <c r="K222" s="36" t="s">
        <v>285</v>
      </c>
      <c r="L222" s="36">
        <v>16</v>
      </c>
      <c r="M222" s="36" t="s">
        <v>247</v>
      </c>
      <c r="N222" s="36" t="s">
        <v>283</v>
      </c>
      <c r="O222" s="36">
        <v>41</v>
      </c>
      <c r="P222" s="36">
        <f t="shared" si="29"/>
        <v>39.024390243902438</v>
      </c>
      <c r="Q222" s="36">
        <v>2.334530650204746</v>
      </c>
      <c r="R222" s="40">
        <f t="shared" si="30"/>
        <v>0.91103635129941307</v>
      </c>
      <c r="S222" s="36">
        <v>7247.1936664414898</v>
      </c>
      <c r="T222" s="40">
        <f t="shared" si="31"/>
        <v>1.2570884582787054E-2</v>
      </c>
      <c r="U222" s="110"/>
      <c r="V222" s="36">
        <v>1000</v>
      </c>
      <c r="W222" s="36"/>
      <c r="X222" s="36"/>
      <c r="Y222" s="36">
        <v>16</v>
      </c>
      <c r="Z222" s="3">
        <v>431</v>
      </c>
      <c r="AA222" s="36">
        <f t="shared" si="32"/>
        <v>3.7122969837587005E-2</v>
      </c>
      <c r="AB222" s="41">
        <v>2.4298248631460169</v>
      </c>
      <c r="AC222" s="22">
        <f t="shared" si="28"/>
        <v>9.0202315105188558E-4</v>
      </c>
      <c r="AD222" s="41">
        <v>10386.160235226404</v>
      </c>
      <c r="AE222" s="36">
        <f t="shared" si="27"/>
        <v>8.684856873212132E-6</v>
      </c>
    </row>
    <row r="223" spans="1:31" customFormat="1" ht="20.25" customHeight="1">
      <c r="A223" s="71">
        <v>41542</v>
      </c>
      <c r="B223" s="64" t="s">
        <v>157</v>
      </c>
      <c r="C223" s="164">
        <v>2013</v>
      </c>
      <c r="D223" s="51">
        <v>5</v>
      </c>
      <c r="E223" s="3" t="s">
        <v>223</v>
      </c>
      <c r="F223" s="3" t="s">
        <v>224</v>
      </c>
      <c r="G223" s="3" t="s">
        <v>225</v>
      </c>
      <c r="H223" s="3" t="s">
        <v>226</v>
      </c>
      <c r="I223" s="3" t="s">
        <v>227</v>
      </c>
      <c r="J223" s="3" t="s">
        <v>228</v>
      </c>
      <c r="K223" s="3"/>
      <c r="L223" s="3">
        <v>94</v>
      </c>
      <c r="M223" s="3" t="s">
        <v>229</v>
      </c>
      <c r="N223" s="3" t="s">
        <v>228</v>
      </c>
      <c r="O223" s="3">
        <v>206</v>
      </c>
      <c r="P223" s="3">
        <f t="shared" si="29"/>
        <v>45.631067961165051</v>
      </c>
      <c r="Q223" s="36">
        <v>7244.8591357912856</v>
      </c>
      <c r="R223" s="8">
        <f t="shared" si="30"/>
        <v>3305.9065959435966</v>
      </c>
      <c r="S223" s="36">
        <v>7247.1936664414898</v>
      </c>
      <c r="T223" s="8">
        <f t="shared" si="31"/>
        <v>45.616368874641374</v>
      </c>
      <c r="U223" s="109"/>
      <c r="V223" s="3">
        <v>250</v>
      </c>
      <c r="W223" s="3"/>
      <c r="X223" s="3"/>
      <c r="Y223" s="36">
        <f>94+64</f>
        <v>158</v>
      </c>
      <c r="Z223" s="3">
        <v>431</v>
      </c>
      <c r="AA223" s="36">
        <f t="shared" si="32"/>
        <v>0.36658932714617171</v>
      </c>
      <c r="AB223" s="3">
        <v>10383.730410363258</v>
      </c>
      <c r="AC223" s="22">
        <f t="shared" si="28"/>
        <v>38.065647444023085</v>
      </c>
      <c r="AD223" s="41">
        <v>10386.160235226404</v>
      </c>
      <c r="AE223" s="36">
        <f t="shared" si="27"/>
        <v>0.36650356418454877</v>
      </c>
    </row>
    <row r="224" spans="1:31" customFormat="1" ht="20.25" customHeight="1">
      <c r="A224" s="71">
        <v>41542</v>
      </c>
      <c r="B224" s="64" t="s">
        <v>157</v>
      </c>
      <c r="C224" s="164">
        <v>2013</v>
      </c>
      <c r="D224" s="51">
        <v>5</v>
      </c>
      <c r="E224" s="3" t="s">
        <v>223</v>
      </c>
      <c r="F224" s="3" t="s">
        <v>224</v>
      </c>
      <c r="G224" s="3" t="s">
        <v>304</v>
      </c>
      <c r="H224" s="3" t="s">
        <v>329</v>
      </c>
      <c r="I224" s="3" t="s">
        <v>330</v>
      </c>
      <c r="J224" s="3" t="s">
        <v>307</v>
      </c>
      <c r="K224" s="3"/>
      <c r="L224" s="3">
        <v>3</v>
      </c>
      <c r="M224" s="3" t="s">
        <v>229</v>
      </c>
      <c r="N224" s="3" t="s">
        <v>307</v>
      </c>
      <c r="O224" s="3">
        <v>206</v>
      </c>
      <c r="P224" s="3">
        <f t="shared" si="29"/>
        <v>1.4563106796116505</v>
      </c>
      <c r="Q224" s="36">
        <v>7244.8591357912856</v>
      </c>
      <c r="R224" s="8">
        <f t="shared" si="30"/>
        <v>105.50765731734882</v>
      </c>
      <c r="S224" s="36">
        <v>7247.1936664414898</v>
      </c>
      <c r="T224" s="8">
        <f t="shared" si="31"/>
        <v>1.4558415598289798</v>
      </c>
      <c r="U224" s="109"/>
      <c r="V224" s="3">
        <v>250</v>
      </c>
      <c r="W224" s="3" t="s">
        <v>354</v>
      </c>
      <c r="X224" s="3"/>
      <c r="Y224" s="36">
        <v>21</v>
      </c>
      <c r="Z224" s="3">
        <v>431</v>
      </c>
      <c r="AA224" s="36">
        <f t="shared" si="32"/>
        <v>4.8723897911832945E-2</v>
      </c>
      <c r="AB224" s="3">
        <v>10383.730410363258</v>
      </c>
      <c r="AC224" s="22">
        <f t="shared" si="28"/>
        <v>5.0593582045853456</v>
      </c>
      <c r="AD224" s="41">
        <v>10386.160235226404</v>
      </c>
      <c r="AE224" s="36">
        <f t="shared" si="27"/>
        <v>4.871249903718685E-2</v>
      </c>
    </row>
    <row r="225" spans="1:31" customFormat="1" ht="20.25" customHeight="1">
      <c r="A225" s="71">
        <v>41542</v>
      </c>
      <c r="B225" s="64" t="s">
        <v>157</v>
      </c>
      <c r="C225" s="164">
        <v>2013</v>
      </c>
      <c r="D225" s="51">
        <v>5</v>
      </c>
      <c r="E225" s="51" t="s">
        <v>295</v>
      </c>
      <c r="F225" s="3" t="s">
        <v>296</v>
      </c>
      <c r="G225" s="3"/>
      <c r="H225" s="51" t="s">
        <v>297</v>
      </c>
      <c r="I225" s="51" t="s">
        <v>298</v>
      </c>
      <c r="J225" s="51" t="s">
        <v>299</v>
      </c>
      <c r="K225" s="3"/>
      <c r="L225" s="3">
        <v>6</v>
      </c>
      <c r="M225" s="3" t="s">
        <v>229</v>
      </c>
      <c r="N225" s="3" t="s">
        <v>479</v>
      </c>
      <c r="O225" s="3">
        <v>206</v>
      </c>
      <c r="P225" s="3">
        <f t="shared" si="29"/>
        <v>2.912621359223301</v>
      </c>
      <c r="Q225" s="36">
        <v>7244.8591357912856</v>
      </c>
      <c r="R225" s="8">
        <f t="shared" si="30"/>
        <v>211.01531463469763</v>
      </c>
      <c r="S225" s="36">
        <v>7247.1936664414898</v>
      </c>
      <c r="T225" s="8">
        <f t="shared" si="31"/>
        <v>2.9116831196579596</v>
      </c>
      <c r="U225" s="109"/>
      <c r="V225" s="3">
        <v>250</v>
      </c>
      <c r="W225" s="3"/>
      <c r="X225" s="3"/>
      <c r="Y225" s="36">
        <v>13</v>
      </c>
      <c r="Z225" s="3">
        <v>431</v>
      </c>
      <c r="AA225" s="36">
        <f t="shared" si="32"/>
        <v>3.0162412993039442E-2</v>
      </c>
      <c r="AB225" s="3">
        <v>10383.730410363258</v>
      </c>
      <c r="AC225" s="22">
        <f t="shared" si="28"/>
        <v>3.1319836504575949</v>
      </c>
      <c r="AD225" s="41">
        <v>10386.160235226404</v>
      </c>
      <c r="AE225" s="36">
        <f t="shared" si="27"/>
        <v>3.0155356546829954E-2</v>
      </c>
    </row>
    <row r="226" spans="1:31" customFormat="1" ht="20.25" customHeight="1">
      <c r="A226" s="71">
        <v>41542</v>
      </c>
      <c r="B226" s="64" t="s">
        <v>157</v>
      </c>
      <c r="C226" s="164">
        <v>2013</v>
      </c>
      <c r="D226" s="51">
        <v>5</v>
      </c>
      <c r="E226" s="51" t="s">
        <v>223</v>
      </c>
      <c r="F226" s="51" t="s">
        <v>224</v>
      </c>
      <c r="G226" s="51" t="s">
        <v>225</v>
      </c>
      <c r="H226" s="51" t="s">
        <v>226</v>
      </c>
      <c r="I226" s="51" t="s">
        <v>235</v>
      </c>
      <c r="J226" s="51" t="s">
        <v>236</v>
      </c>
      <c r="K226" s="3" t="s">
        <v>237</v>
      </c>
      <c r="L226" s="3">
        <v>8</v>
      </c>
      <c r="M226" s="3" t="s">
        <v>247</v>
      </c>
      <c r="N226" s="3" t="s">
        <v>238</v>
      </c>
      <c r="O226" s="3">
        <v>206</v>
      </c>
      <c r="P226" s="3">
        <f t="shared" si="29"/>
        <v>3.8834951456310676</v>
      </c>
      <c r="Q226" s="36">
        <v>7244.8591357912856</v>
      </c>
      <c r="R226" s="8">
        <f t="shared" si="30"/>
        <v>281.35375284626349</v>
      </c>
      <c r="S226" s="36">
        <v>7247.1936664414898</v>
      </c>
      <c r="T226" s="8">
        <f t="shared" si="31"/>
        <v>3.8822441595439461</v>
      </c>
      <c r="U226" s="109"/>
      <c r="V226" s="3">
        <v>250</v>
      </c>
      <c r="W226" s="3"/>
      <c r="X226" s="3"/>
      <c r="Y226" s="36">
        <v>23</v>
      </c>
      <c r="Z226" s="3">
        <v>431</v>
      </c>
      <c r="AA226" s="36">
        <f t="shared" si="32"/>
        <v>5.336426914153132E-2</v>
      </c>
      <c r="AB226" s="3">
        <v>10383.730410363258</v>
      </c>
      <c r="AC226" s="22">
        <f t="shared" si="28"/>
        <v>5.5412018431172836</v>
      </c>
      <c r="AD226" s="41">
        <v>10386.160235226404</v>
      </c>
      <c r="AE226" s="36">
        <f t="shared" si="27"/>
        <v>5.335178465977608E-2</v>
      </c>
    </row>
    <row r="227" spans="1:31" customFormat="1" ht="20.25" customHeight="1">
      <c r="A227" s="71">
        <v>41542</v>
      </c>
      <c r="B227" s="64" t="s">
        <v>157</v>
      </c>
      <c r="C227" s="164">
        <v>2013</v>
      </c>
      <c r="D227" s="51">
        <v>5</v>
      </c>
      <c r="E227" s="3" t="s">
        <v>223</v>
      </c>
      <c r="F227" s="3" t="s">
        <v>310</v>
      </c>
      <c r="G227" s="3" t="s">
        <v>314</v>
      </c>
      <c r="H227" s="3" t="s">
        <v>311</v>
      </c>
      <c r="I227" s="3" t="s">
        <v>315</v>
      </c>
      <c r="J227" s="3" t="s">
        <v>347</v>
      </c>
      <c r="K227" s="3" t="s">
        <v>348</v>
      </c>
      <c r="L227" s="3">
        <v>1</v>
      </c>
      <c r="M227" s="3" t="s">
        <v>247</v>
      </c>
      <c r="N227" s="3" t="s">
        <v>345</v>
      </c>
      <c r="O227" s="3">
        <v>206</v>
      </c>
      <c r="P227" s="3">
        <f t="shared" si="29"/>
        <v>0.48543689320388345</v>
      </c>
      <c r="Q227" s="36">
        <v>7244.8591357912856</v>
      </c>
      <c r="R227" s="8">
        <f t="shared" si="30"/>
        <v>35.169219105782936</v>
      </c>
      <c r="S227" s="36">
        <v>7247.1936664414898</v>
      </c>
      <c r="T227" s="8">
        <f t="shared" si="31"/>
        <v>0.48528051994299326</v>
      </c>
      <c r="U227" s="109"/>
      <c r="V227" s="3">
        <v>250</v>
      </c>
      <c r="W227" s="3"/>
      <c r="X227" s="3"/>
      <c r="Y227" s="36">
        <v>1</v>
      </c>
      <c r="Z227" s="3">
        <v>431</v>
      </c>
      <c r="AA227" s="36">
        <f t="shared" si="32"/>
        <v>2.3201856148491878E-3</v>
      </c>
      <c r="AB227" s="3">
        <v>10383.730410363258</v>
      </c>
      <c r="AC227" s="22">
        <f t="shared" si="28"/>
        <v>0.24092181926596884</v>
      </c>
      <c r="AD227" s="41">
        <v>10386.160235226404</v>
      </c>
      <c r="AE227" s="36">
        <f t="shared" si="27"/>
        <v>2.319642811294612E-3</v>
      </c>
    </row>
    <row r="228" spans="1:31" customFormat="1" ht="20.25" customHeight="1">
      <c r="A228" s="71">
        <v>41542</v>
      </c>
      <c r="B228" s="64" t="s">
        <v>157</v>
      </c>
      <c r="C228" s="164">
        <v>2013</v>
      </c>
      <c r="D228" s="51">
        <v>5</v>
      </c>
      <c r="E228" s="51" t="s">
        <v>223</v>
      </c>
      <c r="F228" s="3" t="s">
        <v>224</v>
      </c>
      <c r="G228" s="3" t="s">
        <v>225</v>
      </c>
      <c r="H228" s="51" t="s">
        <v>226</v>
      </c>
      <c r="I228" s="51" t="s">
        <v>239</v>
      </c>
      <c r="J228" s="51" t="s">
        <v>240</v>
      </c>
      <c r="K228" s="3"/>
      <c r="L228" s="3">
        <v>46</v>
      </c>
      <c r="M228" s="3" t="s">
        <v>229</v>
      </c>
      <c r="N228" s="3" t="s">
        <v>240</v>
      </c>
      <c r="O228" s="3">
        <v>206</v>
      </c>
      <c r="P228" s="3">
        <f t="shared" si="29"/>
        <v>22.330097087378643</v>
      </c>
      <c r="Q228" s="36">
        <v>7244.8591357912856</v>
      </c>
      <c r="R228" s="8">
        <f t="shared" si="30"/>
        <v>1617.7840788660153</v>
      </c>
      <c r="S228" s="36">
        <v>7247.1936664414898</v>
      </c>
      <c r="T228" s="8">
        <f t="shared" si="31"/>
        <v>22.322903917377694</v>
      </c>
      <c r="U228" s="109"/>
      <c r="V228" s="3">
        <v>250</v>
      </c>
      <c r="W228" s="3"/>
      <c r="X228" s="3"/>
      <c r="Y228" s="36">
        <f>46+27</f>
        <v>73</v>
      </c>
      <c r="Z228" s="3">
        <v>431</v>
      </c>
      <c r="AA228" s="36">
        <f t="shared" si="32"/>
        <v>0.16937354988399073</v>
      </c>
      <c r="AB228" s="3">
        <v>10383.730410363258</v>
      </c>
      <c r="AC228" s="22">
        <f t="shared" si="28"/>
        <v>17.587292806415729</v>
      </c>
      <c r="AD228" s="41">
        <v>10386.160235226404</v>
      </c>
      <c r="AE228" s="36">
        <f t="shared" si="27"/>
        <v>0.16933392522450672</v>
      </c>
    </row>
    <row r="229" spans="1:31" customFormat="1" ht="20.25" customHeight="1">
      <c r="A229" s="71">
        <v>41542</v>
      </c>
      <c r="B229" s="64" t="s">
        <v>157</v>
      </c>
      <c r="C229" s="164">
        <v>2013</v>
      </c>
      <c r="D229" s="51">
        <v>5</v>
      </c>
      <c r="E229" s="3" t="s">
        <v>223</v>
      </c>
      <c r="F229" s="3" t="s">
        <v>224</v>
      </c>
      <c r="G229" s="3" t="s">
        <v>225</v>
      </c>
      <c r="H229" s="3" t="s">
        <v>248</v>
      </c>
      <c r="I229" s="3" t="s">
        <v>249</v>
      </c>
      <c r="J229" s="3" t="s">
        <v>250</v>
      </c>
      <c r="K229" s="3" t="s">
        <v>251</v>
      </c>
      <c r="L229" s="3">
        <v>22</v>
      </c>
      <c r="M229" s="3" t="s">
        <v>247</v>
      </c>
      <c r="N229" s="3" t="s">
        <v>250</v>
      </c>
      <c r="O229" s="3">
        <v>206</v>
      </c>
      <c r="P229" s="3">
        <f t="shared" si="29"/>
        <v>10.679611650485436</v>
      </c>
      <c r="Q229" s="36">
        <v>7244.8591357912856</v>
      </c>
      <c r="R229" s="8">
        <f t="shared" si="30"/>
        <v>773.72282032722467</v>
      </c>
      <c r="S229" s="36">
        <v>7247.1936664414898</v>
      </c>
      <c r="T229" s="8">
        <f t="shared" si="31"/>
        <v>10.676171438745852</v>
      </c>
      <c r="U229" s="109"/>
      <c r="V229" s="3">
        <v>250</v>
      </c>
      <c r="W229" s="3"/>
      <c r="X229" s="3"/>
      <c r="Y229" s="36">
        <f>22+24</f>
        <v>46</v>
      </c>
      <c r="Z229" s="3">
        <v>431</v>
      </c>
      <c r="AA229" s="36">
        <f t="shared" si="32"/>
        <v>0.10672853828306264</v>
      </c>
      <c r="AB229" s="3">
        <v>10383.730410363258</v>
      </c>
      <c r="AC229" s="22">
        <f t="shared" si="28"/>
        <v>11.082403686234567</v>
      </c>
      <c r="AD229" s="41">
        <v>10386.160235226404</v>
      </c>
      <c r="AE229" s="36">
        <f t="shared" si="27"/>
        <v>0.10670356931955216</v>
      </c>
    </row>
    <row r="230" spans="1:31" customFormat="1" ht="20.25" customHeight="1">
      <c r="A230" s="71">
        <v>41542</v>
      </c>
      <c r="B230" s="64" t="s">
        <v>157</v>
      </c>
      <c r="C230" s="164">
        <v>2013</v>
      </c>
      <c r="D230" s="51">
        <v>5</v>
      </c>
      <c r="E230" s="51" t="s">
        <v>223</v>
      </c>
      <c r="F230" s="51" t="s">
        <v>224</v>
      </c>
      <c r="G230" s="51" t="s">
        <v>225</v>
      </c>
      <c r="H230" s="51" t="s">
        <v>226</v>
      </c>
      <c r="I230" s="51" t="s">
        <v>253</v>
      </c>
      <c r="J230" s="51" t="s">
        <v>256</v>
      </c>
      <c r="K230" s="51"/>
      <c r="L230" s="51">
        <v>19</v>
      </c>
      <c r="M230" s="51" t="s">
        <v>229</v>
      </c>
      <c r="N230" s="51" t="s">
        <v>256</v>
      </c>
      <c r="O230" s="3">
        <v>206</v>
      </c>
      <c r="P230" s="3">
        <f t="shared" si="29"/>
        <v>9.2233009708737868</v>
      </c>
      <c r="Q230" s="36">
        <v>7244.8591357912856</v>
      </c>
      <c r="R230" s="8">
        <f t="shared" si="30"/>
        <v>668.21516300987582</v>
      </c>
      <c r="S230" s="36">
        <v>7247.1936664414898</v>
      </c>
      <c r="T230" s="8">
        <f t="shared" si="31"/>
        <v>9.2203298789168713</v>
      </c>
      <c r="U230" s="109"/>
      <c r="V230" s="3">
        <v>250</v>
      </c>
      <c r="W230" s="3"/>
      <c r="X230" s="3"/>
      <c r="Y230" s="36">
        <f>31+19</f>
        <v>50</v>
      </c>
      <c r="Z230" s="3">
        <v>431</v>
      </c>
      <c r="AA230" s="36">
        <f t="shared" si="32"/>
        <v>0.11600928074245939</v>
      </c>
      <c r="AB230" s="3">
        <v>10383.730410363258</v>
      </c>
      <c r="AC230" s="22">
        <f t="shared" si="28"/>
        <v>12.046090963298443</v>
      </c>
      <c r="AD230" s="41">
        <v>10386.160235226404</v>
      </c>
      <c r="AE230" s="36">
        <f t="shared" si="27"/>
        <v>0.11598214056473062</v>
      </c>
    </row>
    <row r="231" spans="1:31" customFormat="1" ht="20.25" customHeight="1">
      <c r="A231" s="71">
        <v>41542</v>
      </c>
      <c r="B231" s="64" t="s">
        <v>157</v>
      </c>
      <c r="C231" s="164">
        <v>2013</v>
      </c>
      <c r="D231" s="51">
        <v>5</v>
      </c>
      <c r="E231" s="3" t="s">
        <v>223</v>
      </c>
      <c r="F231" s="3" t="s">
        <v>224</v>
      </c>
      <c r="G231" s="3" t="s">
        <v>225</v>
      </c>
      <c r="H231" s="3" t="s">
        <v>226</v>
      </c>
      <c r="I231" s="3" t="s">
        <v>239</v>
      </c>
      <c r="J231" s="3" t="s">
        <v>258</v>
      </c>
      <c r="K231" s="3" t="s">
        <v>259</v>
      </c>
      <c r="L231" s="3">
        <v>1</v>
      </c>
      <c r="M231" s="3" t="s">
        <v>247</v>
      </c>
      <c r="N231" s="3" t="s">
        <v>260</v>
      </c>
      <c r="O231" s="3">
        <v>206</v>
      </c>
      <c r="P231" s="3">
        <f t="shared" si="29"/>
        <v>0.48543689320388345</v>
      </c>
      <c r="Q231" s="36">
        <v>7244.8591357912856</v>
      </c>
      <c r="R231" s="8">
        <f t="shared" si="30"/>
        <v>35.169219105782936</v>
      </c>
      <c r="S231" s="36">
        <v>7247.1936664414898</v>
      </c>
      <c r="T231" s="8">
        <f t="shared" si="31"/>
        <v>0.48528051994299326</v>
      </c>
      <c r="U231" s="109"/>
      <c r="V231" s="3">
        <v>250</v>
      </c>
      <c r="W231" s="3"/>
      <c r="X231" s="3"/>
      <c r="Y231" s="36">
        <v>3</v>
      </c>
      <c r="Z231" s="3">
        <v>431</v>
      </c>
      <c r="AA231" s="36">
        <f t="shared" si="32"/>
        <v>6.9605568445475635E-3</v>
      </c>
      <c r="AB231" s="3">
        <v>10383.730410363258</v>
      </c>
      <c r="AC231" s="22">
        <f t="shared" si="28"/>
        <v>0.72276545779790657</v>
      </c>
      <c r="AD231" s="41">
        <v>10386.160235226404</v>
      </c>
      <c r="AE231" s="36">
        <f t="shared" si="27"/>
        <v>6.9589284338838365E-3</v>
      </c>
    </row>
    <row r="232" spans="1:31" customFormat="1" ht="20.25" customHeight="1">
      <c r="A232" s="13">
        <v>41542</v>
      </c>
      <c r="B232" s="64" t="s">
        <v>157</v>
      </c>
      <c r="C232" s="164">
        <v>2013</v>
      </c>
      <c r="D232" s="51">
        <v>5</v>
      </c>
      <c r="E232" s="51" t="s">
        <v>328</v>
      </c>
      <c r="F232" s="3"/>
      <c r="G232" s="3"/>
      <c r="H232" s="51"/>
      <c r="I232" s="51"/>
      <c r="J232" s="51"/>
      <c r="K232" s="3"/>
      <c r="L232" s="3">
        <v>1</v>
      </c>
      <c r="M232" s="3" t="s">
        <v>328</v>
      </c>
      <c r="N232" s="3" t="s">
        <v>328</v>
      </c>
      <c r="O232" s="3">
        <v>206</v>
      </c>
      <c r="P232" s="3">
        <f t="shared" si="29"/>
        <v>0.48543689320388345</v>
      </c>
      <c r="Q232" s="36">
        <v>7244.8591357912856</v>
      </c>
      <c r="R232" s="8">
        <f t="shared" si="30"/>
        <v>35.169219105782936</v>
      </c>
      <c r="S232" s="36">
        <v>7247.1936664414898</v>
      </c>
      <c r="T232" s="8">
        <f t="shared" si="31"/>
        <v>0.48528051994299326</v>
      </c>
      <c r="U232" s="109"/>
      <c r="V232" s="3">
        <v>250</v>
      </c>
      <c r="W232" s="3"/>
      <c r="X232" s="3"/>
      <c r="Y232" s="36">
        <v>1</v>
      </c>
      <c r="Z232" s="3">
        <v>431</v>
      </c>
      <c r="AA232" s="36">
        <f t="shared" si="32"/>
        <v>2.3201856148491878E-3</v>
      </c>
      <c r="AB232" s="3">
        <v>10383.730410363258</v>
      </c>
      <c r="AC232" s="22">
        <f t="shared" si="28"/>
        <v>0.24092181926596884</v>
      </c>
      <c r="AD232" s="41">
        <v>10386.160235226404</v>
      </c>
      <c r="AE232" s="36">
        <f t="shared" si="27"/>
        <v>2.319642811294612E-3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42"/>
  <sheetViews>
    <sheetView topLeftCell="A363" workbookViewId="0">
      <selection activeCell="A363" sqref="A1:XFD1048576"/>
    </sheetView>
  </sheetViews>
  <sheetFormatPr baseColWidth="10" defaultColWidth="14.5" defaultRowHeight="15" customHeight="1" x14ac:dyDescent="0"/>
  <cols>
    <col min="1" max="1" width="9.6640625" customWidth="1"/>
    <col min="2" max="2" width="9.6640625" style="38" customWidth="1"/>
    <col min="3" max="3" width="9.6640625" style="162" customWidth="1"/>
    <col min="4" max="12" width="9.1640625" customWidth="1"/>
    <col min="13" max="13" width="12" bestFit="1" customWidth="1"/>
    <col min="14" max="14" width="9.5" customWidth="1"/>
    <col min="15" max="15" width="18.5" customWidth="1"/>
    <col min="16" max="16" width="15.5" style="38" customWidth="1"/>
    <col min="17" max="17" width="11.1640625" customWidth="1"/>
    <col min="18" max="18" width="22.6640625" customWidth="1"/>
    <col min="19" max="19" width="9.1640625" customWidth="1"/>
    <col min="20" max="26" width="9.1640625" style="38" customWidth="1"/>
    <col min="27" max="16384" width="14.5" style="38"/>
  </cols>
  <sheetData>
    <row r="1" spans="1:26" ht="14">
      <c r="A1" s="3" t="s">
        <v>190</v>
      </c>
      <c r="B1" s="36" t="s">
        <v>131</v>
      </c>
      <c r="C1" s="163" t="s">
        <v>692</v>
      </c>
      <c r="D1" s="3" t="s">
        <v>191</v>
      </c>
      <c r="E1" s="3" t="s">
        <v>192</v>
      </c>
      <c r="F1" s="3" t="s">
        <v>193</v>
      </c>
      <c r="G1" s="3" t="s">
        <v>194</v>
      </c>
      <c r="H1" s="3" t="s">
        <v>195</v>
      </c>
      <c r="I1" s="3" t="s">
        <v>196</v>
      </c>
      <c r="J1" s="3" t="s">
        <v>197</v>
      </c>
      <c r="K1" s="3" t="s">
        <v>198</v>
      </c>
      <c r="L1" s="3" t="s">
        <v>199</v>
      </c>
      <c r="M1" s="3" t="s">
        <v>200</v>
      </c>
      <c r="N1" s="3" t="s">
        <v>201</v>
      </c>
      <c r="O1" s="3" t="s">
        <v>202</v>
      </c>
      <c r="P1" s="36" t="s">
        <v>709</v>
      </c>
      <c r="Q1" s="3" t="s">
        <v>206</v>
      </c>
      <c r="R1" s="3" t="s">
        <v>207</v>
      </c>
      <c r="S1" s="3" t="s">
        <v>208</v>
      </c>
      <c r="T1" s="36"/>
      <c r="U1" s="36"/>
      <c r="V1" s="36"/>
      <c r="W1" s="36"/>
      <c r="X1" s="36"/>
      <c r="Y1" s="36"/>
      <c r="Z1" s="36"/>
    </row>
    <row r="2" spans="1:26" ht="14">
      <c r="A2" s="71">
        <v>42263</v>
      </c>
      <c r="B2" s="72" t="s">
        <v>157</v>
      </c>
      <c r="C2" s="168">
        <v>2015</v>
      </c>
      <c r="D2" s="65">
        <v>8</v>
      </c>
      <c r="E2" s="65" t="s">
        <v>223</v>
      </c>
      <c r="F2" s="65" t="s">
        <v>224</v>
      </c>
      <c r="G2" s="65" t="s">
        <v>225</v>
      </c>
      <c r="H2" s="65"/>
      <c r="I2" s="51"/>
      <c r="J2" s="3"/>
      <c r="K2" s="3"/>
      <c r="L2" s="3">
        <v>2</v>
      </c>
      <c r="M2" s="3" t="s">
        <v>328</v>
      </c>
      <c r="N2" s="36" t="s">
        <v>370</v>
      </c>
      <c r="O2" s="3">
        <v>244</v>
      </c>
      <c r="P2" s="36">
        <v>0.81967213114754101</v>
      </c>
      <c r="Q2" s="3">
        <v>250</v>
      </c>
      <c r="R2" s="3"/>
      <c r="S2" s="3"/>
      <c r="T2" s="36"/>
      <c r="U2" s="36"/>
      <c r="V2" s="36"/>
      <c r="W2" s="36"/>
      <c r="X2" s="36"/>
      <c r="Y2" s="36"/>
      <c r="Z2" s="36"/>
    </row>
    <row r="3" spans="1:26" ht="14">
      <c r="A3" s="35">
        <v>41761</v>
      </c>
      <c r="B3" s="35" t="s">
        <v>144</v>
      </c>
      <c r="C3" s="168">
        <v>2014</v>
      </c>
      <c r="D3" s="65">
        <v>2</v>
      </c>
      <c r="E3" s="65" t="s">
        <v>223</v>
      </c>
      <c r="F3" s="65" t="s">
        <v>224</v>
      </c>
      <c r="G3" s="65" t="s">
        <v>225</v>
      </c>
      <c r="H3" s="65" t="s">
        <v>226</v>
      </c>
      <c r="I3" s="36"/>
      <c r="J3" s="36"/>
      <c r="K3" s="36"/>
      <c r="L3" s="36">
        <v>1</v>
      </c>
      <c r="M3" s="36" t="s">
        <v>508</v>
      </c>
      <c r="N3" s="36" t="s">
        <v>600</v>
      </c>
      <c r="O3" s="36">
        <v>29</v>
      </c>
      <c r="P3" s="36">
        <v>3.4266060403794367</v>
      </c>
      <c r="Q3" s="65">
        <v>250</v>
      </c>
      <c r="R3" s="65"/>
      <c r="S3" s="65"/>
      <c r="T3" s="65"/>
      <c r="U3" s="36"/>
      <c r="V3" s="36"/>
      <c r="W3" s="36"/>
      <c r="X3" s="36"/>
      <c r="Y3" s="36"/>
      <c r="Z3" s="36"/>
    </row>
    <row r="4" spans="1:26" ht="14">
      <c r="A4" s="35">
        <v>42928</v>
      </c>
      <c r="B4" s="72" t="s">
        <v>154</v>
      </c>
      <c r="C4" s="168">
        <v>2017</v>
      </c>
      <c r="D4" s="65">
        <v>5</v>
      </c>
      <c r="E4" s="65" t="s">
        <v>328</v>
      </c>
      <c r="F4" s="65"/>
      <c r="G4" s="65"/>
      <c r="H4" s="65"/>
      <c r="I4" s="65"/>
      <c r="J4" s="36"/>
      <c r="K4" s="36"/>
      <c r="L4" s="36">
        <v>3</v>
      </c>
      <c r="M4" s="36"/>
      <c r="N4" s="36" t="s">
        <v>370</v>
      </c>
      <c r="O4" s="36">
        <v>385</v>
      </c>
      <c r="P4" s="36">
        <v>0.77887930969300834</v>
      </c>
      <c r="Q4" s="65">
        <v>250</v>
      </c>
      <c r="R4" s="65"/>
      <c r="S4" s="65"/>
      <c r="T4" s="65"/>
      <c r="U4" s="36"/>
      <c r="V4" s="36"/>
      <c r="W4" s="36"/>
      <c r="X4" s="36"/>
      <c r="Y4" s="36"/>
      <c r="Z4" s="36"/>
    </row>
    <row r="5" spans="1:26" ht="14">
      <c r="A5" s="72">
        <v>42571</v>
      </c>
      <c r="B5" s="72" t="s">
        <v>154</v>
      </c>
      <c r="C5" s="168">
        <v>2016</v>
      </c>
      <c r="D5" s="65">
        <v>8</v>
      </c>
      <c r="E5" s="65" t="s">
        <v>328</v>
      </c>
      <c r="F5" s="65"/>
      <c r="G5" s="65"/>
      <c r="H5" s="65"/>
      <c r="I5" s="65"/>
      <c r="J5" s="36"/>
      <c r="K5" s="36"/>
      <c r="L5" s="36">
        <v>1</v>
      </c>
      <c r="M5" s="36" t="s">
        <v>328</v>
      </c>
      <c r="N5" s="36" t="s">
        <v>370</v>
      </c>
      <c r="O5" s="36">
        <v>237</v>
      </c>
      <c r="P5" s="65">
        <v>0.42188226519275773</v>
      </c>
      <c r="Q5" s="36">
        <v>250</v>
      </c>
      <c r="R5" s="36"/>
      <c r="S5" s="36"/>
      <c r="T5" s="36"/>
      <c r="U5" s="36"/>
      <c r="V5" s="36"/>
      <c r="W5" s="36"/>
      <c r="X5" s="36"/>
      <c r="Y5" s="36"/>
      <c r="Z5" s="36"/>
    </row>
    <row r="6" spans="1:26" ht="14">
      <c r="A6" s="71">
        <v>42263</v>
      </c>
      <c r="B6" s="72" t="s">
        <v>157</v>
      </c>
      <c r="C6" s="168">
        <v>2015</v>
      </c>
      <c r="D6" s="65">
        <v>5</v>
      </c>
      <c r="E6" s="65" t="s">
        <v>328</v>
      </c>
      <c r="F6" s="51"/>
      <c r="G6" s="51"/>
      <c r="H6" s="51"/>
      <c r="I6" s="51"/>
      <c r="J6" s="3"/>
      <c r="K6" s="3"/>
      <c r="L6" s="36">
        <v>1</v>
      </c>
      <c r="M6" s="3" t="s">
        <v>328</v>
      </c>
      <c r="N6" s="3" t="s">
        <v>370</v>
      </c>
      <c r="O6" s="3">
        <v>222</v>
      </c>
      <c r="P6" s="36">
        <v>0.45032312577471006</v>
      </c>
      <c r="Q6" s="3">
        <v>250</v>
      </c>
      <c r="R6" s="3"/>
      <c r="S6" s="3"/>
      <c r="T6" s="36"/>
      <c r="U6" s="36"/>
      <c r="V6" s="36"/>
      <c r="W6" s="36"/>
      <c r="X6" s="36"/>
      <c r="Y6" s="36"/>
      <c r="Z6" s="36"/>
    </row>
    <row r="7" spans="1:26" ht="14">
      <c r="A7" s="35">
        <v>43019</v>
      </c>
      <c r="B7" s="35" t="s">
        <v>159</v>
      </c>
      <c r="C7" s="168">
        <v>2017</v>
      </c>
      <c r="D7" s="65">
        <v>2</v>
      </c>
      <c r="E7" s="36" t="s">
        <v>328</v>
      </c>
      <c r="F7" s="36" t="s">
        <v>706</v>
      </c>
      <c r="G7" s="36"/>
      <c r="H7" s="36"/>
      <c r="I7" s="36"/>
      <c r="J7" s="36"/>
      <c r="K7" s="36"/>
      <c r="L7" s="36">
        <v>16</v>
      </c>
      <c r="M7" s="36" t="s">
        <v>328</v>
      </c>
      <c r="N7" s="36" t="s">
        <v>328</v>
      </c>
      <c r="O7" s="36">
        <v>317</v>
      </c>
      <c r="P7" s="36">
        <v>5.3897771757349604E-2</v>
      </c>
      <c r="Q7" s="36">
        <v>1000</v>
      </c>
      <c r="R7" s="36"/>
      <c r="S7" s="36"/>
      <c r="T7" s="36"/>
      <c r="U7" s="36"/>
      <c r="V7" s="36"/>
      <c r="W7" s="36"/>
      <c r="X7" s="36"/>
      <c r="Y7" s="36"/>
      <c r="Z7" s="36"/>
    </row>
    <row r="8" spans="1:26" ht="14">
      <c r="A8" s="72">
        <v>42571</v>
      </c>
      <c r="B8" s="72" t="s">
        <v>154</v>
      </c>
      <c r="C8" s="168">
        <v>2016</v>
      </c>
      <c r="D8" s="65">
        <v>5</v>
      </c>
      <c r="E8" s="65" t="s">
        <v>370</v>
      </c>
      <c r="F8" s="65"/>
      <c r="G8" s="65"/>
      <c r="H8" s="65"/>
      <c r="I8" s="65"/>
      <c r="J8" s="36"/>
      <c r="K8" s="36"/>
      <c r="L8" s="36">
        <v>1</v>
      </c>
      <c r="M8" s="36" t="s">
        <v>328</v>
      </c>
      <c r="N8" s="36" t="s">
        <v>328</v>
      </c>
      <c r="O8" s="36">
        <v>211</v>
      </c>
      <c r="P8" s="65">
        <v>0.47388851784560487</v>
      </c>
      <c r="Q8" s="36">
        <v>250</v>
      </c>
      <c r="R8" s="36"/>
      <c r="S8" s="36"/>
      <c r="T8" s="36"/>
      <c r="U8" s="36"/>
      <c r="V8" s="36"/>
      <c r="W8" s="36"/>
      <c r="X8" s="36"/>
      <c r="Y8" s="36"/>
      <c r="Z8" s="36"/>
    </row>
    <row r="9" spans="1:26" ht="14">
      <c r="A9" s="35">
        <v>42515</v>
      </c>
      <c r="B9" s="35" t="s">
        <v>144</v>
      </c>
      <c r="C9" s="168">
        <v>2016</v>
      </c>
      <c r="D9" s="65">
        <v>4</v>
      </c>
      <c r="E9" s="36" t="s">
        <v>370</v>
      </c>
      <c r="F9" s="36"/>
      <c r="G9" s="36"/>
      <c r="H9" s="36"/>
      <c r="I9" s="36"/>
      <c r="J9" s="36"/>
      <c r="K9" s="36"/>
      <c r="L9" s="36">
        <v>2</v>
      </c>
      <c r="M9" s="36" t="s">
        <v>328</v>
      </c>
      <c r="N9" s="36" t="s">
        <v>328</v>
      </c>
      <c r="O9" s="36">
        <v>217</v>
      </c>
      <c r="P9" s="36">
        <v>0.9209290862393783</v>
      </c>
      <c r="Q9" s="36">
        <v>250</v>
      </c>
      <c r="R9" s="36"/>
      <c r="S9" s="36"/>
      <c r="T9" s="36"/>
      <c r="U9" s="36"/>
      <c r="V9" s="36"/>
      <c r="W9" s="36"/>
      <c r="X9" s="36"/>
      <c r="Y9" s="36"/>
      <c r="Z9" s="36"/>
    </row>
    <row r="10" spans="1:26" ht="14">
      <c r="A10" s="13">
        <v>41542</v>
      </c>
      <c r="B10" s="72" t="s">
        <v>157</v>
      </c>
      <c r="C10" s="168">
        <v>2013</v>
      </c>
      <c r="D10" s="51">
        <v>5</v>
      </c>
      <c r="E10" s="51" t="s">
        <v>328</v>
      </c>
      <c r="F10" s="3"/>
      <c r="G10" s="3"/>
      <c r="H10" s="51"/>
      <c r="I10" s="51"/>
      <c r="J10" s="51"/>
      <c r="K10" s="3"/>
      <c r="L10" s="3">
        <v>1</v>
      </c>
      <c r="M10" s="3" t="s">
        <v>328</v>
      </c>
      <c r="N10" s="3" t="s">
        <v>328</v>
      </c>
      <c r="O10" s="3">
        <v>206</v>
      </c>
      <c r="P10" s="36">
        <v>0.48528051994299326</v>
      </c>
      <c r="Q10" s="36">
        <v>250</v>
      </c>
      <c r="R10" s="36"/>
      <c r="S10" s="36"/>
      <c r="T10" s="36"/>
      <c r="U10" s="36"/>
      <c r="V10" s="36"/>
      <c r="W10" s="36"/>
      <c r="X10" s="36"/>
      <c r="Y10" s="36"/>
      <c r="Z10" s="36"/>
    </row>
    <row r="11" spans="1:26" ht="14">
      <c r="A11" s="13">
        <v>41480</v>
      </c>
      <c r="B11" s="35" t="s">
        <v>154</v>
      </c>
      <c r="C11" s="168">
        <v>2013</v>
      </c>
      <c r="D11" s="51">
        <v>8</v>
      </c>
      <c r="E11" s="3" t="s">
        <v>328</v>
      </c>
      <c r="F11" s="3"/>
      <c r="G11" s="3"/>
      <c r="H11" s="3"/>
      <c r="I11" s="3"/>
      <c r="J11" s="3"/>
      <c r="K11" s="3"/>
      <c r="L11" s="3">
        <v>2</v>
      </c>
      <c r="M11" s="3" t="s">
        <v>328</v>
      </c>
      <c r="N11" s="3" t="s">
        <v>328</v>
      </c>
      <c r="O11" s="3">
        <v>251</v>
      </c>
      <c r="P11" s="36">
        <v>0.79677730805595204</v>
      </c>
      <c r="Q11" s="3">
        <v>250</v>
      </c>
      <c r="R11" s="3" t="s">
        <v>353</v>
      </c>
      <c r="S11" s="3"/>
      <c r="T11" s="36"/>
      <c r="U11" s="36"/>
      <c r="V11" s="36"/>
      <c r="W11" s="36"/>
      <c r="X11" s="36"/>
      <c r="Y11" s="36"/>
      <c r="Z11" s="36"/>
    </row>
    <row r="12" spans="1:26" ht="14">
      <c r="A12" s="35">
        <v>41422</v>
      </c>
      <c r="B12" s="72" t="s">
        <v>144</v>
      </c>
      <c r="C12" s="168">
        <v>2013</v>
      </c>
      <c r="D12" s="65">
        <v>2</v>
      </c>
      <c r="E12" s="65" t="s">
        <v>328</v>
      </c>
      <c r="F12" s="65"/>
      <c r="G12" s="65"/>
      <c r="H12" s="65"/>
      <c r="I12" s="65"/>
      <c r="J12" s="36" t="s">
        <v>328</v>
      </c>
      <c r="K12" s="36"/>
      <c r="L12" s="36">
        <v>4</v>
      </c>
      <c r="M12" s="36" t="s">
        <v>328</v>
      </c>
      <c r="N12" s="36" t="s">
        <v>328</v>
      </c>
      <c r="O12" s="36">
        <v>8</v>
      </c>
      <c r="P12" s="36">
        <v>2.3601541466791342E-2</v>
      </c>
      <c r="Q12" s="36">
        <v>1000</v>
      </c>
      <c r="R12" s="36" t="s">
        <v>328</v>
      </c>
      <c r="S12" s="36"/>
      <c r="T12" s="36"/>
      <c r="U12" s="36"/>
      <c r="V12" s="36"/>
      <c r="W12" s="36"/>
      <c r="X12" s="36"/>
      <c r="Y12" s="36"/>
      <c r="Z12" s="36"/>
    </row>
    <row r="13" spans="1:26" ht="14">
      <c r="A13" s="13">
        <v>43019</v>
      </c>
      <c r="B13" s="72" t="s">
        <v>159</v>
      </c>
      <c r="C13" s="168">
        <v>2017</v>
      </c>
      <c r="D13" s="65">
        <v>4</v>
      </c>
      <c r="E13" s="65" t="s">
        <v>223</v>
      </c>
      <c r="F13" s="65" t="s">
        <v>224</v>
      </c>
      <c r="G13" s="65" t="s">
        <v>225</v>
      </c>
      <c r="H13" s="65" t="s">
        <v>226</v>
      </c>
      <c r="I13" s="65" t="s">
        <v>261</v>
      </c>
      <c r="J13" s="36" t="s">
        <v>262</v>
      </c>
      <c r="K13" s="36"/>
      <c r="L13" s="36">
        <v>9</v>
      </c>
      <c r="M13" s="3" t="s">
        <v>229</v>
      </c>
      <c r="N13" s="36" t="s">
        <v>264</v>
      </c>
      <c r="O13" s="3">
        <v>248</v>
      </c>
      <c r="P13" s="36">
        <v>3.5800816065298529</v>
      </c>
      <c r="Q13" s="36">
        <v>250</v>
      </c>
      <c r="R13" s="3"/>
      <c r="S13" s="3"/>
      <c r="T13" s="36"/>
      <c r="U13" s="36"/>
      <c r="V13" s="36"/>
      <c r="W13" s="36"/>
      <c r="X13" s="36"/>
      <c r="Y13" s="36"/>
      <c r="Z13" s="36"/>
    </row>
    <row r="14" spans="1:26" ht="14">
      <c r="A14" s="13">
        <v>43019</v>
      </c>
      <c r="B14" s="35" t="s">
        <v>159</v>
      </c>
      <c r="C14" s="168">
        <v>2017</v>
      </c>
      <c r="D14" s="65">
        <v>5</v>
      </c>
      <c r="E14" s="65" t="s">
        <v>223</v>
      </c>
      <c r="F14" s="65" t="s">
        <v>224</v>
      </c>
      <c r="G14" s="65" t="s">
        <v>225</v>
      </c>
      <c r="H14" s="65" t="s">
        <v>226</v>
      </c>
      <c r="I14" s="65" t="s">
        <v>261</v>
      </c>
      <c r="J14" s="36" t="s">
        <v>262</v>
      </c>
      <c r="K14" s="36"/>
      <c r="L14" s="36">
        <v>4</v>
      </c>
      <c r="M14" s="3" t="s">
        <v>229</v>
      </c>
      <c r="N14" s="36" t="s">
        <v>264</v>
      </c>
      <c r="O14" s="3">
        <v>255</v>
      </c>
      <c r="P14" s="36">
        <v>1.5682796488609068</v>
      </c>
      <c r="Q14" s="3">
        <v>250</v>
      </c>
      <c r="R14" s="3"/>
      <c r="S14" s="3"/>
      <c r="T14" s="36"/>
      <c r="U14" s="36"/>
      <c r="V14" s="36"/>
      <c r="W14" s="36"/>
      <c r="X14" s="36"/>
      <c r="Y14" s="36"/>
      <c r="Z14" s="36"/>
    </row>
    <row r="15" spans="1:26" ht="14">
      <c r="A15" s="13">
        <v>43019</v>
      </c>
      <c r="B15" s="35" t="s">
        <v>159</v>
      </c>
      <c r="C15" s="168">
        <v>2017</v>
      </c>
      <c r="D15" s="65">
        <v>8</v>
      </c>
      <c r="E15" s="65" t="s">
        <v>223</v>
      </c>
      <c r="F15" s="65" t="s">
        <v>224</v>
      </c>
      <c r="G15" s="65" t="s">
        <v>225</v>
      </c>
      <c r="H15" s="65" t="s">
        <v>226</v>
      </c>
      <c r="I15" s="65" t="s">
        <v>261</v>
      </c>
      <c r="J15" s="65" t="s">
        <v>262</v>
      </c>
      <c r="K15" s="36"/>
      <c r="L15" s="36">
        <v>5</v>
      </c>
      <c r="M15" s="3" t="s">
        <v>229</v>
      </c>
      <c r="N15" s="36" t="s">
        <v>264</v>
      </c>
      <c r="O15" s="3">
        <v>288</v>
      </c>
      <c r="P15" s="36">
        <v>1.6680524060465656</v>
      </c>
      <c r="Q15" s="3">
        <v>250</v>
      </c>
      <c r="R15" s="3"/>
      <c r="S15" s="3"/>
      <c r="T15" s="36"/>
      <c r="U15" s="36"/>
      <c r="V15" s="36"/>
      <c r="W15" s="36"/>
      <c r="X15" s="36"/>
      <c r="Y15" s="36"/>
      <c r="Z15" s="36"/>
    </row>
    <row r="16" spans="1:26" ht="14">
      <c r="A16" s="13">
        <v>42928</v>
      </c>
      <c r="B16" s="72" t="s">
        <v>154</v>
      </c>
      <c r="C16" s="168">
        <v>2017</v>
      </c>
      <c r="D16" s="65">
        <v>2</v>
      </c>
      <c r="E16" s="65" t="s">
        <v>223</v>
      </c>
      <c r="F16" s="65" t="s">
        <v>224</v>
      </c>
      <c r="G16" s="65" t="s">
        <v>225</v>
      </c>
      <c r="H16" s="65" t="s">
        <v>226</v>
      </c>
      <c r="I16" s="65" t="s">
        <v>261</v>
      </c>
      <c r="J16" s="36" t="s">
        <v>262</v>
      </c>
      <c r="K16" s="36"/>
      <c r="L16" s="36">
        <v>2</v>
      </c>
      <c r="M16" s="3" t="s">
        <v>229</v>
      </c>
      <c r="N16" s="36" t="s">
        <v>264</v>
      </c>
      <c r="O16" s="3">
        <v>656</v>
      </c>
      <c r="P16" s="36">
        <v>0.30456865236188441</v>
      </c>
      <c r="Q16" s="36">
        <v>250</v>
      </c>
      <c r="R16" s="3"/>
      <c r="S16" s="3"/>
      <c r="T16" s="36"/>
      <c r="U16" s="36"/>
      <c r="V16" s="36"/>
      <c r="W16" s="36"/>
      <c r="X16" s="36"/>
      <c r="Y16" s="36"/>
      <c r="Z16" s="36"/>
    </row>
    <row r="17" spans="1:26" ht="14">
      <c r="A17" s="13">
        <v>42928</v>
      </c>
      <c r="B17" s="72" t="s">
        <v>154</v>
      </c>
      <c r="C17" s="168">
        <v>2017</v>
      </c>
      <c r="D17" s="65">
        <v>4</v>
      </c>
      <c r="E17" s="65" t="s">
        <v>223</v>
      </c>
      <c r="F17" s="65" t="s">
        <v>224</v>
      </c>
      <c r="G17" s="65" t="s">
        <v>225</v>
      </c>
      <c r="H17" s="65" t="s">
        <v>226</v>
      </c>
      <c r="I17" s="65" t="s">
        <v>261</v>
      </c>
      <c r="J17" s="36" t="s">
        <v>262</v>
      </c>
      <c r="K17" s="36"/>
      <c r="L17" s="36">
        <v>5</v>
      </c>
      <c r="M17" s="3" t="s">
        <v>229</v>
      </c>
      <c r="N17" s="36" t="s">
        <v>264</v>
      </c>
      <c r="O17" s="3">
        <v>225</v>
      </c>
      <c r="P17" s="36">
        <v>2.2133082032885025</v>
      </c>
      <c r="Q17" s="36">
        <v>250</v>
      </c>
      <c r="R17" s="3"/>
      <c r="S17" s="3"/>
      <c r="T17" s="36"/>
      <c r="U17" s="36"/>
      <c r="V17" s="36"/>
      <c r="W17" s="36"/>
      <c r="X17" s="36"/>
      <c r="Y17" s="36"/>
      <c r="Z17" s="36"/>
    </row>
    <row r="18" spans="1:26" ht="14">
      <c r="A18" s="72">
        <v>42928</v>
      </c>
      <c r="B18" s="72" t="s">
        <v>154</v>
      </c>
      <c r="C18" s="168">
        <v>2017</v>
      </c>
      <c r="D18" s="65">
        <v>5</v>
      </c>
      <c r="E18" s="65" t="s">
        <v>223</v>
      </c>
      <c r="F18" s="65" t="s">
        <v>224</v>
      </c>
      <c r="G18" s="65" t="s">
        <v>225</v>
      </c>
      <c r="H18" s="65" t="s">
        <v>226</v>
      </c>
      <c r="I18" s="65" t="s">
        <v>261</v>
      </c>
      <c r="J18" s="36" t="s">
        <v>262</v>
      </c>
      <c r="K18" s="36"/>
      <c r="L18" s="36">
        <v>14</v>
      </c>
      <c r="M18" s="36" t="s">
        <v>229</v>
      </c>
      <c r="N18" s="36" t="s">
        <v>264</v>
      </c>
      <c r="O18" s="36">
        <v>385</v>
      </c>
      <c r="P18" s="36">
        <v>3.6347701119007056</v>
      </c>
      <c r="Q18" s="65">
        <v>250</v>
      </c>
      <c r="R18" s="65"/>
      <c r="S18" s="65"/>
      <c r="T18" s="65"/>
      <c r="U18" s="36"/>
      <c r="V18" s="36"/>
      <c r="W18" s="36"/>
      <c r="X18" s="36"/>
      <c r="Y18" s="36"/>
      <c r="Z18" s="36"/>
    </row>
    <row r="19" spans="1:26" ht="14">
      <c r="A19" s="13">
        <v>42928</v>
      </c>
      <c r="B19" s="72" t="s">
        <v>154</v>
      </c>
      <c r="C19" s="168">
        <v>2017</v>
      </c>
      <c r="D19" s="65">
        <v>8</v>
      </c>
      <c r="E19" s="65" t="s">
        <v>223</v>
      </c>
      <c r="F19" s="65" t="s">
        <v>224</v>
      </c>
      <c r="G19" s="65" t="s">
        <v>225</v>
      </c>
      <c r="H19" s="65" t="s">
        <v>226</v>
      </c>
      <c r="I19" s="65" t="s">
        <v>261</v>
      </c>
      <c r="J19" s="65" t="s">
        <v>262</v>
      </c>
      <c r="K19" s="65"/>
      <c r="L19" s="65">
        <v>6</v>
      </c>
      <c r="M19" s="51" t="s">
        <v>229</v>
      </c>
      <c r="N19" s="65" t="s">
        <v>264</v>
      </c>
      <c r="O19" s="3">
        <v>319</v>
      </c>
      <c r="P19" s="36">
        <v>1.8801646236079863</v>
      </c>
      <c r="Q19" s="36">
        <v>250</v>
      </c>
      <c r="R19" s="3"/>
      <c r="S19" s="3"/>
      <c r="T19" s="36"/>
      <c r="U19" s="36"/>
      <c r="V19" s="36"/>
      <c r="W19" s="36"/>
      <c r="X19" s="36"/>
      <c r="Y19" s="36"/>
      <c r="Z19" s="36"/>
    </row>
    <row r="20" spans="1:26" ht="14">
      <c r="A20" s="13">
        <v>42867</v>
      </c>
      <c r="B20" s="72" t="s">
        <v>144</v>
      </c>
      <c r="C20" s="168">
        <v>2017</v>
      </c>
      <c r="D20" s="65">
        <v>4</v>
      </c>
      <c r="E20" s="65" t="s">
        <v>223</v>
      </c>
      <c r="F20" s="65" t="s">
        <v>224</v>
      </c>
      <c r="G20" s="65" t="s">
        <v>225</v>
      </c>
      <c r="H20" s="65" t="s">
        <v>226</v>
      </c>
      <c r="I20" s="65" t="s">
        <v>261</v>
      </c>
      <c r="J20" s="36" t="s">
        <v>262</v>
      </c>
      <c r="K20" s="36"/>
      <c r="L20" s="36">
        <v>2</v>
      </c>
      <c r="M20" s="3" t="s">
        <v>229</v>
      </c>
      <c r="N20" s="36" t="s">
        <v>264</v>
      </c>
      <c r="O20" s="3">
        <v>225</v>
      </c>
      <c r="P20" s="36">
        <v>0.87408018800341714</v>
      </c>
      <c r="Q20" s="3"/>
      <c r="R20" s="3"/>
      <c r="S20" s="3"/>
      <c r="T20" s="36"/>
      <c r="U20" s="36"/>
      <c r="V20" s="36"/>
      <c r="W20" s="36"/>
      <c r="X20" s="36"/>
      <c r="Y20" s="36"/>
      <c r="Z20" s="36"/>
    </row>
    <row r="21" spans="1:26" ht="14">
      <c r="A21" s="71">
        <v>42867</v>
      </c>
      <c r="B21" s="72" t="s">
        <v>144</v>
      </c>
      <c r="C21" s="168">
        <v>2017</v>
      </c>
      <c r="D21" s="65">
        <v>5</v>
      </c>
      <c r="E21" s="65" t="s">
        <v>223</v>
      </c>
      <c r="F21" s="65" t="s">
        <v>224</v>
      </c>
      <c r="G21" s="65" t="s">
        <v>225</v>
      </c>
      <c r="H21" s="65" t="s">
        <v>226</v>
      </c>
      <c r="I21" s="65" t="s">
        <v>261</v>
      </c>
      <c r="J21" s="65" t="s">
        <v>262</v>
      </c>
      <c r="K21" s="36"/>
      <c r="L21" s="36">
        <v>6</v>
      </c>
      <c r="M21" s="3" t="s">
        <v>229</v>
      </c>
      <c r="N21" s="36" t="s">
        <v>264</v>
      </c>
      <c r="O21" s="3">
        <v>222</v>
      </c>
      <c r="P21" s="36">
        <v>2.7018255549901125</v>
      </c>
      <c r="Q21" s="3"/>
      <c r="R21" s="3"/>
      <c r="S21" s="3"/>
      <c r="T21" s="36"/>
      <c r="U21" s="36"/>
      <c r="V21" s="36"/>
      <c r="W21" s="36"/>
      <c r="X21" s="36"/>
      <c r="Y21" s="36"/>
      <c r="Z21" s="36"/>
    </row>
    <row r="22" spans="1:26" ht="14">
      <c r="A22" s="13">
        <v>42867</v>
      </c>
      <c r="B22" s="72" t="s">
        <v>144</v>
      </c>
      <c r="C22" s="168">
        <v>2017</v>
      </c>
      <c r="D22" s="65">
        <v>8</v>
      </c>
      <c r="E22" s="65" t="s">
        <v>223</v>
      </c>
      <c r="F22" s="65" t="s">
        <v>224</v>
      </c>
      <c r="G22" s="65" t="s">
        <v>225</v>
      </c>
      <c r="H22" s="65" t="s">
        <v>226</v>
      </c>
      <c r="I22" s="65" t="s">
        <v>261</v>
      </c>
      <c r="J22" s="36" t="s">
        <v>262</v>
      </c>
      <c r="K22" s="36"/>
      <c r="L22" s="36">
        <v>21</v>
      </c>
      <c r="M22" s="3" t="s">
        <v>229</v>
      </c>
      <c r="N22" s="36" t="s">
        <v>264</v>
      </c>
      <c r="O22" s="3">
        <v>268</v>
      </c>
      <c r="P22" s="36">
        <v>7.8223663828092604</v>
      </c>
      <c r="Q22" s="3"/>
      <c r="R22" s="3"/>
      <c r="S22" s="3"/>
      <c r="T22" s="36"/>
      <c r="U22" s="36"/>
      <c r="V22" s="36"/>
      <c r="W22" s="36"/>
      <c r="X22" s="36"/>
      <c r="Y22" s="36"/>
      <c r="Z22" s="36"/>
    </row>
    <row r="23" spans="1:26" ht="14">
      <c r="A23" s="35">
        <v>42571</v>
      </c>
      <c r="B23" s="72" t="s">
        <v>154</v>
      </c>
      <c r="C23" s="168">
        <v>2016</v>
      </c>
      <c r="D23" s="65">
        <v>2</v>
      </c>
      <c r="E23" s="65" t="s">
        <v>223</v>
      </c>
      <c r="F23" s="65" t="s">
        <v>224</v>
      </c>
      <c r="G23" s="65" t="s">
        <v>225</v>
      </c>
      <c r="H23" s="65" t="s">
        <v>226</v>
      </c>
      <c r="I23" s="65" t="s">
        <v>261</v>
      </c>
      <c r="J23" s="36" t="s">
        <v>262</v>
      </c>
      <c r="K23" s="36"/>
      <c r="L23" s="36">
        <v>1</v>
      </c>
      <c r="M23" s="3" t="s">
        <v>229</v>
      </c>
      <c r="N23" s="36" t="s">
        <v>264</v>
      </c>
      <c r="O23" s="36">
        <v>179</v>
      </c>
      <c r="P23" s="65">
        <v>0.55860419823170904</v>
      </c>
      <c r="Q23" s="3">
        <v>250</v>
      </c>
      <c r="R23" s="3"/>
      <c r="S23" s="3"/>
      <c r="T23" s="59"/>
      <c r="U23" s="36"/>
      <c r="V23" s="36"/>
      <c r="W23" s="36"/>
      <c r="X23" s="36"/>
      <c r="Y23" s="36"/>
      <c r="Z23" s="36"/>
    </row>
    <row r="24" spans="1:26" ht="14">
      <c r="A24" s="35">
        <v>42571</v>
      </c>
      <c r="B24" s="35" t="s">
        <v>154</v>
      </c>
      <c r="C24" s="168">
        <v>2016</v>
      </c>
      <c r="D24" s="65">
        <v>4</v>
      </c>
      <c r="E24" s="65" t="s">
        <v>223</v>
      </c>
      <c r="F24" s="65" t="s">
        <v>224</v>
      </c>
      <c r="G24" s="65" t="s">
        <v>225</v>
      </c>
      <c r="H24" s="65" t="s">
        <v>226</v>
      </c>
      <c r="I24" s="65" t="s">
        <v>261</v>
      </c>
      <c r="J24" s="65" t="s">
        <v>262</v>
      </c>
      <c r="K24" s="3"/>
      <c r="L24" s="36">
        <v>3</v>
      </c>
      <c r="M24" s="3" t="s">
        <v>229</v>
      </c>
      <c r="N24" s="36" t="s">
        <v>264</v>
      </c>
      <c r="O24" s="3">
        <v>223</v>
      </c>
      <c r="P24" s="65">
        <v>1.3447646301599598</v>
      </c>
      <c r="Q24" s="65">
        <v>250</v>
      </c>
      <c r="R24" s="51"/>
      <c r="S24" s="51"/>
      <c r="T24" s="65"/>
      <c r="U24" s="36"/>
      <c r="V24" s="36"/>
      <c r="W24" s="36"/>
      <c r="X24" s="36"/>
      <c r="Y24" s="36"/>
      <c r="Z24" s="36"/>
    </row>
    <row r="25" spans="1:26" ht="14">
      <c r="A25" s="72">
        <v>42571</v>
      </c>
      <c r="B25" s="35" t="s">
        <v>154</v>
      </c>
      <c r="C25" s="168">
        <v>2016</v>
      </c>
      <c r="D25" s="65">
        <v>5</v>
      </c>
      <c r="E25" s="36" t="s">
        <v>223</v>
      </c>
      <c r="F25" s="36" t="s">
        <v>224</v>
      </c>
      <c r="G25" s="36" t="s">
        <v>225</v>
      </c>
      <c r="H25" s="36" t="s">
        <v>226</v>
      </c>
      <c r="I25" s="36" t="s">
        <v>261</v>
      </c>
      <c r="J25" s="36" t="s">
        <v>262</v>
      </c>
      <c r="K25" s="3"/>
      <c r="L25" s="36">
        <v>11</v>
      </c>
      <c r="M25" s="3" t="s">
        <v>229</v>
      </c>
      <c r="N25" s="36" t="s">
        <v>264</v>
      </c>
      <c r="O25" s="3">
        <v>211</v>
      </c>
      <c r="P25" s="65">
        <v>5.2127736963016531</v>
      </c>
      <c r="Q25" s="3">
        <v>250</v>
      </c>
      <c r="R25" s="3"/>
      <c r="S25" s="3"/>
      <c r="T25" s="36"/>
      <c r="U25" s="36"/>
      <c r="V25" s="36"/>
      <c r="W25" s="36"/>
      <c r="X25" s="36"/>
      <c r="Y25" s="36"/>
      <c r="Z25" s="36"/>
    </row>
    <row r="26" spans="1:26" ht="14">
      <c r="A26" s="35">
        <v>42571</v>
      </c>
      <c r="B26" s="35" t="s">
        <v>154</v>
      </c>
      <c r="C26" s="168">
        <v>2016</v>
      </c>
      <c r="D26" s="65">
        <v>8</v>
      </c>
      <c r="E26" s="36" t="s">
        <v>223</v>
      </c>
      <c r="F26" s="36" t="s">
        <v>224</v>
      </c>
      <c r="G26" s="36" t="s">
        <v>225</v>
      </c>
      <c r="H26" s="36" t="s">
        <v>226</v>
      </c>
      <c r="I26" s="36" t="s">
        <v>261</v>
      </c>
      <c r="J26" s="36" t="s">
        <v>262</v>
      </c>
      <c r="K26" s="3"/>
      <c r="L26" s="36">
        <v>20</v>
      </c>
      <c r="M26" s="3" t="s">
        <v>229</v>
      </c>
      <c r="N26" s="36" t="s">
        <v>264</v>
      </c>
      <c r="O26" s="3">
        <v>237</v>
      </c>
      <c r="P26" s="65">
        <v>8.437645303855156</v>
      </c>
      <c r="Q26" s="3">
        <v>250</v>
      </c>
      <c r="R26" s="3"/>
      <c r="S26" s="3"/>
      <c r="T26" s="36"/>
      <c r="U26" s="36"/>
      <c r="V26" s="36"/>
      <c r="W26" s="36"/>
      <c r="X26" s="36"/>
      <c r="Y26" s="36"/>
      <c r="Z26" s="36"/>
    </row>
    <row r="27" spans="1:26" ht="14">
      <c r="A27" s="13">
        <v>42515</v>
      </c>
      <c r="B27" s="35" t="s">
        <v>144</v>
      </c>
      <c r="C27" s="168">
        <v>2016</v>
      </c>
      <c r="D27" s="51">
        <v>2</v>
      </c>
      <c r="E27" s="3" t="s">
        <v>223</v>
      </c>
      <c r="F27" s="3" t="s">
        <v>224</v>
      </c>
      <c r="G27" s="3" t="s">
        <v>225</v>
      </c>
      <c r="H27" s="3" t="s">
        <v>226</v>
      </c>
      <c r="I27" s="3" t="s">
        <v>261</v>
      </c>
      <c r="J27" s="3" t="s">
        <v>262</v>
      </c>
      <c r="K27" s="3"/>
      <c r="L27" s="3">
        <v>1</v>
      </c>
      <c r="M27" s="3" t="s">
        <v>229</v>
      </c>
      <c r="N27" s="3" t="s">
        <v>264</v>
      </c>
      <c r="O27" s="36">
        <v>194</v>
      </c>
      <c r="P27" s="65">
        <v>0.51520576504797122</v>
      </c>
      <c r="Q27" s="65">
        <v>250</v>
      </c>
      <c r="R27" s="51"/>
      <c r="S27" s="51"/>
      <c r="T27" s="65"/>
      <c r="U27" s="36"/>
      <c r="V27" s="36"/>
      <c r="W27" s="36"/>
      <c r="X27" s="36"/>
      <c r="Y27" s="36"/>
      <c r="Z27" s="36"/>
    </row>
    <row r="28" spans="1:26" ht="14">
      <c r="A28" s="13">
        <v>42515</v>
      </c>
      <c r="B28" s="35" t="s">
        <v>144</v>
      </c>
      <c r="C28" s="168">
        <v>2016</v>
      </c>
      <c r="D28" s="51">
        <v>4</v>
      </c>
      <c r="E28" s="51" t="s">
        <v>223</v>
      </c>
      <c r="F28" s="51" t="s">
        <v>224</v>
      </c>
      <c r="G28" s="51" t="s">
        <v>225</v>
      </c>
      <c r="H28" s="51" t="s">
        <v>226</v>
      </c>
      <c r="I28" s="51" t="s">
        <v>261</v>
      </c>
      <c r="J28" s="3" t="s">
        <v>262</v>
      </c>
      <c r="K28" s="3"/>
      <c r="L28" s="3">
        <v>3</v>
      </c>
      <c r="M28" s="3" t="s">
        <v>229</v>
      </c>
      <c r="N28" s="3" t="s">
        <v>264</v>
      </c>
      <c r="O28" s="3">
        <v>217</v>
      </c>
      <c r="P28" s="36">
        <v>1.3813936293590676</v>
      </c>
      <c r="Q28" s="36">
        <v>250</v>
      </c>
      <c r="R28" s="3"/>
      <c r="S28" s="3"/>
      <c r="T28" s="36"/>
      <c r="U28" s="36"/>
      <c r="V28" s="36"/>
      <c r="W28" s="36"/>
      <c r="X28" s="36"/>
      <c r="Y28" s="36"/>
      <c r="Z28" s="36"/>
    </row>
    <row r="29" spans="1:26" ht="14">
      <c r="A29" s="35">
        <v>42515</v>
      </c>
      <c r="B29" s="35" t="s">
        <v>144</v>
      </c>
      <c r="C29" s="168">
        <v>2016</v>
      </c>
      <c r="D29" s="65">
        <v>5</v>
      </c>
      <c r="E29" s="65" t="s">
        <v>223</v>
      </c>
      <c r="F29" s="65" t="s">
        <v>224</v>
      </c>
      <c r="G29" s="65" t="s">
        <v>225</v>
      </c>
      <c r="H29" s="65" t="s">
        <v>226</v>
      </c>
      <c r="I29" s="65" t="s">
        <v>261</v>
      </c>
      <c r="J29" s="36" t="s">
        <v>262</v>
      </c>
      <c r="K29" s="36"/>
      <c r="L29" s="36">
        <v>11</v>
      </c>
      <c r="M29" s="36" t="s">
        <v>229</v>
      </c>
      <c r="N29" s="36" t="s">
        <v>264</v>
      </c>
      <c r="O29" s="36">
        <v>214</v>
      </c>
      <c r="P29" s="65">
        <v>5.1377083110318083</v>
      </c>
      <c r="Q29" s="3">
        <v>250</v>
      </c>
      <c r="R29" s="3"/>
      <c r="S29" s="3"/>
      <c r="T29" s="36"/>
      <c r="U29" s="36"/>
      <c r="V29" s="36"/>
      <c r="W29" s="36"/>
      <c r="X29" s="36"/>
      <c r="Y29" s="36"/>
      <c r="Z29" s="36"/>
    </row>
    <row r="30" spans="1:26" ht="14">
      <c r="A30" s="169">
        <v>42515</v>
      </c>
      <c r="B30" s="169" t="s">
        <v>144</v>
      </c>
      <c r="C30" s="176">
        <v>2016</v>
      </c>
      <c r="D30" s="170">
        <v>8</v>
      </c>
      <c r="E30" s="170" t="s">
        <v>223</v>
      </c>
      <c r="F30" s="170" t="s">
        <v>224</v>
      </c>
      <c r="G30" s="170" t="s">
        <v>225</v>
      </c>
      <c r="H30" s="170" t="s">
        <v>226</v>
      </c>
      <c r="I30" s="170" t="s">
        <v>261</v>
      </c>
      <c r="J30" s="171" t="s">
        <v>262</v>
      </c>
      <c r="K30" s="171"/>
      <c r="L30" s="171">
        <v>14</v>
      </c>
      <c r="M30" s="171" t="s">
        <v>229</v>
      </c>
      <c r="N30" s="171" t="s">
        <v>264</v>
      </c>
      <c r="O30" s="171">
        <v>252</v>
      </c>
      <c r="P30" s="171">
        <v>5.5548794009734035</v>
      </c>
      <c r="Q30" s="171">
        <v>250</v>
      </c>
      <c r="R30" s="171"/>
      <c r="S30" s="171"/>
      <c r="T30" s="36"/>
      <c r="U30" s="36"/>
      <c r="V30" s="36"/>
      <c r="W30" s="36"/>
      <c r="X30" s="36"/>
      <c r="Y30" s="36"/>
      <c r="Z30" s="36"/>
    </row>
    <row r="31" spans="1:26" ht="14">
      <c r="A31" s="13">
        <v>42263</v>
      </c>
      <c r="B31" s="72" t="s">
        <v>157</v>
      </c>
      <c r="C31" s="168">
        <v>2015</v>
      </c>
      <c r="D31" s="65">
        <v>4</v>
      </c>
      <c r="E31" s="36" t="s">
        <v>223</v>
      </c>
      <c r="F31" s="36" t="s">
        <v>224</v>
      </c>
      <c r="G31" s="36" t="s">
        <v>225</v>
      </c>
      <c r="H31" s="36" t="s">
        <v>226</v>
      </c>
      <c r="I31" s="36" t="s">
        <v>261</v>
      </c>
      <c r="J31" s="36" t="s">
        <v>262</v>
      </c>
      <c r="K31" s="3"/>
      <c r="L31" s="3">
        <v>1</v>
      </c>
      <c r="M31" s="3" t="s">
        <v>229</v>
      </c>
      <c r="N31" s="36" t="s">
        <v>264</v>
      </c>
      <c r="O31" s="3">
        <v>161</v>
      </c>
      <c r="P31" s="65">
        <v>0.6200364182712722</v>
      </c>
      <c r="Q31" s="65">
        <v>250</v>
      </c>
      <c r="R31" s="51"/>
      <c r="S31" s="51"/>
      <c r="T31" s="65"/>
      <c r="U31" s="36"/>
      <c r="V31" s="36"/>
      <c r="W31" s="36"/>
      <c r="X31" s="36"/>
      <c r="Y31" s="36"/>
      <c r="Z31" s="36"/>
    </row>
    <row r="32" spans="1:26" ht="14">
      <c r="A32" s="71">
        <v>42263</v>
      </c>
      <c r="B32" s="72" t="s">
        <v>157</v>
      </c>
      <c r="C32" s="168">
        <v>2015</v>
      </c>
      <c r="D32" s="65">
        <v>5</v>
      </c>
      <c r="E32" s="36" t="s">
        <v>223</v>
      </c>
      <c r="F32" s="36" t="s">
        <v>224</v>
      </c>
      <c r="G32" s="36" t="s">
        <v>225</v>
      </c>
      <c r="H32" s="36" t="s">
        <v>226</v>
      </c>
      <c r="I32" s="36" t="s">
        <v>261</v>
      </c>
      <c r="J32" s="36" t="s">
        <v>262</v>
      </c>
      <c r="K32" s="3"/>
      <c r="L32" s="36">
        <v>2</v>
      </c>
      <c r="M32" s="3" t="s">
        <v>229</v>
      </c>
      <c r="N32" s="3" t="s">
        <v>264</v>
      </c>
      <c r="O32" s="3">
        <v>222</v>
      </c>
      <c r="P32" s="36">
        <v>0.90064625154942013</v>
      </c>
      <c r="Q32" s="36">
        <v>250</v>
      </c>
      <c r="R32" s="3"/>
      <c r="S32" s="3"/>
      <c r="T32" s="36"/>
      <c r="U32" s="36"/>
      <c r="V32" s="36"/>
      <c r="W32" s="36"/>
      <c r="X32" s="36"/>
      <c r="Y32" s="36"/>
      <c r="Z32" s="36"/>
    </row>
    <row r="33" spans="1:26" ht="14">
      <c r="A33" s="13">
        <v>42263</v>
      </c>
      <c r="B33" s="72" t="s">
        <v>157</v>
      </c>
      <c r="C33" s="168">
        <v>2015</v>
      </c>
      <c r="D33" s="65">
        <v>8</v>
      </c>
      <c r="E33" s="36" t="s">
        <v>223</v>
      </c>
      <c r="F33" s="36" t="s">
        <v>224</v>
      </c>
      <c r="G33" s="36" t="s">
        <v>225</v>
      </c>
      <c r="H33" s="36" t="s">
        <v>226</v>
      </c>
      <c r="I33" s="36" t="s">
        <v>261</v>
      </c>
      <c r="J33" s="36" t="s">
        <v>262</v>
      </c>
      <c r="K33" s="3"/>
      <c r="L33" s="3">
        <v>2</v>
      </c>
      <c r="M33" s="3" t="s">
        <v>229</v>
      </c>
      <c r="N33" s="3" t="s">
        <v>264</v>
      </c>
      <c r="O33" s="3">
        <v>244</v>
      </c>
      <c r="P33" s="36">
        <v>0.81967213114754101</v>
      </c>
      <c r="Q33" s="36">
        <v>250</v>
      </c>
      <c r="R33" s="3"/>
      <c r="S33" s="3"/>
      <c r="T33" s="36"/>
      <c r="U33" s="36"/>
      <c r="V33" s="36"/>
      <c r="W33" s="36"/>
      <c r="X33" s="36"/>
      <c r="Y33" s="36"/>
      <c r="Z33" s="36"/>
    </row>
    <row r="34" spans="1:26" ht="14">
      <c r="A34" s="35">
        <v>42206</v>
      </c>
      <c r="B34" s="72" t="s">
        <v>154</v>
      </c>
      <c r="C34" s="168">
        <v>2015</v>
      </c>
      <c r="D34" s="65">
        <v>2</v>
      </c>
      <c r="E34" s="65" t="s">
        <v>223</v>
      </c>
      <c r="F34" s="65" t="s">
        <v>224</v>
      </c>
      <c r="G34" s="65" t="s">
        <v>225</v>
      </c>
      <c r="H34" s="65" t="s">
        <v>226</v>
      </c>
      <c r="I34" s="65" t="s">
        <v>261</v>
      </c>
      <c r="J34" s="36" t="s">
        <v>262</v>
      </c>
      <c r="K34" s="36"/>
      <c r="L34" s="36">
        <v>4</v>
      </c>
      <c r="M34" s="36" t="s">
        <v>229</v>
      </c>
      <c r="N34" s="36" t="s">
        <v>264</v>
      </c>
      <c r="O34" s="36">
        <v>337</v>
      </c>
      <c r="P34" s="36">
        <v>1.1865524649330474</v>
      </c>
      <c r="Q34" s="36">
        <v>250</v>
      </c>
      <c r="R34" s="36"/>
      <c r="S34" s="36"/>
      <c r="T34" s="36"/>
      <c r="U34" s="36"/>
      <c r="V34" s="36"/>
      <c r="W34" s="36"/>
      <c r="X34" s="36"/>
      <c r="Y34" s="36"/>
      <c r="Z34" s="36"/>
    </row>
    <row r="35" spans="1:26" ht="14">
      <c r="A35" s="71">
        <v>42206</v>
      </c>
      <c r="B35" s="72" t="s">
        <v>154</v>
      </c>
      <c r="C35" s="168">
        <v>2015</v>
      </c>
      <c r="D35" s="65">
        <v>4</v>
      </c>
      <c r="E35" s="36" t="s">
        <v>223</v>
      </c>
      <c r="F35" s="36" t="s">
        <v>224</v>
      </c>
      <c r="G35" s="36" t="s">
        <v>225</v>
      </c>
      <c r="H35" s="36" t="s">
        <v>226</v>
      </c>
      <c r="I35" s="65" t="s">
        <v>261</v>
      </c>
      <c r="J35" s="65" t="s">
        <v>262</v>
      </c>
      <c r="K35" s="3"/>
      <c r="L35" s="3">
        <v>11</v>
      </c>
      <c r="M35" s="3" t="s">
        <v>229</v>
      </c>
      <c r="N35" s="36" t="s">
        <v>264</v>
      </c>
      <c r="O35" s="3">
        <v>273</v>
      </c>
      <c r="P35" s="65">
        <v>3.9752993776875951</v>
      </c>
      <c r="Q35" s="65">
        <v>250</v>
      </c>
      <c r="R35" s="51"/>
      <c r="S35" s="51"/>
      <c r="T35" s="65"/>
      <c r="U35" s="36"/>
      <c r="V35" s="36"/>
      <c r="W35" s="36"/>
      <c r="X35" s="36"/>
      <c r="Y35" s="36"/>
      <c r="Z35" s="36"/>
    </row>
    <row r="36" spans="1:26" ht="14">
      <c r="A36" s="13">
        <v>42206</v>
      </c>
      <c r="B36" s="35" t="s">
        <v>154</v>
      </c>
      <c r="C36" s="168">
        <v>2015</v>
      </c>
      <c r="D36" s="65">
        <v>5</v>
      </c>
      <c r="E36" s="36" t="s">
        <v>223</v>
      </c>
      <c r="F36" s="36" t="s">
        <v>224</v>
      </c>
      <c r="G36" s="36" t="s">
        <v>225</v>
      </c>
      <c r="H36" s="36" t="s">
        <v>226</v>
      </c>
      <c r="I36" s="36" t="s">
        <v>261</v>
      </c>
      <c r="J36" s="36" t="s">
        <v>262</v>
      </c>
      <c r="K36" s="3"/>
      <c r="L36" s="3">
        <v>13</v>
      </c>
      <c r="M36" s="3" t="s">
        <v>229</v>
      </c>
      <c r="N36" s="36" t="s">
        <v>264</v>
      </c>
      <c r="O36" s="3">
        <v>251</v>
      </c>
      <c r="P36" s="65">
        <v>5.1781031822089707</v>
      </c>
      <c r="Q36" s="3">
        <v>250</v>
      </c>
      <c r="R36" s="3"/>
      <c r="S36" s="3"/>
      <c r="T36" s="36"/>
      <c r="U36" s="36"/>
      <c r="V36" s="36"/>
      <c r="W36" s="36"/>
      <c r="X36" s="36"/>
      <c r="Y36" s="36"/>
      <c r="Z36" s="36"/>
    </row>
    <row r="37" spans="1:26" ht="14">
      <c r="A37" s="13">
        <v>42206</v>
      </c>
      <c r="B37" s="35" t="s">
        <v>154</v>
      </c>
      <c r="C37" s="168">
        <v>2015</v>
      </c>
      <c r="D37" s="65">
        <v>8</v>
      </c>
      <c r="E37" s="65" t="s">
        <v>223</v>
      </c>
      <c r="F37" s="65" t="s">
        <v>224</v>
      </c>
      <c r="G37" s="65" t="s">
        <v>225</v>
      </c>
      <c r="H37" s="65" t="s">
        <v>226</v>
      </c>
      <c r="I37" s="65" t="s">
        <v>261</v>
      </c>
      <c r="J37" s="36" t="s">
        <v>262</v>
      </c>
      <c r="K37" s="3"/>
      <c r="L37" s="3">
        <v>22</v>
      </c>
      <c r="M37" s="3" t="s">
        <v>229</v>
      </c>
      <c r="N37" s="36" t="s">
        <v>264</v>
      </c>
      <c r="O37" s="3">
        <v>199</v>
      </c>
      <c r="P37" s="65">
        <v>11.045677436895936</v>
      </c>
      <c r="Q37" s="36">
        <v>250</v>
      </c>
      <c r="R37" s="3"/>
      <c r="S37" s="3"/>
      <c r="T37" s="36"/>
      <c r="U37" s="36"/>
      <c r="V37" s="36"/>
      <c r="W37" s="36"/>
      <c r="X37" s="36"/>
      <c r="Y37" s="36"/>
      <c r="Z37" s="36"/>
    </row>
    <row r="38" spans="1:26" ht="14">
      <c r="A38" s="13">
        <v>42144</v>
      </c>
      <c r="B38" s="72" t="s">
        <v>144</v>
      </c>
      <c r="C38" s="168">
        <v>2015</v>
      </c>
      <c r="D38" s="65">
        <v>2</v>
      </c>
      <c r="E38" s="36" t="s">
        <v>223</v>
      </c>
      <c r="F38" s="36" t="s">
        <v>224</v>
      </c>
      <c r="G38" s="36" t="s">
        <v>225</v>
      </c>
      <c r="H38" s="36" t="s">
        <v>226</v>
      </c>
      <c r="I38" s="36" t="s">
        <v>261</v>
      </c>
      <c r="J38" s="36" t="s">
        <v>262</v>
      </c>
      <c r="K38" s="3"/>
      <c r="L38" s="3">
        <v>2</v>
      </c>
      <c r="M38" s="3" t="s">
        <v>229</v>
      </c>
      <c r="N38" s="3" t="s">
        <v>264</v>
      </c>
      <c r="O38" s="3">
        <v>333</v>
      </c>
      <c r="P38" s="65">
        <v>0.60044462408810895</v>
      </c>
      <c r="Q38" s="36">
        <v>250</v>
      </c>
      <c r="R38" s="3"/>
      <c r="S38" s="3"/>
      <c r="T38" s="36"/>
      <c r="U38" s="36"/>
      <c r="V38" s="36"/>
      <c r="W38" s="36"/>
      <c r="X38" s="36"/>
      <c r="Y38" s="36"/>
      <c r="Z38" s="36"/>
    </row>
    <row r="39" spans="1:26" ht="14">
      <c r="A39" s="35">
        <v>42144</v>
      </c>
      <c r="B39" s="72" t="s">
        <v>144</v>
      </c>
      <c r="C39" s="168">
        <v>2015</v>
      </c>
      <c r="D39" s="65">
        <v>4</v>
      </c>
      <c r="E39" s="36" t="s">
        <v>223</v>
      </c>
      <c r="F39" s="36" t="s">
        <v>224</v>
      </c>
      <c r="G39" s="36" t="s">
        <v>225</v>
      </c>
      <c r="H39" s="36" t="s">
        <v>226</v>
      </c>
      <c r="I39" s="36" t="s">
        <v>261</v>
      </c>
      <c r="J39" s="36" t="s">
        <v>262</v>
      </c>
      <c r="K39" s="36"/>
      <c r="L39" s="36">
        <v>4</v>
      </c>
      <c r="M39" s="36" t="s">
        <v>229</v>
      </c>
      <c r="N39" s="36" t="s">
        <v>264</v>
      </c>
      <c r="O39" s="36">
        <v>229</v>
      </c>
      <c r="P39" s="65">
        <v>1.7451667126733934</v>
      </c>
      <c r="Q39" s="36">
        <v>250</v>
      </c>
      <c r="R39" s="36"/>
      <c r="S39" s="36"/>
      <c r="T39" s="36"/>
      <c r="U39" s="36"/>
      <c r="V39" s="36"/>
      <c r="W39" s="36"/>
      <c r="X39" s="36"/>
      <c r="Y39" s="36"/>
      <c r="Z39" s="36"/>
    </row>
    <row r="40" spans="1:26" ht="14">
      <c r="A40" s="72">
        <v>42144</v>
      </c>
      <c r="B40" s="72" t="s">
        <v>144</v>
      </c>
      <c r="C40" s="168">
        <v>2015</v>
      </c>
      <c r="D40" s="65">
        <v>5</v>
      </c>
      <c r="E40" s="65" t="s">
        <v>223</v>
      </c>
      <c r="F40" s="65" t="s">
        <v>224</v>
      </c>
      <c r="G40" s="65" t="s">
        <v>225</v>
      </c>
      <c r="H40" s="65" t="s">
        <v>226</v>
      </c>
      <c r="I40" s="65" t="s">
        <v>261</v>
      </c>
      <c r="J40" s="36" t="s">
        <v>262</v>
      </c>
      <c r="K40" s="36"/>
      <c r="L40" s="36">
        <v>27</v>
      </c>
      <c r="M40" s="36" t="s">
        <v>229</v>
      </c>
      <c r="N40" s="36" t="s">
        <v>264</v>
      </c>
      <c r="O40" s="36">
        <v>327</v>
      </c>
      <c r="P40" s="36">
        <v>8.2538430856316314</v>
      </c>
      <c r="Q40" s="36">
        <v>250</v>
      </c>
      <c r="R40" s="36"/>
      <c r="S40" s="36"/>
      <c r="T40" s="36"/>
      <c r="U40" s="36"/>
      <c r="V40" s="36"/>
      <c r="W40" s="36"/>
      <c r="X40" s="36"/>
      <c r="Y40" s="36"/>
      <c r="Z40" s="36"/>
    </row>
    <row r="41" spans="1:26" ht="14">
      <c r="A41" s="63">
        <v>41912</v>
      </c>
      <c r="B41" s="72" t="s">
        <v>157</v>
      </c>
      <c r="C41" s="168">
        <v>2014</v>
      </c>
      <c r="D41" s="65">
        <v>2</v>
      </c>
      <c r="E41" s="65" t="s">
        <v>223</v>
      </c>
      <c r="F41" s="65" t="s">
        <v>224</v>
      </c>
      <c r="G41" s="65" t="s">
        <v>225</v>
      </c>
      <c r="H41" s="65" t="s">
        <v>226</v>
      </c>
      <c r="I41" s="65" t="s">
        <v>261</v>
      </c>
      <c r="J41" s="65" t="s">
        <v>262</v>
      </c>
      <c r="K41" s="3"/>
      <c r="L41" s="3">
        <v>1</v>
      </c>
      <c r="M41" s="3" t="s">
        <v>229</v>
      </c>
      <c r="N41" s="3" t="s">
        <v>264</v>
      </c>
      <c r="O41" s="3">
        <v>232</v>
      </c>
      <c r="P41" s="36">
        <v>0.43051378235896598</v>
      </c>
      <c r="Q41" s="3">
        <v>250</v>
      </c>
      <c r="R41" s="3"/>
      <c r="S41" s="3"/>
      <c r="T41" s="36"/>
      <c r="U41" s="36"/>
      <c r="V41" s="36"/>
      <c r="W41" s="36"/>
      <c r="X41" s="36"/>
      <c r="Y41" s="36"/>
      <c r="Z41" s="36"/>
    </row>
    <row r="42" spans="1:26" ht="14">
      <c r="A42" s="13">
        <v>41912</v>
      </c>
      <c r="B42" s="35" t="s">
        <v>157</v>
      </c>
      <c r="C42" s="168">
        <v>2014</v>
      </c>
      <c r="D42" s="65">
        <v>5</v>
      </c>
      <c r="E42" s="36" t="s">
        <v>223</v>
      </c>
      <c r="F42" s="36" t="s">
        <v>224</v>
      </c>
      <c r="G42" s="36" t="s">
        <v>225</v>
      </c>
      <c r="H42" s="36" t="s">
        <v>226</v>
      </c>
      <c r="I42" s="36" t="s">
        <v>261</v>
      </c>
      <c r="J42" s="36" t="s">
        <v>262</v>
      </c>
      <c r="K42" s="3"/>
      <c r="L42" s="3">
        <v>1</v>
      </c>
      <c r="M42" s="3" t="s">
        <v>229</v>
      </c>
      <c r="N42" s="3" t="s">
        <v>264</v>
      </c>
      <c r="O42" s="3">
        <v>216</v>
      </c>
      <c r="P42" s="36">
        <v>0.46205433924743899</v>
      </c>
      <c r="Q42" s="3">
        <v>250</v>
      </c>
      <c r="R42" s="3"/>
      <c r="S42" s="3"/>
      <c r="T42" s="36"/>
      <c r="U42" s="36"/>
      <c r="V42" s="36"/>
      <c r="W42" s="36"/>
      <c r="X42" s="36"/>
      <c r="Y42" s="36"/>
      <c r="Z42" s="36"/>
    </row>
    <row r="43" spans="1:26" ht="14">
      <c r="A43" s="35">
        <v>41851</v>
      </c>
      <c r="B43" s="72" t="s">
        <v>154</v>
      </c>
      <c r="C43" s="168">
        <v>2014</v>
      </c>
      <c r="D43" s="65">
        <v>2</v>
      </c>
      <c r="E43" s="36" t="s">
        <v>223</v>
      </c>
      <c r="F43" s="36" t="s">
        <v>224</v>
      </c>
      <c r="G43" s="36" t="s">
        <v>225</v>
      </c>
      <c r="H43" s="36" t="s">
        <v>226</v>
      </c>
      <c r="I43" s="36" t="s">
        <v>261</v>
      </c>
      <c r="J43" s="36" t="s">
        <v>262</v>
      </c>
      <c r="K43" s="36"/>
      <c r="L43" s="36">
        <v>1</v>
      </c>
      <c r="M43" s="36" t="s">
        <v>229</v>
      </c>
      <c r="N43" s="36" t="s">
        <v>264</v>
      </c>
      <c r="O43" s="36">
        <v>119</v>
      </c>
      <c r="P43" s="65">
        <v>0.83011552613658901</v>
      </c>
      <c r="Q43" s="36">
        <v>250</v>
      </c>
      <c r="R43" s="36"/>
      <c r="S43" s="36"/>
      <c r="T43" s="36"/>
      <c r="U43" s="36"/>
      <c r="V43" s="36"/>
      <c r="W43" s="36"/>
      <c r="X43" s="36"/>
      <c r="Y43" s="36"/>
      <c r="Z43" s="36"/>
    </row>
    <row r="44" spans="1:26" ht="14">
      <c r="A44" s="71">
        <v>41851</v>
      </c>
      <c r="B44" s="35" t="s">
        <v>154</v>
      </c>
      <c r="C44" s="168">
        <v>2014</v>
      </c>
      <c r="D44" s="65">
        <v>4</v>
      </c>
      <c r="E44" s="36" t="s">
        <v>223</v>
      </c>
      <c r="F44" s="36" t="s">
        <v>224</v>
      </c>
      <c r="G44" s="36" t="s">
        <v>225</v>
      </c>
      <c r="H44" s="36" t="s">
        <v>226</v>
      </c>
      <c r="I44" s="36" t="s">
        <v>261</v>
      </c>
      <c r="J44" s="36" t="s">
        <v>262</v>
      </c>
      <c r="K44" s="3"/>
      <c r="L44" s="3">
        <v>10</v>
      </c>
      <c r="M44" s="3" t="s">
        <v>229</v>
      </c>
      <c r="N44" s="3" t="s">
        <v>264</v>
      </c>
      <c r="O44" s="3">
        <v>188</v>
      </c>
      <c r="P44" s="65">
        <v>5.1796153450248568</v>
      </c>
      <c r="Q44" s="36">
        <v>250</v>
      </c>
      <c r="R44" s="3"/>
      <c r="S44" s="3"/>
      <c r="T44" s="36"/>
      <c r="U44" s="36"/>
      <c r="V44" s="36"/>
      <c r="W44" s="36"/>
      <c r="X44" s="36"/>
      <c r="Y44" s="36"/>
      <c r="Z44" s="36"/>
    </row>
    <row r="45" spans="1:26" ht="14">
      <c r="A45" s="71">
        <v>41851</v>
      </c>
      <c r="B45" s="72" t="s">
        <v>154</v>
      </c>
      <c r="C45" s="168">
        <v>2014</v>
      </c>
      <c r="D45" s="65">
        <v>5</v>
      </c>
      <c r="E45" s="36" t="s">
        <v>223</v>
      </c>
      <c r="F45" s="36" t="s">
        <v>224</v>
      </c>
      <c r="G45" s="36" t="s">
        <v>225</v>
      </c>
      <c r="H45" s="36" t="s">
        <v>226</v>
      </c>
      <c r="I45" s="36" t="s">
        <v>261</v>
      </c>
      <c r="J45" s="36" t="s">
        <v>262</v>
      </c>
      <c r="K45" s="3"/>
      <c r="L45" s="3">
        <v>9</v>
      </c>
      <c r="M45" s="3" t="s">
        <v>229</v>
      </c>
      <c r="N45" s="3" t="s">
        <v>264</v>
      </c>
      <c r="O45" s="3">
        <v>205</v>
      </c>
      <c r="P45" s="65">
        <v>4.3601960171106358</v>
      </c>
      <c r="Q45" s="36">
        <v>250</v>
      </c>
      <c r="R45" s="3"/>
      <c r="S45" s="3"/>
      <c r="T45" s="36"/>
      <c r="U45" s="36"/>
      <c r="V45" s="36"/>
      <c r="W45" s="36"/>
      <c r="X45" s="36"/>
      <c r="Y45" s="36"/>
      <c r="Z45" s="36"/>
    </row>
    <row r="46" spans="1:26" ht="14">
      <c r="A46" s="13">
        <v>41851</v>
      </c>
      <c r="B46" s="35" t="s">
        <v>154</v>
      </c>
      <c r="C46" s="168">
        <v>2014</v>
      </c>
      <c r="D46" s="65">
        <v>8</v>
      </c>
      <c r="E46" s="36" t="s">
        <v>223</v>
      </c>
      <c r="F46" s="36" t="s">
        <v>224</v>
      </c>
      <c r="G46" s="36" t="s">
        <v>225</v>
      </c>
      <c r="H46" s="36" t="s">
        <v>226</v>
      </c>
      <c r="I46" s="36" t="s">
        <v>261</v>
      </c>
      <c r="J46" s="36" t="s">
        <v>262</v>
      </c>
      <c r="K46" s="3"/>
      <c r="L46" s="3">
        <v>22</v>
      </c>
      <c r="M46" s="3" t="s">
        <v>229</v>
      </c>
      <c r="N46" s="3" t="s">
        <v>264</v>
      </c>
      <c r="O46" s="3">
        <v>237</v>
      </c>
      <c r="P46" s="65">
        <v>9.2793747268054005</v>
      </c>
      <c r="Q46" s="36">
        <v>250</v>
      </c>
      <c r="R46" s="3"/>
      <c r="S46" s="3"/>
      <c r="T46" s="36"/>
      <c r="U46" s="36"/>
      <c r="V46" s="36"/>
      <c r="W46" s="36"/>
      <c r="X46" s="36"/>
      <c r="Y46" s="36"/>
      <c r="Z46" s="36"/>
    </row>
    <row r="47" spans="1:26" ht="14">
      <c r="A47" s="71">
        <v>41761</v>
      </c>
      <c r="B47" s="35" t="s">
        <v>144</v>
      </c>
      <c r="C47" s="168">
        <v>2014</v>
      </c>
      <c r="D47" s="65">
        <v>4</v>
      </c>
      <c r="E47" s="65" t="s">
        <v>223</v>
      </c>
      <c r="F47" s="65" t="s">
        <v>224</v>
      </c>
      <c r="G47" s="65" t="s">
        <v>225</v>
      </c>
      <c r="H47" s="65" t="s">
        <v>226</v>
      </c>
      <c r="I47" s="65" t="s">
        <v>261</v>
      </c>
      <c r="J47" s="36" t="s">
        <v>262</v>
      </c>
      <c r="K47" s="3"/>
      <c r="L47" s="3">
        <v>6</v>
      </c>
      <c r="M47" s="3" t="s">
        <v>229</v>
      </c>
      <c r="N47" s="3" t="s">
        <v>264</v>
      </c>
      <c r="O47" s="3">
        <v>256</v>
      </c>
      <c r="P47" s="36">
        <v>2.2877512376903648</v>
      </c>
      <c r="Q47" s="3">
        <v>250</v>
      </c>
      <c r="R47" s="3"/>
      <c r="S47" s="3"/>
      <c r="T47" s="36"/>
      <c r="U47" s="36"/>
      <c r="V47" s="36"/>
      <c r="W47" s="36"/>
      <c r="X47" s="36"/>
      <c r="Y47" s="36"/>
      <c r="Z47" s="36"/>
    </row>
    <row r="48" spans="1:26" ht="14">
      <c r="A48" s="13">
        <v>41761</v>
      </c>
      <c r="B48" s="72" t="s">
        <v>144</v>
      </c>
      <c r="C48" s="168">
        <v>2014</v>
      </c>
      <c r="D48" s="65">
        <v>5</v>
      </c>
      <c r="E48" s="36" t="s">
        <v>223</v>
      </c>
      <c r="F48" s="36" t="s">
        <v>224</v>
      </c>
      <c r="G48" s="36" t="s">
        <v>225</v>
      </c>
      <c r="H48" s="36" t="s">
        <v>226</v>
      </c>
      <c r="I48" s="36" t="s">
        <v>261</v>
      </c>
      <c r="J48" s="36" t="s">
        <v>262</v>
      </c>
      <c r="K48" s="3"/>
      <c r="L48" s="3">
        <v>1</v>
      </c>
      <c r="M48" s="3" t="s">
        <v>229</v>
      </c>
      <c r="N48" s="3" t="s">
        <v>264</v>
      </c>
      <c r="O48" s="3">
        <v>300</v>
      </c>
      <c r="P48" s="36">
        <v>0.33263927147670036</v>
      </c>
      <c r="Q48" s="65">
        <v>250</v>
      </c>
      <c r="R48" s="51"/>
      <c r="S48" s="51"/>
      <c r="T48" s="65"/>
      <c r="U48" s="36"/>
      <c r="V48" s="36"/>
      <c r="W48" s="36"/>
      <c r="X48" s="36"/>
      <c r="Y48" s="36"/>
      <c r="Z48" s="36"/>
    </row>
    <row r="49" spans="1:26" ht="14">
      <c r="A49" s="13">
        <v>41761</v>
      </c>
      <c r="B49" s="35" t="s">
        <v>144</v>
      </c>
      <c r="C49" s="168">
        <v>2014</v>
      </c>
      <c r="D49" s="65">
        <v>8</v>
      </c>
      <c r="E49" s="65" t="s">
        <v>223</v>
      </c>
      <c r="F49" s="65" t="s">
        <v>224</v>
      </c>
      <c r="G49" s="65" t="s">
        <v>225</v>
      </c>
      <c r="H49" s="65" t="s">
        <v>226</v>
      </c>
      <c r="I49" s="65" t="s">
        <v>261</v>
      </c>
      <c r="J49" s="36" t="s">
        <v>262</v>
      </c>
      <c r="K49" s="3"/>
      <c r="L49" s="3">
        <v>9</v>
      </c>
      <c r="M49" s="3" t="s">
        <v>229</v>
      </c>
      <c r="N49" s="3" t="s">
        <v>264</v>
      </c>
      <c r="O49" s="3">
        <v>129</v>
      </c>
      <c r="P49" s="36">
        <v>6.9585136313782918</v>
      </c>
      <c r="Q49" s="51">
        <v>250</v>
      </c>
      <c r="R49" s="51"/>
      <c r="S49" s="51"/>
      <c r="T49" s="65"/>
      <c r="U49" s="36"/>
      <c r="V49" s="36"/>
      <c r="W49" s="36"/>
      <c r="X49" s="36"/>
      <c r="Y49" s="36"/>
      <c r="Z49" s="36"/>
    </row>
    <row r="50" spans="1:26" ht="14">
      <c r="A50" s="13">
        <v>41542</v>
      </c>
      <c r="B50" s="72" t="s">
        <v>157</v>
      </c>
      <c r="C50" s="168">
        <v>2013</v>
      </c>
      <c r="D50" s="51">
        <v>4</v>
      </c>
      <c r="E50" s="3" t="s">
        <v>223</v>
      </c>
      <c r="F50" s="3" t="s">
        <v>224</v>
      </c>
      <c r="G50" s="3" t="s">
        <v>225</v>
      </c>
      <c r="H50" s="3" t="s">
        <v>226</v>
      </c>
      <c r="I50" s="3" t="s">
        <v>261</v>
      </c>
      <c r="J50" s="3" t="s">
        <v>262</v>
      </c>
      <c r="K50" s="3" t="s">
        <v>263</v>
      </c>
      <c r="L50" s="3">
        <v>1</v>
      </c>
      <c r="M50" s="3" t="s">
        <v>247</v>
      </c>
      <c r="N50" s="3" t="s">
        <v>264</v>
      </c>
      <c r="O50" s="3">
        <v>159</v>
      </c>
      <c r="P50" s="36">
        <v>0.62206233822921186</v>
      </c>
      <c r="Q50" s="3">
        <v>250</v>
      </c>
      <c r="R50" s="3"/>
      <c r="S50" s="3"/>
      <c r="T50" s="36"/>
      <c r="U50" s="36"/>
      <c r="V50" s="36"/>
      <c r="W50" s="36"/>
      <c r="X50" s="36"/>
      <c r="Y50" s="36"/>
      <c r="Z50" s="36"/>
    </row>
    <row r="51" spans="1:26" ht="14">
      <c r="A51" s="71">
        <v>41480</v>
      </c>
      <c r="B51" s="72" t="s">
        <v>154</v>
      </c>
      <c r="C51" s="168">
        <v>2013</v>
      </c>
      <c r="D51" s="51">
        <v>5</v>
      </c>
      <c r="E51" s="3" t="s">
        <v>223</v>
      </c>
      <c r="F51" s="3" t="s">
        <v>224</v>
      </c>
      <c r="G51" s="3" t="s">
        <v>225</v>
      </c>
      <c r="H51" s="3" t="s">
        <v>226</v>
      </c>
      <c r="I51" s="3" t="s">
        <v>261</v>
      </c>
      <c r="J51" s="3" t="s">
        <v>262</v>
      </c>
      <c r="K51" s="3" t="s">
        <v>263</v>
      </c>
      <c r="L51" s="3">
        <v>2</v>
      </c>
      <c r="M51" s="3" t="s">
        <v>247</v>
      </c>
      <c r="N51" s="3" t="s">
        <v>264</v>
      </c>
      <c r="O51" s="3">
        <v>155</v>
      </c>
      <c r="P51" s="65">
        <v>1.2901406419962931</v>
      </c>
      <c r="Q51" s="3">
        <v>250</v>
      </c>
      <c r="R51" s="3"/>
      <c r="S51" s="3"/>
      <c r="T51" s="36"/>
      <c r="U51" s="36"/>
      <c r="V51" s="36"/>
      <c r="W51" s="36"/>
      <c r="X51" s="36"/>
      <c r="Y51" s="36"/>
      <c r="Z51" s="36"/>
    </row>
    <row r="52" spans="1:26" ht="14">
      <c r="A52" s="71">
        <v>41422</v>
      </c>
      <c r="B52" s="72" t="s">
        <v>144</v>
      </c>
      <c r="C52" s="168">
        <v>2013</v>
      </c>
      <c r="D52" s="51">
        <v>4</v>
      </c>
      <c r="E52" s="3" t="s">
        <v>223</v>
      </c>
      <c r="F52" s="3" t="s">
        <v>224</v>
      </c>
      <c r="G52" s="3" t="s">
        <v>225</v>
      </c>
      <c r="H52" s="3" t="s">
        <v>226</v>
      </c>
      <c r="I52" s="3" t="s">
        <v>261</v>
      </c>
      <c r="J52" s="3" t="s">
        <v>262</v>
      </c>
      <c r="K52" s="3" t="s">
        <v>263</v>
      </c>
      <c r="L52" s="3">
        <v>2</v>
      </c>
      <c r="M52" s="3" t="s">
        <v>247</v>
      </c>
      <c r="N52" s="3" t="s">
        <v>264</v>
      </c>
      <c r="O52" s="3">
        <v>106</v>
      </c>
      <c r="P52" s="36">
        <v>1.8840092447487393</v>
      </c>
      <c r="Q52" s="3">
        <v>250</v>
      </c>
      <c r="R52" s="3"/>
      <c r="S52" s="3"/>
      <c r="T52" s="36"/>
      <c r="U52" s="36"/>
      <c r="V52" s="36"/>
      <c r="W52" s="36"/>
      <c r="X52" s="36"/>
      <c r="Y52" s="36"/>
      <c r="Z52" s="36"/>
    </row>
    <row r="53" spans="1:26" ht="14">
      <c r="A53" s="71">
        <v>41422</v>
      </c>
      <c r="B53" s="35" t="s">
        <v>144</v>
      </c>
      <c r="C53" s="168">
        <v>2013</v>
      </c>
      <c r="D53" s="51">
        <v>5</v>
      </c>
      <c r="E53" s="51" t="s">
        <v>223</v>
      </c>
      <c r="F53" s="51" t="s">
        <v>224</v>
      </c>
      <c r="G53" s="51" t="s">
        <v>225</v>
      </c>
      <c r="H53" s="51" t="s">
        <v>226</v>
      </c>
      <c r="I53" s="51" t="s">
        <v>261</v>
      </c>
      <c r="J53" s="3" t="s">
        <v>262</v>
      </c>
      <c r="K53" s="3" t="s">
        <v>263</v>
      </c>
      <c r="L53" s="3">
        <v>5</v>
      </c>
      <c r="M53" s="3" t="s">
        <v>247</v>
      </c>
      <c r="N53" s="3" t="s">
        <v>264</v>
      </c>
      <c r="O53" s="3">
        <v>120</v>
      </c>
      <c r="P53" s="36">
        <v>4.1666666666666661</v>
      </c>
      <c r="Q53" s="3">
        <v>250</v>
      </c>
      <c r="R53" s="3"/>
      <c r="S53" s="3"/>
      <c r="T53" s="36"/>
      <c r="U53" s="36"/>
      <c r="V53" s="36"/>
      <c r="W53" s="36"/>
      <c r="X53" s="36"/>
      <c r="Y53" s="36"/>
      <c r="Z53" s="36"/>
    </row>
    <row r="54" spans="1:26" ht="14">
      <c r="A54" s="71">
        <v>41422</v>
      </c>
      <c r="B54" s="35" t="s">
        <v>144</v>
      </c>
      <c r="C54" s="168">
        <v>2013</v>
      </c>
      <c r="D54" s="51">
        <v>8</v>
      </c>
      <c r="E54" s="3" t="s">
        <v>223</v>
      </c>
      <c r="F54" s="3" t="s">
        <v>224</v>
      </c>
      <c r="G54" s="3" t="s">
        <v>225</v>
      </c>
      <c r="H54" s="3" t="s">
        <v>226</v>
      </c>
      <c r="I54" s="3" t="s">
        <v>261</v>
      </c>
      <c r="J54" s="3" t="s">
        <v>262</v>
      </c>
      <c r="K54" s="3" t="s">
        <v>263</v>
      </c>
      <c r="L54" s="3">
        <v>2</v>
      </c>
      <c r="M54" s="3" t="s">
        <v>247</v>
      </c>
      <c r="N54" s="3" t="s">
        <v>264</v>
      </c>
      <c r="O54" s="3">
        <v>89</v>
      </c>
      <c r="P54" s="65">
        <v>2.2466196971623202</v>
      </c>
      <c r="Q54" s="3">
        <v>250</v>
      </c>
      <c r="R54" s="3"/>
      <c r="S54" s="3"/>
      <c r="T54" s="36"/>
      <c r="U54" s="36"/>
      <c r="V54" s="36"/>
      <c r="W54" s="36"/>
      <c r="X54" s="36"/>
      <c r="Y54" s="36"/>
      <c r="Z54" s="36"/>
    </row>
    <row r="55" spans="1:26" ht="14">
      <c r="A55" s="13">
        <v>43019</v>
      </c>
      <c r="B55" s="35" t="s">
        <v>159</v>
      </c>
      <c r="C55" s="168">
        <v>2017</v>
      </c>
      <c r="D55" s="65">
        <v>5</v>
      </c>
      <c r="E55" s="51" t="s">
        <v>223</v>
      </c>
      <c r="F55" s="51" t="s">
        <v>224</v>
      </c>
      <c r="G55" s="51" t="s">
        <v>225</v>
      </c>
      <c r="H55" s="51" t="s">
        <v>226</v>
      </c>
      <c r="I55" s="51" t="s">
        <v>239</v>
      </c>
      <c r="J55" s="3" t="s">
        <v>258</v>
      </c>
      <c r="K55" s="3" t="s">
        <v>259</v>
      </c>
      <c r="L55" s="3">
        <v>6</v>
      </c>
      <c r="M55" s="3" t="s">
        <v>247</v>
      </c>
      <c r="N55" s="3" t="s">
        <v>260</v>
      </c>
      <c r="O55" s="3">
        <v>255</v>
      </c>
      <c r="P55" s="36">
        <v>2.3524194732913601</v>
      </c>
      <c r="Q55" s="3">
        <v>250</v>
      </c>
      <c r="R55" s="3"/>
      <c r="S55" s="3"/>
      <c r="T55" s="36"/>
      <c r="U55" s="36"/>
      <c r="V55" s="36"/>
      <c r="W55" s="36"/>
      <c r="X55" s="36"/>
      <c r="Y55" s="36"/>
      <c r="Z55" s="36"/>
    </row>
    <row r="56" spans="1:26" ht="14">
      <c r="A56" s="13">
        <v>43019</v>
      </c>
      <c r="B56" s="35" t="s">
        <v>159</v>
      </c>
      <c r="C56" s="168">
        <v>2017</v>
      </c>
      <c r="D56" s="65">
        <v>8</v>
      </c>
      <c r="E56" s="51" t="s">
        <v>223</v>
      </c>
      <c r="F56" s="51" t="s">
        <v>224</v>
      </c>
      <c r="G56" s="51" t="s">
        <v>225</v>
      </c>
      <c r="H56" s="51" t="s">
        <v>226</v>
      </c>
      <c r="I56" s="51" t="s">
        <v>239</v>
      </c>
      <c r="J56" s="3" t="s">
        <v>258</v>
      </c>
      <c r="K56" s="3" t="s">
        <v>259</v>
      </c>
      <c r="L56" s="3">
        <v>2</v>
      </c>
      <c r="M56" s="3" t="s">
        <v>247</v>
      </c>
      <c r="N56" s="3" t="s">
        <v>260</v>
      </c>
      <c r="O56" s="3">
        <v>288</v>
      </c>
      <c r="P56" s="36">
        <v>0.66722096241862627</v>
      </c>
      <c r="Q56" s="3">
        <v>250</v>
      </c>
      <c r="R56" s="3"/>
      <c r="S56" s="3"/>
      <c r="T56" s="36"/>
      <c r="U56" s="36"/>
      <c r="V56" s="36"/>
      <c r="W56" s="36"/>
      <c r="X56" s="36"/>
      <c r="Y56" s="36"/>
      <c r="Z56" s="36"/>
    </row>
    <row r="57" spans="1:26" ht="14">
      <c r="A57" s="13">
        <v>42928</v>
      </c>
      <c r="B57" s="72" t="s">
        <v>154</v>
      </c>
      <c r="C57" s="168">
        <v>2017</v>
      </c>
      <c r="D57" s="65">
        <v>4</v>
      </c>
      <c r="E57" s="51" t="s">
        <v>223</v>
      </c>
      <c r="F57" s="51" t="s">
        <v>224</v>
      </c>
      <c r="G57" s="51" t="s">
        <v>225</v>
      </c>
      <c r="H57" s="51" t="s">
        <v>226</v>
      </c>
      <c r="I57" s="51" t="s">
        <v>239</v>
      </c>
      <c r="J57" s="3" t="s">
        <v>258</v>
      </c>
      <c r="K57" s="3" t="s">
        <v>259</v>
      </c>
      <c r="L57" s="3">
        <v>1</v>
      </c>
      <c r="M57" s="3" t="s">
        <v>247</v>
      </c>
      <c r="N57" s="3" t="s">
        <v>260</v>
      </c>
      <c r="O57" s="3">
        <v>225</v>
      </c>
      <c r="P57" s="36">
        <v>0.44266164065770053</v>
      </c>
      <c r="Q57" s="36">
        <v>250</v>
      </c>
      <c r="R57" s="3"/>
      <c r="S57" s="3"/>
      <c r="T57" s="36"/>
      <c r="U57" s="36"/>
      <c r="V57" s="36"/>
      <c r="W57" s="36"/>
      <c r="X57" s="36"/>
      <c r="Y57" s="36"/>
      <c r="Z57" s="36"/>
    </row>
    <row r="58" spans="1:26" ht="14">
      <c r="A58" s="35">
        <v>42928</v>
      </c>
      <c r="B58" s="72" t="s">
        <v>154</v>
      </c>
      <c r="C58" s="168">
        <v>2017</v>
      </c>
      <c r="D58" s="65">
        <v>5</v>
      </c>
      <c r="E58" s="65" t="s">
        <v>223</v>
      </c>
      <c r="F58" s="65" t="s">
        <v>224</v>
      </c>
      <c r="G58" s="65" t="s">
        <v>225</v>
      </c>
      <c r="H58" s="65" t="s">
        <v>226</v>
      </c>
      <c r="I58" s="65" t="s">
        <v>239</v>
      </c>
      <c r="J58" s="36" t="s">
        <v>258</v>
      </c>
      <c r="K58" s="36" t="s">
        <v>259</v>
      </c>
      <c r="L58" s="36">
        <v>2</v>
      </c>
      <c r="M58" s="36" t="s">
        <v>247</v>
      </c>
      <c r="N58" s="36" t="s">
        <v>260</v>
      </c>
      <c r="O58" s="36">
        <v>385</v>
      </c>
      <c r="P58" s="36">
        <v>0.51925287312867219</v>
      </c>
      <c r="Q58" s="65">
        <v>250</v>
      </c>
      <c r="R58" s="65"/>
      <c r="S58" s="65"/>
      <c r="T58" s="65"/>
      <c r="U58" s="36"/>
      <c r="V58" s="36"/>
      <c r="W58" s="36"/>
      <c r="X58" s="36"/>
      <c r="Y58" s="36"/>
      <c r="Z58" s="36"/>
    </row>
    <row r="59" spans="1:26" ht="14">
      <c r="A59" s="13">
        <v>42928</v>
      </c>
      <c r="B59" s="35" t="s">
        <v>154</v>
      </c>
      <c r="C59" s="168">
        <v>2017</v>
      </c>
      <c r="D59" s="65">
        <v>8</v>
      </c>
      <c r="E59" s="51" t="s">
        <v>223</v>
      </c>
      <c r="F59" s="51" t="s">
        <v>224</v>
      </c>
      <c r="G59" s="51" t="s">
        <v>225</v>
      </c>
      <c r="H59" s="51" t="s">
        <v>226</v>
      </c>
      <c r="I59" s="51" t="s">
        <v>239</v>
      </c>
      <c r="J59" s="3" t="s">
        <v>258</v>
      </c>
      <c r="K59" s="3" t="s">
        <v>259</v>
      </c>
      <c r="L59" s="3">
        <v>4</v>
      </c>
      <c r="M59" s="3" t="s">
        <v>247</v>
      </c>
      <c r="N59" s="3" t="s">
        <v>260</v>
      </c>
      <c r="O59" s="3">
        <v>319</v>
      </c>
      <c r="P59" s="36">
        <v>1.2534430824053242</v>
      </c>
      <c r="Q59" s="36">
        <v>250</v>
      </c>
      <c r="R59" s="3"/>
      <c r="S59" s="3"/>
      <c r="T59" s="36"/>
      <c r="U59" s="36"/>
      <c r="V59" s="36"/>
      <c r="W59" s="36"/>
      <c r="X59" s="36"/>
      <c r="Y59" s="36"/>
      <c r="Z59" s="36"/>
    </row>
    <row r="60" spans="1:26" ht="14">
      <c r="A60" s="13">
        <v>42867</v>
      </c>
      <c r="B60" s="72" t="s">
        <v>144</v>
      </c>
      <c r="C60" s="168">
        <v>2017</v>
      </c>
      <c r="D60" s="65">
        <v>8</v>
      </c>
      <c r="E60" s="51" t="s">
        <v>223</v>
      </c>
      <c r="F60" s="51" t="s">
        <v>224</v>
      </c>
      <c r="G60" s="51" t="s">
        <v>225</v>
      </c>
      <c r="H60" s="51" t="s">
        <v>226</v>
      </c>
      <c r="I60" s="51" t="s">
        <v>239</v>
      </c>
      <c r="J60" s="3" t="s">
        <v>258</v>
      </c>
      <c r="K60" s="3" t="s">
        <v>259</v>
      </c>
      <c r="L60" s="3">
        <v>5</v>
      </c>
      <c r="M60" s="3" t="s">
        <v>247</v>
      </c>
      <c r="N60" s="3" t="s">
        <v>260</v>
      </c>
      <c r="O60" s="3">
        <v>268</v>
      </c>
      <c r="P60" s="36">
        <v>1.8624681863831569</v>
      </c>
      <c r="Q60" s="3"/>
      <c r="R60" s="3"/>
      <c r="S60" s="3"/>
      <c r="T60" s="36"/>
      <c r="U60" s="36"/>
      <c r="V60" s="36"/>
      <c r="W60" s="36"/>
      <c r="X60" s="36"/>
      <c r="Y60" s="36"/>
      <c r="Z60" s="36"/>
    </row>
    <row r="61" spans="1:26" ht="14">
      <c r="A61" s="71">
        <v>41542</v>
      </c>
      <c r="B61" s="72" t="s">
        <v>157</v>
      </c>
      <c r="C61" s="168">
        <v>2013</v>
      </c>
      <c r="D61" s="51">
        <v>2</v>
      </c>
      <c r="E61" s="51" t="s">
        <v>223</v>
      </c>
      <c r="F61" s="51" t="s">
        <v>224</v>
      </c>
      <c r="G61" s="51" t="s">
        <v>225</v>
      </c>
      <c r="H61" s="51" t="s">
        <v>226</v>
      </c>
      <c r="I61" s="51" t="s">
        <v>239</v>
      </c>
      <c r="J61" s="51" t="s">
        <v>258</v>
      </c>
      <c r="K61" s="51" t="s">
        <v>259</v>
      </c>
      <c r="L61" s="51">
        <v>10</v>
      </c>
      <c r="M61" s="51" t="s">
        <v>247</v>
      </c>
      <c r="N61" s="51" t="s">
        <v>260</v>
      </c>
      <c r="O61" s="3">
        <v>110</v>
      </c>
      <c r="P61" s="36">
        <v>9.0090212217539385</v>
      </c>
      <c r="Q61" s="3">
        <v>250</v>
      </c>
      <c r="R61" s="3"/>
      <c r="S61" s="3"/>
      <c r="T61" s="36"/>
      <c r="U61" s="36"/>
      <c r="V61" s="36"/>
      <c r="W61" s="36"/>
      <c r="X61" s="36"/>
      <c r="Y61" s="36"/>
      <c r="Z61" s="36"/>
    </row>
    <row r="62" spans="1:26" s="90" customFormat="1" ht="14">
      <c r="A62" s="71">
        <v>41542</v>
      </c>
      <c r="B62" s="72" t="s">
        <v>157</v>
      </c>
      <c r="C62" s="168">
        <v>2013</v>
      </c>
      <c r="D62" s="51">
        <v>5</v>
      </c>
      <c r="E62" s="34" t="s">
        <v>223</v>
      </c>
      <c r="F62" s="34" t="s">
        <v>224</v>
      </c>
      <c r="G62" s="34" t="s">
        <v>225</v>
      </c>
      <c r="H62" s="34" t="s">
        <v>226</v>
      </c>
      <c r="I62" s="34" t="s">
        <v>239</v>
      </c>
      <c r="J62" s="3" t="s">
        <v>258</v>
      </c>
      <c r="K62" s="3" t="s">
        <v>259</v>
      </c>
      <c r="L62" s="3">
        <v>1</v>
      </c>
      <c r="M62" s="3" t="s">
        <v>247</v>
      </c>
      <c r="N62" s="3" t="s">
        <v>260</v>
      </c>
      <c r="O62" s="3">
        <v>206</v>
      </c>
      <c r="P62" s="36">
        <v>0.48528051994299326</v>
      </c>
      <c r="Q62" s="3">
        <v>250</v>
      </c>
      <c r="R62" s="3"/>
      <c r="S62" s="3"/>
      <c r="T62" s="36"/>
      <c r="U62" s="59"/>
      <c r="V62" s="59"/>
      <c r="W62" s="59"/>
      <c r="X62" s="59"/>
      <c r="Y62" s="59"/>
      <c r="Z62" s="59"/>
    </row>
    <row r="63" spans="1:26" s="90" customFormat="1" ht="14">
      <c r="A63" s="71">
        <v>41542</v>
      </c>
      <c r="B63" s="72" t="s">
        <v>157</v>
      </c>
      <c r="C63" s="168">
        <v>2013</v>
      </c>
      <c r="D63" s="51">
        <v>8</v>
      </c>
      <c r="E63" s="3" t="s">
        <v>223</v>
      </c>
      <c r="F63" s="3" t="s">
        <v>224</v>
      </c>
      <c r="G63" s="3" t="s">
        <v>225</v>
      </c>
      <c r="H63" s="3" t="s">
        <v>226</v>
      </c>
      <c r="I63" s="3" t="s">
        <v>239</v>
      </c>
      <c r="J63" s="3" t="s">
        <v>258</v>
      </c>
      <c r="K63" s="3" t="s">
        <v>259</v>
      </c>
      <c r="L63" s="3">
        <v>2</v>
      </c>
      <c r="M63" s="3" t="s">
        <v>247</v>
      </c>
      <c r="N63" s="3" t="s">
        <v>260</v>
      </c>
      <c r="O63" s="3">
        <v>183</v>
      </c>
      <c r="P63" s="36">
        <v>1.0928629962109482</v>
      </c>
      <c r="Q63" s="3">
        <v>250</v>
      </c>
      <c r="R63" s="3"/>
      <c r="S63" s="3"/>
      <c r="T63" s="36"/>
      <c r="U63" s="59"/>
      <c r="V63" s="59"/>
      <c r="W63" s="59"/>
      <c r="X63" s="59"/>
      <c r="Y63" s="59"/>
      <c r="Z63" s="59"/>
    </row>
    <row r="64" spans="1:26" s="90" customFormat="1" ht="14">
      <c r="A64" s="71">
        <v>41480</v>
      </c>
      <c r="B64" s="72" t="s">
        <v>154</v>
      </c>
      <c r="C64" s="168">
        <v>2013</v>
      </c>
      <c r="D64" s="51">
        <v>5</v>
      </c>
      <c r="E64" s="3" t="s">
        <v>223</v>
      </c>
      <c r="F64" s="3" t="s">
        <v>224</v>
      </c>
      <c r="G64" s="3" t="s">
        <v>225</v>
      </c>
      <c r="H64" s="3" t="s">
        <v>226</v>
      </c>
      <c r="I64" s="3" t="s">
        <v>239</v>
      </c>
      <c r="J64" s="3" t="s">
        <v>258</v>
      </c>
      <c r="K64" s="3" t="s">
        <v>259</v>
      </c>
      <c r="L64" s="3">
        <v>5</v>
      </c>
      <c r="M64" s="3" t="s">
        <v>247</v>
      </c>
      <c r="N64" s="3" t="s">
        <v>260</v>
      </c>
      <c r="O64" s="3">
        <v>155</v>
      </c>
      <c r="P64" s="65">
        <v>3.2253516049907325</v>
      </c>
      <c r="Q64" s="3">
        <v>250</v>
      </c>
      <c r="R64" s="3"/>
      <c r="S64" s="3"/>
      <c r="T64" s="36"/>
      <c r="U64" s="59"/>
      <c r="V64" s="59"/>
      <c r="W64" s="59"/>
      <c r="X64" s="59"/>
      <c r="Y64" s="59"/>
      <c r="Z64" s="59"/>
    </row>
    <row r="65" spans="1:26" s="90" customFormat="1" ht="14">
      <c r="A65" s="13">
        <v>41480</v>
      </c>
      <c r="B65" s="72" t="s">
        <v>154</v>
      </c>
      <c r="C65" s="168">
        <v>2013</v>
      </c>
      <c r="D65" s="51">
        <v>8</v>
      </c>
      <c r="E65" s="3" t="s">
        <v>223</v>
      </c>
      <c r="F65" s="3" t="s">
        <v>224</v>
      </c>
      <c r="G65" s="3" t="s">
        <v>225</v>
      </c>
      <c r="H65" s="3" t="s">
        <v>226</v>
      </c>
      <c r="I65" s="51" t="s">
        <v>239</v>
      </c>
      <c r="J65" s="51" t="s">
        <v>258</v>
      </c>
      <c r="K65" s="3" t="s">
        <v>259</v>
      </c>
      <c r="L65" s="3">
        <v>22</v>
      </c>
      <c r="M65" s="3" t="s">
        <v>247</v>
      </c>
      <c r="N65" s="3" t="s">
        <v>260</v>
      </c>
      <c r="O65" s="3">
        <v>251</v>
      </c>
      <c r="P65" s="36">
        <v>8.7645503886154739</v>
      </c>
      <c r="Q65" s="3">
        <v>250</v>
      </c>
      <c r="R65" s="3"/>
      <c r="S65" s="3"/>
      <c r="T65" s="36"/>
      <c r="U65" s="59"/>
      <c r="V65" s="59"/>
      <c r="W65" s="59"/>
      <c r="X65" s="59"/>
      <c r="Y65" s="59"/>
      <c r="Z65" s="59"/>
    </row>
    <row r="66" spans="1:26" s="90" customFormat="1" ht="14">
      <c r="A66" s="71">
        <v>41422</v>
      </c>
      <c r="B66" s="64" t="s">
        <v>144</v>
      </c>
      <c r="C66" s="168">
        <v>2013</v>
      </c>
      <c r="D66" s="51">
        <v>2</v>
      </c>
      <c r="E66" s="3" t="s">
        <v>223</v>
      </c>
      <c r="F66" s="3" t="s">
        <v>224</v>
      </c>
      <c r="G66" s="3" t="s">
        <v>225</v>
      </c>
      <c r="H66" s="3" t="s">
        <v>226</v>
      </c>
      <c r="I66" s="3" t="s">
        <v>239</v>
      </c>
      <c r="J66" s="3" t="s">
        <v>258</v>
      </c>
      <c r="K66" s="3" t="s">
        <v>259</v>
      </c>
      <c r="L66" s="3">
        <v>1</v>
      </c>
      <c r="M66" s="3" t="s">
        <v>247</v>
      </c>
      <c r="N66" s="3" t="s">
        <v>260</v>
      </c>
      <c r="O66" s="3">
        <v>40</v>
      </c>
      <c r="P66" s="65">
        <v>2.498819922926661</v>
      </c>
      <c r="Q66" s="3">
        <v>250</v>
      </c>
      <c r="R66" s="3"/>
      <c r="S66" s="3"/>
      <c r="T66" s="36"/>
      <c r="U66" s="59"/>
      <c r="V66" s="59"/>
      <c r="W66" s="59"/>
      <c r="X66" s="59"/>
      <c r="Y66" s="59"/>
      <c r="Z66" s="59"/>
    </row>
    <row r="67" spans="1:26" s="90" customFormat="1" ht="14">
      <c r="A67" s="71">
        <v>41422</v>
      </c>
      <c r="B67" s="72" t="s">
        <v>144</v>
      </c>
      <c r="C67" s="168">
        <v>2013</v>
      </c>
      <c r="D67" s="51">
        <v>4</v>
      </c>
      <c r="E67" s="51" t="s">
        <v>223</v>
      </c>
      <c r="F67" s="3" t="s">
        <v>224</v>
      </c>
      <c r="G67" s="3" t="s">
        <v>225</v>
      </c>
      <c r="H67" s="51" t="s">
        <v>226</v>
      </c>
      <c r="I67" s="51" t="s">
        <v>239</v>
      </c>
      <c r="J67" s="51" t="s">
        <v>258</v>
      </c>
      <c r="K67" s="3" t="s">
        <v>259</v>
      </c>
      <c r="L67" s="3">
        <v>3</v>
      </c>
      <c r="M67" s="3" t="s">
        <v>247</v>
      </c>
      <c r="N67" s="3" t="s">
        <v>260</v>
      </c>
      <c r="O67" s="3">
        <v>106</v>
      </c>
      <c r="P67" s="36">
        <v>2.8260138671231094</v>
      </c>
      <c r="Q67" s="3">
        <v>250</v>
      </c>
      <c r="R67" s="3"/>
      <c r="S67" s="3"/>
      <c r="T67" s="36"/>
      <c r="U67" s="59"/>
      <c r="V67" s="59"/>
      <c r="W67" s="59"/>
      <c r="X67" s="59"/>
      <c r="Y67" s="59"/>
      <c r="Z67" s="59"/>
    </row>
    <row r="68" spans="1:26" s="90" customFormat="1" ht="14">
      <c r="A68" s="71">
        <v>41422</v>
      </c>
      <c r="B68" s="64" t="s">
        <v>144</v>
      </c>
      <c r="C68" s="168">
        <v>2013</v>
      </c>
      <c r="D68" s="51">
        <v>5</v>
      </c>
      <c r="E68" s="51" t="s">
        <v>223</v>
      </c>
      <c r="F68" s="51" t="s">
        <v>224</v>
      </c>
      <c r="G68" s="51" t="s">
        <v>225</v>
      </c>
      <c r="H68" s="51" t="s">
        <v>226</v>
      </c>
      <c r="I68" s="51" t="s">
        <v>239</v>
      </c>
      <c r="J68" s="51" t="s">
        <v>258</v>
      </c>
      <c r="K68" s="3" t="s">
        <v>259</v>
      </c>
      <c r="L68" s="3">
        <v>1</v>
      </c>
      <c r="M68" s="3" t="s">
        <v>247</v>
      </c>
      <c r="N68" s="3" t="s">
        <v>260</v>
      </c>
      <c r="O68" s="3">
        <v>120</v>
      </c>
      <c r="P68" s="36">
        <v>0.83333333333333337</v>
      </c>
      <c r="Q68" s="3">
        <v>250</v>
      </c>
      <c r="R68" s="3"/>
      <c r="S68" s="3"/>
      <c r="T68" s="36"/>
      <c r="U68" s="59"/>
      <c r="V68" s="59"/>
      <c r="W68" s="59"/>
      <c r="X68" s="59"/>
      <c r="Y68" s="59"/>
      <c r="Z68" s="59"/>
    </row>
    <row r="69" spans="1:26" s="90" customFormat="1" ht="14">
      <c r="A69" s="35">
        <v>42634</v>
      </c>
      <c r="B69" s="35" t="s">
        <v>157</v>
      </c>
      <c r="C69" s="168">
        <v>2016</v>
      </c>
      <c r="D69" s="65">
        <v>4</v>
      </c>
      <c r="E69" s="36" t="s">
        <v>223</v>
      </c>
      <c r="F69" s="36" t="s">
        <v>224</v>
      </c>
      <c r="G69" s="36" t="s">
        <v>225</v>
      </c>
      <c r="H69" s="36" t="s">
        <v>226</v>
      </c>
      <c r="I69" s="36" t="s">
        <v>239</v>
      </c>
      <c r="J69" s="36" t="s">
        <v>258</v>
      </c>
      <c r="K69" s="36" t="s">
        <v>259</v>
      </c>
      <c r="L69" s="36">
        <v>1</v>
      </c>
      <c r="M69" s="36" t="s">
        <v>247</v>
      </c>
      <c r="N69" s="36" t="s">
        <v>258</v>
      </c>
      <c r="O69" s="36">
        <v>156</v>
      </c>
      <c r="P69" s="76">
        <v>0.63937497457156689</v>
      </c>
      <c r="Q69" s="36">
        <v>250</v>
      </c>
      <c r="R69" s="36"/>
      <c r="S69" s="36"/>
      <c r="T69" s="36"/>
      <c r="U69" s="59"/>
      <c r="V69" s="59"/>
      <c r="W69" s="59"/>
      <c r="X69" s="59"/>
      <c r="Y69" s="59"/>
      <c r="Z69" s="59"/>
    </row>
    <row r="70" spans="1:26" s="90" customFormat="1" ht="14">
      <c r="A70" s="13">
        <v>42634</v>
      </c>
      <c r="B70" s="64" t="s">
        <v>157</v>
      </c>
      <c r="C70" s="168">
        <v>2016</v>
      </c>
      <c r="D70" s="65">
        <v>5</v>
      </c>
      <c r="E70" s="3" t="s">
        <v>223</v>
      </c>
      <c r="F70" s="3" t="s">
        <v>224</v>
      </c>
      <c r="G70" s="3" t="s">
        <v>225</v>
      </c>
      <c r="H70" s="3" t="s">
        <v>226</v>
      </c>
      <c r="I70" s="3" t="s">
        <v>239</v>
      </c>
      <c r="J70" s="3" t="s">
        <v>258</v>
      </c>
      <c r="K70" s="3" t="s">
        <v>259</v>
      </c>
      <c r="L70" s="3">
        <v>3</v>
      </c>
      <c r="M70" s="3" t="s">
        <v>247</v>
      </c>
      <c r="N70" s="36" t="s">
        <v>258</v>
      </c>
      <c r="O70" s="3">
        <v>203</v>
      </c>
      <c r="P70" s="65">
        <v>1.4765387849693219</v>
      </c>
      <c r="Q70" s="3">
        <v>250</v>
      </c>
      <c r="R70" s="3"/>
      <c r="S70" s="3"/>
      <c r="T70" s="36"/>
      <c r="U70" s="59"/>
      <c r="V70" s="59"/>
      <c r="W70" s="59"/>
      <c r="X70" s="59"/>
      <c r="Y70" s="59"/>
      <c r="Z70" s="59"/>
    </row>
    <row r="71" spans="1:26" s="90" customFormat="1" ht="14">
      <c r="A71" s="35">
        <v>42515</v>
      </c>
      <c r="B71" s="35" t="s">
        <v>144</v>
      </c>
      <c r="C71" s="168">
        <v>2016</v>
      </c>
      <c r="D71" s="65">
        <v>5</v>
      </c>
      <c r="E71" s="36" t="s">
        <v>223</v>
      </c>
      <c r="F71" s="36" t="s">
        <v>224</v>
      </c>
      <c r="G71" s="36" t="s">
        <v>225</v>
      </c>
      <c r="H71" s="36" t="s">
        <v>226</v>
      </c>
      <c r="I71" s="36" t="s">
        <v>239</v>
      </c>
      <c r="J71" s="36" t="s">
        <v>258</v>
      </c>
      <c r="K71" s="36" t="s">
        <v>259</v>
      </c>
      <c r="L71" s="36">
        <v>1</v>
      </c>
      <c r="M71" s="36" t="s">
        <v>247</v>
      </c>
      <c r="N71" s="36" t="s">
        <v>258</v>
      </c>
      <c r="O71" s="36">
        <v>214</v>
      </c>
      <c r="P71" s="65">
        <v>0.46706439191198268</v>
      </c>
      <c r="Q71" s="36">
        <v>250</v>
      </c>
      <c r="R71" s="3"/>
      <c r="S71" s="3"/>
      <c r="T71" s="36"/>
      <c r="U71" s="59"/>
      <c r="V71" s="59"/>
      <c r="W71" s="59"/>
      <c r="X71" s="59"/>
      <c r="Y71" s="59"/>
      <c r="Z71" s="59"/>
    </row>
    <row r="72" spans="1:26" s="90" customFormat="1" ht="14">
      <c r="A72" s="173">
        <v>42515</v>
      </c>
      <c r="B72" s="178" t="s">
        <v>144</v>
      </c>
      <c r="C72" s="176">
        <v>2016</v>
      </c>
      <c r="D72" s="170">
        <v>8</v>
      </c>
      <c r="E72" s="171" t="s">
        <v>223</v>
      </c>
      <c r="F72" s="171" t="s">
        <v>224</v>
      </c>
      <c r="G72" s="171" t="s">
        <v>225</v>
      </c>
      <c r="H72" s="171" t="s">
        <v>226</v>
      </c>
      <c r="I72" s="171" t="s">
        <v>239</v>
      </c>
      <c r="J72" s="171" t="s">
        <v>258</v>
      </c>
      <c r="K72" s="171" t="s">
        <v>259</v>
      </c>
      <c r="L72" s="171">
        <v>1</v>
      </c>
      <c r="M72" s="171" t="s">
        <v>247</v>
      </c>
      <c r="N72" s="171" t="s">
        <v>258</v>
      </c>
      <c r="O72" s="171">
        <v>252</v>
      </c>
      <c r="P72" s="171">
        <v>0.39677710006952888</v>
      </c>
      <c r="Q72" s="171">
        <v>250</v>
      </c>
      <c r="R72" s="171"/>
      <c r="S72" s="171"/>
      <c r="T72" s="36"/>
      <c r="U72" s="59"/>
      <c r="V72" s="59"/>
      <c r="W72" s="59"/>
      <c r="X72" s="59"/>
      <c r="Y72" s="59"/>
      <c r="Z72" s="59"/>
    </row>
    <row r="73" spans="1:26" ht="14">
      <c r="A73" s="71">
        <v>42263</v>
      </c>
      <c r="B73" s="72" t="s">
        <v>157</v>
      </c>
      <c r="C73" s="168">
        <v>2015</v>
      </c>
      <c r="D73" s="65">
        <v>5</v>
      </c>
      <c r="E73" s="51" t="s">
        <v>223</v>
      </c>
      <c r="F73" s="3" t="s">
        <v>224</v>
      </c>
      <c r="G73" s="3" t="s">
        <v>225</v>
      </c>
      <c r="H73" s="51" t="s">
        <v>226</v>
      </c>
      <c r="I73" s="51" t="s">
        <v>239</v>
      </c>
      <c r="J73" s="51" t="s">
        <v>258</v>
      </c>
      <c r="K73" s="3" t="s">
        <v>259</v>
      </c>
      <c r="L73" s="36">
        <v>1</v>
      </c>
      <c r="M73" s="3" t="s">
        <v>247</v>
      </c>
      <c r="N73" s="3" t="s">
        <v>258</v>
      </c>
      <c r="O73" s="3">
        <v>222</v>
      </c>
      <c r="P73" s="36">
        <v>0.45032312577471006</v>
      </c>
      <c r="Q73" s="3">
        <v>250</v>
      </c>
      <c r="R73" s="3"/>
      <c r="S73" s="3"/>
      <c r="T73" s="36"/>
      <c r="U73" s="36"/>
      <c r="V73" s="36"/>
      <c r="W73" s="36"/>
      <c r="X73" s="36"/>
      <c r="Y73" s="36"/>
      <c r="Z73" s="36"/>
    </row>
    <row r="74" spans="1:26" ht="14">
      <c r="A74" s="13">
        <v>42263</v>
      </c>
      <c r="B74" s="64" t="s">
        <v>157</v>
      </c>
      <c r="C74" s="168">
        <v>2015</v>
      </c>
      <c r="D74" s="65">
        <v>8</v>
      </c>
      <c r="E74" s="51" t="s">
        <v>223</v>
      </c>
      <c r="F74" s="51" t="s">
        <v>224</v>
      </c>
      <c r="G74" s="51" t="s">
        <v>225</v>
      </c>
      <c r="H74" s="51" t="s">
        <v>226</v>
      </c>
      <c r="I74" s="51" t="s">
        <v>239</v>
      </c>
      <c r="J74" s="3" t="s">
        <v>258</v>
      </c>
      <c r="K74" s="3" t="s">
        <v>259</v>
      </c>
      <c r="L74" s="3">
        <v>2</v>
      </c>
      <c r="M74" s="3" t="s">
        <v>247</v>
      </c>
      <c r="N74" s="3" t="s">
        <v>258</v>
      </c>
      <c r="O74" s="3">
        <v>244</v>
      </c>
      <c r="P74" s="36">
        <v>0.81967213114754101</v>
      </c>
      <c r="Q74" s="3">
        <v>250</v>
      </c>
      <c r="R74" s="3"/>
      <c r="S74" s="3"/>
      <c r="T74" s="36"/>
      <c r="U74" s="36"/>
      <c r="V74" s="36"/>
      <c r="W74" s="36"/>
      <c r="X74" s="36"/>
      <c r="Y74" s="36"/>
      <c r="Z74" s="36"/>
    </row>
    <row r="75" spans="1:26" ht="14">
      <c r="A75" s="35">
        <v>42206</v>
      </c>
      <c r="B75" s="72" t="s">
        <v>154</v>
      </c>
      <c r="C75" s="168">
        <v>2015</v>
      </c>
      <c r="D75" s="65">
        <v>2</v>
      </c>
      <c r="E75" s="36" t="s">
        <v>223</v>
      </c>
      <c r="F75" s="36" t="s">
        <v>224</v>
      </c>
      <c r="G75" s="36" t="s">
        <v>225</v>
      </c>
      <c r="H75" s="36" t="s">
        <v>226</v>
      </c>
      <c r="I75" s="36" t="s">
        <v>239</v>
      </c>
      <c r="J75" s="36" t="s">
        <v>258</v>
      </c>
      <c r="K75" s="36" t="s">
        <v>259</v>
      </c>
      <c r="L75" s="36">
        <v>3</v>
      </c>
      <c r="M75" s="36" t="s">
        <v>247</v>
      </c>
      <c r="N75" s="36" t="s">
        <v>258</v>
      </c>
      <c r="O75" s="36">
        <v>337</v>
      </c>
      <c r="P75" s="36">
        <v>0.88991434869978547</v>
      </c>
      <c r="Q75" s="36">
        <v>250</v>
      </c>
      <c r="R75" s="36"/>
      <c r="S75" s="36"/>
      <c r="T75" s="36"/>
      <c r="U75" s="36"/>
      <c r="V75" s="36"/>
      <c r="W75" s="36"/>
      <c r="X75" s="36"/>
      <c r="Y75" s="36"/>
      <c r="Z75" s="36"/>
    </row>
    <row r="76" spans="1:26" ht="14">
      <c r="A76" s="71">
        <v>42206</v>
      </c>
      <c r="B76" s="64" t="s">
        <v>154</v>
      </c>
      <c r="C76" s="168">
        <v>2015</v>
      </c>
      <c r="D76" s="65">
        <v>4</v>
      </c>
      <c r="E76" s="51" t="s">
        <v>223</v>
      </c>
      <c r="F76" s="51" t="s">
        <v>224</v>
      </c>
      <c r="G76" s="51" t="s">
        <v>225</v>
      </c>
      <c r="H76" s="51" t="s">
        <v>226</v>
      </c>
      <c r="I76" s="51" t="s">
        <v>239</v>
      </c>
      <c r="J76" s="51" t="s">
        <v>258</v>
      </c>
      <c r="K76" s="3" t="s">
        <v>259</v>
      </c>
      <c r="L76" s="3">
        <v>3</v>
      </c>
      <c r="M76" s="3" t="s">
        <v>247</v>
      </c>
      <c r="N76" s="36" t="s">
        <v>258</v>
      </c>
      <c r="O76" s="3">
        <v>273</v>
      </c>
      <c r="P76" s="65">
        <v>1.0841725575511627</v>
      </c>
      <c r="Q76" s="65">
        <v>250</v>
      </c>
      <c r="R76" s="51"/>
      <c r="S76" s="51"/>
      <c r="T76" s="65"/>
      <c r="U76" s="36"/>
      <c r="V76" s="36"/>
      <c r="W76" s="36"/>
      <c r="X76" s="36"/>
      <c r="Y76" s="36"/>
      <c r="Z76" s="36"/>
    </row>
    <row r="77" spans="1:26" ht="14">
      <c r="A77" s="13">
        <v>42206</v>
      </c>
      <c r="B77" s="35" t="s">
        <v>154</v>
      </c>
      <c r="C77" s="168">
        <v>2015</v>
      </c>
      <c r="D77" s="65">
        <v>5</v>
      </c>
      <c r="E77" s="3" t="s">
        <v>223</v>
      </c>
      <c r="F77" s="3" t="s">
        <v>224</v>
      </c>
      <c r="G77" s="3" t="s">
        <v>225</v>
      </c>
      <c r="H77" s="3" t="s">
        <v>226</v>
      </c>
      <c r="I77" s="3" t="s">
        <v>239</v>
      </c>
      <c r="J77" s="3" t="s">
        <v>258</v>
      </c>
      <c r="K77" s="3" t="s">
        <v>259</v>
      </c>
      <c r="L77" s="3">
        <v>11</v>
      </c>
      <c r="M77" s="3" t="s">
        <v>247</v>
      </c>
      <c r="N77" s="36" t="s">
        <v>258</v>
      </c>
      <c r="O77" s="3">
        <v>251</v>
      </c>
      <c r="P77" s="65">
        <v>4.3814719234075916</v>
      </c>
      <c r="Q77" s="3">
        <v>250</v>
      </c>
      <c r="R77" s="3"/>
      <c r="S77" s="3"/>
      <c r="T77" s="36"/>
      <c r="U77" s="36"/>
      <c r="V77" s="36"/>
      <c r="W77" s="36"/>
      <c r="X77" s="36"/>
      <c r="Y77" s="36"/>
      <c r="Z77" s="36"/>
    </row>
    <row r="78" spans="1:26" ht="14">
      <c r="A78" s="13">
        <v>42206</v>
      </c>
      <c r="B78" s="64" t="s">
        <v>154</v>
      </c>
      <c r="C78" s="168">
        <v>2015</v>
      </c>
      <c r="D78" s="65">
        <v>8</v>
      </c>
      <c r="E78" s="3" t="s">
        <v>223</v>
      </c>
      <c r="F78" s="3" t="s">
        <v>224</v>
      </c>
      <c r="G78" s="3" t="s">
        <v>225</v>
      </c>
      <c r="H78" s="3" t="s">
        <v>226</v>
      </c>
      <c r="I78" s="3" t="s">
        <v>239</v>
      </c>
      <c r="J78" s="3" t="s">
        <v>258</v>
      </c>
      <c r="K78" s="3" t="s">
        <v>259</v>
      </c>
      <c r="L78" s="3">
        <v>15</v>
      </c>
      <c r="M78" s="3" t="s">
        <v>247</v>
      </c>
      <c r="N78" s="36" t="s">
        <v>258</v>
      </c>
      <c r="O78" s="3">
        <v>199</v>
      </c>
      <c r="P78" s="65">
        <v>7.5311437069745013</v>
      </c>
      <c r="Q78" s="36">
        <v>250</v>
      </c>
      <c r="R78" s="3"/>
      <c r="S78" s="3"/>
      <c r="T78" s="36"/>
      <c r="U78" s="36"/>
      <c r="V78" s="36"/>
      <c r="W78" s="36"/>
      <c r="X78" s="36"/>
      <c r="Y78" s="36"/>
      <c r="Z78" s="36"/>
    </row>
    <row r="79" spans="1:26" ht="14">
      <c r="A79" s="35">
        <v>42144</v>
      </c>
      <c r="B79" s="72" t="s">
        <v>144</v>
      </c>
      <c r="C79" s="168">
        <v>2015</v>
      </c>
      <c r="D79" s="65">
        <v>4</v>
      </c>
      <c r="E79" s="36" t="s">
        <v>223</v>
      </c>
      <c r="F79" s="36" t="s">
        <v>224</v>
      </c>
      <c r="G79" s="36" t="s">
        <v>225</v>
      </c>
      <c r="H79" s="36" t="s">
        <v>226</v>
      </c>
      <c r="I79" s="36" t="s">
        <v>239</v>
      </c>
      <c r="J79" s="36" t="s">
        <v>258</v>
      </c>
      <c r="K79" s="36" t="s">
        <v>259</v>
      </c>
      <c r="L79" s="36">
        <v>1</v>
      </c>
      <c r="M79" s="36" t="s">
        <v>247</v>
      </c>
      <c r="N79" s="36" t="s">
        <v>258</v>
      </c>
      <c r="O79" s="36">
        <v>229</v>
      </c>
      <c r="P79" s="65">
        <v>0.43629167816834835</v>
      </c>
      <c r="Q79" s="36">
        <v>250</v>
      </c>
      <c r="R79" s="36"/>
      <c r="S79" s="36"/>
      <c r="T79" s="36"/>
      <c r="U79" s="36"/>
      <c r="V79" s="36"/>
      <c r="W79" s="36"/>
      <c r="X79" s="36"/>
      <c r="Y79" s="36"/>
      <c r="Z79" s="36"/>
    </row>
    <row r="80" spans="1:26" ht="14">
      <c r="A80" s="71">
        <v>41912</v>
      </c>
      <c r="B80" s="64" t="s">
        <v>157</v>
      </c>
      <c r="C80" s="168">
        <v>2014</v>
      </c>
      <c r="D80" s="65">
        <v>4</v>
      </c>
      <c r="E80" s="51" t="s">
        <v>223</v>
      </c>
      <c r="F80" s="51" t="s">
        <v>224</v>
      </c>
      <c r="G80" s="51" t="s">
        <v>225</v>
      </c>
      <c r="H80" s="51" t="s">
        <v>226</v>
      </c>
      <c r="I80" s="51" t="s">
        <v>239</v>
      </c>
      <c r="J80" s="51" t="s">
        <v>258</v>
      </c>
      <c r="K80" s="3" t="s">
        <v>259</v>
      </c>
      <c r="L80" s="3">
        <v>1</v>
      </c>
      <c r="M80" s="3" t="s">
        <v>247</v>
      </c>
      <c r="N80" s="3" t="s">
        <v>258</v>
      </c>
      <c r="O80" s="3">
        <v>237</v>
      </c>
      <c r="P80" s="36">
        <v>0.42109589961806221</v>
      </c>
      <c r="Q80" s="65">
        <v>250</v>
      </c>
      <c r="R80" s="51"/>
      <c r="S80" s="51"/>
      <c r="T80" s="65"/>
      <c r="U80" s="36"/>
      <c r="V80" s="36"/>
      <c r="W80" s="36"/>
      <c r="X80" s="36"/>
      <c r="Y80" s="36"/>
      <c r="Z80" s="36"/>
    </row>
    <row r="81" spans="1:26" ht="14">
      <c r="A81" s="13">
        <v>41912</v>
      </c>
      <c r="B81" s="35" t="s">
        <v>157</v>
      </c>
      <c r="C81" s="168">
        <v>2014</v>
      </c>
      <c r="D81" s="65">
        <v>5</v>
      </c>
      <c r="E81" s="51" t="s">
        <v>223</v>
      </c>
      <c r="F81" s="3" t="s">
        <v>224</v>
      </c>
      <c r="G81" s="3" t="s">
        <v>225</v>
      </c>
      <c r="H81" s="51" t="s">
        <v>226</v>
      </c>
      <c r="I81" s="51" t="s">
        <v>239</v>
      </c>
      <c r="J81" s="51" t="s">
        <v>258</v>
      </c>
      <c r="K81" s="3" t="s">
        <v>259</v>
      </c>
      <c r="L81" s="3">
        <v>9</v>
      </c>
      <c r="M81" s="3" t="s">
        <v>247</v>
      </c>
      <c r="N81" s="3" t="s">
        <v>258</v>
      </c>
      <c r="O81" s="3">
        <v>216</v>
      </c>
      <c r="P81" s="36">
        <v>4.1584890532269503</v>
      </c>
      <c r="Q81" s="36">
        <v>250</v>
      </c>
      <c r="R81" s="3"/>
      <c r="S81" s="3"/>
      <c r="T81" s="36"/>
      <c r="U81" s="36"/>
      <c r="V81" s="36"/>
      <c r="W81" s="36"/>
      <c r="X81" s="36"/>
      <c r="Y81" s="36"/>
      <c r="Z81" s="36"/>
    </row>
    <row r="82" spans="1:26" ht="14">
      <c r="A82" s="13">
        <v>41912</v>
      </c>
      <c r="B82" s="64" t="s">
        <v>157</v>
      </c>
      <c r="C82" s="168">
        <v>2014</v>
      </c>
      <c r="D82" s="65">
        <v>8</v>
      </c>
      <c r="E82" s="3" t="s">
        <v>223</v>
      </c>
      <c r="F82" s="3" t="s">
        <v>224</v>
      </c>
      <c r="G82" s="3" t="s">
        <v>225</v>
      </c>
      <c r="H82" s="3" t="s">
        <v>226</v>
      </c>
      <c r="I82" s="3" t="s">
        <v>239</v>
      </c>
      <c r="J82" s="3" t="s">
        <v>258</v>
      </c>
      <c r="K82" s="3" t="s">
        <v>259</v>
      </c>
      <c r="L82" s="3">
        <v>9</v>
      </c>
      <c r="M82" s="3" t="s">
        <v>247</v>
      </c>
      <c r="N82" s="3" t="s">
        <v>258</v>
      </c>
      <c r="O82" s="3">
        <v>217</v>
      </c>
      <c r="P82" s="36">
        <v>4.1460737191749715</v>
      </c>
      <c r="Q82" s="3">
        <v>250</v>
      </c>
      <c r="R82" s="3"/>
      <c r="S82" s="3"/>
      <c r="T82" s="36"/>
      <c r="U82" s="36"/>
      <c r="V82" s="36"/>
      <c r="W82" s="36"/>
      <c r="X82" s="36"/>
      <c r="Y82" s="36"/>
      <c r="Z82" s="36"/>
    </row>
    <row r="83" spans="1:26" ht="14">
      <c r="A83" s="71">
        <v>41851</v>
      </c>
      <c r="B83" s="72" t="s">
        <v>154</v>
      </c>
      <c r="C83" s="168">
        <v>2014</v>
      </c>
      <c r="D83" s="65">
        <v>4</v>
      </c>
      <c r="E83" s="51" t="s">
        <v>223</v>
      </c>
      <c r="F83" s="51" t="s">
        <v>224</v>
      </c>
      <c r="G83" s="51" t="s">
        <v>225</v>
      </c>
      <c r="H83" s="51" t="s">
        <v>226</v>
      </c>
      <c r="I83" s="51" t="s">
        <v>239</v>
      </c>
      <c r="J83" s="3" t="s">
        <v>258</v>
      </c>
      <c r="K83" s="3" t="s">
        <v>259</v>
      </c>
      <c r="L83" s="3">
        <v>3</v>
      </c>
      <c r="M83" s="3" t="s">
        <v>247</v>
      </c>
      <c r="N83" s="3" t="s">
        <v>258</v>
      </c>
      <c r="O83" s="3">
        <v>188</v>
      </c>
      <c r="P83" s="65">
        <v>1.5538846035074569</v>
      </c>
      <c r="Q83" s="3">
        <v>250</v>
      </c>
      <c r="R83" s="3"/>
      <c r="S83" s="3"/>
      <c r="T83" s="36"/>
      <c r="U83" s="36"/>
      <c r="V83" s="36"/>
      <c r="W83" s="36"/>
      <c r="X83" s="36"/>
      <c r="Y83" s="36"/>
      <c r="Z83" s="36"/>
    </row>
    <row r="84" spans="1:26" ht="14">
      <c r="A84" s="71">
        <v>41851</v>
      </c>
      <c r="B84" s="64" t="s">
        <v>154</v>
      </c>
      <c r="C84" s="168">
        <v>2014</v>
      </c>
      <c r="D84" s="65">
        <v>5</v>
      </c>
      <c r="E84" s="3" t="s">
        <v>223</v>
      </c>
      <c r="F84" s="3" t="s">
        <v>224</v>
      </c>
      <c r="G84" s="3" t="s">
        <v>225</v>
      </c>
      <c r="H84" s="3" t="s">
        <v>226</v>
      </c>
      <c r="I84" s="3" t="s">
        <v>239</v>
      </c>
      <c r="J84" s="3" t="s">
        <v>258</v>
      </c>
      <c r="K84" s="3" t="s">
        <v>259</v>
      </c>
      <c r="L84" s="3">
        <v>1</v>
      </c>
      <c r="M84" s="3" t="s">
        <v>247</v>
      </c>
      <c r="N84" s="3" t="s">
        <v>258</v>
      </c>
      <c r="O84" s="3">
        <v>205</v>
      </c>
      <c r="P84" s="65">
        <v>0.48446622412340401</v>
      </c>
      <c r="Q84" s="3">
        <v>250</v>
      </c>
      <c r="R84" s="3"/>
      <c r="S84" s="3"/>
      <c r="T84" s="36"/>
      <c r="U84" s="36"/>
      <c r="V84" s="36"/>
      <c r="W84" s="36"/>
      <c r="X84" s="36"/>
      <c r="Y84" s="36"/>
      <c r="Z84" s="36"/>
    </row>
    <row r="85" spans="1:26" ht="14">
      <c r="A85" s="13">
        <v>41761</v>
      </c>
      <c r="B85" s="35" t="s">
        <v>144</v>
      </c>
      <c r="C85" s="168">
        <v>2014</v>
      </c>
      <c r="D85" s="65">
        <v>5</v>
      </c>
      <c r="E85" s="51" t="s">
        <v>223</v>
      </c>
      <c r="F85" s="51" t="s">
        <v>224</v>
      </c>
      <c r="G85" s="51" t="s">
        <v>225</v>
      </c>
      <c r="H85" s="51" t="s">
        <v>226</v>
      </c>
      <c r="I85" s="51" t="s">
        <v>239</v>
      </c>
      <c r="J85" s="3" t="s">
        <v>258</v>
      </c>
      <c r="K85" s="3" t="s">
        <v>259</v>
      </c>
      <c r="L85" s="3">
        <v>3</v>
      </c>
      <c r="M85" s="3" t="s">
        <v>247</v>
      </c>
      <c r="N85" s="3" t="s">
        <v>258</v>
      </c>
      <c r="O85" s="3">
        <v>300</v>
      </c>
      <c r="P85" s="65">
        <v>0.99791781443010108</v>
      </c>
      <c r="Q85" s="51">
        <v>250</v>
      </c>
      <c r="R85" s="51"/>
      <c r="S85" s="51"/>
      <c r="T85" s="65"/>
      <c r="U85" s="36"/>
      <c r="V85" s="36"/>
      <c r="W85" s="36"/>
      <c r="X85" s="36"/>
      <c r="Y85" s="36"/>
      <c r="Z85" s="36"/>
    </row>
    <row r="86" spans="1:26" ht="14">
      <c r="A86" s="35">
        <v>42634</v>
      </c>
      <c r="B86" s="64" t="s">
        <v>157</v>
      </c>
      <c r="C86" s="168">
        <v>2016</v>
      </c>
      <c r="D86" s="65">
        <v>5</v>
      </c>
      <c r="E86" s="36" t="s">
        <v>223</v>
      </c>
      <c r="F86" s="82" t="s">
        <v>517</v>
      </c>
      <c r="G86" s="83"/>
      <c r="H86" s="82" t="s">
        <v>518</v>
      </c>
      <c r="I86" s="36"/>
      <c r="J86" s="36"/>
      <c r="K86" s="36"/>
      <c r="L86" s="36">
        <v>1</v>
      </c>
      <c r="M86" s="36" t="s">
        <v>221</v>
      </c>
      <c r="N86" s="36" t="s">
        <v>618</v>
      </c>
      <c r="O86" s="36">
        <v>93</v>
      </c>
      <c r="P86" s="36">
        <v>9.4131416210630576E-4</v>
      </c>
      <c r="Q86" s="36">
        <v>1000</v>
      </c>
      <c r="R86" s="36"/>
      <c r="S86" s="36"/>
      <c r="T86" s="36"/>
      <c r="U86" s="36"/>
      <c r="V86" s="36"/>
      <c r="W86" s="36"/>
      <c r="X86" s="36"/>
      <c r="Y86" s="36"/>
      <c r="Z86" s="36"/>
    </row>
    <row r="87" spans="1:26" ht="14">
      <c r="A87" s="35">
        <v>42928</v>
      </c>
      <c r="B87" s="72" t="s">
        <v>154</v>
      </c>
      <c r="C87" s="168">
        <v>2017</v>
      </c>
      <c r="D87" s="65">
        <v>5</v>
      </c>
      <c r="E87" s="36"/>
      <c r="F87" s="36"/>
      <c r="G87" s="36"/>
      <c r="H87" s="36"/>
      <c r="I87" s="65"/>
      <c r="J87" s="65"/>
      <c r="K87" s="36"/>
      <c r="L87" s="36">
        <v>1</v>
      </c>
      <c r="M87" s="36"/>
      <c r="N87" s="136" t="s">
        <v>656</v>
      </c>
      <c r="O87" s="36">
        <v>385</v>
      </c>
      <c r="P87" s="36">
        <v>0.25962643656433609</v>
      </c>
      <c r="Q87" s="65">
        <v>250</v>
      </c>
      <c r="R87" s="65"/>
      <c r="S87" s="65"/>
      <c r="T87" s="65"/>
      <c r="U87" s="36"/>
      <c r="V87" s="36"/>
      <c r="W87" s="36"/>
      <c r="X87" s="36"/>
      <c r="Y87" s="36"/>
      <c r="Z87" s="36"/>
    </row>
    <row r="88" spans="1:26" ht="14">
      <c r="A88" s="13">
        <v>43019</v>
      </c>
      <c r="B88" s="64" t="s">
        <v>159</v>
      </c>
      <c r="C88" s="168">
        <v>2017</v>
      </c>
      <c r="D88" s="65">
        <v>4</v>
      </c>
      <c r="E88" s="65" t="s">
        <v>223</v>
      </c>
      <c r="F88" s="65" t="s">
        <v>224</v>
      </c>
      <c r="G88" s="65" t="s">
        <v>225</v>
      </c>
      <c r="H88" s="65" t="s">
        <v>226</v>
      </c>
      <c r="I88" s="146" t="s">
        <v>487</v>
      </c>
      <c r="J88" s="36" t="s">
        <v>486</v>
      </c>
      <c r="K88" s="3"/>
      <c r="L88" s="3">
        <v>39</v>
      </c>
      <c r="M88" s="3" t="s">
        <v>229</v>
      </c>
      <c r="N88" s="3" t="s">
        <v>488</v>
      </c>
      <c r="O88" s="3">
        <v>248</v>
      </c>
      <c r="P88" s="36">
        <v>15.513686961629361</v>
      </c>
      <c r="Q88" s="36">
        <v>250</v>
      </c>
      <c r="R88" s="3"/>
      <c r="S88" s="3"/>
      <c r="T88" s="36"/>
      <c r="U88" s="36"/>
      <c r="V88" s="36"/>
      <c r="W88" s="36"/>
      <c r="X88" s="36"/>
      <c r="Y88" s="36"/>
      <c r="Z88" s="36"/>
    </row>
    <row r="89" spans="1:26" ht="14">
      <c r="A89" s="13">
        <v>43019</v>
      </c>
      <c r="B89" s="35" t="s">
        <v>159</v>
      </c>
      <c r="C89" s="168">
        <v>2017</v>
      </c>
      <c r="D89" s="65">
        <v>5</v>
      </c>
      <c r="E89" s="36" t="s">
        <v>223</v>
      </c>
      <c r="F89" s="36" t="s">
        <v>224</v>
      </c>
      <c r="G89" s="36" t="s">
        <v>225</v>
      </c>
      <c r="H89" s="36" t="s">
        <v>226</v>
      </c>
      <c r="I89" s="54" t="s">
        <v>487</v>
      </c>
      <c r="J89" s="36" t="s">
        <v>486</v>
      </c>
      <c r="K89" s="3"/>
      <c r="L89" s="3">
        <v>1</v>
      </c>
      <c r="M89" s="3" t="s">
        <v>229</v>
      </c>
      <c r="N89" s="3" t="s">
        <v>488</v>
      </c>
      <c r="O89" s="3">
        <v>255</v>
      </c>
      <c r="P89" s="36">
        <v>0.39206991221522669</v>
      </c>
      <c r="Q89" s="3">
        <v>250</v>
      </c>
      <c r="R89" s="3"/>
      <c r="S89" s="3"/>
      <c r="T89" s="36"/>
      <c r="U89" s="36"/>
      <c r="V89" s="36"/>
      <c r="W89" s="36"/>
      <c r="X89" s="36"/>
      <c r="Y89" s="36"/>
      <c r="Z89" s="36"/>
    </row>
    <row r="90" spans="1:26" ht="14">
      <c r="A90" s="13">
        <v>42928</v>
      </c>
      <c r="B90" s="64" t="s">
        <v>154</v>
      </c>
      <c r="C90" s="168">
        <v>2017</v>
      </c>
      <c r="D90" s="65">
        <v>4</v>
      </c>
      <c r="E90" s="36" t="s">
        <v>223</v>
      </c>
      <c r="F90" s="36" t="s">
        <v>224</v>
      </c>
      <c r="G90" s="36" t="s">
        <v>225</v>
      </c>
      <c r="H90" s="36" t="s">
        <v>226</v>
      </c>
      <c r="I90" s="54" t="s">
        <v>487</v>
      </c>
      <c r="J90" s="36" t="s">
        <v>486</v>
      </c>
      <c r="K90" s="3"/>
      <c r="L90" s="3">
        <v>1</v>
      </c>
      <c r="M90" s="3" t="s">
        <v>229</v>
      </c>
      <c r="N90" s="3" t="s">
        <v>488</v>
      </c>
      <c r="O90" s="3">
        <v>225</v>
      </c>
      <c r="P90" s="36">
        <v>0.44266164065770053</v>
      </c>
      <c r="Q90" s="36">
        <v>250</v>
      </c>
      <c r="R90" s="3"/>
      <c r="S90" s="3"/>
      <c r="T90" s="36"/>
      <c r="U90" s="36"/>
      <c r="V90" s="36"/>
      <c r="W90" s="36"/>
      <c r="X90" s="36"/>
      <c r="Y90" s="36"/>
      <c r="Z90" s="36"/>
    </row>
    <row r="91" spans="1:26" ht="14">
      <c r="A91" s="35">
        <v>42634</v>
      </c>
      <c r="B91" s="35" t="s">
        <v>157</v>
      </c>
      <c r="C91" s="168">
        <v>2016</v>
      </c>
      <c r="D91" s="65">
        <v>4</v>
      </c>
      <c r="E91" s="65" t="s">
        <v>223</v>
      </c>
      <c r="F91" s="36" t="s">
        <v>224</v>
      </c>
      <c r="G91" s="36" t="s">
        <v>225</v>
      </c>
      <c r="H91" s="65" t="s">
        <v>226</v>
      </c>
      <c r="I91" s="146" t="s">
        <v>487</v>
      </c>
      <c r="J91" s="65" t="s">
        <v>486</v>
      </c>
      <c r="K91" s="36"/>
      <c r="L91" s="36">
        <v>1</v>
      </c>
      <c r="M91" s="36" t="s">
        <v>229</v>
      </c>
      <c r="N91" s="36" t="s">
        <v>488</v>
      </c>
      <c r="O91" s="36">
        <v>156</v>
      </c>
      <c r="P91" s="76">
        <v>0.63937497457156689</v>
      </c>
      <c r="Q91" s="36">
        <v>250</v>
      </c>
      <c r="R91" s="36" t="s">
        <v>470</v>
      </c>
      <c r="S91" s="36"/>
      <c r="T91" s="36"/>
      <c r="U91" s="36"/>
      <c r="V91" s="36"/>
      <c r="W91" s="36"/>
      <c r="X91" s="36"/>
      <c r="Y91" s="36"/>
      <c r="Z91" s="36"/>
    </row>
    <row r="92" spans="1:26" ht="14">
      <c r="A92" s="35">
        <v>42634</v>
      </c>
      <c r="B92" s="64" t="s">
        <v>157</v>
      </c>
      <c r="C92" s="168">
        <v>2016</v>
      </c>
      <c r="D92" s="65">
        <v>8</v>
      </c>
      <c r="E92" s="36" t="s">
        <v>223</v>
      </c>
      <c r="F92" s="36" t="s">
        <v>224</v>
      </c>
      <c r="G92" s="36" t="s">
        <v>225</v>
      </c>
      <c r="H92" s="36" t="s">
        <v>226</v>
      </c>
      <c r="I92" s="54" t="s">
        <v>487</v>
      </c>
      <c r="J92" s="36" t="s">
        <v>486</v>
      </c>
      <c r="K92" s="36"/>
      <c r="L92" s="36">
        <v>7</v>
      </c>
      <c r="M92" s="36" t="s">
        <v>229</v>
      </c>
      <c r="N92" s="36" t="s">
        <v>488</v>
      </c>
      <c r="O92" s="36">
        <v>294</v>
      </c>
      <c r="P92" s="36">
        <v>2.2270399635983766</v>
      </c>
      <c r="Q92" s="36">
        <v>250</v>
      </c>
      <c r="R92" s="36"/>
      <c r="S92" s="36"/>
      <c r="T92" s="36"/>
      <c r="U92" s="36"/>
      <c r="V92" s="36"/>
      <c r="W92" s="36"/>
      <c r="X92" s="36"/>
      <c r="Y92" s="36"/>
      <c r="Z92" s="36"/>
    </row>
    <row r="93" spans="1:26" ht="14">
      <c r="A93" s="13">
        <v>42263</v>
      </c>
      <c r="B93" s="72" t="s">
        <v>157</v>
      </c>
      <c r="C93" s="168">
        <v>2015</v>
      </c>
      <c r="D93" s="65">
        <v>8</v>
      </c>
      <c r="E93" s="36" t="s">
        <v>223</v>
      </c>
      <c r="F93" s="36" t="s">
        <v>224</v>
      </c>
      <c r="G93" s="36" t="s">
        <v>225</v>
      </c>
      <c r="H93" s="36" t="s">
        <v>226</v>
      </c>
      <c r="I93" s="54" t="s">
        <v>487</v>
      </c>
      <c r="J93" s="36" t="s">
        <v>486</v>
      </c>
      <c r="K93" s="3"/>
      <c r="L93" s="3">
        <v>2</v>
      </c>
      <c r="M93" s="3" t="s">
        <v>229</v>
      </c>
      <c r="N93" s="3" t="s">
        <v>488</v>
      </c>
      <c r="O93" s="3">
        <v>244</v>
      </c>
      <c r="P93" s="36">
        <v>0.81967213114754101</v>
      </c>
      <c r="Q93" s="3">
        <v>250</v>
      </c>
      <c r="R93" s="3" t="s">
        <v>493</v>
      </c>
      <c r="S93" s="3"/>
      <c r="T93" s="36"/>
      <c r="U93" s="36"/>
      <c r="V93" s="36"/>
      <c r="W93" s="36"/>
      <c r="X93" s="36"/>
      <c r="Y93" s="36"/>
      <c r="Z93" s="36"/>
    </row>
    <row r="94" spans="1:26" ht="14">
      <c r="A94" s="13">
        <v>43019</v>
      </c>
      <c r="B94" s="64" t="s">
        <v>159</v>
      </c>
      <c r="C94" s="168">
        <v>2017</v>
      </c>
      <c r="D94" s="65">
        <v>4</v>
      </c>
      <c r="E94" s="36" t="s">
        <v>223</v>
      </c>
      <c r="F94" s="36" t="s">
        <v>224</v>
      </c>
      <c r="G94" s="36" t="s">
        <v>225</v>
      </c>
      <c r="H94" s="36" t="s">
        <v>226</v>
      </c>
      <c r="I94" s="36" t="s">
        <v>253</v>
      </c>
      <c r="J94" s="36" t="s">
        <v>256</v>
      </c>
      <c r="K94" s="3"/>
      <c r="L94" s="36">
        <v>4</v>
      </c>
      <c r="M94" s="3" t="s">
        <v>229</v>
      </c>
      <c r="N94" s="36" t="s">
        <v>256</v>
      </c>
      <c r="O94" s="3">
        <v>248</v>
      </c>
      <c r="P94" s="36">
        <v>1.5911473806799346</v>
      </c>
      <c r="Q94" s="36">
        <v>250</v>
      </c>
      <c r="R94" s="3"/>
      <c r="S94" s="3"/>
      <c r="T94" s="36"/>
      <c r="U94" s="36"/>
      <c r="V94" s="36"/>
      <c r="W94" s="36"/>
      <c r="X94" s="36"/>
      <c r="Y94" s="36"/>
      <c r="Z94" s="36"/>
    </row>
    <row r="95" spans="1:26" ht="14">
      <c r="A95" s="13">
        <v>43019</v>
      </c>
      <c r="B95" s="35" t="s">
        <v>159</v>
      </c>
      <c r="C95" s="168">
        <v>2017</v>
      </c>
      <c r="D95" s="65">
        <v>5</v>
      </c>
      <c r="E95" s="36" t="s">
        <v>223</v>
      </c>
      <c r="F95" s="36" t="s">
        <v>224</v>
      </c>
      <c r="G95" s="36" t="s">
        <v>225</v>
      </c>
      <c r="H95" s="36" t="s">
        <v>226</v>
      </c>
      <c r="I95" s="36" t="s">
        <v>253</v>
      </c>
      <c r="J95" s="36" t="s">
        <v>256</v>
      </c>
      <c r="K95" s="3"/>
      <c r="L95" s="36">
        <v>20</v>
      </c>
      <c r="M95" s="3" t="s">
        <v>229</v>
      </c>
      <c r="N95" s="36" t="s">
        <v>256</v>
      </c>
      <c r="O95" s="3">
        <v>255</v>
      </c>
      <c r="P95" s="36">
        <v>7.8413982443045329</v>
      </c>
      <c r="Q95" s="3">
        <v>250</v>
      </c>
      <c r="R95" s="3"/>
      <c r="S95" s="3"/>
      <c r="T95" s="36"/>
      <c r="U95" s="36"/>
      <c r="V95" s="36"/>
      <c r="W95" s="36"/>
      <c r="X95" s="36"/>
      <c r="Y95" s="36"/>
      <c r="Z95" s="36"/>
    </row>
    <row r="96" spans="1:26" ht="14">
      <c r="A96" s="13">
        <v>43019</v>
      </c>
      <c r="B96" s="64" t="s">
        <v>159</v>
      </c>
      <c r="C96" s="168">
        <v>2017</v>
      </c>
      <c r="D96" s="65">
        <v>8</v>
      </c>
      <c r="E96" s="36" t="s">
        <v>223</v>
      </c>
      <c r="F96" s="36" t="s">
        <v>224</v>
      </c>
      <c r="G96" s="36" t="s">
        <v>225</v>
      </c>
      <c r="H96" s="36" t="s">
        <v>226</v>
      </c>
      <c r="I96" s="36" t="s">
        <v>253</v>
      </c>
      <c r="J96" s="36" t="s">
        <v>256</v>
      </c>
      <c r="K96" s="3"/>
      <c r="L96" s="36">
        <v>8</v>
      </c>
      <c r="M96" s="3" t="s">
        <v>229</v>
      </c>
      <c r="N96" s="36" t="s">
        <v>256</v>
      </c>
      <c r="O96" s="3">
        <v>288</v>
      </c>
      <c r="P96" s="36">
        <v>2.6688838496745051</v>
      </c>
      <c r="Q96" s="3">
        <v>250</v>
      </c>
      <c r="R96" s="3"/>
      <c r="S96" s="3"/>
      <c r="T96" s="36"/>
      <c r="U96" s="36"/>
      <c r="V96" s="36"/>
      <c r="W96" s="36"/>
      <c r="X96" s="36"/>
      <c r="Y96" s="36"/>
      <c r="Z96" s="36"/>
    </row>
    <row r="97" spans="1:26" ht="14">
      <c r="A97" s="13">
        <v>42928</v>
      </c>
      <c r="B97" s="35" t="s">
        <v>154</v>
      </c>
      <c r="C97" s="168">
        <v>2017</v>
      </c>
      <c r="D97" s="65">
        <v>2</v>
      </c>
      <c r="E97" s="65" t="s">
        <v>223</v>
      </c>
      <c r="F97" s="65" t="s">
        <v>224</v>
      </c>
      <c r="G97" s="65" t="s">
        <v>225</v>
      </c>
      <c r="H97" s="65" t="s">
        <v>226</v>
      </c>
      <c r="I97" s="65" t="s">
        <v>253</v>
      </c>
      <c r="J97" s="36" t="s">
        <v>256</v>
      </c>
      <c r="K97" s="3"/>
      <c r="L97" s="36">
        <v>2</v>
      </c>
      <c r="M97" s="3" t="s">
        <v>229</v>
      </c>
      <c r="N97" s="36" t="s">
        <v>256</v>
      </c>
      <c r="O97" s="3">
        <v>656</v>
      </c>
      <c r="P97" s="36">
        <v>0.30456865236188441</v>
      </c>
      <c r="Q97" s="36">
        <v>250</v>
      </c>
      <c r="R97" s="3"/>
      <c r="S97" s="3"/>
      <c r="T97" s="36"/>
      <c r="U97" s="36"/>
      <c r="V97" s="36"/>
      <c r="W97" s="36"/>
      <c r="X97" s="36"/>
      <c r="Y97" s="36"/>
      <c r="Z97" s="36"/>
    </row>
    <row r="98" spans="1:26" ht="14">
      <c r="A98" s="13">
        <v>42928</v>
      </c>
      <c r="B98" s="64" t="s">
        <v>154</v>
      </c>
      <c r="C98" s="168">
        <v>2017</v>
      </c>
      <c r="D98" s="65">
        <v>4</v>
      </c>
      <c r="E98" s="36" t="s">
        <v>223</v>
      </c>
      <c r="F98" s="36" t="s">
        <v>224</v>
      </c>
      <c r="G98" s="36" t="s">
        <v>225</v>
      </c>
      <c r="H98" s="36" t="s">
        <v>226</v>
      </c>
      <c r="I98" s="36" t="s">
        <v>253</v>
      </c>
      <c r="J98" s="36" t="s">
        <v>256</v>
      </c>
      <c r="K98" s="3"/>
      <c r="L98" s="36">
        <v>22</v>
      </c>
      <c r="M98" s="3" t="s">
        <v>229</v>
      </c>
      <c r="N98" s="36" t="s">
        <v>256</v>
      </c>
      <c r="O98" s="3">
        <v>225</v>
      </c>
      <c r="P98" s="36">
        <v>9.738556094469411</v>
      </c>
      <c r="Q98" s="36">
        <v>250</v>
      </c>
      <c r="R98" s="3"/>
      <c r="S98" s="3"/>
      <c r="T98" s="36"/>
      <c r="U98" s="36"/>
      <c r="V98" s="36"/>
      <c r="W98" s="36"/>
      <c r="X98" s="36"/>
      <c r="Y98" s="36"/>
      <c r="Z98" s="36"/>
    </row>
    <row r="99" spans="1:26" ht="14">
      <c r="A99" s="72">
        <v>42928</v>
      </c>
      <c r="B99" s="35" t="s">
        <v>154</v>
      </c>
      <c r="C99" s="168">
        <v>2017</v>
      </c>
      <c r="D99" s="65">
        <v>5</v>
      </c>
      <c r="E99" s="36" t="s">
        <v>223</v>
      </c>
      <c r="F99" s="36" t="s">
        <v>224</v>
      </c>
      <c r="G99" s="36" t="s">
        <v>225</v>
      </c>
      <c r="H99" s="36" t="s">
        <v>226</v>
      </c>
      <c r="I99" s="36" t="s">
        <v>253</v>
      </c>
      <c r="J99" s="36" t="s">
        <v>256</v>
      </c>
      <c r="K99" s="36"/>
      <c r="L99" s="36">
        <v>41</v>
      </c>
      <c r="M99" s="36" t="s">
        <v>229</v>
      </c>
      <c r="N99" s="36" t="s">
        <v>256</v>
      </c>
      <c r="O99" s="36">
        <v>385</v>
      </c>
      <c r="P99" s="36">
        <v>10.644683899137778</v>
      </c>
      <c r="Q99" s="36">
        <v>250</v>
      </c>
      <c r="R99" s="36"/>
      <c r="S99" s="36"/>
      <c r="T99" s="36"/>
      <c r="U99" s="36"/>
      <c r="V99" s="36"/>
      <c r="W99" s="36"/>
      <c r="X99" s="36"/>
      <c r="Y99" s="36"/>
      <c r="Z99" s="36"/>
    </row>
    <row r="100" spans="1:26" ht="14">
      <c r="A100" s="13">
        <v>42928</v>
      </c>
      <c r="B100" s="64" t="s">
        <v>154</v>
      </c>
      <c r="C100" s="168">
        <v>2017</v>
      </c>
      <c r="D100" s="65">
        <v>8</v>
      </c>
      <c r="E100" s="36" t="s">
        <v>223</v>
      </c>
      <c r="F100" s="36" t="s">
        <v>224</v>
      </c>
      <c r="G100" s="36" t="s">
        <v>225</v>
      </c>
      <c r="H100" s="36" t="s">
        <v>226</v>
      </c>
      <c r="I100" s="36" t="s">
        <v>253</v>
      </c>
      <c r="J100" s="36" t="s">
        <v>256</v>
      </c>
      <c r="K100" s="3"/>
      <c r="L100" s="36">
        <v>34</v>
      </c>
      <c r="M100" s="3" t="s">
        <v>229</v>
      </c>
      <c r="N100" s="36" t="s">
        <v>256</v>
      </c>
      <c r="O100" s="3">
        <v>319</v>
      </c>
      <c r="P100" s="36">
        <v>10.654266200445257</v>
      </c>
      <c r="Q100" s="36">
        <v>250</v>
      </c>
      <c r="R100" s="3"/>
      <c r="S100" s="3"/>
      <c r="T100" s="36"/>
      <c r="U100" s="36"/>
      <c r="V100" s="36"/>
      <c r="W100" s="36"/>
      <c r="X100" s="36"/>
      <c r="Y100" s="36"/>
      <c r="Z100" s="36"/>
    </row>
    <row r="101" spans="1:26" ht="14">
      <c r="A101" s="13">
        <v>42867</v>
      </c>
      <c r="B101" s="72" t="s">
        <v>144</v>
      </c>
      <c r="C101" s="168">
        <v>2017</v>
      </c>
      <c r="D101" s="65">
        <v>2</v>
      </c>
      <c r="E101" s="36" t="s">
        <v>223</v>
      </c>
      <c r="F101" s="36" t="s">
        <v>224</v>
      </c>
      <c r="G101" s="36" t="s">
        <v>225</v>
      </c>
      <c r="H101" s="36" t="s">
        <v>226</v>
      </c>
      <c r="I101" s="36" t="s">
        <v>253</v>
      </c>
      <c r="J101" s="36" t="s">
        <v>256</v>
      </c>
      <c r="K101" s="3"/>
      <c r="L101" s="36">
        <v>1</v>
      </c>
      <c r="M101" s="3" t="s">
        <v>229</v>
      </c>
      <c r="N101" s="36" t="s">
        <v>256</v>
      </c>
      <c r="O101" s="3">
        <v>216</v>
      </c>
      <c r="P101" s="36">
        <v>0.46296296296296291</v>
      </c>
      <c r="Q101" s="3"/>
      <c r="R101" s="3"/>
      <c r="S101" s="3"/>
      <c r="T101" s="36"/>
      <c r="U101" s="36"/>
      <c r="V101" s="36"/>
      <c r="W101" s="36"/>
      <c r="X101" s="36"/>
      <c r="Y101" s="36"/>
      <c r="Z101" s="36"/>
    </row>
    <row r="102" spans="1:26" ht="14">
      <c r="A102" s="13">
        <v>42867</v>
      </c>
      <c r="B102" s="64" t="s">
        <v>144</v>
      </c>
      <c r="C102" s="168">
        <v>2017</v>
      </c>
      <c r="D102" s="65">
        <v>4</v>
      </c>
      <c r="E102" s="36" t="s">
        <v>223</v>
      </c>
      <c r="F102" s="36" t="s">
        <v>224</v>
      </c>
      <c r="G102" s="36" t="s">
        <v>225</v>
      </c>
      <c r="H102" s="36" t="s">
        <v>226</v>
      </c>
      <c r="I102" s="36" t="s">
        <v>253</v>
      </c>
      <c r="J102" s="36" t="s">
        <v>256</v>
      </c>
      <c r="K102" s="3"/>
      <c r="L102" s="36">
        <v>14</v>
      </c>
      <c r="M102" s="3" t="s">
        <v>229</v>
      </c>
      <c r="N102" s="36" t="s">
        <v>256</v>
      </c>
      <c r="O102" s="3">
        <v>225</v>
      </c>
      <c r="P102" s="36">
        <v>6.1185613160239196</v>
      </c>
      <c r="Q102" s="3"/>
      <c r="R102" s="3"/>
      <c r="S102" s="3"/>
      <c r="T102" s="36"/>
      <c r="U102" s="36"/>
      <c r="V102" s="36"/>
      <c r="W102" s="36"/>
      <c r="X102" s="36"/>
      <c r="Y102" s="36"/>
      <c r="Z102" s="36"/>
    </row>
    <row r="103" spans="1:26" ht="14">
      <c r="A103" s="13">
        <v>42867</v>
      </c>
      <c r="B103" s="72" t="s">
        <v>144</v>
      </c>
      <c r="C103" s="168">
        <v>2017</v>
      </c>
      <c r="D103" s="65">
        <v>5</v>
      </c>
      <c r="E103" s="36" t="s">
        <v>223</v>
      </c>
      <c r="F103" s="36" t="s">
        <v>224</v>
      </c>
      <c r="G103" s="36" t="s">
        <v>225</v>
      </c>
      <c r="H103" s="36" t="s">
        <v>226</v>
      </c>
      <c r="I103" s="36" t="s">
        <v>253</v>
      </c>
      <c r="J103" s="36" t="s">
        <v>256</v>
      </c>
      <c r="K103" s="3"/>
      <c r="L103" s="36">
        <v>11</v>
      </c>
      <c r="M103" s="3" t="s">
        <v>229</v>
      </c>
      <c r="N103" s="36" t="s">
        <v>256</v>
      </c>
      <c r="O103" s="3">
        <v>222</v>
      </c>
      <c r="P103" s="36">
        <v>4.9533468508152056</v>
      </c>
      <c r="Q103" s="3"/>
      <c r="R103" s="3"/>
      <c r="S103" s="3"/>
      <c r="T103" s="36"/>
      <c r="U103" s="36"/>
      <c r="V103" s="36"/>
      <c r="W103" s="36"/>
      <c r="X103" s="36"/>
      <c r="Y103" s="36"/>
      <c r="Z103" s="36"/>
    </row>
    <row r="104" spans="1:26" ht="14">
      <c r="A104" s="13">
        <v>42867</v>
      </c>
      <c r="B104" s="64" t="s">
        <v>144</v>
      </c>
      <c r="C104" s="168">
        <v>2017</v>
      </c>
      <c r="D104" s="65">
        <v>8</v>
      </c>
      <c r="E104" s="36" t="s">
        <v>223</v>
      </c>
      <c r="F104" s="36" t="s">
        <v>224</v>
      </c>
      <c r="G104" s="36" t="s">
        <v>225</v>
      </c>
      <c r="H104" s="36" t="s">
        <v>226</v>
      </c>
      <c r="I104" s="36" t="s">
        <v>253</v>
      </c>
      <c r="J104" s="36" t="s">
        <v>256</v>
      </c>
      <c r="K104" s="3"/>
      <c r="L104" s="36">
        <v>23</v>
      </c>
      <c r="M104" s="3" t="s">
        <v>229</v>
      </c>
      <c r="N104" s="36" t="s">
        <v>256</v>
      </c>
      <c r="O104" s="3">
        <v>268</v>
      </c>
      <c r="P104" s="36">
        <v>8.5673536573625224</v>
      </c>
      <c r="Q104" s="3"/>
      <c r="R104" s="3"/>
      <c r="S104" s="3"/>
      <c r="T104" s="36"/>
      <c r="U104" s="36"/>
      <c r="V104" s="36"/>
      <c r="W104" s="36"/>
      <c r="X104" s="36"/>
      <c r="Y104" s="36"/>
      <c r="Z104" s="36"/>
    </row>
    <row r="105" spans="1:26" ht="14">
      <c r="A105" s="35">
        <v>42634</v>
      </c>
      <c r="B105" s="72" t="s">
        <v>157</v>
      </c>
      <c r="C105" s="168">
        <v>2016</v>
      </c>
      <c r="D105" s="65">
        <v>4</v>
      </c>
      <c r="E105" s="65" t="s">
        <v>223</v>
      </c>
      <c r="F105" s="65" t="s">
        <v>224</v>
      </c>
      <c r="G105" s="65" t="s">
        <v>225</v>
      </c>
      <c r="H105" s="65" t="s">
        <v>226</v>
      </c>
      <c r="I105" s="65" t="s">
        <v>253</v>
      </c>
      <c r="J105" s="36" t="s">
        <v>256</v>
      </c>
      <c r="K105" s="36"/>
      <c r="L105" s="36">
        <v>2</v>
      </c>
      <c r="M105" s="36" t="s">
        <v>229</v>
      </c>
      <c r="N105" s="36" t="s">
        <v>256</v>
      </c>
      <c r="O105" s="36">
        <v>156</v>
      </c>
      <c r="P105" s="76">
        <v>1.2787499491431338</v>
      </c>
      <c r="Q105" s="36">
        <v>250</v>
      </c>
      <c r="R105" s="36"/>
      <c r="S105" s="36"/>
      <c r="T105" s="36"/>
      <c r="U105" s="36"/>
      <c r="V105" s="36"/>
      <c r="W105" s="36"/>
      <c r="X105" s="36"/>
      <c r="Y105" s="36"/>
      <c r="Z105" s="36"/>
    </row>
    <row r="106" spans="1:26" ht="14">
      <c r="A106" s="13">
        <v>42634</v>
      </c>
      <c r="B106" s="64" t="s">
        <v>157</v>
      </c>
      <c r="C106" s="168">
        <v>2016</v>
      </c>
      <c r="D106" s="65">
        <v>5</v>
      </c>
      <c r="E106" s="65" t="s">
        <v>223</v>
      </c>
      <c r="F106" s="65" t="s">
        <v>224</v>
      </c>
      <c r="G106" s="65" t="s">
        <v>225</v>
      </c>
      <c r="H106" s="65" t="s">
        <v>226</v>
      </c>
      <c r="I106" s="65" t="s">
        <v>253</v>
      </c>
      <c r="J106" s="36" t="s">
        <v>256</v>
      </c>
      <c r="K106" s="3"/>
      <c r="L106" s="3">
        <v>1</v>
      </c>
      <c r="M106" s="3" t="s">
        <v>229</v>
      </c>
      <c r="N106" s="36" t="s">
        <v>256</v>
      </c>
      <c r="O106" s="3">
        <v>203</v>
      </c>
      <c r="P106" s="65">
        <v>0.49217959498977393</v>
      </c>
      <c r="Q106" s="36">
        <v>250</v>
      </c>
      <c r="R106" s="3"/>
      <c r="S106" s="3"/>
      <c r="T106" s="36"/>
      <c r="U106" s="36"/>
      <c r="V106" s="36"/>
      <c r="W106" s="36"/>
      <c r="X106" s="36"/>
      <c r="Y106" s="36"/>
      <c r="Z106" s="36"/>
    </row>
    <row r="107" spans="1:26" ht="14">
      <c r="A107" s="35">
        <v>42634</v>
      </c>
      <c r="B107" s="35" t="s">
        <v>157</v>
      </c>
      <c r="C107" s="168">
        <v>2016</v>
      </c>
      <c r="D107" s="65">
        <v>8</v>
      </c>
      <c r="E107" s="65" t="s">
        <v>223</v>
      </c>
      <c r="F107" s="65" t="s">
        <v>224</v>
      </c>
      <c r="G107" s="65" t="s">
        <v>225</v>
      </c>
      <c r="H107" s="65" t="s">
        <v>226</v>
      </c>
      <c r="I107" s="65" t="s">
        <v>253</v>
      </c>
      <c r="J107" s="36" t="s">
        <v>256</v>
      </c>
      <c r="K107" s="36"/>
      <c r="L107" s="36">
        <v>10</v>
      </c>
      <c r="M107" s="3" t="s">
        <v>229</v>
      </c>
      <c r="N107" s="36" t="s">
        <v>256</v>
      </c>
      <c r="O107" s="36">
        <v>294</v>
      </c>
      <c r="P107" s="36">
        <v>3.1814856622833956</v>
      </c>
      <c r="Q107" s="36">
        <v>250</v>
      </c>
      <c r="R107" s="36"/>
      <c r="S107" s="36"/>
      <c r="T107" s="36"/>
      <c r="U107" s="36"/>
      <c r="V107" s="36"/>
      <c r="W107" s="36"/>
      <c r="X107" s="36"/>
      <c r="Y107" s="36"/>
      <c r="Z107" s="36"/>
    </row>
    <row r="108" spans="1:26" ht="14">
      <c r="A108" s="35">
        <v>42571</v>
      </c>
      <c r="B108" s="64" t="s">
        <v>154</v>
      </c>
      <c r="C108" s="168">
        <v>2016</v>
      </c>
      <c r="D108" s="65">
        <v>2</v>
      </c>
      <c r="E108" s="36" t="s">
        <v>223</v>
      </c>
      <c r="F108" s="36" t="s">
        <v>224</v>
      </c>
      <c r="G108" s="36" t="s">
        <v>225</v>
      </c>
      <c r="H108" s="36" t="s">
        <v>226</v>
      </c>
      <c r="I108" s="36" t="s">
        <v>253</v>
      </c>
      <c r="J108" s="36" t="s">
        <v>256</v>
      </c>
      <c r="K108" s="36"/>
      <c r="L108" s="36">
        <v>1</v>
      </c>
      <c r="M108" s="3" t="s">
        <v>229</v>
      </c>
      <c r="N108" s="36" t="s">
        <v>256</v>
      </c>
      <c r="O108" s="36">
        <v>179</v>
      </c>
      <c r="P108" s="36">
        <v>0.55860419823170904</v>
      </c>
      <c r="Q108" s="36">
        <v>250</v>
      </c>
      <c r="R108" s="3"/>
      <c r="S108" s="3"/>
      <c r="T108" s="36"/>
      <c r="U108" s="36"/>
      <c r="V108" s="36"/>
      <c r="W108" s="36"/>
      <c r="X108" s="36"/>
      <c r="Y108" s="36"/>
      <c r="Z108" s="36"/>
    </row>
    <row r="109" spans="1:26" ht="14">
      <c r="A109" s="72">
        <v>42571</v>
      </c>
      <c r="B109" s="72" t="s">
        <v>154</v>
      </c>
      <c r="C109" s="168">
        <v>2016</v>
      </c>
      <c r="D109" s="65">
        <v>4</v>
      </c>
      <c r="E109" s="65" t="s">
        <v>223</v>
      </c>
      <c r="F109" s="65" t="s">
        <v>224</v>
      </c>
      <c r="G109" s="65" t="s">
        <v>225</v>
      </c>
      <c r="H109" s="65" t="s">
        <v>226</v>
      </c>
      <c r="I109" s="65" t="s">
        <v>253</v>
      </c>
      <c r="J109" s="65" t="s">
        <v>256</v>
      </c>
      <c r="K109" s="3"/>
      <c r="L109" s="36">
        <v>14</v>
      </c>
      <c r="M109" s="3" t="s">
        <v>229</v>
      </c>
      <c r="N109" s="36" t="s">
        <v>256</v>
      </c>
      <c r="O109" s="3">
        <v>223</v>
      </c>
      <c r="P109" s="36">
        <v>6.2755682740798129</v>
      </c>
      <c r="Q109" s="51">
        <v>250</v>
      </c>
      <c r="R109" s="51"/>
      <c r="S109" s="51"/>
      <c r="T109" s="166"/>
      <c r="U109" s="36"/>
      <c r="V109" s="36"/>
      <c r="W109" s="36"/>
      <c r="X109" s="36"/>
      <c r="Y109" s="36"/>
      <c r="Z109" s="36"/>
    </row>
    <row r="110" spans="1:26" ht="14">
      <c r="A110" s="72">
        <v>42571</v>
      </c>
      <c r="B110" s="64" t="s">
        <v>154</v>
      </c>
      <c r="C110" s="168">
        <v>2016</v>
      </c>
      <c r="D110" s="65">
        <v>5</v>
      </c>
      <c r="E110" s="65" t="s">
        <v>223</v>
      </c>
      <c r="F110" s="65" t="s">
        <v>224</v>
      </c>
      <c r="G110" s="65" t="s">
        <v>225</v>
      </c>
      <c r="H110" s="65" t="s">
        <v>226</v>
      </c>
      <c r="I110" s="65" t="s">
        <v>253</v>
      </c>
      <c r="J110" s="36" t="s">
        <v>256</v>
      </c>
      <c r="K110" s="3"/>
      <c r="L110" s="36">
        <v>32</v>
      </c>
      <c r="M110" s="3" t="s">
        <v>229</v>
      </c>
      <c r="N110" s="36" t="s">
        <v>256</v>
      </c>
      <c r="O110" s="3">
        <v>211</v>
      </c>
      <c r="P110" s="65">
        <v>15.164432571059356</v>
      </c>
      <c r="Q110" s="36">
        <v>250</v>
      </c>
      <c r="R110" s="3"/>
      <c r="S110" s="3"/>
      <c r="T110" s="36"/>
      <c r="U110" s="36"/>
      <c r="V110" s="36"/>
      <c r="W110" s="36"/>
      <c r="X110" s="36"/>
      <c r="Y110" s="36"/>
      <c r="Z110" s="36"/>
    </row>
    <row r="111" spans="1:26" ht="14">
      <c r="A111" s="72">
        <v>42571</v>
      </c>
      <c r="B111" s="72" t="s">
        <v>154</v>
      </c>
      <c r="C111" s="168">
        <v>2016</v>
      </c>
      <c r="D111" s="65">
        <v>8</v>
      </c>
      <c r="E111" s="36" t="s">
        <v>223</v>
      </c>
      <c r="F111" s="36" t="s">
        <v>224</v>
      </c>
      <c r="G111" s="36" t="s">
        <v>225</v>
      </c>
      <c r="H111" s="36" t="s">
        <v>226</v>
      </c>
      <c r="I111" s="36" t="s">
        <v>253</v>
      </c>
      <c r="J111" s="36" t="s">
        <v>256</v>
      </c>
      <c r="K111" s="3"/>
      <c r="L111" s="36">
        <v>46</v>
      </c>
      <c r="M111" s="3" t="s">
        <v>229</v>
      </c>
      <c r="N111" s="36" t="s">
        <v>256</v>
      </c>
      <c r="O111" s="3">
        <v>237</v>
      </c>
      <c r="P111" s="65">
        <v>19.406584198866859</v>
      </c>
      <c r="Q111" s="36">
        <v>250</v>
      </c>
      <c r="R111" s="3"/>
      <c r="S111" s="3"/>
      <c r="T111" s="36"/>
      <c r="U111" s="36"/>
      <c r="V111" s="36"/>
      <c r="W111" s="36"/>
      <c r="X111" s="36"/>
      <c r="Y111" s="36"/>
      <c r="Z111" s="36"/>
    </row>
    <row r="112" spans="1:26" ht="14">
      <c r="A112" s="13">
        <v>42515</v>
      </c>
      <c r="B112" s="64" t="s">
        <v>144</v>
      </c>
      <c r="C112" s="168">
        <v>2016</v>
      </c>
      <c r="D112" s="51">
        <v>2</v>
      </c>
      <c r="E112" s="3" t="s">
        <v>223</v>
      </c>
      <c r="F112" s="3" t="s">
        <v>224</v>
      </c>
      <c r="G112" s="3" t="s">
        <v>225</v>
      </c>
      <c r="H112" s="3" t="s">
        <v>226</v>
      </c>
      <c r="I112" s="51" t="s">
        <v>253</v>
      </c>
      <c r="J112" s="51" t="s">
        <v>256</v>
      </c>
      <c r="K112" s="3"/>
      <c r="L112" s="3">
        <v>17</v>
      </c>
      <c r="M112" s="3" t="s">
        <v>229</v>
      </c>
      <c r="N112" s="3" t="s">
        <v>256</v>
      </c>
      <c r="O112" s="3">
        <v>194</v>
      </c>
      <c r="P112" s="65">
        <v>8.7584980058155129</v>
      </c>
      <c r="Q112" s="51">
        <v>250</v>
      </c>
      <c r="R112" s="51"/>
      <c r="S112" s="51"/>
      <c r="T112" s="65"/>
      <c r="U112" s="36"/>
      <c r="V112" s="36"/>
      <c r="W112" s="36"/>
      <c r="X112" s="36"/>
      <c r="Y112" s="36"/>
      <c r="Z112" s="36"/>
    </row>
    <row r="113" spans="1:26" ht="14">
      <c r="A113" s="13">
        <v>42515</v>
      </c>
      <c r="B113" s="35" t="s">
        <v>144</v>
      </c>
      <c r="C113" s="168">
        <v>2016</v>
      </c>
      <c r="D113" s="51">
        <v>4</v>
      </c>
      <c r="E113" s="51" t="s">
        <v>223</v>
      </c>
      <c r="F113" s="51" t="s">
        <v>224</v>
      </c>
      <c r="G113" s="51" t="s">
        <v>225</v>
      </c>
      <c r="H113" s="51" t="s">
        <v>226</v>
      </c>
      <c r="I113" s="51" t="s">
        <v>253</v>
      </c>
      <c r="J113" s="3" t="s">
        <v>256</v>
      </c>
      <c r="K113" s="3"/>
      <c r="L113" s="3">
        <v>28</v>
      </c>
      <c r="M113" s="3" t="s">
        <v>229</v>
      </c>
      <c r="N113" s="3" t="s">
        <v>256</v>
      </c>
      <c r="O113" s="3">
        <v>217</v>
      </c>
      <c r="P113" s="36">
        <v>12.893007207351296</v>
      </c>
      <c r="Q113" s="3">
        <v>250</v>
      </c>
      <c r="R113" s="3"/>
      <c r="S113" s="3"/>
      <c r="T113" s="36"/>
      <c r="U113" s="36"/>
      <c r="V113" s="36"/>
      <c r="W113" s="36"/>
      <c r="X113" s="36"/>
      <c r="Y113" s="36"/>
      <c r="Z113" s="36"/>
    </row>
    <row r="114" spans="1:26" ht="14">
      <c r="A114" s="13">
        <v>42515</v>
      </c>
      <c r="B114" s="64" t="s">
        <v>144</v>
      </c>
      <c r="C114" s="168">
        <v>2016</v>
      </c>
      <c r="D114" s="51">
        <v>5</v>
      </c>
      <c r="E114" s="3" t="s">
        <v>223</v>
      </c>
      <c r="F114" s="3" t="s">
        <v>224</v>
      </c>
      <c r="G114" s="3" t="s">
        <v>225</v>
      </c>
      <c r="H114" s="3" t="s">
        <v>226</v>
      </c>
      <c r="I114" s="3" t="s">
        <v>253</v>
      </c>
      <c r="J114" s="3" t="s">
        <v>256</v>
      </c>
      <c r="K114" s="3"/>
      <c r="L114" s="3">
        <v>155</v>
      </c>
      <c r="M114" s="3" t="s">
        <v>229</v>
      </c>
      <c r="N114" s="3" t="s">
        <v>256</v>
      </c>
      <c r="O114" s="3">
        <v>214</v>
      </c>
      <c r="P114" s="65">
        <v>72.394980746357319</v>
      </c>
      <c r="Q114" s="3">
        <v>250</v>
      </c>
      <c r="R114" s="3" t="s">
        <v>363</v>
      </c>
      <c r="S114" s="3"/>
      <c r="T114" s="36"/>
      <c r="U114" s="36"/>
      <c r="V114" s="36"/>
      <c r="W114" s="36"/>
      <c r="X114" s="36"/>
      <c r="Y114" s="36"/>
      <c r="Z114" s="36"/>
    </row>
    <row r="115" spans="1:26" ht="14">
      <c r="A115" s="173">
        <v>42515</v>
      </c>
      <c r="B115" s="169" t="s">
        <v>144</v>
      </c>
      <c r="C115" s="176">
        <v>2016</v>
      </c>
      <c r="D115" s="170">
        <v>8</v>
      </c>
      <c r="E115" s="170" t="s">
        <v>223</v>
      </c>
      <c r="F115" s="170" t="s">
        <v>224</v>
      </c>
      <c r="G115" s="170" t="s">
        <v>225</v>
      </c>
      <c r="H115" s="170" t="s">
        <v>226</v>
      </c>
      <c r="I115" s="170" t="s">
        <v>253</v>
      </c>
      <c r="J115" s="171" t="s">
        <v>256</v>
      </c>
      <c r="K115" s="171"/>
      <c r="L115" s="171">
        <v>94</v>
      </c>
      <c r="M115" s="171" t="s">
        <v>229</v>
      </c>
      <c r="N115" s="171" t="s">
        <v>256</v>
      </c>
      <c r="O115" s="171">
        <v>252</v>
      </c>
      <c r="P115" s="171">
        <v>37.297047406535718</v>
      </c>
      <c r="Q115" s="171">
        <v>250</v>
      </c>
      <c r="R115" s="171" t="s">
        <v>364</v>
      </c>
      <c r="S115" s="171"/>
      <c r="T115" s="36"/>
      <c r="U115" s="36"/>
      <c r="V115" s="36"/>
      <c r="W115" s="36"/>
      <c r="X115" s="36"/>
      <c r="Y115" s="36"/>
      <c r="Z115" s="36"/>
    </row>
    <row r="116" spans="1:26" ht="14">
      <c r="A116" s="13">
        <v>42263</v>
      </c>
      <c r="B116" s="64" t="s">
        <v>157</v>
      </c>
      <c r="C116" s="168">
        <v>2015</v>
      </c>
      <c r="D116" s="65">
        <v>4</v>
      </c>
      <c r="E116" s="36" t="s">
        <v>223</v>
      </c>
      <c r="F116" s="36" t="s">
        <v>224</v>
      </c>
      <c r="G116" s="36" t="s">
        <v>225</v>
      </c>
      <c r="H116" s="36" t="s">
        <v>226</v>
      </c>
      <c r="I116" s="65" t="s">
        <v>253</v>
      </c>
      <c r="J116" s="65" t="s">
        <v>256</v>
      </c>
      <c r="K116" s="3"/>
      <c r="L116" s="3">
        <v>14</v>
      </c>
      <c r="M116" s="3" t="s">
        <v>229</v>
      </c>
      <c r="N116" s="36" t="s">
        <v>256</v>
      </c>
      <c r="O116" s="3">
        <v>161</v>
      </c>
      <c r="P116" s="65">
        <v>8.680509855797812</v>
      </c>
      <c r="Q116" s="65">
        <v>250</v>
      </c>
      <c r="R116" s="51"/>
      <c r="S116" s="51"/>
      <c r="T116" s="65"/>
      <c r="U116" s="36"/>
      <c r="V116" s="36"/>
      <c r="W116" s="36"/>
      <c r="X116" s="36"/>
      <c r="Y116" s="36"/>
      <c r="Z116" s="36"/>
    </row>
    <row r="117" spans="1:26" ht="14">
      <c r="A117" s="71">
        <v>42263</v>
      </c>
      <c r="B117" s="72" t="s">
        <v>157</v>
      </c>
      <c r="C117" s="168">
        <v>2015</v>
      </c>
      <c r="D117" s="65">
        <v>5</v>
      </c>
      <c r="E117" s="65" t="s">
        <v>223</v>
      </c>
      <c r="F117" s="65" t="s">
        <v>224</v>
      </c>
      <c r="G117" s="65" t="s">
        <v>225</v>
      </c>
      <c r="H117" s="65" t="s">
        <v>226</v>
      </c>
      <c r="I117" s="65" t="s">
        <v>253</v>
      </c>
      <c r="J117" s="36" t="s">
        <v>256</v>
      </c>
      <c r="K117" s="3"/>
      <c r="L117" s="36">
        <v>27</v>
      </c>
      <c r="M117" s="3" t="s">
        <v>229</v>
      </c>
      <c r="N117" s="3" t="s">
        <v>256</v>
      </c>
      <c r="O117" s="3">
        <v>222</v>
      </c>
      <c r="P117" s="36">
        <v>12.15872439591717</v>
      </c>
      <c r="Q117" s="3">
        <v>250</v>
      </c>
      <c r="R117" s="3"/>
      <c r="S117" s="3"/>
      <c r="T117" s="36"/>
      <c r="U117" s="36"/>
      <c r="V117" s="36"/>
      <c r="W117" s="36"/>
      <c r="X117" s="36"/>
      <c r="Y117" s="36"/>
      <c r="Z117" s="36"/>
    </row>
    <row r="118" spans="1:26" ht="14">
      <c r="A118" s="13">
        <v>42263</v>
      </c>
      <c r="B118" s="64" t="s">
        <v>157</v>
      </c>
      <c r="C118" s="168">
        <v>2015</v>
      </c>
      <c r="D118" s="65">
        <v>8</v>
      </c>
      <c r="E118" s="65" t="s">
        <v>223</v>
      </c>
      <c r="F118" s="65" t="s">
        <v>224</v>
      </c>
      <c r="G118" s="65" t="s">
        <v>225</v>
      </c>
      <c r="H118" s="65" t="s">
        <v>226</v>
      </c>
      <c r="I118" s="65" t="s">
        <v>253</v>
      </c>
      <c r="J118" s="36" t="s">
        <v>256</v>
      </c>
      <c r="K118" s="3"/>
      <c r="L118" s="3">
        <v>33</v>
      </c>
      <c r="M118" s="3" t="s">
        <v>229</v>
      </c>
      <c r="N118" s="3" t="s">
        <v>256</v>
      </c>
      <c r="O118" s="3">
        <v>244</v>
      </c>
      <c r="P118" s="36">
        <v>13.524590163934427</v>
      </c>
      <c r="Q118" s="3">
        <v>250</v>
      </c>
      <c r="R118" s="3"/>
      <c r="S118" s="3"/>
      <c r="T118" s="36"/>
      <c r="U118" s="36"/>
      <c r="V118" s="36"/>
      <c r="W118" s="36"/>
      <c r="X118" s="36"/>
      <c r="Y118" s="36"/>
      <c r="Z118" s="36"/>
    </row>
    <row r="119" spans="1:26" ht="14">
      <c r="A119" s="35">
        <v>42206</v>
      </c>
      <c r="B119" s="72" t="s">
        <v>154</v>
      </c>
      <c r="C119" s="168">
        <v>2015</v>
      </c>
      <c r="D119" s="65">
        <v>2</v>
      </c>
      <c r="E119" s="65" t="s">
        <v>223</v>
      </c>
      <c r="F119" s="65" t="s">
        <v>224</v>
      </c>
      <c r="G119" s="65" t="s">
        <v>225</v>
      </c>
      <c r="H119" s="65" t="s">
        <v>226</v>
      </c>
      <c r="I119" s="65" t="s">
        <v>253</v>
      </c>
      <c r="J119" s="36" t="s">
        <v>256</v>
      </c>
      <c r="K119" s="36"/>
      <c r="L119" s="36">
        <v>7</v>
      </c>
      <c r="M119" s="36" t="s">
        <v>229</v>
      </c>
      <c r="N119" s="36" t="s">
        <v>256</v>
      </c>
      <c r="O119" s="36">
        <v>337</v>
      </c>
      <c r="P119" s="36">
        <v>2.076466813632833</v>
      </c>
      <c r="Q119" s="36">
        <v>250</v>
      </c>
      <c r="R119" s="36" t="s">
        <v>471</v>
      </c>
      <c r="S119" s="36"/>
      <c r="T119" s="36"/>
      <c r="U119" s="36"/>
      <c r="V119" s="36"/>
      <c r="W119" s="36"/>
      <c r="X119" s="36"/>
      <c r="Y119" s="36"/>
      <c r="Z119" s="36"/>
    </row>
    <row r="120" spans="1:26" ht="14">
      <c r="A120" s="71">
        <v>42206</v>
      </c>
      <c r="B120" s="64" t="s">
        <v>154</v>
      </c>
      <c r="C120" s="168">
        <v>2015</v>
      </c>
      <c r="D120" s="65">
        <v>4</v>
      </c>
      <c r="E120" s="36" t="s">
        <v>223</v>
      </c>
      <c r="F120" s="36" t="s">
        <v>224</v>
      </c>
      <c r="G120" s="36" t="s">
        <v>225</v>
      </c>
      <c r="H120" s="36" t="s">
        <v>226</v>
      </c>
      <c r="I120" s="65" t="s">
        <v>253</v>
      </c>
      <c r="J120" s="65" t="s">
        <v>256</v>
      </c>
      <c r="K120" s="3"/>
      <c r="L120" s="3">
        <v>41</v>
      </c>
      <c r="M120" s="3" t="s">
        <v>229</v>
      </c>
      <c r="N120" s="36" t="s">
        <v>256</v>
      </c>
      <c r="O120" s="3">
        <v>273</v>
      </c>
      <c r="P120" s="65">
        <v>14.817024953199221</v>
      </c>
      <c r="Q120" s="51">
        <v>250</v>
      </c>
      <c r="R120" s="51" t="s">
        <v>473</v>
      </c>
      <c r="S120" s="51"/>
      <c r="T120" s="65"/>
      <c r="U120" s="36"/>
      <c r="V120" s="36"/>
      <c r="W120" s="36"/>
      <c r="X120" s="36"/>
      <c r="Y120" s="36"/>
      <c r="Z120" s="36"/>
    </row>
    <row r="121" spans="1:26" ht="14">
      <c r="A121" s="13">
        <v>42206</v>
      </c>
      <c r="B121" s="35" t="s">
        <v>154</v>
      </c>
      <c r="C121" s="168">
        <v>2015</v>
      </c>
      <c r="D121" s="65">
        <v>5</v>
      </c>
      <c r="E121" s="36" t="s">
        <v>223</v>
      </c>
      <c r="F121" s="36" t="s">
        <v>224</v>
      </c>
      <c r="G121" s="36" t="s">
        <v>225</v>
      </c>
      <c r="H121" s="36" t="s">
        <v>226</v>
      </c>
      <c r="I121" s="36" t="s">
        <v>253</v>
      </c>
      <c r="J121" s="36" t="s">
        <v>256</v>
      </c>
      <c r="K121" s="3"/>
      <c r="L121" s="3">
        <v>121</v>
      </c>
      <c r="M121" s="3" t="s">
        <v>229</v>
      </c>
      <c r="N121" s="36" t="s">
        <v>256</v>
      </c>
      <c r="O121" s="3">
        <v>251</v>
      </c>
      <c r="P121" s="65">
        <v>48.196191157483504</v>
      </c>
      <c r="Q121" s="3">
        <v>250</v>
      </c>
      <c r="R121" s="3"/>
      <c r="S121" s="3"/>
      <c r="T121" s="36"/>
      <c r="U121" s="36"/>
      <c r="V121" s="36"/>
      <c r="W121" s="36"/>
      <c r="X121" s="36"/>
      <c r="Y121" s="36"/>
      <c r="Z121" s="36"/>
    </row>
    <row r="122" spans="1:26" ht="14">
      <c r="A122" s="71">
        <v>42206</v>
      </c>
      <c r="B122" s="64" t="s">
        <v>154</v>
      </c>
      <c r="C122" s="168">
        <v>2015</v>
      </c>
      <c r="D122" s="65">
        <v>8</v>
      </c>
      <c r="E122" s="36" t="s">
        <v>223</v>
      </c>
      <c r="F122" s="36" t="s">
        <v>224</v>
      </c>
      <c r="G122" s="36" t="s">
        <v>225</v>
      </c>
      <c r="H122" s="36" t="s">
        <v>226</v>
      </c>
      <c r="I122" s="36" t="s">
        <v>253</v>
      </c>
      <c r="J122" s="36" t="s">
        <v>256</v>
      </c>
      <c r="K122" s="3"/>
      <c r="L122" s="3">
        <v>8</v>
      </c>
      <c r="M122" s="3" t="s">
        <v>229</v>
      </c>
      <c r="N122" s="36" t="s">
        <v>256</v>
      </c>
      <c r="O122" s="3">
        <v>199</v>
      </c>
      <c r="P122" s="65">
        <v>4.0166099770530668</v>
      </c>
      <c r="Q122" s="3">
        <v>250</v>
      </c>
      <c r="R122" s="3"/>
      <c r="S122" s="3"/>
      <c r="T122" s="36"/>
      <c r="U122" s="36"/>
      <c r="V122" s="36"/>
      <c r="W122" s="36"/>
      <c r="X122" s="36"/>
      <c r="Y122" s="36"/>
      <c r="Z122" s="36"/>
    </row>
    <row r="123" spans="1:26" ht="14">
      <c r="A123" s="71">
        <v>42144</v>
      </c>
      <c r="B123" s="72" t="s">
        <v>144</v>
      </c>
      <c r="C123" s="168">
        <v>2015</v>
      </c>
      <c r="D123" s="65">
        <v>2</v>
      </c>
      <c r="E123" s="36" t="s">
        <v>223</v>
      </c>
      <c r="F123" s="36" t="s">
        <v>224</v>
      </c>
      <c r="G123" s="36" t="s">
        <v>225</v>
      </c>
      <c r="H123" s="36" t="s">
        <v>226</v>
      </c>
      <c r="I123" s="36" t="s">
        <v>253</v>
      </c>
      <c r="J123" s="36" t="s">
        <v>256</v>
      </c>
      <c r="K123" s="3"/>
      <c r="L123" s="3">
        <v>4</v>
      </c>
      <c r="M123" s="3" t="s">
        <v>229</v>
      </c>
      <c r="N123" s="3" t="s">
        <v>256</v>
      </c>
      <c r="O123" s="3">
        <v>333</v>
      </c>
      <c r="P123" s="65">
        <v>1.2008892481762179</v>
      </c>
      <c r="Q123" s="36">
        <v>250</v>
      </c>
      <c r="R123" s="3"/>
      <c r="S123" s="3"/>
      <c r="T123" s="36"/>
      <c r="U123" s="36"/>
      <c r="V123" s="36"/>
      <c r="W123" s="36"/>
      <c r="X123" s="36"/>
      <c r="Y123" s="36"/>
      <c r="Z123" s="36"/>
    </row>
    <row r="124" spans="1:26" ht="14">
      <c r="A124" s="35">
        <v>42144</v>
      </c>
      <c r="B124" s="64" t="s">
        <v>144</v>
      </c>
      <c r="C124" s="168">
        <v>2015</v>
      </c>
      <c r="D124" s="65">
        <v>4</v>
      </c>
      <c r="E124" s="65" t="s">
        <v>223</v>
      </c>
      <c r="F124" s="65" t="s">
        <v>224</v>
      </c>
      <c r="G124" s="65" t="s">
        <v>225</v>
      </c>
      <c r="H124" s="65" t="s">
        <v>226</v>
      </c>
      <c r="I124" s="65" t="s">
        <v>253</v>
      </c>
      <c r="J124" s="65" t="s">
        <v>256</v>
      </c>
      <c r="K124" s="36"/>
      <c r="L124" s="36">
        <v>25</v>
      </c>
      <c r="M124" s="36" t="s">
        <v>229</v>
      </c>
      <c r="N124" s="36" t="s">
        <v>256</v>
      </c>
      <c r="O124" s="36">
        <v>229</v>
      </c>
      <c r="P124" s="65">
        <v>10.907291954208709</v>
      </c>
      <c r="Q124" s="36">
        <v>250</v>
      </c>
      <c r="R124" s="36"/>
      <c r="S124" s="36"/>
      <c r="T124" s="36"/>
      <c r="U124" s="36"/>
      <c r="V124" s="36"/>
      <c r="W124" s="36"/>
      <c r="X124" s="36"/>
      <c r="Y124" s="36"/>
      <c r="Z124" s="36"/>
    </row>
    <row r="125" spans="1:26" ht="14">
      <c r="A125" s="72">
        <v>42144</v>
      </c>
      <c r="B125" s="72" t="s">
        <v>144</v>
      </c>
      <c r="C125" s="168">
        <v>2015</v>
      </c>
      <c r="D125" s="65">
        <v>5</v>
      </c>
      <c r="E125" s="65" t="s">
        <v>223</v>
      </c>
      <c r="F125" s="65" t="s">
        <v>224</v>
      </c>
      <c r="G125" s="65" t="s">
        <v>225</v>
      </c>
      <c r="H125" s="65" t="s">
        <v>226</v>
      </c>
      <c r="I125" s="65" t="s">
        <v>253</v>
      </c>
      <c r="J125" s="36" t="s">
        <v>256</v>
      </c>
      <c r="K125" s="36"/>
      <c r="L125" s="36">
        <v>110</v>
      </c>
      <c r="M125" s="36" t="s">
        <v>229</v>
      </c>
      <c r="N125" s="36" t="s">
        <v>256</v>
      </c>
      <c r="O125" s="36">
        <v>327</v>
      </c>
      <c r="P125" s="36">
        <v>33.626768126647391</v>
      </c>
      <c r="Q125" s="36">
        <v>250</v>
      </c>
      <c r="R125" s="36"/>
      <c r="S125" s="36"/>
      <c r="T125" s="36"/>
      <c r="U125" s="36"/>
      <c r="V125" s="36"/>
      <c r="W125" s="36"/>
      <c r="X125" s="36"/>
      <c r="Y125" s="36"/>
      <c r="Z125" s="36"/>
    </row>
    <row r="126" spans="1:26" ht="14">
      <c r="A126" s="71">
        <v>41912</v>
      </c>
      <c r="B126" s="64" t="s">
        <v>157</v>
      </c>
      <c r="C126" s="168">
        <v>2014</v>
      </c>
      <c r="D126" s="65">
        <v>4</v>
      </c>
      <c r="E126" s="36" t="s">
        <v>223</v>
      </c>
      <c r="F126" s="36" t="s">
        <v>224</v>
      </c>
      <c r="G126" s="36" t="s">
        <v>225</v>
      </c>
      <c r="H126" s="36" t="s">
        <v>226</v>
      </c>
      <c r="I126" s="65" t="s">
        <v>253</v>
      </c>
      <c r="J126" s="65" t="s">
        <v>256</v>
      </c>
      <c r="K126" s="3"/>
      <c r="L126" s="3">
        <v>7</v>
      </c>
      <c r="M126" s="3" t="s">
        <v>229</v>
      </c>
      <c r="N126" s="3" t="s">
        <v>256</v>
      </c>
      <c r="O126" s="3">
        <v>237</v>
      </c>
      <c r="P126" s="36">
        <v>2.9476712973264361</v>
      </c>
      <c r="Q126" s="65">
        <v>250</v>
      </c>
      <c r="R126" s="51"/>
      <c r="S126" s="51"/>
      <c r="T126" s="65"/>
      <c r="U126" s="36"/>
      <c r="V126" s="36"/>
      <c r="W126" s="36"/>
      <c r="X126" s="36"/>
      <c r="Y126" s="36"/>
      <c r="Z126" s="36"/>
    </row>
    <row r="127" spans="1:26" ht="14">
      <c r="A127" s="13">
        <v>41912</v>
      </c>
      <c r="B127" s="35" t="s">
        <v>157</v>
      </c>
      <c r="C127" s="168">
        <v>2014</v>
      </c>
      <c r="D127" s="65">
        <v>5</v>
      </c>
      <c r="E127" s="65" t="s">
        <v>223</v>
      </c>
      <c r="F127" s="65" t="s">
        <v>224</v>
      </c>
      <c r="G127" s="65" t="s">
        <v>225</v>
      </c>
      <c r="H127" s="65" t="s">
        <v>226</v>
      </c>
      <c r="I127" s="65" t="s">
        <v>253</v>
      </c>
      <c r="J127" s="65" t="s">
        <v>256</v>
      </c>
      <c r="K127" s="3"/>
      <c r="L127" s="3">
        <v>17</v>
      </c>
      <c r="M127" s="3" t="s">
        <v>229</v>
      </c>
      <c r="N127" s="3" t="s">
        <v>256</v>
      </c>
      <c r="O127" s="3">
        <v>216</v>
      </c>
      <c r="P127" s="36">
        <v>7.8549237672064649</v>
      </c>
      <c r="Q127" s="36">
        <v>250</v>
      </c>
      <c r="R127" s="3"/>
      <c r="S127" s="3"/>
      <c r="T127" s="36"/>
      <c r="U127" s="36"/>
      <c r="V127" s="36"/>
      <c r="W127" s="36"/>
      <c r="X127" s="36"/>
      <c r="Y127" s="36"/>
      <c r="Z127" s="36"/>
    </row>
    <row r="128" spans="1:26" ht="14">
      <c r="A128" s="13">
        <v>41912</v>
      </c>
      <c r="B128" s="64" t="s">
        <v>157</v>
      </c>
      <c r="C128" s="168">
        <v>2014</v>
      </c>
      <c r="D128" s="65">
        <v>8</v>
      </c>
      <c r="E128" s="65" t="s">
        <v>223</v>
      </c>
      <c r="F128" s="65" t="s">
        <v>224</v>
      </c>
      <c r="G128" s="65" t="s">
        <v>225</v>
      </c>
      <c r="H128" s="65" t="s">
        <v>226</v>
      </c>
      <c r="I128" s="65" t="s">
        <v>253</v>
      </c>
      <c r="J128" s="36" t="s">
        <v>256</v>
      </c>
      <c r="K128" s="3"/>
      <c r="L128" s="3">
        <v>1</v>
      </c>
      <c r="M128" s="3" t="s">
        <v>229</v>
      </c>
      <c r="N128" s="3" t="s">
        <v>256</v>
      </c>
      <c r="O128" s="3">
        <v>217</v>
      </c>
      <c r="P128" s="36">
        <v>0.46067485768610789</v>
      </c>
      <c r="Q128" s="3">
        <v>250</v>
      </c>
      <c r="R128" s="3"/>
      <c r="S128" s="3"/>
      <c r="T128" s="36"/>
      <c r="U128" s="36"/>
      <c r="V128" s="36"/>
      <c r="W128" s="36"/>
      <c r="X128" s="36"/>
      <c r="Y128" s="36"/>
      <c r="Z128" s="36"/>
    </row>
    <row r="129" spans="1:26" ht="14">
      <c r="A129" s="13">
        <v>41851</v>
      </c>
      <c r="B129" s="35" t="s">
        <v>154</v>
      </c>
      <c r="C129" s="168">
        <v>2014</v>
      </c>
      <c r="D129" s="65">
        <v>4</v>
      </c>
      <c r="E129" s="36" t="s">
        <v>223</v>
      </c>
      <c r="F129" s="36" t="s">
        <v>224</v>
      </c>
      <c r="G129" s="36" t="s">
        <v>225</v>
      </c>
      <c r="H129" s="36" t="s">
        <v>226</v>
      </c>
      <c r="I129" s="36" t="s">
        <v>253</v>
      </c>
      <c r="J129" s="36" t="s">
        <v>256</v>
      </c>
      <c r="K129" s="3"/>
      <c r="L129" s="3">
        <v>20</v>
      </c>
      <c r="M129" s="3" t="s">
        <v>229</v>
      </c>
      <c r="N129" s="3" t="s">
        <v>256</v>
      </c>
      <c r="O129" s="3">
        <v>188</v>
      </c>
      <c r="P129" s="65">
        <v>10.359230690049714</v>
      </c>
      <c r="Q129" s="3">
        <v>250</v>
      </c>
      <c r="R129" s="3"/>
      <c r="S129" s="3"/>
      <c r="T129" s="36"/>
      <c r="U129" s="36"/>
      <c r="V129" s="36"/>
      <c r="W129" s="36"/>
      <c r="X129" s="36"/>
      <c r="Y129" s="36"/>
      <c r="Z129" s="36"/>
    </row>
    <row r="130" spans="1:26" ht="14">
      <c r="A130" s="71">
        <v>41851</v>
      </c>
      <c r="B130" s="64" t="s">
        <v>154</v>
      </c>
      <c r="C130" s="168">
        <v>2014</v>
      </c>
      <c r="D130" s="65">
        <v>5</v>
      </c>
      <c r="E130" s="65" t="s">
        <v>223</v>
      </c>
      <c r="F130" s="65" t="s">
        <v>224</v>
      </c>
      <c r="G130" s="65" t="s">
        <v>225</v>
      </c>
      <c r="H130" s="65" t="s">
        <v>226</v>
      </c>
      <c r="I130" s="65" t="s">
        <v>253</v>
      </c>
      <c r="J130" s="36" t="s">
        <v>256</v>
      </c>
      <c r="K130" s="3"/>
      <c r="L130" s="3">
        <v>13</v>
      </c>
      <c r="M130" s="3" t="s">
        <v>229</v>
      </c>
      <c r="N130" s="3" t="s">
        <v>256</v>
      </c>
      <c r="O130" s="3">
        <v>205</v>
      </c>
      <c r="P130" s="65">
        <v>6.2980609136042531</v>
      </c>
      <c r="Q130" s="3">
        <v>250</v>
      </c>
      <c r="R130" s="3"/>
      <c r="S130" s="3"/>
      <c r="T130" s="36"/>
      <c r="U130" s="36"/>
      <c r="V130" s="36"/>
      <c r="W130" s="36"/>
      <c r="X130" s="36"/>
      <c r="Y130" s="36"/>
      <c r="Z130" s="36"/>
    </row>
    <row r="131" spans="1:26" ht="14">
      <c r="A131" s="13">
        <v>41851</v>
      </c>
      <c r="B131" s="72" t="s">
        <v>154</v>
      </c>
      <c r="C131" s="168">
        <v>2014</v>
      </c>
      <c r="D131" s="65">
        <v>8</v>
      </c>
      <c r="E131" s="65" t="s">
        <v>223</v>
      </c>
      <c r="F131" s="65" t="s">
        <v>224</v>
      </c>
      <c r="G131" s="65" t="s">
        <v>225</v>
      </c>
      <c r="H131" s="65" t="s">
        <v>226</v>
      </c>
      <c r="I131" s="65" t="s">
        <v>253</v>
      </c>
      <c r="J131" s="36" t="s">
        <v>256</v>
      </c>
      <c r="K131" s="3"/>
      <c r="L131" s="3">
        <v>14</v>
      </c>
      <c r="M131" s="3" t="s">
        <v>229</v>
      </c>
      <c r="N131" s="3" t="s">
        <v>256</v>
      </c>
      <c r="O131" s="3">
        <v>237</v>
      </c>
      <c r="P131" s="65">
        <v>5.9050566443307089</v>
      </c>
      <c r="Q131" s="3">
        <v>250</v>
      </c>
      <c r="R131" s="3"/>
      <c r="S131" s="3"/>
      <c r="T131" s="36"/>
      <c r="U131" s="36"/>
      <c r="V131" s="36"/>
      <c r="W131" s="36"/>
      <c r="X131" s="36"/>
      <c r="Y131" s="36"/>
      <c r="Z131" s="36"/>
    </row>
    <row r="132" spans="1:26" ht="14">
      <c r="A132" s="35">
        <v>41761</v>
      </c>
      <c r="B132" s="64" t="s">
        <v>144</v>
      </c>
      <c r="C132" s="168">
        <v>2014</v>
      </c>
      <c r="D132" s="65">
        <v>2</v>
      </c>
      <c r="E132" s="65" t="s">
        <v>223</v>
      </c>
      <c r="F132" s="65" t="s">
        <v>224</v>
      </c>
      <c r="G132" s="65" t="s">
        <v>225</v>
      </c>
      <c r="H132" s="65" t="s">
        <v>226</v>
      </c>
      <c r="I132" s="65" t="s">
        <v>253</v>
      </c>
      <c r="J132" s="36" t="s">
        <v>256</v>
      </c>
      <c r="K132" s="36"/>
      <c r="L132" s="36">
        <v>1</v>
      </c>
      <c r="M132" s="36" t="s">
        <v>229</v>
      </c>
      <c r="N132" s="36" t="s">
        <v>256</v>
      </c>
      <c r="O132" s="36">
        <v>29</v>
      </c>
      <c r="P132" s="36">
        <v>3.4266060403794367</v>
      </c>
      <c r="Q132" s="65">
        <v>250</v>
      </c>
      <c r="R132" s="65"/>
      <c r="S132" s="65"/>
      <c r="T132" s="65"/>
      <c r="U132" s="36"/>
      <c r="V132" s="36"/>
      <c r="W132" s="36"/>
      <c r="X132" s="36"/>
      <c r="Y132" s="36"/>
      <c r="Z132" s="36"/>
    </row>
    <row r="133" spans="1:26" ht="14">
      <c r="A133" s="13">
        <v>41761</v>
      </c>
      <c r="B133" s="64" t="s">
        <v>144</v>
      </c>
      <c r="C133" s="168">
        <v>2014</v>
      </c>
      <c r="D133" s="65">
        <v>5</v>
      </c>
      <c r="E133" s="36" t="s">
        <v>223</v>
      </c>
      <c r="F133" s="36" t="s">
        <v>224</v>
      </c>
      <c r="G133" s="36" t="s">
        <v>225</v>
      </c>
      <c r="H133" s="36" t="s">
        <v>226</v>
      </c>
      <c r="I133" s="36" t="s">
        <v>253</v>
      </c>
      <c r="J133" s="36" t="s">
        <v>256</v>
      </c>
      <c r="K133" s="3"/>
      <c r="L133" s="3">
        <v>3</v>
      </c>
      <c r="M133" s="3" t="s">
        <v>229</v>
      </c>
      <c r="N133" s="3" t="s">
        <v>256</v>
      </c>
      <c r="O133" s="3">
        <v>300</v>
      </c>
      <c r="P133" s="65">
        <v>0.99791781443010108</v>
      </c>
      <c r="Q133" s="3">
        <v>250</v>
      </c>
      <c r="R133" s="3"/>
      <c r="S133" s="3"/>
      <c r="T133" s="36"/>
      <c r="U133" s="36"/>
      <c r="V133" s="36"/>
      <c r="W133" s="36"/>
      <c r="X133" s="36"/>
      <c r="Y133" s="36"/>
      <c r="Z133" s="36"/>
    </row>
    <row r="134" spans="1:26" ht="14">
      <c r="A134" s="13">
        <v>41542</v>
      </c>
      <c r="B134" s="64" t="s">
        <v>157</v>
      </c>
      <c r="C134" s="168">
        <v>2013</v>
      </c>
      <c r="D134" s="51">
        <v>4</v>
      </c>
      <c r="E134" s="34" t="s">
        <v>223</v>
      </c>
      <c r="F134" s="34" t="s">
        <v>224</v>
      </c>
      <c r="G134" s="34" t="s">
        <v>225</v>
      </c>
      <c r="H134" s="34" t="s">
        <v>226</v>
      </c>
      <c r="I134" s="34" t="s">
        <v>253</v>
      </c>
      <c r="J134" s="3" t="s">
        <v>256</v>
      </c>
      <c r="K134" s="3"/>
      <c r="L134" s="3">
        <v>21</v>
      </c>
      <c r="M134" s="3" t="s">
        <v>229</v>
      </c>
      <c r="N134" s="3" t="s">
        <v>256</v>
      </c>
      <c r="O134" s="3">
        <v>159</v>
      </c>
      <c r="P134" s="36">
        <v>13.063309102813447</v>
      </c>
      <c r="Q134" s="3">
        <v>250</v>
      </c>
      <c r="R134" s="3"/>
      <c r="S134" s="3"/>
      <c r="T134" s="36"/>
      <c r="U134" s="36"/>
      <c r="V134" s="36"/>
      <c r="W134" s="36"/>
      <c r="X134" s="36"/>
      <c r="Y134" s="36"/>
      <c r="Z134" s="36"/>
    </row>
    <row r="135" spans="1:26" ht="14">
      <c r="A135" s="71">
        <v>41542</v>
      </c>
      <c r="B135" s="64" t="s">
        <v>157</v>
      </c>
      <c r="C135" s="168">
        <v>2013</v>
      </c>
      <c r="D135" s="51">
        <v>5</v>
      </c>
      <c r="E135" s="51" t="s">
        <v>223</v>
      </c>
      <c r="F135" s="51" t="s">
        <v>224</v>
      </c>
      <c r="G135" s="51" t="s">
        <v>225</v>
      </c>
      <c r="H135" s="51" t="s">
        <v>226</v>
      </c>
      <c r="I135" s="51" t="s">
        <v>253</v>
      </c>
      <c r="J135" s="51" t="s">
        <v>256</v>
      </c>
      <c r="K135" s="51"/>
      <c r="L135" s="51">
        <v>19</v>
      </c>
      <c r="M135" s="51" t="s">
        <v>229</v>
      </c>
      <c r="N135" s="51" t="s">
        <v>256</v>
      </c>
      <c r="O135" s="3">
        <v>206</v>
      </c>
      <c r="P135" s="36">
        <v>9.2203298789168713</v>
      </c>
      <c r="Q135" s="3">
        <v>250</v>
      </c>
      <c r="R135" s="3"/>
      <c r="S135" s="3"/>
      <c r="T135" s="36"/>
      <c r="U135" s="36"/>
      <c r="V135" s="36"/>
      <c r="W135" s="36"/>
      <c r="X135" s="36"/>
      <c r="Y135" s="36"/>
      <c r="Z135" s="36"/>
    </row>
    <row r="136" spans="1:26" ht="14">
      <c r="A136" s="13">
        <v>41542</v>
      </c>
      <c r="B136" s="64" t="s">
        <v>157</v>
      </c>
      <c r="C136" s="168">
        <v>2013</v>
      </c>
      <c r="D136" s="51">
        <v>8</v>
      </c>
      <c r="E136" s="3" t="s">
        <v>223</v>
      </c>
      <c r="F136" s="3" t="s">
        <v>224</v>
      </c>
      <c r="G136" s="3" t="s">
        <v>225</v>
      </c>
      <c r="H136" s="3" t="s">
        <v>226</v>
      </c>
      <c r="I136" s="3" t="s">
        <v>253</v>
      </c>
      <c r="J136" s="3" t="s">
        <v>256</v>
      </c>
      <c r="K136" s="3"/>
      <c r="L136" s="3">
        <v>31</v>
      </c>
      <c r="M136" s="3" t="s">
        <v>229</v>
      </c>
      <c r="N136" s="3" t="s">
        <v>256</v>
      </c>
      <c r="O136" s="3">
        <v>183</v>
      </c>
      <c r="P136" s="36">
        <v>16.939376441269694</v>
      </c>
      <c r="Q136" s="3">
        <v>250</v>
      </c>
      <c r="R136" s="3"/>
      <c r="S136" s="3"/>
      <c r="T136" s="36"/>
      <c r="U136" s="36"/>
      <c r="V136" s="36"/>
      <c r="W136" s="36"/>
      <c r="X136" s="36"/>
      <c r="Y136" s="36"/>
      <c r="Z136" s="36"/>
    </row>
    <row r="137" spans="1:26" ht="14">
      <c r="A137" s="72">
        <v>41480</v>
      </c>
      <c r="B137" s="64" t="s">
        <v>154</v>
      </c>
      <c r="C137" s="168">
        <v>2013</v>
      </c>
      <c r="D137" s="65">
        <v>2</v>
      </c>
      <c r="E137" s="36" t="s">
        <v>223</v>
      </c>
      <c r="F137" s="36" t="s">
        <v>224</v>
      </c>
      <c r="G137" s="36" t="s">
        <v>225</v>
      </c>
      <c r="H137" s="36" t="s">
        <v>226</v>
      </c>
      <c r="I137" s="36" t="s">
        <v>253</v>
      </c>
      <c r="J137" s="36" t="s">
        <v>256</v>
      </c>
      <c r="K137" s="36"/>
      <c r="L137" s="36">
        <v>2</v>
      </c>
      <c r="M137" s="36" t="s">
        <v>229</v>
      </c>
      <c r="N137" s="36" t="s">
        <v>256</v>
      </c>
      <c r="O137" s="36">
        <v>125</v>
      </c>
      <c r="P137" s="36">
        <v>1.5979812968543678</v>
      </c>
      <c r="Q137" s="36">
        <v>250</v>
      </c>
      <c r="R137" s="36"/>
      <c r="S137" s="36"/>
      <c r="T137" s="36"/>
      <c r="U137" s="36"/>
      <c r="V137" s="36"/>
      <c r="W137" s="36"/>
      <c r="X137" s="36"/>
      <c r="Y137" s="36"/>
      <c r="Z137" s="36"/>
    </row>
    <row r="138" spans="1:26" ht="14">
      <c r="A138" s="13">
        <v>41480</v>
      </c>
      <c r="B138" s="64" t="s">
        <v>154</v>
      </c>
      <c r="C138" s="168">
        <v>2013</v>
      </c>
      <c r="D138" s="51">
        <v>4</v>
      </c>
      <c r="E138" s="51" t="s">
        <v>223</v>
      </c>
      <c r="F138" s="51" t="s">
        <v>224</v>
      </c>
      <c r="G138" s="51" t="s">
        <v>225</v>
      </c>
      <c r="H138" s="51" t="s">
        <v>226</v>
      </c>
      <c r="I138" s="51" t="s">
        <v>253</v>
      </c>
      <c r="J138" s="3" t="s">
        <v>256</v>
      </c>
      <c r="K138" s="3"/>
      <c r="L138" s="3">
        <v>24</v>
      </c>
      <c r="M138" s="3" t="s">
        <v>229</v>
      </c>
      <c r="N138" s="3" t="s">
        <v>256</v>
      </c>
      <c r="O138" s="3">
        <v>124</v>
      </c>
      <c r="P138" s="65">
        <v>19.301645321552051</v>
      </c>
      <c r="Q138" s="3">
        <v>250</v>
      </c>
      <c r="R138" s="3"/>
      <c r="S138" s="3"/>
      <c r="T138" s="36"/>
      <c r="U138" s="36"/>
      <c r="V138" s="36"/>
      <c r="W138" s="36"/>
      <c r="X138" s="36"/>
      <c r="Y138" s="36"/>
      <c r="Z138" s="36"/>
    </row>
    <row r="139" spans="1:26" ht="14">
      <c r="A139" s="71">
        <v>41480</v>
      </c>
      <c r="B139" s="64" t="s">
        <v>154</v>
      </c>
      <c r="C139" s="168">
        <v>2013</v>
      </c>
      <c r="D139" s="51">
        <v>5</v>
      </c>
      <c r="E139" s="51" t="s">
        <v>223</v>
      </c>
      <c r="F139" s="51" t="s">
        <v>224</v>
      </c>
      <c r="G139" s="51" t="s">
        <v>225</v>
      </c>
      <c r="H139" s="51" t="s">
        <v>226</v>
      </c>
      <c r="I139" s="51" t="s">
        <v>253</v>
      </c>
      <c r="J139" s="51" t="s">
        <v>256</v>
      </c>
      <c r="K139" s="3"/>
      <c r="L139" s="3">
        <v>7</v>
      </c>
      <c r="M139" s="3" t="s">
        <v>229</v>
      </c>
      <c r="N139" s="3" t="s">
        <v>256</v>
      </c>
      <c r="O139" s="3">
        <v>155</v>
      </c>
      <c r="P139" s="65">
        <v>4.5154922469870256</v>
      </c>
      <c r="Q139" s="3">
        <v>250</v>
      </c>
      <c r="R139" s="3"/>
      <c r="S139" s="3"/>
      <c r="T139" s="36"/>
      <c r="U139" s="36"/>
      <c r="V139" s="36"/>
      <c r="W139" s="36"/>
      <c r="X139" s="36"/>
      <c r="Y139" s="36"/>
      <c r="Z139" s="36"/>
    </row>
    <row r="140" spans="1:26" ht="14">
      <c r="A140" s="13">
        <v>41480</v>
      </c>
      <c r="B140" s="64" t="s">
        <v>154</v>
      </c>
      <c r="C140" s="168">
        <v>2013</v>
      </c>
      <c r="D140" s="51">
        <v>8</v>
      </c>
      <c r="E140" s="3" t="s">
        <v>223</v>
      </c>
      <c r="F140" s="3" t="s">
        <v>224</v>
      </c>
      <c r="G140" s="3" t="s">
        <v>225</v>
      </c>
      <c r="H140" s="3" t="s">
        <v>226</v>
      </c>
      <c r="I140" s="3" t="s">
        <v>253</v>
      </c>
      <c r="J140" s="3" t="s">
        <v>256</v>
      </c>
      <c r="K140" s="3"/>
      <c r="L140" s="3">
        <v>25</v>
      </c>
      <c r="M140" s="3" t="s">
        <v>229</v>
      </c>
      <c r="N140" s="3" t="s">
        <v>256</v>
      </c>
      <c r="O140" s="3">
        <v>251</v>
      </c>
      <c r="P140" s="36">
        <v>9.9597163506994004</v>
      </c>
      <c r="Q140" s="3">
        <v>250</v>
      </c>
      <c r="R140" s="3"/>
      <c r="S140" s="3"/>
      <c r="T140" s="36"/>
      <c r="U140" s="36"/>
      <c r="V140" s="36"/>
      <c r="W140" s="36"/>
      <c r="X140" s="36"/>
      <c r="Y140" s="36"/>
      <c r="Z140" s="36"/>
    </row>
    <row r="141" spans="1:26" ht="14">
      <c r="A141" s="71">
        <v>41422</v>
      </c>
      <c r="B141" s="64" t="s">
        <v>144</v>
      </c>
      <c r="C141" s="168">
        <v>2013</v>
      </c>
      <c r="D141" s="51">
        <v>4</v>
      </c>
      <c r="E141" s="3" t="s">
        <v>223</v>
      </c>
      <c r="F141" s="3" t="s">
        <v>224</v>
      </c>
      <c r="G141" s="3" t="s">
        <v>225</v>
      </c>
      <c r="H141" s="3" t="s">
        <v>226</v>
      </c>
      <c r="I141" s="3" t="s">
        <v>253</v>
      </c>
      <c r="J141" s="3" t="s">
        <v>256</v>
      </c>
      <c r="K141" s="3"/>
      <c r="L141" s="3">
        <v>6</v>
      </c>
      <c r="M141" s="3" t="s">
        <v>229</v>
      </c>
      <c r="N141" s="3" t="s">
        <v>256</v>
      </c>
      <c r="O141" s="3">
        <v>106</v>
      </c>
      <c r="P141" s="36">
        <v>5.6520277342462188</v>
      </c>
      <c r="Q141" s="3">
        <v>250</v>
      </c>
      <c r="R141" s="3" t="s">
        <v>255</v>
      </c>
      <c r="S141" s="3"/>
      <c r="T141" s="36"/>
      <c r="U141" s="36"/>
      <c r="V141" s="36"/>
      <c r="W141" s="36"/>
      <c r="X141" s="36"/>
      <c r="Y141" s="36"/>
      <c r="Z141" s="36"/>
    </row>
    <row r="142" spans="1:26" ht="14">
      <c r="A142" s="13">
        <v>41422</v>
      </c>
      <c r="B142" s="64" t="s">
        <v>144</v>
      </c>
      <c r="C142" s="168">
        <v>2013</v>
      </c>
      <c r="D142" s="51">
        <v>5</v>
      </c>
      <c r="E142" s="3" t="s">
        <v>223</v>
      </c>
      <c r="F142" s="3" t="s">
        <v>224</v>
      </c>
      <c r="G142" s="3" t="s">
        <v>225</v>
      </c>
      <c r="H142" s="3" t="s">
        <v>226</v>
      </c>
      <c r="I142" s="3" t="s">
        <v>253</v>
      </c>
      <c r="J142" s="3" t="s">
        <v>256</v>
      </c>
      <c r="K142" s="3"/>
      <c r="L142" s="3">
        <v>11</v>
      </c>
      <c r="M142" s="3" t="s">
        <v>229</v>
      </c>
      <c r="N142" s="3" t="s">
        <v>256</v>
      </c>
      <c r="O142" s="3">
        <v>120</v>
      </c>
      <c r="P142" s="36">
        <v>9.1666666666666661</v>
      </c>
      <c r="Q142" s="3">
        <v>250</v>
      </c>
      <c r="R142" s="3" t="s">
        <v>257</v>
      </c>
      <c r="S142" s="3"/>
      <c r="T142" s="36"/>
      <c r="U142" s="36"/>
      <c r="V142" s="36"/>
      <c r="W142" s="36"/>
      <c r="X142" s="36"/>
      <c r="Y142" s="36"/>
      <c r="Z142" s="36"/>
    </row>
    <row r="143" spans="1:26" ht="14">
      <c r="A143" s="13">
        <v>41422</v>
      </c>
      <c r="B143" s="64" t="s">
        <v>144</v>
      </c>
      <c r="C143" s="168">
        <v>2013</v>
      </c>
      <c r="D143" s="51">
        <v>8</v>
      </c>
      <c r="E143" s="3" t="s">
        <v>223</v>
      </c>
      <c r="F143" s="3" t="s">
        <v>224</v>
      </c>
      <c r="G143" s="3" t="s">
        <v>225</v>
      </c>
      <c r="H143" s="3" t="s">
        <v>226</v>
      </c>
      <c r="I143" s="3" t="s">
        <v>253</v>
      </c>
      <c r="J143" s="3" t="s">
        <v>256</v>
      </c>
      <c r="K143" s="3"/>
      <c r="L143" s="3">
        <v>2</v>
      </c>
      <c r="M143" s="3" t="s">
        <v>229</v>
      </c>
      <c r="N143" s="3" t="s">
        <v>256</v>
      </c>
      <c r="O143" s="3">
        <v>89</v>
      </c>
      <c r="P143" s="65">
        <v>2.2466196971623202</v>
      </c>
      <c r="Q143" s="3">
        <v>250</v>
      </c>
      <c r="R143" s="3" t="s">
        <v>257</v>
      </c>
      <c r="S143" s="3"/>
      <c r="T143" s="36"/>
      <c r="U143" s="36"/>
      <c r="V143" s="36"/>
      <c r="W143" s="36"/>
      <c r="X143" s="36"/>
      <c r="Y143" s="36"/>
      <c r="Z143" s="36"/>
    </row>
    <row r="144" spans="1:26" ht="14">
      <c r="A144" s="35">
        <v>42515</v>
      </c>
      <c r="B144" s="64" t="s">
        <v>144</v>
      </c>
      <c r="C144" s="168">
        <v>2016</v>
      </c>
      <c r="D144" s="65">
        <v>4</v>
      </c>
      <c r="E144" s="36" t="s">
        <v>216</v>
      </c>
      <c r="F144" s="36" t="s">
        <v>217</v>
      </c>
      <c r="G144" s="36"/>
      <c r="H144" s="36"/>
      <c r="I144" s="36"/>
      <c r="J144" s="36" t="s">
        <v>219</v>
      </c>
      <c r="K144" s="36"/>
      <c r="L144" s="36">
        <v>3</v>
      </c>
      <c r="M144" s="36" t="s">
        <v>229</v>
      </c>
      <c r="N144" s="36" t="s">
        <v>619</v>
      </c>
      <c r="O144" s="36">
        <v>217</v>
      </c>
      <c r="P144" s="36">
        <v>1.3813936293590676</v>
      </c>
      <c r="Q144" s="36">
        <v>250</v>
      </c>
      <c r="R144" s="36" t="s">
        <v>222</v>
      </c>
      <c r="S144" s="36"/>
      <c r="T144" s="36"/>
      <c r="U144" s="36"/>
      <c r="V144" s="36"/>
      <c r="W144" s="36"/>
      <c r="X144" s="36"/>
      <c r="Y144" s="36"/>
      <c r="Z144" s="36"/>
    </row>
    <row r="145" spans="1:26" ht="14">
      <c r="A145" s="35">
        <v>42634</v>
      </c>
      <c r="B145" s="64" t="s">
        <v>157</v>
      </c>
      <c r="C145" s="168">
        <v>2016</v>
      </c>
      <c r="D145" s="65">
        <v>5</v>
      </c>
      <c r="E145" s="65" t="s">
        <v>216</v>
      </c>
      <c r="F145" s="65" t="s">
        <v>217</v>
      </c>
      <c r="G145" s="65"/>
      <c r="H145" s="65"/>
      <c r="I145" s="65"/>
      <c r="J145" s="36" t="s">
        <v>219</v>
      </c>
      <c r="K145" s="36"/>
      <c r="L145" s="36">
        <v>3</v>
      </c>
      <c r="M145" s="36" t="s">
        <v>229</v>
      </c>
      <c r="N145" s="36" t="s">
        <v>218</v>
      </c>
      <c r="O145" s="36">
        <v>203</v>
      </c>
      <c r="P145" s="36">
        <v>1.4765387849693219</v>
      </c>
      <c r="Q145" s="36">
        <v>250</v>
      </c>
      <c r="R145" s="36" t="s">
        <v>222</v>
      </c>
      <c r="S145" s="36"/>
      <c r="T145" s="36"/>
      <c r="U145" s="36"/>
      <c r="V145" s="36"/>
      <c r="W145" s="36"/>
      <c r="X145" s="36"/>
      <c r="Y145" s="36"/>
      <c r="Z145" s="36"/>
    </row>
    <row r="146" spans="1:26" ht="14">
      <c r="A146" s="13">
        <v>43019</v>
      </c>
      <c r="B146" s="64" t="s">
        <v>159</v>
      </c>
      <c r="C146" s="168">
        <v>2017</v>
      </c>
      <c r="D146" s="65">
        <v>4</v>
      </c>
      <c r="E146" s="36" t="s">
        <v>216</v>
      </c>
      <c r="F146" s="36" t="s">
        <v>217</v>
      </c>
      <c r="G146" s="36"/>
      <c r="H146" s="36"/>
      <c r="I146" s="36"/>
      <c r="J146" s="36"/>
      <c r="K146" s="36"/>
      <c r="L146" s="36">
        <v>3</v>
      </c>
      <c r="M146" s="36" t="s">
        <v>221</v>
      </c>
      <c r="N146" s="36" t="s">
        <v>219</v>
      </c>
      <c r="O146" s="3">
        <v>248</v>
      </c>
      <c r="P146" s="36">
        <v>1.1933605355099508</v>
      </c>
      <c r="Q146" s="36">
        <v>250</v>
      </c>
      <c r="R146" s="3"/>
      <c r="S146" s="3"/>
      <c r="T146" s="36"/>
      <c r="U146" s="36"/>
      <c r="V146" s="36"/>
      <c r="W146" s="36"/>
      <c r="X146" s="36"/>
      <c r="Y146" s="36"/>
      <c r="Z146" s="36"/>
    </row>
    <row r="147" spans="1:26" ht="14">
      <c r="A147" s="13">
        <v>43019</v>
      </c>
      <c r="B147" s="64" t="s">
        <v>159</v>
      </c>
      <c r="C147" s="168">
        <v>2017</v>
      </c>
      <c r="D147" s="65">
        <v>5</v>
      </c>
      <c r="E147" s="65" t="s">
        <v>216</v>
      </c>
      <c r="F147" s="65" t="s">
        <v>217</v>
      </c>
      <c r="G147" s="65"/>
      <c r="H147" s="65"/>
      <c r="I147" s="65"/>
      <c r="J147" s="36"/>
      <c r="K147" s="36"/>
      <c r="L147" s="36">
        <v>26</v>
      </c>
      <c r="M147" s="36" t="s">
        <v>221</v>
      </c>
      <c r="N147" s="36" t="s">
        <v>219</v>
      </c>
      <c r="O147" s="3">
        <v>255</v>
      </c>
      <c r="P147" s="36">
        <v>10.193817717595893</v>
      </c>
      <c r="Q147" s="3">
        <v>250</v>
      </c>
      <c r="R147" s="3"/>
      <c r="S147" s="3"/>
      <c r="T147" s="36"/>
      <c r="U147" s="36"/>
      <c r="V147" s="36"/>
      <c r="W147" s="36"/>
      <c r="X147" s="36"/>
      <c r="Y147" s="36"/>
      <c r="Z147" s="36"/>
    </row>
    <row r="148" spans="1:26" ht="14">
      <c r="A148" s="13">
        <v>43019</v>
      </c>
      <c r="B148" s="64" t="s">
        <v>159</v>
      </c>
      <c r="C148" s="168">
        <v>2017</v>
      </c>
      <c r="D148" s="65">
        <v>8</v>
      </c>
      <c r="E148" s="36" t="s">
        <v>216</v>
      </c>
      <c r="F148" s="36" t="s">
        <v>217</v>
      </c>
      <c r="G148" s="36"/>
      <c r="H148" s="36"/>
      <c r="I148" s="36"/>
      <c r="J148" s="36"/>
      <c r="K148" s="36"/>
      <c r="L148" s="36">
        <v>10</v>
      </c>
      <c r="M148" s="36" t="s">
        <v>221</v>
      </c>
      <c r="N148" s="36" t="s">
        <v>219</v>
      </c>
      <c r="O148" s="3">
        <v>288</v>
      </c>
      <c r="P148" s="36">
        <v>3.3361048120931311</v>
      </c>
      <c r="Q148" s="3">
        <v>250</v>
      </c>
      <c r="R148" s="3"/>
      <c r="S148" s="3"/>
      <c r="T148" s="36"/>
      <c r="U148" s="36"/>
      <c r="V148" s="36"/>
      <c r="W148" s="36"/>
      <c r="X148" s="36"/>
      <c r="Y148" s="36"/>
      <c r="Z148" s="36"/>
    </row>
    <row r="149" spans="1:26" ht="14">
      <c r="A149" s="13">
        <v>42928</v>
      </c>
      <c r="B149" s="64" t="s">
        <v>154</v>
      </c>
      <c r="C149" s="168">
        <v>2017</v>
      </c>
      <c r="D149" s="65">
        <v>2</v>
      </c>
      <c r="E149" s="36" t="s">
        <v>216</v>
      </c>
      <c r="F149" s="36" t="s">
        <v>217</v>
      </c>
      <c r="G149" s="36"/>
      <c r="H149" s="36"/>
      <c r="I149" s="36"/>
      <c r="J149" s="36"/>
      <c r="K149" s="36"/>
      <c r="L149" s="36">
        <v>3</v>
      </c>
      <c r="M149" s="36" t="s">
        <v>221</v>
      </c>
      <c r="N149" s="36" t="s">
        <v>219</v>
      </c>
      <c r="O149" s="3">
        <v>656</v>
      </c>
      <c r="P149" s="36">
        <v>0.45685297854282658</v>
      </c>
      <c r="Q149" s="36">
        <v>250</v>
      </c>
      <c r="R149" s="3"/>
      <c r="S149" s="3"/>
      <c r="T149" s="36"/>
      <c r="U149" s="36"/>
      <c r="V149" s="36"/>
      <c r="W149" s="36"/>
      <c r="X149" s="36"/>
      <c r="Y149" s="36"/>
      <c r="Z149" s="36"/>
    </row>
    <row r="150" spans="1:26" ht="14">
      <c r="A150" s="13">
        <v>42928</v>
      </c>
      <c r="B150" s="64" t="s">
        <v>154</v>
      </c>
      <c r="C150" s="168">
        <v>2017</v>
      </c>
      <c r="D150" s="65">
        <v>4</v>
      </c>
      <c r="E150" s="36" t="s">
        <v>216</v>
      </c>
      <c r="F150" s="36" t="s">
        <v>217</v>
      </c>
      <c r="G150" s="36"/>
      <c r="H150" s="36"/>
      <c r="I150" s="36"/>
      <c r="J150" s="36"/>
      <c r="K150" s="36"/>
      <c r="L150" s="36">
        <v>6</v>
      </c>
      <c r="M150" s="36" t="s">
        <v>221</v>
      </c>
      <c r="N150" s="36" t="s">
        <v>219</v>
      </c>
      <c r="O150" s="3">
        <v>225</v>
      </c>
      <c r="P150" s="36">
        <v>2.6559698439462029</v>
      </c>
      <c r="Q150" s="36">
        <v>250</v>
      </c>
      <c r="R150" s="3"/>
      <c r="S150" s="3"/>
      <c r="T150" s="36"/>
      <c r="U150" s="36"/>
      <c r="V150" s="36"/>
      <c r="W150" s="36"/>
      <c r="X150" s="36"/>
      <c r="Y150" s="36"/>
      <c r="Z150" s="36"/>
    </row>
    <row r="151" spans="1:26" ht="14">
      <c r="A151" s="72">
        <v>42928</v>
      </c>
      <c r="B151" s="64" t="s">
        <v>154</v>
      </c>
      <c r="C151" s="168">
        <v>2017</v>
      </c>
      <c r="D151" s="65">
        <v>5</v>
      </c>
      <c r="E151" s="36" t="s">
        <v>216</v>
      </c>
      <c r="F151" s="36" t="s">
        <v>217</v>
      </c>
      <c r="G151" s="36"/>
      <c r="H151" s="36"/>
      <c r="I151" s="36"/>
      <c r="J151" s="36"/>
      <c r="K151" s="36"/>
      <c r="L151" s="36">
        <v>10</v>
      </c>
      <c r="M151" s="36" t="s">
        <v>221</v>
      </c>
      <c r="N151" s="36" t="s">
        <v>219</v>
      </c>
      <c r="O151" s="36">
        <v>385</v>
      </c>
      <c r="P151" s="36">
        <v>2.5962643656433615</v>
      </c>
      <c r="Q151" s="36">
        <v>250</v>
      </c>
      <c r="R151" s="36"/>
      <c r="S151" s="36"/>
      <c r="T151" s="36"/>
      <c r="U151" s="36"/>
      <c r="V151" s="36"/>
      <c r="W151" s="36"/>
      <c r="X151" s="36"/>
      <c r="Y151" s="36"/>
      <c r="Z151" s="36"/>
    </row>
    <row r="152" spans="1:26" ht="14">
      <c r="A152" s="13">
        <v>42928</v>
      </c>
      <c r="B152" s="64" t="s">
        <v>154</v>
      </c>
      <c r="C152" s="168">
        <v>2017</v>
      </c>
      <c r="D152" s="65">
        <v>8</v>
      </c>
      <c r="E152" s="36" t="s">
        <v>216</v>
      </c>
      <c r="F152" s="36" t="s">
        <v>217</v>
      </c>
      <c r="G152" s="36"/>
      <c r="H152" s="36"/>
      <c r="I152" s="36"/>
      <c r="J152" s="36"/>
      <c r="K152" s="36"/>
      <c r="L152" s="36">
        <v>13</v>
      </c>
      <c r="M152" s="36" t="s">
        <v>221</v>
      </c>
      <c r="N152" s="36" t="s">
        <v>219</v>
      </c>
      <c r="O152" s="3">
        <v>319</v>
      </c>
      <c r="P152" s="36">
        <v>4.0736900178173032</v>
      </c>
      <c r="Q152" s="36">
        <v>250</v>
      </c>
      <c r="R152" s="3"/>
      <c r="S152" s="3"/>
      <c r="T152" s="36"/>
      <c r="U152" s="36"/>
      <c r="V152" s="36"/>
      <c r="W152" s="36"/>
      <c r="X152" s="36"/>
      <c r="Y152" s="36"/>
      <c r="Z152" s="36"/>
    </row>
    <row r="153" spans="1:26" ht="14">
      <c r="A153" s="13">
        <v>42867</v>
      </c>
      <c r="B153" s="64" t="s">
        <v>144</v>
      </c>
      <c r="C153" s="168">
        <v>2017</v>
      </c>
      <c r="D153" s="65">
        <v>2</v>
      </c>
      <c r="E153" s="51" t="s">
        <v>216</v>
      </c>
      <c r="F153" s="51" t="s">
        <v>217</v>
      </c>
      <c r="G153" s="51"/>
      <c r="H153" s="51"/>
      <c r="I153" s="51"/>
      <c r="J153" s="3" t="s">
        <v>647</v>
      </c>
      <c r="K153" s="3"/>
      <c r="L153" s="3">
        <v>1</v>
      </c>
      <c r="M153" s="36" t="s">
        <v>229</v>
      </c>
      <c r="N153" s="3" t="s">
        <v>219</v>
      </c>
      <c r="O153" s="3">
        <v>216</v>
      </c>
      <c r="P153" s="36">
        <v>0.46296296296296291</v>
      </c>
      <c r="Q153" s="3"/>
      <c r="R153" s="3"/>
      <c r="S153" s="3"/>
      <c r="T153" s="36"/>
      <c r="U153" s="36"/>
      <c r="V153" s="36"/>
      <c r="W153" s="36"/>
      <c r="X153" s="36"/>
      <c r="Y153" s="36"/>
      <c r="Z153" s="36"/>
    </row>
    <row r="154" spans="1:26" ht="14">
      <c r="A154" s="13">
        <v>42867</v>
      </c>
      <c r="B154" s="64" t="s">
        <v>144</v>
      </c>
      <c r="C154" s="168">
        <v>2017</v>
      </c>
      <c r="D154" s="65">
        <v>4</v>
      </c>
      <c r="E154" s="51" t="s">
        <v>216</v>
      </c>
      <c r="F154" s="51" t="s">
        <v>217</v>
      </c>
      <c r="G154" s="51"/>
      <c r="H154" s="51"/>
      <c r="I154" s="51"/>
      <c r="J154" s="3" t="s">
        <v>647</v>
      </c>
      <c r="K154" s="3"/>
      <c r="L154" s="3">
        <v>107</v>
      </c>
      <c r="M154" s="36" t="s">
        <v>229</v>
      </c>
      <c r="N154" s="3" t="s">
        <v>219</v>
      </c>
      <c r="O154" s="3">
        <v>225</v>
      </c>
      <c r="P154" s="36">
        <v>46.763290058182818</v>
      </c>
      <c r="Q154" s="3"/>
      <c r="R154" s="3"/>
      <c r="S154" s="3"/>
      <c r="T154" s="36"/>
      <c r="U154" s="36"/>
      <c r="V154" s="36"/>
      <c r="W154" s="36"/>
      <c r="X154" s="36"/>
      <c r="Y154" s="36"/>
      <c r="Z154" s="36"/>
    </row>
    <row r="155" spans="1:26" ht="14">
      <c r="A155" s="13">
        <v>42867</v>
      </c>
      <c r="B155" s="64" t="s">
        <v>144</v>
      </c>
      <c r="C155" s="168">
        <v>2017</v>
      </c>
      <c r="D155" s="65">
        <v>5</v>
      </c>
      <c r="E155" s="51" t="s">
        <v>216</v>
      </c>
      <c r="F155" s="51" t="s">
        <v>217</v>
      </c>
      <c r="G155" s="51"/>
      <c r="H155" s="51"/>
      <c r="I155" s="51"/>
      <c r="J155" s="3" t="s">
        <v>647</v>
      </c>
      <c r="K155" s="3"/>
      <c r="L155" s="3">
        <v>156</v>
      </c>
      <c r="M155" s="36" t="s">
        <v>229</v>
      </c>
      <c r="N155" s="3" t="s">
        <v>219</v>
      </c>
      <c r="O155" s="3">
        <v>222</v>
      </c>
      <c r="P155" s="36">
        <v>70.247464429742919</v>
      </c>
      <c r="Q155" s="3"/>
      <c r="R155" s="3"/>
      <c r="S155" s="3"/>
      <c r="T155" s="36"/>
      <c r="U155" s="36"/>
      <c r="V155" s="36"/>
      <c r="W155" s="36"/>
      <c r="X155" s="36"/>
      <c r="Y155" s="36"/>
      <c r="Z155" s="36"/>
    </row>
    <row r="156" spans="1:26" ht="14">
      <c r="A156" s="13">
        <v>42867</v>
      </c>
      <c r="B156" s="64" t="s">
        <v>144</v>
      </c>
      <c r="C156" s="168">
        <v>2017</v>
      </c>
      <c r="D156" s="65">
        <v>5</v>
      </c>
      <c r="E156" s="51" t="s">
        <v>216</v>
      </c>
      <c r="F156" s="3" t="s">
        <v>217</v>
      </c>
      <c r="G156" s="3"/>
      <c r="H156" s="51"/>
      <c r="I156" s="51"/>
      <c r="J156" s="51" t="s">
        <v>653</v>
      </c>
      <c r="K156" s="3"/>
      <c r="L156" s="3">
        <v>2</v>
      </c>
      <c r="M156" s="36" t="s">
        <v>229</v>
      </c>
      <c r="N156" s="3" t="s">
        <v>219</v>
      </c>
      <c r="O156" s="3">
        <v>222</v>
      </c>
      <c r="P156" s="36">
        <v>0.90060851833003741</v>
      </c>
      <c r="Q156" s="3"/>
      <c r="R156" s="3"/>
      <c r="S156" s="3"/>
      <c r="T156" s="36"/>
      <c r="U156" s="36"/>
      <c r="V156" s="36"/>
      <c r="W156" s="36"/>
      <c r="X156" s="36"/>
      <c r="Y156" s="36"/>
      <c r="Z156" s="36"/>
    </row>
    <row r="157" spans="1:26" ht="14">
      <c r="A157" s="13">
        <v>42867</v>
      </c>
      <c r="B157" s="64" t="s">
        <v>144</v>
      </c>
      <c r="C157" s="168">
        <v>2017</v>
      </c>
      <c r="D157" s="65">
        <v>8</v>
      </c>
      <c r="E157" s="51" t="s">
        <v>216</v>
      </c>
      <c r="F157" s="51" t="s">
        <v>217</v>
      </c>
      <c r="G157" s="51"/>
      <c r="H157" s="51"/>
      <c r="I157" s="51"/>
      <c r="J157" s="3" t="s">
        <v>647</v>
      </c>
      <c r="K157" s="3"/>
      <c r="L157" s="3">
        <v>120</v>
      </c>
      <c r="M157" s="36" t="s">
        <v>229</v>
      </c>
      <c r="N157" s="3" t="s">
        <v>219</v>
      </c>
      <c r="O157" s="3">
        <v>268</v>
      </c>
      <c r="P157" s="36">
        <v>44.699236473195768</v>
      </c>
      <c r="Q157" s="3"/>
      <c r="R157" s="3"/>
      <c r="S157" s="3"/>
      <c r="T157" s="36"/>
      <c r="U157" s="36"/>
      <c r="V157" s="36"/>
      <c r="W157" s="36"/>
      <c r="X157" s="36"/>
      <c r="Y157" s="36"/>
      <c r="Z157" s="36"/>
    </row>
    <row r="158" spans="1:26" ht="14">
      <c r="A158" s="71">
        <v>42634</v>
      </c>
      <c r="B158" s="64" t="s">
        <v>157</v>
      </c>
      <c r="C158" s="168">
        <v>2016</v>
      </c>
      <c r="D158" s="65">
        <v>2</v>
      </c>
      <c r="E158" s="3" t="s">
        <v>216</v>
      </c>
      <c r="F158" s="3" t="s">
        <v>217</v>
      </c>
      <c r="G158" s="3"/>
      <c r="H158" s="3"/>
      <c r="I158" s="3"/>
      <c r="J158" s="3" t="s">
        <v>219</v>
      </c>
      <c r="K158" s="3"/>
      <c r="L158" s="36">
        <v>1</v>
      </c>
      <c r="M158" s="36" t="s">
        <v>229</v>
      </c>
      <c r="N158" s="36" t="s">
        <v>219</v>
      </c>
      <c r="O158" s="3">
        <v>233</v>
      </c>
      <c r="P158" s="36">
        <v>0.42912644794155391</v>
      </c>
      <c r="Q158" s="36">
        <v>250</v>
      </c>
      <c r="R158" s="3"/>
      <c r="S158" s="3"/>
      <c r="T158" s="36"/>
      <c r="U158" s="36"/>
      <c r="V158" s="36"/>
      <c r="W158" s="36"/>
      <c r="X158" s="36"/>
      <c r="Y158" s="36"/>
      <c r="Z158" s="36"/>
    </row>
    <row r="159" spans="1:26" ht="14">
      <c r="A159" s="35">
        <v>42634</v>
      </c>
      <c r="B159" s="64" t="s">
        <v>157</v>
      </c>
      <c r="C159" s="168">
        <v>2016</v>
      </c>
      <c r="D159" s="65">
        <v>4</v>
      </c>
      <c r="E159" s="36" t="s">
        <v>216</v>
      </c>
      <c r="F159" s="36" t="s">
        <v>217</v>
      </c>
      <c r="G159" s="36"/>
      <c r="H159" s="36"/>
      <c r="I159" s="36"/>
      <c r="J159" s="36" t="s">
        <v>219</v>
      </c>
      <c r="K159" s="36"/>
      <c r="L159" s="36">
        <v>1</v>
      </c>
      <c r="M159" s="36" t="s">
        <v>229</v>
      </c>
      <c r="N159" s="36" t="s">
        <v>219</v>
      </c>
      <c r="O159" s="36">
        <v>156</v>
      </c>
      <c r="P159" s="76">
        <v>0.63937497457156689</v>
      </c>
      <c r="Q159" s="36">
        <v>250</v>
      </c>
      <c r="R159" s="36"/>
      <c r="S159" s="36"/>
      <c r="T159" s="36"/>
      <c r="U159" s="36"/>
      <c r="V159" s="36"/>
      <c r="W159" s="36"/>
      <c r="X159" s="36"/>
      <c r="Y159" s="36"/>
      <c r="Z159" s="36"/>
    </row>
    <row r="160" spans="1:26" ht="14">
      <c r="A160" s="35">
        <v>42634</v>
      </c>
      <c r="B160" s="64" t="s">
        <v>157</v>
      </c>
      <c r="C160" s="168">
        <v>2016</v>
      </c>
      <c r="D160" s="65">
        <v>5</v>
      </c>
      <c r="E160" s="36" t="s">
        <v>216</v>
      </c>
      <c r="F160" s="36" t="s">
        <v>217</v>
      </c>
      <c r="G160" s="36"/>
      <c r="H160" s="36"/>
      <c r="I160" s="36"/>
      <c r="J160" s="36" t="s">
        <v>219</v>
      </c>
      <c r="K160" s="36"/>
      <c r="L160" s="36">
        <v>5</v>
      </c>
      <c r="M160" s="36" t="s">
        <v>229</v>
      </c>
      <c r="N160" s="36" t="s">
        <v>219</v>
      </c>
      <c r="O160" s="36">
        <v>203</v>
      </c>
      <c r="P160" s="36">
        <v>2.4608979749488702</v>
      </c>
      <c r="Q160" s="36">
        <v>250</v>
      </c>
      <c r="R160" s="36"/>
      <c r="S160" s="36"/>
      <c r="T160" s="36"/>
      <c r="U160" s="36"/>
      <c r="V160" s="36"/>
      <c r="W160" s="36"/>
      <c r="X160" s="36"/>
      <c r="Y160" s="36"/>
      <c r="Z160" s="36"/>
    </row>
    <row r="161" spans="1:26" ht="14">
      <c r="A161" s="35">
        <v>42634</v>
      </c>
      <c r="B161" s="64" t="s">
        <v>157</v>
      </c>
      <c r="C161" s="168">
        <v>2016</v>
      </c>
      <c r="D161" s="65">
        <v>8</v>
      </c>
      <c r="E161" s="36" t="s">
        <v>216</v>
      </c>
      <c r="F161" s="36" t="s">
        <v>217</v>
      </c>
      <c r="G161" s="36"/>
      <c r="H161" s="36"/>
      <c r="I161" s="36"/>
      <c r="J161" s="3" t="s">
        <v>653</v>
      </c>
      <c r="K161" s="36"/>
      <c r="L161" s="36">
        <v>16</v>
      </c>
      <c r="M161" s="36" t="s">
        <v>229</v>
      </c>
      <c r="N161" s="36" t="s">
        <v>219</v>
      </c>
      <c r="O161" s="36">
        <v>294</v>
      </c>
      <c r="P161" s="36">
        <v>5.0903770596534317</v>
      </c>
      <c r="Q161" s="3">
        <v>250</v>
      </c>
      <c r="R161" s="36" t="s">
        <v>492</v>
      </c>
      <c r="S161" s="36"/>
      <c r="T161" s="36"/>
      <c r="U161" s="36"/>
      <c r="V161" s="36"/>
      <c r="W161" s="36"/>
      <c r="X161" s="36"/>
      <c r="Y161" s="36"/>
      <c r="Z161" s="36"/>
    </row>
    <row r="162" spans="1:26" ht="14">
      <c r="A162" s="72">
        <v>42571</v>
      </c>
      <c r="B162" s="64" t="s">
        <v>154</v>
      </c>
      <c r="C162" s="168">
        <v>2016</v>
      </c>
      <c r="D162" s="65">
        <v>4</v>
      </c>
      <c r="E162" s="3" t="s">
        <v>216</v>
      </c>
      <c r="F162" s="3" t="s">
        <v>217</v>
      </c>
      <c r="G162" s="3"/>
      <c r="H162" s="3"/>
      <c r="I162" s="51"/>
      <c r="J162" s="51" t="s">
        <v>219</v>
      </c>
      <c r="K162" s="3"/>
      <c r="L162" s="36">
        <v>1</v>
      </c>
      <c r="M162" s="36" t="s">
        <v>229</v>
      </c>
      <c r="N162" s="36" t="s">
        <v>219</v>
      </c>
      <c r="O162" s="3">
        <v>223</v>
      </c>
      <c r="P162" s="36">
        <v>0.44825487671998654</v>
      </c>
      <c r="Q162" s="65">
        <v>250</v>
      </c>
      <c r="R162" s="51"/>
      <c r="S162" s="51"/>
      <c r="T162" s="166"/>
      <c r="U162" s="36"/>
      <c r="V162" s="36"/>
      <c r="W162" s="36"/>
      <c r="X162" s="36"/>
      <c r="Y162" s="36"/>
      <c r="Z162" s="36"/>
    </row>
    <row r="163" spans="1:26" ht="14">
      <c r="A163" s="72">
        <v>42571</v>
      </c>
      <c r="B163" s="64" t="s">
        <v>154</v>
      </c>
      <c r="C163" s="168">
        <v>2016</v>
      </c>
      <c r="D163" s="65">
        <v>8</v>
      </c>
      <c r="E163" s="3" t="s">
        <v>216</v>
      </c>
      <c r="F163" s="3" t="s">
        <v>217</v>
      </c>
      <c r="G163" s="3"/>
      <c r="H163" s="3"/>
      <c r="I163" s="3"/>
      <c r="J163" s="3" t="s">
        <v>219</v>
      </c>
      <c r="K163" s="3"/>
      <c r="L163" s="36">
        <v>1</v>
      </c>
      <c r="M163" s="36" t="s">
        <v>229</v>
      </c>
      <c r="N163" s="36" t="s">
        <v>219</v>
      </c>
      <c r="O163" s="3">
        <v>237</v>
      </c>
      <c r="P163" s="65">
        <v>0.42188226519275773</v>
      </c>
      <c r="Q163" s="3">
        <v>250</v>
      </c>
      <c r="R163" s="3"/>
      <c r="S163" s="3"/>
      <c r="T163" s="36"/>
      <c r="U163" s="36"/>
      <c r="V163" s="36"/>
      <c r="W163" s="36"/>
      <c r="X163" s="36"/>
      <c r="Y163" s="36"/>
      <c r="Z163" s="36"/>
    </row>
    <row r="164" spans="1:26" ht="14">
      <c r="A164" s="13">
        <v>42263</v>
      </c>
      <c r="B164" s="64" t="s">
        <v>157</v>
      </c>
      <c r="C164" s="168">
        <v>2015</v>
      </c>
      <c r="D164" s="36">
        <v>4</v>
      </c>
      <c r="E164" s="3" t="s">
        <v>216</v>
      </c>
      <c r="F164" s="3" t="s">
        <v>217</v>
      </c>
      <c r="G164" s="3"/>
      <c r="H164" s="3"/>
      <c r="I164" s="51"/>
      <c r="J164" s="51" t="s">
        <v>219</v>
      </c>
      <c r="K164" s="3"/>
      <c r="L164" s="3">
        <v>1</v>
      </c>
      <c r="M164" s="36" t="s">
        <v>229</v>
      </c>
      <c r="N164" s="3" t="s">
        <v>219</v>
      </c>
      <c r="O164" s="3">
        <v>161</v>
      </c>
      <c r="P164" s="65">
        <v>0.6200364182712722</v>
      </c>
      <c r="Q164" s="51">
        <v>250</v>
      </c>
      <c r="R164" s="51"/>
      <c r="S164" s="51"/>
      <c r="T164" s="65"/>
      <c r="U164" s="36"/>
      <c r="V164" s="36"/>
      <c r="W164" s="36"/>
      <c r="X164" s="36"/>
      <c r="Y164" s="36"/>
      <c r="Z164" s="36"/>
    </row>
    <row r="165" spans="1:26" ht="14">
      <c r="A165" s="71">
        <v>42263</v>
      </c>
      <c r="B165" s="64" t="s">
        <v>157</v>
      </c>
      <c r="C165" s="168">
        <v>2015</v>
      </c>
      <c r="D165" s="65">
        <v>5</v>
      </c>
      <c r="E165" s="3" t="s">
        <v>216</v>
      </c>
      <c r="F165" s="3" t="s">
        <v>217</v>
      </c>
      <c r="G165" s="3"/>
      <c r="H165" s="3"/>
      <c r="I165" s="3"/>
      <c r="J165" s="3" t="s">
        <v>219</v>
      </c>
      <c r="K165" s="3"/>
      <c r="L165" s="36">
        <v>2</v>
      </c>
      <c r="M165" s="36" t="s">
        <v>229</v>
      </c>
      <c r="N165" s="3" t="s">
        <v>219</v>
      </c>
      <c r="O165" s="3">
        <v>222</v>
      </c>
      <c r="P165" s="36">
        <v>0.90064625154942013</v>
      </c>
      <c r="Q165" s="36">
        <v>250</v>
      </c>
      <c r="R165" s="3"/>
      <c r="S165" s="3"/>
      <c r="T165" s="36"/>
      <c r="U165" s="36"/>
      <c r="V165" s="36"/>
      <c r="W165" s="36"/>
      <c r="X165" s="36"/>
      <c r="Y165" s="36"/>
      <c r="Z165" s="36"/>
    </row>
    <row r="166" spans="1:26" ht="14">
      <c r="A166" s="13">
        <v>42263</v>
      </c>
      <c r="B166" s="64" t="s">
        <v>157</v>
      </c>
      <c r="C166" s="168">
        <v>2015</v>
      </c>
      <c r="D166" s="65">
        <v>8</v>
      </c>
      <c r="E166" s="51" t="s">
        <v>216</v>
      </c>
      <c r="F166" s="3" t="s">
        <v>217</v>
      </c>
      <c r="G166" s="3"/>
      <c r="H166" s="51"/>
      <c r="I166" s="51"/>
      <c r="J166" s="51" t="s">
        <v>653</v>
      </c>
      <c r="K166" s="3"/>
      <c r="L166" s="3">
        <v>7</v>
      </c>
      <c r="M166" s="36" t="s">
        <v>229</v>
      </c>
      <c r="N166" s="3" t="s">
        <v>219</v>
      </c>
      <c r="O166" s="3">
        <v>244</v>
      </c>
      <c r="P166" s="36">
        <v>2.8688524590163933</v>
      </c>
      <c r="Q166" s="3">
        <v>250</v>
      </c>
      <c r="R166" s="3"/>
      <c r="S166" s="3"/>
      <c r="T166" s="36"/>
      <c r="U166" s="36"/>
      <c r="V166" s="36"/>
      <c r="W166" s="36"/>
      <c r="X166" s="36"/>
      <c r="Y166" s="36"/>
      <c r="Z166" s="36"/>
    </row>
    <row r="167" spans="1:26" ht="14">
      <c r="A167" s="71">
        <v>42206</v>
      </c>
      <c r="B167" s="64" t="s">
        <v>154</v>
      </c>
      <c r="C167" s="168">
        <v>2015</v>
      </c>
      <c r="D167" s="65">
        <v>4</v>
      </c>
      <c r="E167" s="51" t="s">
        <v>216</v>
      </c>
      <c r="F167" s="51" t="s">
        <v>217</v>
      </c>
      <c r="G167" s="51"/>
      <c r="H167" s="51"/>
      <c r="I167" s="51"/>
      <c r="J167" s="3" t="s">
        <v>219</v>
      </c>
      <c r="K167" s="3"/>
      <c r="L167" s="3">
        <v>2</v>
      </c>
      <c r="M167" s="36" t="s">
        <v>229</v>
      </c>
      <c r="N167" s="36" t="s">
        <v>219</v>
      </c>
      <c r="O167" s="3">
        <v>273</v>
      </c>
      <c r="P167" s="65">
        <v>0.72278170503410832</v>
      </c>
      <c r="Q167" s="65">
        <v>250</v>
      </c>
      <c r="R167" s="51"/>
      <c r="S167" s="51"/>
      <c r="T167" s="65"/>
      <c r="U167" s="36"/>
      <c r="V167" s="36"/>
      <c r="W167" s="36"/>
      <c r="X167" s="36"/>
      <c r="Y167" s="36"/>
      <c r="Z167" s="36"/>
    </row>
    <row r="168" spans="1:26" ht="14">
      <c r="A168" s="71">
        <v>42206</v>
      </c>
      <c r="B168" s="64" t="s">
        <v>154</v>
      </c>
      <c r="C168" s="168">
        <v>2015</v>
      </c>
      <c r="D168" s="65">
        <v>5</v>
      </c>
      <c r="E168" s="3" t="s">
        <v>216</v>
      </c>
      <c r="F168" s="3" t="s">
        <v>217</v>
      </c>
      <c r="G168" s="3"/>
      <c r="H168" s="3"/>
      <c r="I168" s="3"/>
      <c r="J168" s="3" t="s">
        <v>219</v>
      </c>
      <c r="K168" s="3"/>
      <c r="L168" s="3">
        <v>6</v>
      </c>
      <c r="M168" s="36" t="s">
        <v>229</v>
      </c>
      <c r="N168" s="36" t="s">
        <v>219</v>
      </c>
      <c r="O168" s="3">
        <v>251</v>
      </c>
      <c r="P168" s="65">
        <v>2.3898937764041408</v>
      </c>
      <c r="Q168" s="3">
        <v>250</v>
      </c>
      <c r="R168" s="3"/>
      <c r="S168" s="3"/>
      <c r="T168" s="36"/>
      <c r="U168" s="36"/>
      <c r="V168" s="36"/>
      <c r="W168" s="36"/>
      <c r="X168" s="36"/>
      <c r="Y168" s="36"/>
      <c r="Z168" s="36"/>
    </row>
    <row r="169" spans="1:26" ht="14">
      <c r="A169" s="71">
        <v>42206</v>
      </c>
      <c r="B169" s="64" t="s">
        <v>154</v>
      </c>
      <c r="C169" s="168">
        <v>2015</v>
      </c>
      <c r="D169" s="65">
        <v>8</v>
      </c>
      <c r="E169" s="3" t="s">
        <v>216</v>
      </c>
      <c r="F169" s="3" t="s">
        <v>217</v>
      </c>
      <c r="G169" s="3"/>
      <c r="H169" s="3"/>
      <c r="I169" s="3"/>
      <c r="J169" s="3" t="s">
        <v>219</v>
      </c>
      <c r="K169" s="3"/>
      <c r="L169" s="3">
        <v>1</v>
      </c>
      <c r="M169" s="36" t="s">
        <v>229</v>
      </c>
      <c r="N169" s="36" t="s">
        <v>219</v>
      </c>
      <c r="O169" s="3">
        <v>199</v>
      </c>
      <c r="P169" s="65">
        <v>0.50207624713163335</v>
      </c>
      <c r="Q169" s="36">
        <v>250</v>
      </c>
      <c r="R169" s="3"/>
      <c r="S169" s="3"/>
      <c r="T169" s="36"/>
      <c r="U169" s="36"/>
      <c r="V169" s="36"/>
      <c r="W169" s="36"/>
      <c r="X169" s="36"/>
      <c r="Y169" s="36"/>
      <c r="Z169" s="36"/>
    </row>
    <row r="170" spans="1:26" ht="14">
      <c r="A170" s="71">
        <v>42144</v>
      </c>
      <c r="B170" s="64" t="s">
        <v>144</v>
      </c>
      <c r="C170" s="168">
        <v>2015</v>
      </c>
      <c r="D170" s="65">
        <v>2</v>
      </c>
      <c r="E170" s="51" t="s">
        <v>216</v>
      </c>
      <c r="F170" s="51" t="s">
        <v>217</v>
      </c>
      <c r="G170" s="51"/>
      <c r="H170" s="51"/>
      <c r="I170" s="51"/>
      <c r="J170" s="3" t="s">
        <v>647</v>
      </c>
      <c r="K170" s="3"/>
      <c r="L170" s="3">
        <v>37</v>
      </c>
      <c r="M170" s="36" t="s">
        <v>229</v>
      </c>
      <c r="N170" s="3" t="s">
        <v>219</v>
      </c>
      <c r="O170" s="3">
        <v>333</v>
      </c>
      <c r="P170" s="65">
        <v>11.108225545630015</v>
      </c>
      <c r="Q170" s="3">
        <v>250</v>
      </c>
      <c r="R170" s="3"/>
      <c r="S170" s="3"/>
      <c r="T170" s="36"/>
      <c r="U170" s="36"/>
      <c r="V170" s="36"/>
      <c r="W170" s="36"/>
      <c r="X170" s="36"/>
      <c r="Y170" s="36"/>
      <c r="Z170" s="36"/>
    </row>
    <row r="171" spans="1:26" ht="14">
      <c r="A171" s="35">
        <v>42144</v>
      </c>
      <c r="B171" s="64" t="s">
        <v>144</v>
      </c>
      <c r="C171" s="168">
        <v>2015</v>
      </c>
      <c r="D171" s="36">
        <v>4</v>
      </c>
      <c r="E171" s="65" t="s">
        <v>216</v>
      </c>
      <c r="F171" s="65" t="s">
        <v>217</v>
      </c>
      <c r="G171" s="65"/>
      <c r="H171" s="65"/>
      <c r="I171" s="65"/>
      <c r="J171" s="36" t="s">
        <v>647</v>
      </c>
      <c r="K171" s="36"/>
      <c r="L171" s="36">
        <v>8</v>
      </c>
      <c r="M171" s="36" t="s">
        <v>229</v>
      </c>
      <c r="N171" s="36" t="s">
        <v>219</v>
      </c>
      <c r="O171" s="36">
        <v>229</v>
      </c>
      <c r="P171" s="65">
        <v>3.4903334253467868</v>
      </c>
      <c r="Q171" s="36">
        <v>250</v>
      </c>
      <c r="R171" s="36"/>
      <c r="S171" s="36"/>
      <c r="T171" s="36"/>
      <c r="U171" s="36"/>
      <c r="V171" s="36"/>
      <c r="W171" s="36"/>
      <c r="X171" s="36"/>
      <c r="Y171" s="36"/>
      <c r="Z171" s="36"/>
    </row>
    <row r="172" spans="1:26" ht="14">
      <c r="A172" s="72">
        <v>42144</v>
      </c>
      <c r="B172" s="64" t="s">
        <v>144</v>
      </c>
      <c r="C172" s="168">
        <v>2015</v>
      </c>
      <c r="D172" s="65">
        <v>5</v>
      </c>
      <c r="E172" s="65" t="s">
        <v>216</v>
      </c>
      <c r="F172" s="65" t="s">
        <v>217</v>
      </c>
      <c r="G172" s="65"/>
      <c r="H172" s="65"/>
      <c r="I172" s="65"/>
      <c r="J172" s="36" t="s">
        <v>647</v>
      </c>
      <c r="K172" s="36"/>
      <c r="L172" s="36">
        <v>97</v>
      </c>
      <c r="M172" s="36" t="s">
        <v>229</v>
      </c>
      <c r="N172" s="36" t="s">
        <v>219</v>
      </c>
      <c r="O172" s="36">
        <v>327</v>
      </c>
      <c r="P172" s="36">
        <v>29.652695529861788</v>
      </c>
      <c r="Q172" s="36">
        <v>250</v>
      </c>
      <c r="R172" s="36"/>
      <c r="S172" s="36"/>
      <c r="T172" s="36"/>
      <c r="U172" s="36"/>
      <c r="V172" s="36"/>
      <c r="W172" s="36"/>
      <c r="X172" s="36"/>
      <c r="Y172" s="36"/>
      <c r="Z172" s="36"/>
    </row>
    <row r="173" spans="1:26" ht="14">
      <c r="A173" s="63">
        <v>41912</v>
      </c>
      <c r="B173" s="64" t="s">
        <v>157</v>
      </c>
      <c r="C173" s="168">
        <v>2014</v>
      </c>
      <c r="D173" s="65">
        <v>2</v>
      </c>
      <c r="E173" s="51" t="s">
        <v>216</v>
      </c>
      <c r="F173" s="3" t="s">
        <v>217</v>
      </c>
      <c r="G173" s="3"/>
      <c r="H173" s="51"/>
      <c r="I173" s="51"/>
      <c r="J173" s="51" t="s">
        <v>219</v>
      </c>
      <c r="K173" s="51"/>
      <c r="L173" s="51">
        <v>2</v>
      </c>
      <c r="M173" s="65" t="s">
        <v>229</v>
      </c>
      <c r="N173" s="51" t="s">
        <v>219</v>
      </c>
      <c r="O173" s="3">
        <v>232</v>
      </c>
      <c r="P173" s="36">
        <v>0.86102756471793196</v>
      </c>
      <c r="Q173" s="3">
        <v>250</v>
      </c>
      <c r="R173" s="3"/>
      <c r="S173" s="3"/>
      <c r="T173" s="36"/>
      <c r="U173" s="36"/>
      <c r="V173" s="36"/>
      <c r="W173" s="36"/>
      <c r="X173" s="36"/>
      <c r="Y173" s="36"/>
      <c r="Z173" s="36"/>
    </row>
    <row r="174" spans="1:26" ht="14">
      <c r="A174" s="71">
        <v>41912</v>
      </c>
      <c r="B174" s="64" t="s">
        <v>157</v>
      </c>
      <c r="C174" s="168">
        <v>2014</v>
      </c>
      <c r="D174" s="65">
        <v>4</v>
      </c>
      <c r="E174" s="51" t="s">
        <v>216</v>
      </c>
      <c r="F174" s="51" t="s">
        <v>217</v>
      </c>
      <c r="G174" s="51"/>
      <c r="H174" s="51"/>
      <c r="I174" s="51"/>
      <c r="J174" s="3" t="s">
        <v>219</v>
      </c>
      <c r="K174" s="3"/>
      <c r="L174" s="3">
        <v>1</v>
      </c>
      <c r="M174" s="36" t="s">
        <v>229</v>
      </c>
      <c r="N174" s="3" t="s">
        <v>219</v>
      </c>
      <c r="O174" s="3">
        <v>237</v>
      </c>
      <c r="P174" s="36">
        <v>0.42109589961806221</v>
      </c>
      <c r="Q174" s="65">
        <v>250</v>
      </c>
      <c r="R174" s="51"/>
      <c r="S174" s="51"/>
      <c r="T174" s="65"/>
      <c r="U174" s="36"/>
      <c r="V174" s="36"/>
      <c r="W174" s="36"/>
      <c r="X174" s="36"/>
      <c r="Y174" s="36"/>
      <c r="Z174" s="36"/>
    </row>
    <row r="175" spans="1:26" ht="14">
      <c r="A175" s="13">
        <v>41912</v>
      </c>
      <c r="B175" s="64" t="s">
        <v>157</v>
      </c>
      <c r="C175" s="168">
        <v>2014</v>
      </c>
      <c r="D175" s="65">
        <v>5</v>
      </c>
      <c r="E175" s="51" t="s">
        <v>216</v>
      </c>
      <c r="F175" s="51" t="s">
        <v>217</v>
      </c>
      <c r="G175" s="51"/>
      <c r="H175" s="51"/>
      <c r="I175" s="51"/>
      <c r="J175" s="3" t="s">
        <v>219</v>
      </c>
      <c r="K175" s="3"/>
      <c r="L175" s="3">
        <v>2</v>
      </c>
      <c r="M175" s="36" t="s">
        <v>229</v>
      </c>
      <c r="N175" s="3" t="s">
        <v>219</v>
      </c>
      <c r="O175" s="3">
        <v>216</v>
      </c>
      <c r="P175" s="36">
        <v>0.92410867849487799</v>
      </c>
      <c r="Q175" s="3">
        <v>250</v>
      </c>
      <c r="R175" s="3"/>
      <c r="S175" s="3"/>
      <c r="T175" s="36"/>
      <c r="U175" s="36"/>
      <c r="V175" s="36"/>
      <c r="W175" s="36"/>
      <c r="X175" s="36"/>
      <c r="Y175" s="36"/>
      <c r="Z175" s="36"/>
    </row>
    <row r="176" spans="1:26" ht="14">
      <c r="A176" s="13">
        <v>41912</v>
      </c>
      <c r="B176" s="64" t="s">
        <v>157</v>
      </c>
      <c r="C176" s="168">
        <v>2014</v>
      </c>
      <c r="D176" s="65">
        <v>8</v>
      </c>
      <c r="E176" s="3" t="s">
        <v>216</v>
      </c>
      <c r="F176" s="3" t="s">
        <v>217</v>
      </c>
      <c r="G176" s="3"/>
      <c r="H176" s="3"/>
      <c r="I176" s="3"/>
      <c r="J176" s="3" t="s">
        <v>219</v>
      </c>
      <c r="K176" s="3"/>
      <c r="L176" s="3">
        <v>1</v>
      </c>
      <c r="M176" s="36" t="s">
        <v>229</v>
      </c>
      <c r="N176" s="3" t="s">
        <v>219</v>
      </c>
      <c r="O176" s="3">
        <v>217</v>
      </c>
      <c r="P176" s="36">
        <v>0.46067485768610789</v>
      </c>
      <c r="Q176" s="36">
        <v>250</v>
      </c>
      <c r="R176" s="3"/>
      <c r="S176" s="3"/>
      <c r="T176" s="36"/>
      <c r="U176" s="36"/>
      <c r="V176" s="36"/>
      <c r="W176" s="36"/>
      <c r="X176" s="36"/>
      <c r="Y176" s="36"/>
      <c r="Z176" s="36"/>
    </row>
    <row r="177" spans="1:26" ht="14">
      <c r="A177" s="13">
        <v>41851</v>
      </c>
      <c r="B177" s="64" t="s">
        <v>154</v>
      </c>
      <c r="C177" s="168">
        <v>2014</v>
      </c>
      <c r="D177" s="65">
        <v>4</v>
      </c>
      <c r="E177" s="51" t="s">
        <v>216</v>
      </c>
      <c r="F177" s="51" t="s">
        <v>217</v>
      </c>
      <c r="G177" s="51"/>
      <c r="H177" s="51"/>
      <c r="I177" s="51"/>
      <c r="J177" s="3" t="s">
        <v>219</v>
      </c>
      <c r="K177" s="3"/>
      <c r="L177" s="3">
        <v>3</v>
      </c>
      <c r="M177" s="36" t="s">
        <v>229</v>
      </c>
      <c r="N177" s="3" t="s">
        <v>219</v>
      </c>
      <c r="O177" s="3">
        <v>188</v>
      </c>
      <c r="P177" s="65">
        <v>1.5538846035074569</v>
      </c>
      <c r="Q177" s="3">
        <v>250</v>
      </c>
      <c r="R177" s="3" t="s">
        <v>498</v>
      </c>
      <c r="S177" s="3"/>
      <c r="T177" s="36"/>
      <c r="U177" s="36"/>
      <c r="V177" s="36"/>
      <c r="W177" s="36"/>
      <c r="X177" s="36"/>
      <c r="Y177" s="36"/>
      <c r="Z177" s="36"/>
    </row>
    <row r="178" spans="1:26" ht="14">
      <c r="A178" s="35">
        <v>41761</v>
      </c>
      <c r="B178" s="64" t="s">
        <v>144</v>
      </c>
      <c r="C178" s="168">
        <v>2014</v>
      </c>
      <c r="D178" s="65">
        <v>2</v>
      </c>
      <c r="E178" s="65" t="s">
        <v>216</v>
      </c>
      <c r="F178" s="65" t="s">
        <v>217</v>
      </c>
      <c r="G178" s="65"/>
      <c r="H178" s="65"/>
      <c r="I178" s="65"/>
      <c r="J178" s="36" t="s">
        <v>647</v>
      </c>
      <c r="K178" s="36"/>
      <c r="L178" s="36">
        <v>4</v>
      </c>
      <c r="M178" s="36" t="s">
        <v>229</v>
      </c>
      <c r="N178" s="36" t="s">
        <v>219</v>
      </c>
      <c r="O178" s="36">
        <v>29</v>
      </c>
      <c r="P178" s="36">
        <v>13.706424161517747</v>
      </c>
      <c r="Q178" s="65">
        <v>250</v>
      </c>
      <c r="R178" s="65"/>
      <c r="S178" s="65"/>
      <c r="T178" s="65"/>
      <c r="U178" s="36"/>
      <c r="V178" s="36"/>
      <c r="W178" s="36"/>
      <c r="X178" s="36"/>
      <c r="Y178" s="36"/>
      <c r="Z178" s="36"/>
    </row>
    <row r="179" spans="1:26" ht="14">
      <c r="A179" s="71">
        <v>41761</v>
      </c>
      <c r="B179" s="64" t="s">
        <v>144</v>
      </c>
      <c r="C179" s="168">
        <v>2014</v>
      </c>
      <c r="D179" s="65">
        <v>4</v>
      </c>
      <c r="E179" s="3" t="s">
        <v>216</v>
      </c>
      <c r="F179" s="3" t="s">
        <v>217</v>
      </c>
      <c r="G179" s="3"/>
      <c r="H179" s="3"/>
      <c r="I179" s="3"/>
      <c r="J179" s="3" t="s">
        <v>647</v>
      </c>
      <c r="K179" s="3"/>
      <c r="L179" s="3">
        <v>106</v>
      </c>
      <c r="M179" s="36" t="s">
        <v>229</v>
      </c>
      <c r="N179" s="3" t="s">
        <v>219</v>
      </c>
      <c r="O179" s="3">
        <v>256</v>
      </c>
      <c r="P179" s="36">
        <v>40.41693853252977</v>
      </c>
      <c r="Q179" s="36">
        <v>250</v>
      </c>
      <c r="R179" s="3"/>
      <c r="S179" s="3"/>
      <c r="T179" s="36"/>
      <c r="U179" s="36"/>
      <c r="V179" s="36"/>
      <c r="W179" s="36"/>
      <c r="X179" s="36"/>
      <c r="Y179" s="36"/>
      <c r="Z179" s="36"/>
    </row>
    <row r="180" spans="1:26" ht="14">
      <c r="A180" s="13">
        <v>41761</v>
      </c>
      <c r="B180" s="64" t="s">
        <v>144</v>
      </c>
      <c r="C180" s="168">
        <v>2014</v>
      </c>
      <c r="D180" s="65">
        <v>5</v>
      </c>
      <c r="E180" s="3" t="s">
        <v>216</v>
      </c>
      <c r="F180" s="3" t="s">
        <v>217</v>
      </c>
      <c r="G180" s="3"/>
      <c r="H180" s="3"/>
      <c r="I180" s="3"/>
      <c r="J180" s="3" t="s">
        <v>647</v>
      </c>
      <c r="K180" s="3"/>
      <c r="L180" s="3">
        <v>195</v>
      </c>
      <c r="M180" s="36" t="s">
        <v>229</v>
      </c>
      <c r="N180" s="3" t="s">
        <v>219</v>
      </c>
      <c r="O180" s="3">
        <v>300</v>
      </c>
      <c r="P180" s="65">
        <v>64.864657937956579</v>
      </c>
      <c r="Q180" s="36">
        <v>250</v>
      </c>
      <c r="R180" s="3"/>
      <c r="S180" s="3"/>
      <c r="T180" s="36"/>
      <c r="U180" s="36"/>
      <c r="V180" s="36"/>
      <c r="W180" s="36"/>
      <c r="X180" s="36"/>
      <c r="Y180" s="36"/>
      <c r="Z180" s="36"/>
    </row>
    <row r="181" spans="1:26" ht="14">
      <c r="A181" s="13">
        <v>41761</v>
      </c>
      <c r="B181" s="64" t="s">
        <v>144</v>
      </c>
      <c r="C181" s="168">
        <v>2014</v>
      </c>
      <c r="D181" s="65">
        <v>8</v>
      </c>
      <c r="E181" s="51" t="s">
        <v>216</v>
      </c>
      <c r="F181" s="51" t="s">
        <v>217</v>
      </c>
      <c r="G181" s="51"/>
      <c r="H181" s="51"/>
      <c r="I181" s="51"/>
      <c r="J181" s="51" t="s">
        <v>647</v>
      </c>
      <c r="K181" s="3"/>
      <c r="L181" s="3">
        <v>76</v>
      </c>
      <c r="M181" s="36" t="s">
        <v>229</v>
      </c>
      <c r="N181" s="3" t="s">
        <v>219</v>
      </c>
      <c r="O181" s="3">
        <v>129</v>
      </c>
      <c r="P181" s="36">
        <v>58.760781776083363</v>
      </c>
      <c r="Q181" s="65">
        <v>250</v>
      </c>
      <c r="R181" s="51"/>
      <c r="S181" s="51"/>
      <c r="T181" s="65"/>
      <c r="U181" s="36"/>
      <c r="V181" s="36"/>
      <c r="W181" s="36"/>
      <c r="X181" s="36"/>
      <c r="Y181" s="36"/>
      <c r="Z181" s="36"/>
    </row>
    <row r="182" spans="1:26" ht="14">
      <c r="A182" s="13">
        <v>41422</v>
      </c>
      <c r="B182" s="64" t="s">
        <v>144</v>
      </c>
      <c r="C182" s="168">
        <v>2013</v>
      </c>
      <c r="D182" s="51">
        <v>2</v>
      </c>
      <c r="E182" s="51" t="s">
        <v>216</v>
      </c>
      <c r="F182" s="51" t="s">
        <v>217</v>
      </c>
      <c r="G182" s="51"/>
      <c r="H182" s="51"/>
      <c r="I182" s="51"/>
      <c r="J182" s="3" t="s">
        <v>220</v>
      </c>
      <c r="K182" s="3"/>
      <c r="L182" s="3">
        <v>5</v>
      </c>
      <c r="M182" s="36" t="s">
        <v>229</v>
      </c>
      <c r="N182" s="3" t="s">
        <v>219</v>
      </c>
      <c r="O182" s="3">
        <v>40</v>
      </c>
      <c r="P182" s="65">
        <v>12.494099614633303</v>
      </c>
      <c r="Q182" s="3">
        <v>250</v>
      </c>
      <c r="R182" s="3" t="s">
        <v>222</v>
      </c>
      <c r="S182" s="3"/>
      <c r="T182" s="36"/>
      <c r="U182" s="36"/>
      <c r="V182" s="36"/>
      <c r="W182" s="36"/>
      <c r="X182" s="36"/>
      <c r="Y182" s="36"/>
      <c r="Z182" s="36"/>
    </row>
    <row r="183" spans="1:26" ht="14">
      <c r="A183" s="71">
        <v>41422</v>
      </c>
      <c r="B183" s="64" t="s">
        <v>144</v>
      </c>
      <c r="C183" s="168">
        <v>2013</v>
      </c>
      <c r="D183" s="51">
        <v>4</v>
      </c>
      <c r="E183" s="3" t="s">
        <v>216</v>
      </c>
      <c r="F183" s="3" t="s">
        <v>217</v>
      </c>
      <c r="G183" s="3"/>
      <c r="H183" s="3"/>
      <c r="I183" s="3"/>
      <c r="J183" s="3" t="s">
        <v>219</v>
      </c>
      <c r="K183" s="3"/>
      <c r="L183" s="3">
        <v>9</v>
      </c>
      <c r="M183" s="36" t="s">
        <v>229</v>
      </c>
      <c r="N183" s="3" t="s">
        <v>219</v>
      </c>
      <c r="O183" s="3">
        <v>106</v>
      </c>
      <c r="P183" s="36">
        <v>8.4780416013693287</v>
      </c>
      <c r="Q183" s="3">
        <v>250</v>
      </c>
      <c r="R183" s="3" t="s">
        <v>222</v>
      </c>
      <c r="S183" s="3"/>
      <c r="T183" s="36"/>
      <c r="U183" s="36"/>
      <c r="V183" s="36"/>
      <c r="W183" s="36"/>
      <c r="X183" s="36"/>
      <c r="Y183" s="36"/>
      <c r="Z183" s="36"/>
    </row>
    <row r="184" spans="1:26" ht="14">
      <c r="A184" s="13">
        <v>41422</v>
      </c>
      <c r="B184" s="64" t="s">
        <v>144</v>
      </c>
      <c r="C184" s="168">
        <v>2013</v>
      </c>
      <c r="D184" s="51">
        <v>5</v>
      </c>
      <c r="E184" s="3" t="s">
        <v>216</v>
      </c>
      <c r="F184" s="3" t="s">
        <v>217</v>
      </c>
      <c r="G184" s="3"/>
      <c r="H184" s="3"/>
      <c r="I184" s="3"/>
      <c r="J184" s="3" t="s">
        <v>219</v>
      </c>
      <c r="K184" s="3"/>
      <c r="L184" s="3">
        <v>3</v>
      </c>
      <c r="M184" s="36" t="s">
        <v>229</v>
      </c>
      <c r="N184" s="3" t="s">
        <v>219</v>
      </c>
      <c r="O184" s="3">
        <v>120</v>
      </c>
      <c r="P184" s="36">
        <v>2.5000000000000004</v>
      </c>
      <c r="Q184" s="3">
        <v>250</v>
      </c>
      <c r="R184" s="3"/>
      <c r="S184" s="3"/>
      <c r="T184" s="36"/>
      <c r="U184" s="36"/>
      <c r="V184" s="36"/>
      <c r="W184" s="36"/>
      <c r="X184" s="36"/>
      <c r="Y184" s="36"/>
      <c r="Z184" s="36"/>
    </row>
    <row r="185" spans="1:26" ht="14">
      <c r="A185" s="35">
        <v>41422</v>
      </c>
      <c r="B185" s="35" t="s">
        <v>144</v>
      </c>
      <c r="C185" s="168">
        <v>2013</v>
      </c>
      <c r="D185" s="65">
        <v>8</v>
      </c>
      <c r="E185" s="65" t="s">
        <v>216</v>
      </c>
      <c r="F185" s="65" t="s">
        <v>217</v>
      </c>
      <c r="G185" s="65"/>
      <c r="H185" s="65"/>
      <c r="I185" s="65"/>
      <c r="J185" s="36"/>
      <c r="K185" s="36"/>
      <c r="L185" s="36">
        <v>8</v>
      </c>
      <c r="M185" s="36" t="s">
        <v>533</v>
      </c>
      <c r="N185" s="36" t="s">
        <v>219</v>
      </c>
      <c r="O185" s="36">
        <v>89</v>
      </c>
      <c r="P185" s="36">
        <v>8.986478788649281</v>
      </c>
      <c r="Q185" s="36">
        <v>250</v>
      </c>
      <c r="R185" s="36" t="s">
        <v>222</v>
      </c>
      <c r="S185" s="36"/>
      <c r="T185" s="36"/>
      <c r="U185" s="36"/>
      <c r="V185" s="36"/>
      <c r="W185" s="36"/>
      <c r="X185" s="36"/>
      <c r="Y185" s="36"/>
      <c r="Z185" s="36"/>
    </row>
    <row r="186" spans="1:26" ht="14">
      <c r="A186" s="35">
        <v>42571</v>
      </c>
      <c r="B186" s="35" t="s">
        <v>154</v>
      </c>
      <c r="C186" s="168">
        <v>2016</v>
      </c>
      <c r="D186" s="65">
        <v>2</v>
      </c>
      <c r="E186" s="36" t="s">
        <v>323</v>
      </c>
      <c r="F186" s="36" t="s">
        <v>324</v>
      </c>
      <c r="G186" s="36"/>
      <c r="H186" s="36" t="s">
        <v>560</v>
      </c>
      <c r="I186" s="36" t="s">
        <v>561</v>
      </c>
      <c r="J186" s="36" t="s">
        <v>562</v>
      </c>
      <c r="K186" s="36"/>
      <c r="L186" s="36">
        <v>1</v>
      </c>
      <c r="M186" s="36" t="s">
        <v>229</v>
      </c>
      <c r="N186" s="36" t="s">
        <v>563</v>
      </c>
      <c r="O186" s="36">
        <v>5</v>
      </c>
      <c r="P186" s="36">
        <v>1.9697033048130049E-3</v>
      </c>
      <c r="Q186" s="36">
        <v>1000</v>
      </c>
      <c r="R186" s="36"/>
      <c r="S186" s="36"/>
      <c r="T186" s="36"/>
      <c r="U186" s="36"/>
      <c r="V186" s="36"/>
      <c r="W186" s="36"/>
      <c r="X186" s="36"/>
      <c r="Y186" s="36"/>
      <c r="Z186" s="36"/>
    </row>
    <row r="187" spans="1:26" ht="14">
      <c r="A187" s="13">
        <v>42515</v>
      </c>
      <c r="B187" s="35" t="s">
        <v>144</v>
      </c>
      <c r="C187" s="168">
        <v>2016</v>
      </c>
      <c r="D187" s="51">
        <v>5</v>
      </c>
      <c r="E187" s="51" t="s">
        <v>223</v>
      </c>
      <c r="F187" s="51" t="s">
        <v>224</v>
      </c>
      <c r="G187" s="51" t="s">
        <v>225</v>
      </c>
      <c r="H187" s="51" t="s">
        <v>226</v>
      </c>
      <c r="I187" s="51" t="s">
        <v>253</v>
      </c>
      <c r="J187" s="3" t="s">
        <v>254</v>
      </c>
      <c r="K187" s="3"/>
      <c r="L187" s="3">
        <v>1</v>
      </c>
      <c r="M187" s="3"/>
      <c r="N187" s="3" t="s">
        <v>254</v>
      </c>
      <c r="O187" s="3">
        <v>214</v>
      </c>
      <c r="P187" s="65">
        <v>0.46706439191198268</v>
      </c>
      <c r="Q187" s="36">
        <v>250</v>
      </c>
      <c r="R187" s="3"/>
      <c r="S187" s="3"/>
      <c r="T187" s="36"/>
      <c r="U187" s="36"/>
      <c r="V187" s="36"/>
      <c r="W187" s="36"/>
      <c r="X187" s="36"/>
      <c r="Y187" s="36"/>
      <c r="Z187" s="36"/>
    </row>
    <row r="188" spans="1:26" ht="14">
      <c r="A188" s="13">
        <v>41542</v>
      </c>
      <c r="B188" s="72" t="s">
        <v>157</v>
      </c>
      <c r="C188" s="168">
        <v>2013</v>
      </c>
      <c r="D188" s="51">
        <v>4</v>
      </c>
      <c r="E188" s="51" t="s">
        <v>223</v>
      </c>
      <c r="F188" s="51" t="s">
        <v>224</v>
      </c>
      <c r="G188" s="51" t="s">
        <v>225</v>
      </c>
      <c r="H188" s="51" t="s">
        <v>226</v>
      </c>
      <c r="I188" s="51" t="s">
        <v>253</v>
      </c>
      <c r="J188" s="3" t="s">
        <v>254</v>
      </c>
      <c r="K188" s="3"/>
      <c r="L188" s="3">
        <v>2</v>
      </c>
      <c r="M188" s="3"/>
      <c r="N188" s="3" t="s">
        <v>254</v>
      </c>
      <c r="O188" s="3">
        <v>159</v>
      </c>
      <c r="P188" s="36">
        <v>1.2441246764584237</v>
      </c>
      <c r="Q188" s="3">
        <v>250</v>
      </c>
      <c r="R188" s="3"/>
      <c r="S188" s="3"/>
      <c r="T188" s="36"/>
      <c r="U188" s="36"/>
      <c r="V188" s="36"/>
      <c r="W188" s="36"/>
      <c r="X188" s="36"/>
      <c r="Y188" s="36"/>
      <c r="Z188" s="36"/>
    </row>
    <row r="189" spans="1:26" ht="14">
      <c r="A189" s="71">
        <v>41422</v>
      </c>
      <c r="B189" s="72" t="s">
        <v>144</v>
      </c>
      <c r="C189" s="168">
        <v>2013</v>
      </c>
      <c r="D189" s="51">
        <v>2</v>
      </c>
      <c r="E189" s="51" t="s">
        <v>223</v>
      </c>
      <c r="F189" s="51" t="s">
        <v>224</v>
      </c>
      <c r="G189" s="51" t="s">
        <v>225</v>
      </c>
      <c r="H189" s="51" t="s">
        <v>226</v>
      </c>
      <c r="I189" s="51" t="s">
        <v>253</v>
      </c>
      <c r="J189" s="3" t="s">
        <v>254</v>
      </c>
      <c r="K189" s="3"/>
      <c r="L189" s="3">
        <v>1</v>
      </c>
      <c r="M189" s="3" t="s">
        <v>229</v>
      </c>
      <c r="N189" s="3" t="s">
        <v>254</v>
      </c>
      <c r="O189" s="3">
        <v>40</v>
      </c>
      <c r="P189" s="65">
        <v>2.498819922926661</v>
      </c>
      <c r="Q189" s="3">
        <v>250</v>
      </c>
      <c r="R189" s="3" t="s">
        <v>255</v>
      </c>
      <c r="S189" s="3"/>
      <c r="T189" s="36"/>
      <c r="U189" s="36"/>
      <c r="V189" s="36"/>
      <c r="W189" s="36"/>
      <c r="X189" s="36"/>
      <c r="Y189" s="36"/>
      <c r="Z189" s="36"/>
    </row>
    <row r="190" spans="1:26" ht="14">
      <c r="A190" s="13">
        <v>42928</v>
      </c>
      <c r="B190" s="72" t="s">
        <v>154</v>
      </c>
      <c r="C190" s="168">
        <v>2017</v>
      </c>
      <c r="D190" s="65">
        <v>4</v>
      </c>
      <c r="E190" s="51" t="s">
        <v>223</v>
      </c>
      <c r="F190" s="51" t="s">
        <v>224</v>
      </c>
      <c r="G190" s="51" t="s">
        <v>225</v>
      </c>
      <c r="H190" s="51" t="s">
        <v>226</v>
      </c>
      <c r="I190" s="51" t="s">
        <v>355</v>
      </c>
      <c r="J190" s="3" t="s">
        <v>356</v>
      </c>
      <c r="K190" s="3"/>
      <c r="L190" s="3">
        <v>3</v>
      </c>
      <c r="M190" s="3" t="s">
        <v>229</v>
      </c>
      <c r="N190" s="3" t="s">
        <v>356</v>
      </c>
      <c r="O190" s="3">
        <v>225</v>
      </c>
      <c r="P190" s="36">
        <v>1.3279849219731015</v>
      </c>
      <c r="Q190" s="36">
        <v>250</v>
      </c>
      <c r="R190" s="3"/>
      <c r="S190" s="3"/>
      <c r="T190" s="36"/>
      <c r="U190" s="36"/>
      <c r="V190" s="36"/>
      <c r="W190" s="36"/>
      <c r="X190" s="36"/>
      <c r="Y190" s="36"/>
      <c r="Z190" s="36"/>
    </row>
    <row r="191" spans="1:26" ht="14">
      <c r="A191" s="13">
        <v>42928</v>
      </c>
      <c r="B191" s="72" t="s">
        <v>154</v>
      </c>
      <c r="C191" s="168">
        <v>2017</v>
      </c>
      <c r="D191" s="65">
        <v>8</v>
      </c>
      <c r="E191" s="51" t="s">
        <v>223</v>
      </c>
      <c r="F191" s="51" t="s">
        <v>224</v>
      </c>
      <c r="G191" s="51" t="s">
        <v>225</v>
      </c>
      <c r="H191" s="51" t="s">
        <v>226</v>
      </c>
      <c r="I191" s="51" t="s">
        <v>355</v>
      </c>
      <c r="J191" s="3" t="s">
        <v>356</v>
      </c>
      <c r="K191" s="3"/>
      <c r="L191" s="3">
        <v>2</v>
      </c>
      <c r="M191" s="3" t="s">
        <v>229</v>
      </c>
      <c r="N191" s="3" t="s">
        <v>356</v>
      </c>
      <c r="O191" s="3">
        <v>319</v>
      </c>
      <c r="P191" s="36">
        <v>0.6267215412026621</v>
      </c>
      <c r="Q191" s="36">
        <v>250</v>
      </c>
      <c r="R191" s="3"/>
      <c r="S191" s="3"/>
      <c r="T191" s="36"/>
      <c r="U191" s="36"/>
      <c r="V191" s="36"/>
      <c r="W191" s="36"/>
      <c r="X191" s="36"/>
      <c r="Y191" s="36"/>
      <c r="Z191" s="36"/>
    </row>
    <row r="192" spans="1:26" ht="14">
      <c r="A192" s="71">
        <v>42206</v>
      </c>
      <c r="B192" s="72" t="s">
        <v>154</v>
      </c>
      <c r="C192" s="168">
        <v>2015</v>
      </c>
      <c r="D192" s="65">
        <v>4</v>
      </c>
      <c r="E192" s="51" t="s">
        <v>223</v>
      </c>
      <c r="F192" s="51" t="s">
        <v>224</v>
      </c>
      <c r="G192" s="51" t="s">
        <v>225</v>
      </c>
      <c r="H192" s="51" t="s">
        <v>226</v>
      </c>
      <c r="I192" s="51" t="s">
        <v>355</v>
      </c>
      <c r="J192" s="3" t="s">
        <v>356</v>
      </c>
      <c r="K192" s="3"/>
      <c r="L192" s="3">
        <v>3</v>
      </c>
      <c r="M192" s="3" t="s">
        <v>229</v>
      </c>
      <c r="N192" s="36" t="s">
        <v>356</v>
      </c>
      <c r="O192" s="3">
        <v>273</v>
      </c>
      <c r="P192" s="65">
        <v>1.0841725575511627</v>
      </c>
      <c r="Q192" s="51">
        <v>250</v>
      </c>
      <c r="R192" s="51"/>
      <c r="S192" s="51"/>
      <c r="T192" s="65"/>
      <c r="U192" s="36"/>
      <c r="V192" s="36"/>
      <c r="W192" s="36"/>
      <c r="X192" s="36"/>
      <c r="Y192" s="36"/>
      <c r="Z192" s="36"/>
    </row>
    <row r="193" spans="1:26" ht="14">
      <c r="A193" s="71">
        <v>42206</v>
      </c>
      <c r="B193" s="35" t="s">
        <v>154</v>
      </c>
      <c r="C193" s="168">
        <v>2015</v>
      </c>
      <c r="D193" s="65">
        <v>5</v>
      </c>
      <c r="E193" s="65" t="s">
        <v>223</v>
      </c>
      <c r="F193" s="65" t="s">
        <v>224</v>
      </c>
      <c r="G193" s="65" t="s">
        <v>225</v>
      </c>
      <c r="H193" s="65" t="s">
        <v>226</v>
      </c>
      <c r="I193" s="65" t="s">
        <v>355</v>
      </c>
      <c r="J193" s="36" t="s">
        <v>356</v>
      </c>
      <c r="K193" s="36"/>
      <c r="L193" s="36">
        <v>1</v>
      </c>
      <c r="M193" s="36" t="s">
        <v>229</v>
      </c>
      <c r="N193" s="36" t="s">
        <v>356</v>
      </c>
      <c r="O193" s="3">
        <v>251</v>
      </c>
      <c r="P193" s="65">
        <v>0.3983156294006901</v>
      </c>
      <c r="Q193" s="36">
        <v>250</v>
      </c>
      <c r="R193" s="3"/>
      <c r="S193" s="3"/>
      <c r="T193" s="36"/>
      <c r="U193" s="36"/>
      <c r="V193" s="36"/>
      <c r="W193" s="36"/>
      <c r="X193" s="36"/>
      <c r="Y193" s="36"/>
      <c r="Z193" s="36"/>
    </row>
    <row r="194" spans="1:26" ht="14">
      <c r="A194" s="35">
        <v>42144</v>
      </c>
      <c r="B194" s="72" t="s">
        <v>144</v>
      </c>
      <c r="C194" s="168">
        <v>2015</v>
      </c>
      <c r="D194" s="65">
        <v>4</v>
      </c>
      <c r="E194" s="65" t="s">
        <v>223</v>
      </c>
      <c r="F194" s="65" t="s">
        <v>224</v>
      </c>
      <c r="G194" s="65" t="s">
        <v>225</v>
      </c>
      <c r="H194" s="65" t="s">
        <v>226</v>
      </c>
      <c r="I194" s="65" t="s">
        <v>355</v>
      </c>
      <c r="J194" s="36" t="s">
        <v>356</v>
      </c>
      <c r="K194" s="36"/>
      <c r="L194" s="36">
        <v>1</v>
      </c>
      <c r="M194" s="36" t="s">
        <v>229</v>
      </c>
      <c r="N194" s="36" t="s">
        <v>356</v>
      </c>
      <c r="O194" s="36">
        <v>229</v>
      </c>
      <c r="P194" s="65">
        <v>0.43629167816834835</v>
      </c>
      <c r="Q194" s="36">
        <v>250</v>
      </c>
      <c r="R194" s="36"/>
      <c r="S194" s="36"/>
      <c r="T194" s="36"/>
      <c r="U194" s="36"/>
      <c r="V194" s="36"/>
      <c r="W194" s="36"/>
      <c r="X194" s="36"/>
      <c r="Y194" s="36"/>
      <c r="Z194" s="36"/>
    </row>
    <row r="195" spans="1:26" ht="14">
      <c r="A195" s="71">
        <v>41912</v>
      </c>
      <c r="B195" s="35" t="s">
        <v>157</v>
      </c>
      <c r="C195" s="168">
        <v>2014</v>
      </c>
      <c r="D195" s="65">
        <v>4</v>
      </c>
      <c r="E195" s="51" t="s">
        <v>223</v>
      </c>
      <c r="F195" s="51" t="s">
        <v>224</v>
      </c>
      <c r="G195" s="51" t="s">
        <v>225</v>
      </c>
      <c r="H195" s="51" t="s">
        <v>226</v>
      </c>
      <c r="I195" s="51" t="s">
        <v>355</v>
      </c>
      <c r="J195" s="3" t="s">
        <v>356</v>
      </c>
      <c r="K195" s="3"/>
      <c r="L195" s="51">
        <v>2</v>
      </c>
      <c r="M195" s="51" t="s">
        <v>229</v>
      </c>
      <c r="N195" s="51" t="s">
        <v>356</v>
      </c>
      <c r="O195" s="3">
        <v>237</v>
      </c>
      <c r="P195" s="36">
        <v>0.84219179923612442</v>
      </c>
      <c r="Q195" s="51">
        <v>250</v>
      </c>
      <c r="R195" s="51"/>
      <c r="S195" s="51"/>
      <c r="T195" s="65"/>
      <c r="U195" s="36"/>
      <c r="V195" s="36"/>
      <c r="W195" s="36"/>
      <c r="X195" s="36"/>
      <c r="Y195" s="36"/>
      <c r="Z195" s="36"/>
    </row>
    <row r="196" spans="1:26" ht="14">
      <c r="A196" s="13">
        <v>41542</v>
      </c>
      <c r="B196" s="72" t="s">
        <v>157</v>
      </c>
      <c r="C196" s="168">
        <v>2013</v>
      </c>
      <c r="D196" s="51">
        <v>2</v>
      </c>
      <c r="E196" s="51" t="s">
        <v>223</v>
      </c>
      <c r="F196" s="51" t="s">
        <v>224</v>
      </c>
      <c r="G196" s="51" t="s">
        <v>225</v>
      </c>
      <c r="H196" s="51" t="s">
        <v>226</v>
      </c>
      <c r="I196" s="51" t="s">
        <v>355</v>
      </c>
      <c r="J196" s="3" t="s">
        <v>356</v>
      </c>
      <c r="K196" s="3"/>
      <c r="L196" s="3">
        <v>1</v>
      </c>
      <c r="M196" s="3"/>
      <c r="N196" s="3" t="s">
        <v>356</v>
      </c>
      <c r="O196" s="3">
        <v>110</v>
      </c>
      <c r="P196" s="36">
        <v>0.90090212217539389</v>
      </c>
      <c r="Q196" s="3">
        <v>250</v>
      </c>
      <c r="R196" s="3"/>
      <c r="S196" s="3"/>
      <c r="T196" s="36"/>
      <c r="U196" s="36"/>
      <c r="V196" s="36"/>
      <c r="W196" s="36"/>
      <c r="X196" s="36"/>
      <c r="Y196" s="36"/>
      <c r="Z196" s="36"/>
    </row>
    <row r="197" spans="1:26" ht="14">
      <c r="A197" s="35">
        <v>42263</v>
      </c>
      <c r="B197" s="35" t="s">
        <v>157</v>
      </c>
      <c r="C197" s="168">
        <v>2015</v>
      </c>
      <c r="D197" s="76">
        <v>4</v>
      </c>
      <c r="E197" s="36" t="s">
        <v>223</v>
      </c>
      <c r="F197" s="36" t="s">
        <v>576</v>
      </c>
      <c r="G197" s="36"/>
      <c r="H197" s="36"/>
      <c r="I197" s="65"/>
      <c r="J197" s="65"/>
      <c r="K197" s="36"/>
      <c r="L197" s="36">
        <v>1</v>
      </c>
      <c r="M197" s="36" t="s">
        <v>221</v>
      </c>
      <c r="N197" s="36" t="s">
        <v>577</v>
      </c>
      <c r="O197" s="36">
        <v>36</v>
      </c>
      <c r="P197" s="36">
        <v>4.8371293979212306E-3</v>
      </c>
      <c r="Q197" s="65">
        <v>1000</v>
      </c>
      <c r="R197" s="65"/>
      <c r="S197" s="65"/>
      <c r="T197" s="65"/>
      <c r="U197" s="36"/>
      <c r="V197" s="36"/>
      <c r="W197" s="36"/>
      <c r="X197" s="36"/>
      <c r="Y197" s="36"/>
      <c r="Z197" s="36"/>
    </row>
    <row r="198" spans="1:26" ht="14">
      <c r="A198" s="35">
        <v>41912</v>
      </c>
      <c r="B198" s="35" t="s">
        <v>157</v>
      </c>
      <c r="C198" s="168">
        <v>2014</v>
      </c>
      <c r="D198" s="76">
        <v>5</v>
      </c>
      <c r="E198" s="36" t="s">
        <v>223</v>
      </c>
      <c r="F198" s="36" t="s">
        <v>576</v>
      </c>
      <c r="G198" s="36"/>
      <c r="H198" s="36"/>
      <c r="I198" s="36"/>
      <c r="J198" s="36"/>
      <c r="K198" s="36"/>
      <c r="L198" s="36">
        <v>2</v>
      </c>
      <c r="M198" s="36" t="s">
        <v>221</v>
      </c>
      <c r="N198" s="36" t="s">
        <v>577</v>
      </c>
      <c r="O198" s="36">
        <v>176</v>
      </c>
      <c r="P198" s="36">
        <v>2.2302582108311301E-3</v>
      </c>
      <c r="Q198" s="36">
        <v>1000</v>
      </c>
      <c r="R198" s="36"/>
      <c r="S198" s="36"/>
      <c r="T198" s="36"/>
      <c r="U198" s="36"/>
      <c r="V198" s="36"/>
      <c r="W198" s="36"/>
      <c r="X198" s="36"/>
      <c r="Y198" s="36"/>
      <c r="Z198" s="36"/>
    </row>
    <row r="199" spans="1:26" ht="14">
      <c r="A199" s="13">
        <v>43019</v>
      </c>
      <c r="B199" s="72" t="s">
        <v>159</v>
      </c>
      <c r="C199" s="168">
        <v>2017</v>
      </c>
      <c r="D199" s="65">
        <v>4</v>
      </c>
      <c r="E199" s="3" t="s">
        <v>223</v>
      </c>
      <c r="F199" s="3" t="s">
        <v>224</v>
      </c>
      <c r="G199" s="3" t="s">
        <v>225</v>
      </c>
      <c r="H199" s="3" t="s">
        <v>248</v>
      </c>
      <c r="I199" s="3" t="s">
        <v>249</v>
      </c>
      <c r="J199" s="3" t="s">
        <v>250</v>
      </c>
      <c r="K199" s="3"/>
      <c r="L199" s="3">
        <v>1</v>
      </c>
      <c r="M199" s="3" t="s">
        <v>229</v>
      </c>
      <c r="N199" s="3" t="s">
        <v>250</v>
      </c>
      <c r="O199" s="3">
        <v>248</v>
      </c>
      <c r="P199" s="36">
        <v>0.39778684516998364</v>
      </c>
      <c r="Q199" s="36">
        <v>250</v>
      </c>
      <c r="R199" s="3"/>
      <c r="S199" s="3"/>
      <c r="T199" s="36"/>
      <c r="U199" s="36"/>
      <c r="V199" s="36"/>
      <c r="W199" s="36"/>
      <c r="X199" s="36"/>
      <c r="Y199" s="36"/>
      <c r="Z199" s="36"/>
    </row>
    <row r="200" spans="1:26" ht="14">
      <c r="A200" s="71">
        <v>43019</v>
      </c>
      <c r="B200" s="72" t="s">
        <v>159</v>
      </c>
      <c r="C200" s="168">
        <v>2017</v>
      </c>
      <c r="D200" s="65">
        <v>5</v>
      </c>
      <c r="E200" s="3" t="s">
        <v>223</v>
      </c>
      <c r="F200" s="3" t="s">
        <v>224</v>
      </c>
      <c r="G200" s="3" t="s">
        <v>225</v>
      </c>
      <c r="H200" s="3" t="s">
        <v>248</v>
      </c>
      <c r="I200" s="3" t="s">
        <v>249</v>
      </c>
      <c r="J200" s="3" t="s">
        <v>250</v>
      </c>
      <c r="K200" s="3"/>
      <c r="L200" s="3">
        <v>7</v>
      </c>
      <c r="M200" s="3" t="s">
        <v>229</v>
      </c>
      <c r="N200" s="3" t="s">
        <v>250</v>
      </c>
      <c r="O200" s="3">
        <v>255</v>
      </c>
      <c r="P200" s="36">
        <v>2.7444893855065864</v>
      </c>
      <c r="Q200" s="3">
        <v>250</v>
      </c>
      <c r="R200" s="3"/>
      <c r="S200" s="3"/>
      <c r="T200" s="36"/>
      <c r="U200" s="36"/>
      <c r="V200" s="36"/>
      <c r="W200" s="36"/>
      <c r="X200" s="36"/>
      <c r="Y200" s="36"/>
      <c r="Z200" s="36"/>
    </row>
    <row r="201" spans="1:26" ht="14">
      <c r="A201" s="13">
        <v>43019</v>
      </c>
      <c r="B201" s="35" t="s">
        <v>159</v>
      </c>
      <c r="C201" s="168">
        <v>2017</v>
      </c>
      <c r="D201" s="65">
        <v>8</v>
      </c>
      <c r="E201" s="3" t="s">
        <v>223</v>
      </c>
      <c r="F201" s="3" t="s">
        <v>224</v>
      </c>
      <c r="G201" s="3" t="s">
        <v>225</v>
      </c>
      <c r="H201" s="3" t="s">
        <v>248</v>
      </c>
      <c r="I201" s="3" t="s">
        <v>249</v>
      </c>
      <c r="J201" s="3" t="s">
        <v>250</v>
      </c>
      <c r="K201" s="3"/>
      <c r="L201" s="3">
        <v>12</v>
      </c>
      <c r="M201" s="3" t="s">
        <v>229</v>
      </c>
      <c r="N201" s="3" t="s">
        <v>250</v>
      </c>
      <c r="O201" s="3">
        <v>288</v>
      </c>
      <c r="P201" s="36">
        <v>4.0033257745117563</v>
      </c>
      <c r="Q201" s="3">
        <v>250</v>
      </c>
      <c r="R201" s="3"/>
      <c r="S201" s="3"/>
      <c r="T201" s="36"/>
      <c r="U201" s="36"/>
      <c r="V201" s="36"/>
      <c r="W201" s="36"/>
      <c r="X201" s="36"/>
      <c r="Y201" s="36"/>
      <c r="Z201" s="36"/>
    </row>
    <row r="202" spans="1:26" ht="14">
      <c r="A202" s="13">
        <v>42928</v>
      </c>
      <c r="B202" s="72" t="s">
        <v>154</v>
      </c>
      <c r="C202" s="168">
        <v>2017</v>
      </c>
      <c r="D202" s="65">
        <v>4</v>
      </c>
      <c r="E202" s="3" t="s">
        <v>223</v>
      </c>
      <c r="F202" s="3" t="s">
        <v>224</v>
      </c>
      <c r="G202" s="3" t="s">
        <v>225</v>
      </c>
      <c r="H202" s="3" t="s">
        <v>248</v>
      </c>
      <c r="I202" s="3" t="s">
        <v>249</v>
      </c>
      <c r="J202" s="3" t="s">
        <v>250</v>
      </c>
      <c r="K202" s="3"/>
      <c r="L202" s="3">
        <v>1</v>
      </c>
      <c r="M202" s="3" t="s">
        <v>229</v>
      </c>
      <c r="N202" s="3" t="s">
        <v>250</v>
      </c>
      <c r="O202" s="3">
        <v>225</v>
      </c>
      <c r="P202" s="36">
        <v>0.44266164065770053</v>
      </c>
      <c r="Q202" s="36">
        <v>250</v>
      </c>
      <c r="R202" s="3"/>
      <c r="S202" s="3"/>
      <c r="T202" s="36"/>
      <c r="U202" s="36"/>
      <c r="V202" s="36"/>
      <c r="W202" s="36"/>
      <c r="X202" s="36"/>
      <c r="Y202" s="36"/>
      <c r="Z202" s="36"/>
    </row>
    <row r="203" spans="1:26" ht="14">
      <c r="A203" s="35">
        <v>42928</v>
      </c>
      <c r="B203" s="72" t="s">
        <v>154</v>
      </c>
      <c r="C203" s="168">
        <v>2017</v>
      </c>
      <c r="D203" s="65">
        <v>5</v>
      </c>
      <c r="E203" s="36" t="s">
        <v>223</v>
      </c>
      <c r="F203" s="36" t="s">
        <v>224</v>
      </c>
      <c r="G203" s="36" t="s">
        <v>225</v>
      </c>
      <c r="H203" s="36" t="s">
        <v>248</v>
      </c>
      <c r="I203" s="65" t="s">
        <v>249</v>
      </c>
      <c r="J203" s="65" t="s">
        <v>250</v>
      </c>
      <c r="K203" s="36"/>
      <c r="L203" s="36">
        <v>17</v>
      </c>
      <c r="M203" s="36" t="s">
        <v>229</v>
      </c>
      <c r="N203" s="36" t="s">
        <v>250</v>
      </c>
      <c r="O203" s="36">
        <v>385</v>
      </c>
      <c r="P203" s="36">
        <v>4.4136494215937141</v>
      </c>
      <c r="Q203" s="65">
        <v>250</v>
      </c>
      <c r="R203" s="65"/>
      <c r="S203" s="65"/>
      <c r="T203" s="65"/>
      <c r="U203" s="36"/>
      <c r="V203" s="36"/>
      <c r="W203" s="36"/>
      <c r="X203" s="36"/>
      <c r="Y203" s="36"/>
      <c r="Z203" s="36"/>
    </row>
    <row r="204" spans="1:26" ht="14">
      <c r="A204" s="13">
        <v>42867</v>
      </c>
      <c r="B204" s="72" t="s">
        <v>144</v>
      </c>
      <c r="C204" s="168">
        <v>2017</v>
      </c>
      <c r="D204" s="65">
        <v>4</v>
      </c>
      <c r="E204" s="3" t="s">
        <v>223</v>
      </c>
      <c r="F204" s="3" t="s">
        <v>224</v>
      </c>
      <c r="G204" s="3" t="s">
        <v>225</v>
      </c>
      <c r="H204" s="3" t="s">
        <v>248</v>
      </c>
      <c r="I204" s="3" t="s">
        <v>249</v>
      </c>
      <c r="J204" s="3" t="s">
        <v>250</v>
      </c>
      <c r="K204" s="3"/>
      <c r="L204" s="3">
        <v>14</v>
      </c>
      <c r="M204" s="3" t="s">
        <v>229</v>
      </c>
      <c r="N204" s="3" t="s">
        <v>250</v>
      </c>
      <c r="O204" s="3">
        <v>225</v>
      </c>
      <c r="P204" s="36">
        <v>6.1185613160239196</v>
      </c>
      <c r="Q204" s="3"/>
      <c r="R204" s="3"/>
      <c r="S204" s="3"/>
      <c r="T204" s="36"/>
      <c r="U204" s="36"/>
      <c r="V204" s="36"/>
      <c r="W204" s="36"/>
      <c r="X204" s="36"/>
      <c r="Y204" s="36"/>
      <c r="Z204" s="36"/>
    </row>
    <row r="205" spans="1:26" ht="14">
      <c r="A205" s="71">
        <v>42867</v>
      </c>
      <c r="B205" s="72" t="s">
        <v>144</v>
      </c>
      <c r="C205" s="168">
        <v>2017</v>
      </c>
      <c r="D205" s="65">
        <v>5</v>
      </c>
      <c r="E205" s="3" t="s">
        <v>223</v>
      </c>
      <c r="F205" s="3" t="s">
        <v>224</v>
      </c>
      <c r="G205" s="3" t="s">
        <v>225</v>
      </c>
      <c r="H205" s="3" t="s">
        <v>248</v>
      </c>
      <c r="I205" s="3" t="s">
        <v>249</v>
      </c>
      <c r="J205" s="3" t="s">
        <v>250</v>
      </c>
      <c r="K205" s="3"/>
      <c r="L205" s="3">
        <v>13</v>
      </c>
      <c r="M205" s="3" t="s">
        <v>229</v>
      </c>
      <c r="N205" s="3" t="s">
        <v>250</v>
      </c>
      <c r="O205" s="3">
        <v>222</v>
      </c>
      <c r="P205" s="36">
        <v>5.8539553691452424</v>
      </c>
      <c r="Q205" s="3"/>
      <c r="R205" s="3"/>
      <c r="S205" s="3"/>
      <c r="T205" s="36"/>
      <c r="U205" s="36"/>
      <c r="V205" s="36"/>
      <c r="W205" s="36"/>
      <c r="X205" s="36"/>
      <c r="Y205" s="36"/>
      <c r="Z205" s="36"/>
    </row>
    <row r="206" spans="1:26" ht="14">
      <c r="A206" s="13">
        <v>42867</v>
      </c>
      <c r="B206" s="72" t="s">
        <v>144</v>
      </c>
      <c r="C206" s="168">
        <v>2017</v>
      </c>
      <c r="D206" s="65">
        <v>8</v>
      </c>
      <c r="E206" s="3" t="s">
        <v>223</v>
      </c>
      <c r="F206" s="3" t="s">
        <v>224</v>
      </c>
      <c r="G206" s="3" t="s">
        <v>225</v>
      </c>
      <c r="H206" s="3" t="s">
        <v>248</v>
      </c>
      <c r="I206" s="3" t="s">
        <v>249</v>
      </c>
      <c r="J206" s="3" t="s">
        <v>250</v>
      </c>
      <c r="K206" s="3"/>
      <c r="L206" s="3">
        <v>28</v>
      </c>
      <c r="M206" s="3" t="s">
        <v>229</v>
      </c>
      <c r="N206" s="3" t="s">
        <v>250</v>
      </c>
      <c r="O206" s="3">
        <v>268</v>
      </c>
      <c r="P206" s="36">
        <v>10.429821843745678</v>
      </c>
      <c r="Q206" s="3"/>
      <c r="R206" s="3"/>
      <c r="S206" s="3"/>
      <c r="T206" s="36"/>
      <c r="U206" s="36"/>
      <c r="V206" s="36"/>
      <c r="W206" s="36"/>
      <c r="X206" s="36"/>
      <c r="Y206" s="36"/>
      <c r="Z206" s="36"/>
    </row>
    <row r="207" spans="1:26" ht="14">
      <c r="A207" s="35">
        <v>42634</v>
      </c>
      <c r="B207" s="35" t="s">
        <v>157</v>
      </c>
      <c r="C207" s="168">
        <v>2016</v>
      </c>
      <c r="D207" s="65">
        <v>8</v>
      </c>
      <c r="E207" s="36" t="s">
        <v>223</v>
      </c>
      <c r="F207" s="36" t="s">
        <v>224</v>
      </c>
      <c r="G207" s="36" t="s">
        <v>225</v>
      </c>
      <c r="H207" s="36" t="s">
        <v>248</v>
      </c>
      <c r="I207" s="36" t="s">
        <v>249</v>
      </c>
      <c r="J207" s="36" t="s">
        <v>250</v>
      </c>
      <c r="K207" s="36"/>
      <c r="L207" s="36">
        <v>1</v>
      </c>
      <c r="M207" s="3" t="s">
        <v>229</v>
      </c>
      <c r="N207" s="36" t="s">
        <v>250</v>
      </c>
      <c r="O207" s="36">
        <v>294</v>
      </c>
      <c r="P207" s="36">
        <v>0.31814856622833948</v>
      </c>
      <c r="Q207" s="3">
        <v>250</v>
      </c>
      <c r="R207" s="36"/>
      <c r="S207" s="36"/>
      <c r="T207" s="36"/>
      <c r="U207" s="36"/>
      <c r="V207" s="36"/>
      <c r="W207" s="36"/>
      <c r="X207" s="36"/>
      <c r="Y207" s="36"/>
      <c r="Z207" s="36"/>
    </row>
    <row r="208" spans="1:26" ht="14">
      <c r="A208" s="72">
        <v>42571</v>
      </c>
      <c r="B208" s="72" t="s">
        <v>154</v>
      </c>
      <c r="C208" s="168">
        <v>2016</v>
      </c>
      <c r="D208" s="65">
        <v>4</v>
      </c>
      <c r="E208" s="51" t="s">
        <v>223</v>
      </c>
      <c r="F208" s="51" t="s">
        <v>224</v>
      </c>
      <c r="G208" s="51" t="s">
        <v>225</v>
      </c>
      <c r="H208" s="51" t="s">
        <v>248</v>
      </c>
      <c r="I208" s="51" t="s">
        <v>249</v>
      </c>
      <c r="J208" s="51" t="s">
        <v>250</v>
      </c>
      <c r="K208" s="3"/>
      <c r="L208" s="36">
        <v>1</v>
      </c>
      <c r="M208" s="3" t="s">
        <v>229</v>
      </c>
      <c r="N208" s="36" t="s">
        <v>250</v>
      </c>
      <c r="O208" s="3">
        <v>223</v>
      </c>
      <c r="P208" s="36">
        <v>0.44825487671998654</v>
      </c>
      <c r="Q208" s="65">
        <v>250</v>
      </c>
      <c r="R208" s="51"/>
      <c r="S208" s="51"/>
      <c r="T208" s="166"/>
      <c r="U208" s="36"/>
      <c r="V208" s="36"/>
      <c r="W208" s="36"/>
      <c r="X208" s="36"/>
      <c r="Y208" s="36"/>
      <c r="Z208" s="36"/>
    </row>
    <row r="209" spans="1:26" ht="14">
      <c r="A209" s="72">
        <v>42571</v>
      </c>
      <c r="B209" s="35" t="s">
        <v>154</v>
      </c>
      <c r="C209" s="168">
        <v>2016</v>
      </c>
      <c r="D209" s="65">
        <v>5</v>
      </c>
      <c r="E209" s="51" t="s">
        <v>223</v>
      </c>
      <c r="F209" s="51" t="s">
        <v>224</v>
      </c>
      <c r="G209" s="51" t="s">
        <v>225</v>
      </c>
      <c r="H209" s="51" t="s">
        <v>248</v>
      </c>
      <c r="I209" s="51" t="s">
        <v>249</v>
      </c>
      <c r="J209" s="3" t="s">
        <v>250</v>
      </c>
      <c r="K209" s="3"/>
      <c r="L209" s="36">
        <v>4</v>
      </c>
      <c r="M209" s="3" t="s">
        <v>229</v>
      </c>
      <c r="N209" s="36" t="s">
        <v>250</v>
      </c>
      <c r="O209" s="3">
        <v>211</v>
      </c>
      <c r="P209" s="65">
        <v>1.8955540713824195</v>
      </c>
      <c r="Q209" s="3">
        <v>250</v>
      </c>
      <c r="R209" s="3"/>
      <c r="S209" s="3"/>
      <c r="T209" s="36"/>
      <c r="U209" s="36"/>
      <c r="V209" s="36"/>
      <c r="W209" s="36"/>
      <c r="X209" s="36"/>
      <c r="Y209" s="36"/>
      <c r="Z209" s="36"/>
    </row>
    <row r="210" spans="1:26" ht="14">
      <c r="A210" s="71">
        <v>42515</v>
      </c>
      <c r="B210" s="35" t="s">
        <v>144</v>
      </c>
      <c r="C210" s="168">
        <v>2016</v>
      </c>
      <c r="D210" s="51">
        <v>2</v>
      </c>
      <c r="E210" s="3" t="s">
        <v>223</v>
      </c>
      <c r="F210" s="3" t="s">
        <v>224</v>
      </c>
      <c r="G210" s="3" t="s">
        <v>225</v>
      </c>
      <c r="H210" s="3" t="s">
        <v>248</v>
      </c>
      <c r="I210" s="51" t="s">
        <v>249</v>
      </c>
      <c r="J210" s="51" t="s">
        <v>250</v>
      </c>
      <c r="K210" s="3"/>
      <c r="L210" s="3">
        <v>1</v>
      </c>
      <c r="M210" s="3" t="s">
        <v>229</v>
      </c>
      <c r="N210" s="3" t="s">
        <v>250</v>
      </c>
      <c r="O210" s="36">
        <v>194</v>
      </c>
      <c r="P210" s="65">
        <v>0.51520576504797122</v>
      </c>
      <c r="Q210" s="65">
        <v>250</v>
      </c>
      <c r="R210" s="51"/>
      <c r="S210" s="51"/>
      <c r="T210" s="65"/>
      <c r="U210" s="36"/>
      <c r="V210" s="36"/>
      <c r="W210" s="36"/>
      <c r="X210" s="36"/>
      <c r="Y210" s="36"/>
      <c r="Z210" s="36"/>
    </row>
    <row r="211" spans="1:26" ht="14">
      <c r="A211" s="13">
        <v>42515</v>
      </c>
      <c r="B211" s="35" t="s">
        <v>144</v>
      </c>
      <c r="C211" s="168">
        <v>2016</v>
      </c>
      <c r="D211" s="51">
        <v>4</v>
      </c>
      <c r="E211" s="3" t="s">
        <v>223</v>
      </c>
      <c r="F211" s="3" t="s">
        <v>224</v>
      </c>
      <c r="G211" s="3" t="s">
        <v>225</v>
      </c>
      <c r="H211" s="3" t="s">
        <v>248</v>
      </c>
      <c r="I211" s="3" t="s">
        <v>249</v>
      </c>
      <c r="J211" s="3" t="s">
        <v>250</v>
      </c>
      <c r="K211" s="3"/>
      <c r="L211" s="3">
        <v>2</v>
      </c>
      <c r="M211" s="3" t="s">
        <v>229</v>
      </c>
      <c r="N211" s="3" t="s">
        <v>250</v>
      </c>
      <c r="O211" s="3">
        <v>217</v>
      </c>
      <c r="P211" s="36">
        <v>0.9209290862393783</v>
      </c>
      <c r="Q211" s="36">
        <v>250</v>
      </c>
      <c r="R211" s="3"/>
      <c r="S211" s="3"/>
      <c r="T211" s="36"/>
      <c r="U211" s="36"/>
      <c r="V211" s="36"/>
      <c r="W211" s="36"/>
      <c r="X211" s="36"/>
      <c r="Y211" s="36"/>
      <c r="Z211" s="36"/>
    </row>
    <row r="212" spans="1:26" ht="14">
      <c r="A212" s="13">
        <v>42515</v>
      </c>
      <c r="B212" s="35" t="s">
        <v>144</v>
      </c>
      <c r="C212" s="168">
        <v>2016</v>
      </c>
      <c r="D212" s="51">
        <v>5</v>
      </c>
      <c r="E212" s="34" t="s">
        <v>223</v>
      </c>
      <c r="F212" s="34" t="s">
        <v>224</v>
      </c>
      <c r="G212" s="34" t="s">
        <v>225</v>
      </c>
      <c r="H212" s="34" t="s">
        <v>248</v>
      </c>
      <c r="I212" s="34" t="s">
        <v>249</v>
      </c>
      <c r="J212" s="3" t="s">
        <v>250</v>
      </c>
      <c r="K212" s="3"/>
      <c r="L212" s="3">
        <v>7</v>
      </c>
      <c r="M212" s="3" t="s">
        <v>229</v>
      </c>
      <c r="N212" s="3" t="s">
        <v>250</v>
      </c>
      <c r="O212" s="3">
        <v>214</v>
      </c>
      <c r="P212" s="65">
        <v>3.2694507433838789</v>
      </c>
      <c r="Q212" s="3">
        <v>250</v>
      </c>
      <c r="R212" s="3"/>
      <c r="S212" s="3"/>
      <c r="T212" s="36"/>
      <c r="U212" s="36"/>
      <c r="V212" s="36"/>
      <c r="W212" s="36"/>
      <c r="X212" s="36"/>
      <c r="Y212" s="36"/>
      <c r="Z212" s="36"/>
    </row>
    <row r="213" spans="1:26" ht="14">
      <c r="A213" s="169">
        <v>42515</v>
      </c>
      <c r="B213" s="169" t="s">
        <v>144</v>
      </c>
      <c r="C213" s="176">
        <v>2016</v>
      </c>
      <c r="D213" s="170">
        <v>8</v>
      </c>
      <c r="E213" s="171" t="s">
        <v>223</v>
      </c>
      <c r="F213" s="171" t="s">
        <v>224</v>
      </c>
      <c r="G213" s="171" t="s">
        <v>225</v>
      </c>
      <c r="H213" s="171" t="s">
        <v>248</v>
      </c>
      <c r="I213" s="171" t="s">
        <v>249</v>
      </c>
      <c r="J213" s="171" t="s">
        <v>250</v>
      </c>
      <c r="K213" s="171"/>
      <c r="L213" s="171">
        <v>12</v>
      </c>
      <c r="M213" s="171" t="s">
        <v>229</v>
      </c>
      <c r="N213" s="171" t="s">
        <v>250</v>
      </c>
      <c r="O213" s="171">
        <v>252</v>
      </c>
      <c r="P213" s="171">
        <v>4.7613252008343467</v>
      </c>
      <c r="Q213" s="171">
        <v>250</v>
      </c>
      <c r="R213" s="171"/>
      <c r="S213" s="171"/>
      <c r="T213" s="36"/>
      <c r="U213" s="36"/>
      <c r="V213" s="36"/>
      <c r="W213" s="36"/>
      <c r="X213" s="36"/>
      <c r="Y213" s="36"/>
      <c r="Z213" s="36"/>
    </row>
    <row r="214" spans="1:26" ht="14">
      <c r="A214" s="13">
        <v>42263</v>
      </c>
      <c r="B214" s="35" t="s">
        <v>157</v>
      </c>
      <c r="C214" s="168">
        <v>2015</v>
      </c>
      <c r="D214" s="36">
        <v>4</v>
      </c>
      <c r="E214" s="3" t="s">
        <v>223</v>
      </c>
      <c r="F214" s="3" t="s">
        <v>224</v>
      </c>
      <c r="G214" s="3" t="s">
        <v>225</v>
      </c>
      <c r="H214" s="3" t="s">
        <v>248</v>
      </c>
      <c r="I214" s="3" t="s">
        <v>249</v>
      </c>
      <c r="J214" s="3" t="s">
        <v>250</v>
      </c>
      <c r="K214" s="3"/>
      <c r="L214" s="3">
        <v>2</v>
      </c>
      <c r="M214" s="3" t="s">
        <v>229</v>
      </c>
      <c r="N214" s="36" t="s">
        <v>250</v>
      </c>
      <c r="O214" s="3">
        <v>161</v>
      </c>
      <c r="P214" s="65">
        <v>1.2400728365425444</v>
      </c>
      <c r="Q214" s="51">
        <v>250</v>
      </c>
      <c r="R214" s="51"/>
      <c r="S214" s="51"/>
      <c r="T214" s="65"/>
      <c r="U214" s="36"/>
      <c r="V214" s="36"/>
      <c r="W214" s="36"/>
      <c r="X214" s="36"/>
      <c r="Y214" s="36"/>
      <c r="Z214" s="36"/>
    </row>
    <row r="215" spans="1:26" ht="14">
      <c r="A215" s="71">
        <v>42263</v>
      </c>
      <c r="B215" s="35" t="s">
        <v>157</v>
      </c>
      <c r="C215" s="168">
        <v>2015</v>
      </c>
      <c r="D215" s="36">
        <v>5</v>
      </c>
      <c r="E215" s="3" t="s">
        <v>223</v>
      </c>
      <c r="F215" s="3" t="s">
        <v>224</v>
      </c>
      <c r="G215" s="3" t="s">
        <v>225</v>
      </c>
      <c r="H215" s="3" t="s">
        <v>248</v>
      </c>
      <c r="I215" s="3" t="s">
        <v>249</v>
      </c>
      <c r="J215" s="3" t="s">
        <v>250</v>
      </c>
      <c r="K215" s="3"/>
      <c r="L215" s="36">
        <v>3</v>
      </c>
      <c r="M215" s="3" t="s">
        <v>229</v>
      </c>
      <c r="N215" s="3" t="s">
        <v>250</v>
      </c>
      <c r="O215" s="3">
        <v>222</v>
      </c>
      <c r="P215" s="36">
        <v>1.35096937732413</v>
      </c>
      <c r="Q215" s="36">
        <v>250</v>
      </c>
      <c r="R215" s="3"/>
      <c r="S215" s="3"/>
      <c r="T215" s="36"/>
      <c r="U215" s="36"/>
      <c r="V215" s="36"/>
      <c r="W215" s="36"/>
      <c r="X215" s="36"/>
      <c r="Y215" s="36"/>
      <c r="Z215" s="36"/>
    </row>
    <row r="216" spans="1:26" ht="14">
      <c r="A216" s="71">
        <v>42263</v>
      </c>
      <c r="B216" s="72" t="s">
        <v>157</v>
      </c>
      <c r="C216" s="168">
        <v>2015</v>
      </c>
      <c r="D216" s="65">
        <v>8</v>
      </c>
      <c r="E216" s="3" t="s">
        <v>223</v>
      </c>
      <c r="F216" s="3" t="s">
        <v>224</v>
      </c>
      <c r="G216" s="3" t="s">
        <v>225</v>
      </c>
      <c r="H216" s="3" t="s">
        <v>248</v>
      </c>
      <c r="I216" s="3" t="s">
        <v>249</v>
      </c>
      <c r="J216" s="3" t="s">
        <v>250</v>
      </c>
      <c r="K216" s="3"/>
      <c r="L216" s="3">
        <v>4</v>
      </c>
      <c r="M216" s="3" t="s">
        <v>229</v>
      </c>
      <c r="N216" s="3" t="s">
        <v>250</v>
      </c>
      <c r="O216" s="3">
        <v>244</v>
      </c>
      <c r="P216" s="36">
        <v>1.639344262295082</v>
      </c>
      <c r="Q216" s="36">
        <v>250</v>
      </c>
      <c r="R216" s="3"/>
      <c r="S216" s="3"/>
      <c r="T216" s="36"/>
      <c r="U216" s="36"/>
      <c r="V216" s="36"/>
      <c r="W216" s="36"/>
      <c r="X216" s="36"/>
      <c r="Y216" s="36"/>
      <c r="Z216" s="36"/>
    </row>
    <row r="217" spans="1:26" ht="14">
      <c r="A217" s="71">
        <v>42206</v>
      </c>
      <c r="B217" s="72" t="s">
        <v>154</v>
      </c>
      <c r="C217" s="168">
        <v>2015</v>
      </c>
      <c r="D217" s="36">
        <v>4</v>
      </c>
      <c r="E217" s="51" t="s">
        <v>223</v>
      </c>
      <c r="F217" s="51" t="s">
        <v>224</v>
      </c>
      <c r="G217" s="51" t="s">
        <v>225</v>
      </c>
      <c r="H217" s="51" t="s">
        <v>248</v>
      </c>
      <c r="I217" s="51" t="s">
        <v>249</v>
      </c>
      <c r="J217" s="51" t="s">
        <v>250</v>
      </c>
      <c r="K217" s="3"/>
      <c r="L217" s="3">
        <v>2</v>
      </c>
      <c r="M217" s="3" t="s">
        <v>229</v>
      </c>
      <c r="N217" s="36" t="s">
        <v>250</v>
      </c>
      <c r="O217" s="3">
        <v>273</v>
      </c>
      <c r="P217" s="65">
        <v>0.72278170503410832</v>
      </c>
      <c r="Q217" s="51">
        <v>250</v>
      </c>
      <c r="R217" s="51"/>
      <c r="S217" s="51"/>
      <c r="T217" s="65"/>
      <c r="U217" s="36"/>
      <c r="V217" s="36"/>
      <c r="W217" s="36"/>
      <c r="X217" s="36"/>
      <c r="Y217" s="36"/>
      <c r="Z217" s="36"/>
    </row>
    <row r="218" spans="1:26" ht="14">
      <c r="A218" s="71">
        <v>42206</v>
      </c>
      <c r="B218" s="35" t="s">
        <v>154</v>
      </c>
      <c r="C218" s="168">
        <v>2015</v>
      </c>
      <c r="D218" s="36">
        <v>5</v>
      </c>
      <c r="E218" s="65" t="s">
        <v>223</v>
      </c>
      <c r="F218" s="65" t="s">
        <v>224</v>
      </c>
      <c r="G218" s="65" t="s">
        <v>225</v>
      </c>
      <c r="H218" s="65" t="s">
        <v>248</v>
      </c>
      <c r="I218" s="65" t="s">
        <v>249</v>
      </c>
      <c r="J218" s="36" t="s">
        <v>250</v>
      </c>
      <c r="K218" s="36"/>
      <c r="L218" s="36">
        <v>2</v>
      </c>
      <c r="M218" s="36" t="s">
        <v>229</v>
      </c>
      <c r="N218" s="36" t="s">
        <v>250</v>
      </c>
      <c r="O218" s="3">
        <v>251</v>
      </c>
      <c r="P218" s="65">
        <v>0.79663125880138019</v>
      </c>
      <c r="Q218" s="36">
        <v>250</v>
      </c>
      <c r="R218" s="3"/>
      <c r="S218" s="3"/>
      <c r="T218" s="36"/>
      <c r="U218" s="36"/>
      <c r="V218" s="36"/>
      <c r="W218" s="36"/>
      <c r="X218" s="36"/>
      <c r="Y218" s="36"/>
      <c r="Z218" s="36"/>
    </row>
    <row r="219" spans="1:26" ht="14">
      <c r="A219" s="71">
        <v>42206</v>
      </c>
      <c r="B219" s="35" t="s">
        <v>154</v>
      </c>
      <c r="C219" s="168">
        <v>2015</v>
      </c>
      <c r="D219" s="65">
        <v>8</v>
      </c>
      <c r="E219" s="3" t="s">
        <v>223</v>
      </c>
      <c r="F219" s="3" t="s">
        <v>224</v>
      </c>
      <c r="G219" s="3" t="s">
        <v>225</v>
      </c>
      <c r="H219" s="3" t="s">
        <v>248</v>
      </c>
      <c r="I219" s="3" t="s">
        <v>249</v>
      </c>
      <c r="J219" s="3" t="s">
        <v>250</v>
      </c>
      <c r="K219" s="3"/>
      <c r="L219" s="3">
        <v>26</v>
      </c>
      <c r="M219" s="3" t="s">
        <v>229</v>
      </c>
      <c r="N219" s="36" t="s">
        <v>250</v>
      </c>
      <c r="O219" s="3">
        <v>199</v>
      </c>
      <c r="P219" s="65">
        <v>13.05398242542247</v>
      </c>
      <c r="Q219" s="3">
        <v>250</v>
      </c>
      <c r="R219" s="3"/>
      <c r="S219" s="3"/>
      <c r="T219" s="36"/>
      <c r="U219" s="36"/>
      <c r="V219" s="36"/>
      <c r="W219" s="36"/>
      <c r="X219" s="36"/>
      <c r="Y219" s="36"/>
      <c r="Z219" s="36"/>
    </row>
    <row r="220" spans="1:26" ht="14">
      <c r="A220" s="71">
        <v>42144</v>
      </c>
      <c r="B220" s="72" t="s">
        <v>144</v>
      </c>
      <c r="C220" s="168">
        <v>2015</v>
      </c>
      <c r="D220" s="65">
        <v>2</v>
      </c>
      <c r="E220" s="3" t="s">
        <v>223</v>
      </c>
      <c r="F220" s="3" t="s">
        <v>224</v>
      </c>
      <c r="G220" s="3" t="s">
        <v>225</v>
      </c>
      <c r="H220" s="3" t="s">
        <v>248</v>
      </c>
      <c r="I220" s="3" t="s">
        <v>249</v>
      </c>
      <c r="J220" s="3" t="s">
        <v>250</v>
      </c>
      <c r="K220" s="3"/>
      <c r="L220" s="3">
        <v>1</v>
      </c>
      <c r="M220" s="3" t="s">
        <v>229</v>
      </c>
      <c r="N220" s="3" t="s">
        <v>250</v>
      </c>
      <c r="O220" s="3">
        <v>333</v>
      </c>
      <c r="P220" s="65">
        <v>0.30022231204405447</v>
      </c>
      <c r="Q220" s="36">
        <v>250</v>
      </c>
      <c r="R220" s="3" t="s">
        <v>503</v>
      </c>
      <c r="S220" s="3"/>
      <c r="T220" s="36"/>
      <c r="U220" s="36"/>
      <c r="V220" s="36"/>
      <c r="W220" s="36"/>
      <c r="X220" s="36"/>
      <c r="Y220" s="36"/>
      <c r="Z220" s="36"/>
    </row>
    <row r="221" spans="1:26" ht="14">
      <c r="A221" s="35">
        <v>42144</v>
      </c>
      <c r="B221" s="72" t="s">
        <v>144</v>
      </c>
      <c r="C221" s="168">
        <v>2015</v>
      </c>
      <c r="D221" s="36">
        <v>4</v>
      </c>
      <c r="E221" s="36" t="s">
        <v>223</v>
      </c>
      <c r="F221" s="36" t="s">
        <v>224</v>
      </c>
      <c r="G221" s="36" t="s">
        <v>225</v>
      </c>
      <c r="H221" s="36" t="s">
        <v>248</v>
      </c>
      <c r="I221" s="36" t="s">
        <v>249</v>
      </c>
      <c r="J221" s="36" t="s">
        <v>250</v>
      </c>
      <c r="K221" s="36"/>
      <c r="L221" s="36">
        <v>5</v>
      </c>
      <c r="M221" s="36" t="s">
        <v>229</v>
      </c>
      <c r="N221" s="36" t="s">
        <v>250</v>
      </c>
      <c r="O221" s="36">
        <v>229</v>
      </c>
      <c r="P221" s="65">
        <v>2.1814583908417413</v>
      </c>
      <c r="Q221" s="36">
        <v>250</v>
      </c>
      <c r="R221" s="36"/>
      <c r="S221" s="36"/>
      <c r="T221" s="36"/>
      <c r="U221" s="36"/>
      <c r="V221" s="36"/>
      <c r="W221" s="36"/>
      <c r="X221" s="36"/>
      <c r="Y221" s="36"/>
      <c r="Z221" s="36"/>
    </row>
    <row r="222" spans="1:26" ht="14">
      <c r="A222" s="72">
        <v>42144</v>
      </c>
      <c r="B222" s="72" t="s">
        <v>144</v>
      </c>
      <c r="C222" s="168">
        <v>2015</v>
      </c>
      <c r="D222" s="36">
        <v>5</v>
      </c>
      <c r="E222" s="65" t="s">
        <v>223</v>
      </c>
      <c r="F222" s="65" t="s">
        <v>224</v>
      </c>
      <c r="G222" s="65" t="s">
        <v>225</v>
      </c>
      <c r="H222" s="65" t="s">
        <v>248</v>
      </c>
      <c r="I222" s="65" t="s">
        <v>249</v>
      </c>
      <c r="J222" s="65" t="s">
        <v>250</v>
      </c>
      <c r="K222" s="36"/>
      <c r="L222" s="36">
        <v>15</v>
      </c>
      <c r="M222" s="36" t="s">
        <v>229</v>
      </c>
      <c r="N222" s="36" t="s">
        <v>250</v>
      </c>
      <c r="O222" s="36">
        <v>327</v>
      </c>
      <c r="P222" s="36">
        <v>4.5854683809064625</v>
      </c>
      <c r="Q222" s="36">
        <v>250</v>
      </c>
      <c r="R222" s="36"/>
      <c r="S222" s="36"/>
      <c r="T222" s="36"/>
      <c r="U222" s="36"/>
      <c r="V222" s="36"/>
      <c r="W222" s="36"/>
      <c r="X222" s="36"/>
      <c r="Y222" s="36"/>
      <c r="Z222" s="36"/>
    </row>
    <row r="223" spans="1:26" ht="14">
      <c r="A223" s="13">
        <v>41912</v>
      </c>
      <c r="B223" s="72" t="s">
        <v>157</v>
      </c>
      <c r="C223" s="168">
        <v>2014</v>
      </c>
      <c r="D223" s="36">
        <v>5</v>
      </c>
      <c r="E223" s="3" t="s">
        <v>223</v>
      </c>
      <c r="F223" s="3" t="s">
        <v>224</v>
      </c>
      <c r="G223" s="3" t="s">
        <v>225</v>
      </c>
      <c r="H223" s="3" t="s">
        <v>248</v>
      </c>
      <c r="I223" s="3" t="s">
        <v>249</v>
      </c>
      <c r="J223" s="3" t="s">
        <v>250</v>
      </c>
      <c r="K223" s="3"/>
      <c r="L223" s="3">
        <v>1</v>
      </c>
      <c r="M223" s="3" t="s">
        <v>229</v>
      </c>
      <c r="N223" s="3" t="s">
        <v>250</v>
      </c>
      <c r="O223" s="3">
        <v>216</v>
      </c>
      <c r="P223" s="36">
        <v>0.46205433924743899</v>
      </c>
      <c r="Q223" s="36">
        <v>250</v>
      </c>
      <c r="R223" s="3"/>
      <c r="S223" s="3"/>
      <c r="T223" s="36"/>
      <c r="U223" s="36"/>
      <c r="V223" s="36"/>
      <c r="W223" s="36"/>
      <c r="X223" s="36"/>
      <c r="Y223" s="36"/>
      <c r="Z223" s="36"/>
    </row>
    <row r="224" spans="1:26" ht="14">
      <c r="A224" s="13">
        <v>41912</v>
      </c>
      <c r="B224" s="35" t="s">
        <v>157</v>
      </c>
      <c r="C224" s="168">
        <v>2014</v>
      </c>
      <c r="D224" s="65">
        <v>8</v>
      </c>
      <c r="E224" s="51" t="s">
        <v>223</v>
      </c>
      <c r="F224" s="51" t="s">
        <v>224</v>
      </c>
      <c r="G224" s="51" t="s">
        <v>225</v>
      </c>
      <c r="H224" s="51" t="s">
        <v>248</v>
      </c>
      <c r="I224" s="51" t="s">
        <v>249</v>
      </c>
      <c r="J224" s="3" t="s">
        <v>250</v>
      </c>
      <c r="K224" s="3"/>
      <c r="L224" s="3">
        <v>1</v>
      </c>
      <c r="M224" s="3" t="s">
        <v>229</v>
      </c>
      <c r="N224" s="3" t="s">
        <v>250</v>
      </c>
      <c r="O224" s="3">
        <v>217</v>
      </c>
      <c r="P224" s="36">
        <v>0.46067485768610789</v>
      </c>
      <c r="Q224" s="36">
        <v>250</v>
      </c>
      <c r="R224" s="3"/>
      <c r="S224" s="3"/>
      <c r="T224" s="36"/>
      <c r="U224" s="36"/>
      <c r="V224" s="36"/>
      <c r="W224" s="36"/>
      <c r="X224" s="36"/>
      <c r="Y224" s="36"/>
      <c r="Z224" s="36"/>
    </row>
    <row r="225" spans="1:37" ht="20.25" customHeight="1">
      <c r="A225" s="71">
        <v>41851</v>
      </c>
      <c r="B225" s="35" t="s">
        <v>154</v>
      </c>
      <c r="C225" s="168">
        <v>2014</v>
      </c>
      <c r="D225" s="36">
        <v>4</v>
      </c>
      <c r="E225" s="3" t="s">
        <v>223</v>
      </c>
      <c r="F225" s="3" t="s">
        <v>224</v>
      </c>
      <c r="G225" s="3" t="s">
        <v>225</v>
      </c>
      <c r="H225" s="3" t="s">
        <v>248</v>
      </c>
      <c r="I225" s="3" t="s">
        <v>249</v>
      </c>
      <c r="J225" s="3" t="s">
        <v>250</v>
      </c>
      <c r="K225" s="3"/>
      <c r="L225" s="3">
        <v>3</v>
      </c>
      <c r="M225" s="3" t="s">
        <v>229</v>
      </c>
      <c r="N225" s="3" t="s">
        <v>250</v>
      </c>
      <c r="O225" s="3">
        <v>188</v>
      </c>
      <c r="P225" s="65">
        <v>1.5538846035074569</v>
      </c>
      <c r="Q225" s="36">
        <v>250</v>
      </c>
      <c r="R225" s="3"/>
      <c r="S225" s="3"/>
      <c r="T225" s="36"/>
      <c r="U225" s="36"/>
      <c r="V225" s="36"/>
      <c r="W225" s="36"/>
      <c r="X225" s="36"/>
      <c r="Y225" s="36"/>
      <c r="Z225" s="36"/>
    </row>
    <row r="226" spans="1:37" ht="20.25" customHeight="1">
      <c r="A226" s="71">
        <v>41851</v>
      </c>
      <c r="B226" s="72" t="s">
        <v>154</v>
      </c>
      <c r="C226" s="168">
        <v>2014</v>
      </c>
      <c r="D226" s="36">
        <v>5</v>
      </c>
      <c r="E226" s="3" t="s">
        <v>223</v>
      </c>
      <c r="F226" s="3" t="s">
        <v>224</v>
      </c>
      <c r="G226" s="3" t="s">
        <v>225</v>
      </c>
      <c r="H226" s="3" t="s">
        <v>248</v>
      </c>
      <c r="I226" s="3" t="s">
        <v>249</v>
      </c>
      <c r="J226" s="3" t="s">
        <v>250</v>
      </c>
      <c r="K226" s="3" t="s">
        <v>501</v>
      </c>
      <c r="L226" s="3">
        <v>6</v>
      </c>
      <c r="M226" s="3" t="s">
        <v>247</v>
      </c>
      <c r="N226" s="3" t="s">
        <v>250</v>
      </c>
      <c r="O226" s="3">
        <v>205</v>
      </c>
      <c r="P226" s="65">
        <v>2.9067973447404247</v>
      </c>
      <c r="Q226" s="36">
        <v>250</v>
      </c>
      <c r="R226" s="3"/>
      <c r="S226" s="3"/>
      <c r="T226" s="36"/>
      <c r="U226" s="36"/>
      <c r="V226" s="36"/>
      <c r="W226" s="36"/>
      <c r="X226" s="36"/>
      <c r="Y226" s="36"/>
      <c r="Z226" s="36"/>
    </row>
    <row r="227" spans="1:37" ht="20.25" customHeight="1">
      <c r="A227" s="13">
        <v>41851</v>
      </c>
      <c r="B227" s="35" t="s">
        <v>154</v>
      </c>
      <c r="C227" s="168">
        <v>2014</v>
      </c>
      <c r="D227" s="65">
        <v>8</v>
      </c>
      <c r="E227" s="51" t="s">
        <v>223</v>
      </c>
      <c r="F227" s="51" t="s">
        <v>224</v>
      </c>
      <c r="G227" s="51" t="s">
        <v>225</v>
      </c>
      <c r="H227" s="51" t="s">
        <v>248</v>
      </c>
      <c r="I227" s="51" t="s">
        <v>249</v>
      </c>
      <c r="J227" s="3" t="s">
        <v>250</v>
      </c>
      <c r="K227" s="3" t="s">
        <v>501</v>
      </c>
      <c r="L227" s="3">
        <v>18</v>
      </c>
      <c r="M227" s="3" t="s">
        <v>247</v>
      </c>
      <c r="N227" s="3" t="s">
        <v>250</v>
      </c>
      <c r="O227" s="3">
        <v>237</v>
      </c>
      <c r="P227" s="65">
        <v>7.5922156855680543</v>
      </c>
      <c r="Q227" s="36">
        <v>250</v>
      </c>
      <c r="R227" s="3"/>
      <c r="S227" s="3"/>
      <c r="T227" s="36"/>
      <c r="U227" s="36"/>
      <c r="V227" s="36"/>
      <c r="W227" s="36"/>
      <c r="X227" s="36"/>
      <c r="Y227" s="36"/>
      <c r="Z227" s="36"/>
    </row>
    <row r="228" spans="1:37" ht="20.25" customHeight="1">
      <c r="A228" s="13">
        <v>41761</v>
      </c>
      <c r="B228" s="72" t="s">
        <v>144</v>
      </c>
      <c r="C228" s="168">
        <v>2014</v>
      </c>
      <c r="D228" s="65">
        <v>4</v>
      </c>
      <c r="E228" s="3" t="s">
        <v>223</v>
      </c>
      <c r="F228" s="3" t="s">
        <v>224</v>
      </c>
      <c r="G228" s="3" t="s">
        <v>225</v>
      </c>
      <c r="H228" s="3" t="s">
        <v>248</v>
      </c>
      <c r="I228" s="3" t="s">
        <v>249</v>
      </c>
      <c r="J228" s="3" t="s">
        <v>250</v>
      </c>
      <c r="K228" s="3"/>
      <c r="L228" s="3">
        <v>17</v>
      </c>
      <c r="M228" s="3" t="s">
        <v>229</v>
      </c>
      <c r="N228" s="3" t="s">
        <v>250</v>
      </c>
      <c r="O228" s="3">
        <v>256</v>
      </c>
      <c r="P228" s="36">
        <v>6.4819618401226995</v>
      </c>
      <c r="Q228" s="36">
        <v>250</v>
      </c>
      <c r="R228" s="3"/>
      <c r="S228" s="3"/>
      <c r="T228" s="36"/>
      <c r="U228" s="36"/>
      <c r="V228" s="36"/>
      <c r="W228" s="36"/>
      <c r="X228" s="36"/>
      <c r="Y228" s="36"/>
      <c r="Z228" s="36"/>
    </row>
    <row r="229" spans="1:37" ht="20.25" customHeight="1">
      <c r="A229" s="13">
        <v>41761</v>
      </c>
      <c r="B229" s="72" t="s">
        <v>144</v>
      </c>
      <c r="C229" s="168">
        <v>2014</v>
      </c>
      <c r="D229" s="65">
        <v>5</v>
      </c>
      <c r="E229" s="51" t="s">
        <v>223</v>
      </c>
      <c r="F229" s="51" t="s">
        <v>224</v>
      </c>
      <c r="G229" s="51" t="s">
        <v>225</v>
      </c>
      <c r="H229" s="51" t="s">
        <v>248</v>
      </c>
      <c r="I229" s="51" t="s">
        <v>249</v>
      </c>
      <c r="J229" s="3" t="s">
        <v>250</v>
      </c>
      <c r="K229" s="3"/>
      <c r="L229" s="3">
        <v>11</v>
      </c>
      <c r="M229" s="3" t="s">
        <v>229</v>
      </c>
      <c r="N229" s="3" t="s">
        <v>250</v>
      </c>
      <c r="O229" s="3">
        <v>300</v>
      </c>
      <c r="P229" s="65">
        <v>3.6590319862437033</v>
      </c>
      <c r="Q229" s="62">
        <v>250</v>
      </c>
      <c r="R229" s="157"/>
      <c r="S229" s="157"/>
      <c r="T229" s="62"/>
      <c r="U229" s="62"/>
      <c r="V229" s="62"/>
      <c r="W229" s="62"/>
      <c r="X229" s="62"/>
      <c r="Y229" s="62"/>
      <c r="Z229" s="62"/>
      <c r="AA229" s="62"/>
      <c r="AB229" s="62"/>
      <c r="AC229" s="36"/>
      <c r="AD229" s="36"/>
      <c r="AE229" s="36"/>
      <c r="AF229" s="36"/>
      <c r="AG229" s="36"/>
      <c r="AH229" s="36"/>
      <c r="AI229" s="36"/>
      <c r="AJ229" s="36"/>
      <c r="AK229" s="36"/>
    </row>
    <row r="230" spans="1:37" ht="20.25" customHeight="1">
      <c r="A230" s="13">
        <v>41761</v>
      </c>
      <c r="B230" s="72" t="s">
        <v>144</v>
      </c>
      <c r="C230" s="168">
        <v>2014</v>
      </c>
      <c r="D230" s="65">
        <v>8</v>
      </c>
      <c r="E230" s="51" t="s">
        <v>223</v>
      </c>
      <c r="F230" s="51" t="s">
        <v>224</v>
      </c>
      <c r="G230" s="51" t="s">
        <v>225</v>
      </c>
      <c r="H230" s="51" t="s">
        <v>248</v>
      </c>
      <c r="I230" s="51" t="s">
        <v>249</v>
      </c>
      <c r="J230" s="51" t="s">
        <v>250</v>
      </c>
      <c r="K230" s="3"/>
      <c r="L230" s="3">
        <v>7</v>
      </c>
      <c r="M230" s="3" t="s">
        <v>229</v>
      </c>
      <c r="N230" s="3" t="s">
        <v>250</v>
      </c>
      <c r="O230" s="3">
        <v>129</v>
      </c>
      <c r="P230" s="36">
        <v>5.4121772688497822</v>
      </c>
      <c r="Q230" s="157">
        <v>250</v>
      </c>
      <c r="R230" s="157"/>
      <c r="S230" s="157"/>
      <c r="T230" s="62"/>
      <c r="U230" s="62"/>
      <c r="V230" s="62"/>
      <c r="W230" s="62"/>
      <c r="X230" s="62"/>
      <c r="Y230" s="62"/>
      <c r="Z230" s="62"/>
      <c r="AA230" s="62"/>
      <c r="AB230" s="62"/>
      <c r="AC230" s="36"/>
      <c r="AD230" s="36"/>
      <c r="AE230" s="36"/>
      <c r="AF230" s="36"/>
      <c r="AG230" s="36"/>
      <c r="AH230" s="36"/>
      <c r="AI230" s="36"/>
      <c r="AJ230" s="36"/>
      <c r="AK230" s="36"/>
    </row>
    <row r="231" spans="1:37" ht="20.25" customHeight="1">
      <c r="A231" s="13">
        <v>41542</v>
      </c>
      <c r="B231" s="72" t="s">
        <v>157</v>
      </c>
      <c r="C231" s="168">
        <v>2013</v>
      </c>
      <c r="D231" s="51">
        <v>2</v>
      </c>
      <c r="E231" s="3" t="s">
        <v>223</v>
      </c>
      <c r="F231" s="3" t="s">
        <v>224</v>
      </c>
      <c r="G231" s="3" t="s">
        <v>225</v>
      </c>
      <c r="H231" s="3" t="s">
        <v>248</v>
      </c>
      <c r="I231" s="3" t="s">
        <v>249</v>
      </c>
      <c r="J231" s="3" t="s">
        <v>250</v>
      </c>
      <c r="K231" s="3" t="s">
        <v>251</v>
      </c>
      <c r="L231" s="34">
        <v>5</v>
      </c>
      <c r="M231" s="34" t="s">
        <v>247</v>
      </c>
      <c r="N231" s="34" t="s">
        <v>250</v>
      </c>
      <c r="O231" s="3">
        <v>110</v>
      </c>
      <c r="P231" s="36">
        <v>4.5045106108769692</v>
      </c>
      <c r="Q231" s="157">
        <v>250</v>
      </c>
      <c r="R231" s="157"/>
      <c r="S231" s="157"/>
      <c r="T231" s="62"/>
      <c r="U231" s="62"/>
      <c r="V231" s="62"/>
      <c r="W231" s="62"/>
      <c r="X231" s="62"/>
      <c r="Y231" s="62"/>
      <c r="Z231" s="62"/>
      <c r="AA231" s="62"/>
      <c r="AB231" s="62"/>
      <c r="AC231" s="36"/>
      <c r="AD231" s="36"/>
      <c r="AE231" s="36"/>
      <c r="AF231" s="36"/>
      <c r="AG231" s="36"/>
      <c r="AH231" s="36"/>
      <c r="AI231" s="36"/>
      <c r="AJ231" s="36"/>
      <c r="AK231" s="36"/>
    </row>
    <row r="232" spans="1:37" ht="20.25" customHeight="1">
      <c r="A232" s="13">
        <v>41542</v>
      </c>
      <c r="B232" s="72" t="s">
        <v>157</v>
      </c>
      <c r="C232" s="168">
        <v>2013</v>
      </c>
      <c r="D232" s="51">
        <v>4</v>
      </c>
      <c r="E232" s="3" t="s">
        <v>223</v>
      </c>
      <c r="F232" s="3" t="s">
        <v>224</v>
      </c>
      <c r="G232" s="3" t="s">
        <v>225</v>
      </c>
      <c r="H232" s="3" t="s">
        <v>248</v>
      </c>
      <c r="I232" s="3" t="s">
        <v>249</v>
      </c>
      <c r="J232" s="3" t="s">
        <v>250</v>
      </c>
      <c r="K232" s="3" t="s">
        <v>251</v>
      </c>
      <c r="L232" s="3">
        <v>7</v>
      </c>
      <c r="M232" s="3" t="s">
        <v>247</v>
      </c>
      <c r="N232" s="3" t="s">
        <v>250</v>
      </c>
      <c r="O232" s="3">
        <v>159</v>
      </c>
      <c r="P232" s="36">
        <v>4.3544363676044817</v>
      </c>
      <c r="Q232" s="157">
        <v>250</v>
      </c>
      <c r="R232" s="157"/>
      <c r="S232" s="157"/>
      <c r="T232" s="62"/>
      <c r="U232" s="62"/>
      <c r="V232" s="62"/>
      <c r="W232" s="62"/>
      <c r="X232" s="62"/>
      <c r="Y232" s="62"/>
      <c r="Z232" s="62"/>
      <c r="AA232" s="62"/>
      <c r="AB232" s="62"/>
      <c r="AC232" s="36"/>
      <c r="AD232" s="36"/>
      <c r="AE232" s="36"/>
      <c r="AF232" s="36"/>
      <c r="AG232" s="36"/>
      <c r="AH232" s="36"/>
      <c r="AI232" s="36"/>
      <c r="AJ232" s="36"/>
      <c r="AK232" s="36"/>
    </row>
    <row r="233" spans="1:37" ht="20.25" customHeight="1">
      <c r="A233" s="71">
        <v>41542</v>
      </c>
      <c r="B233" s="72" t="s">
        <v>157</v>
      </c>
      <c r="C233" s="168">
        <v>2013</v>
      </c>
      <c r="D233" s="51">
        <v>5</v>
      </c>
      <c r="E233" s="3" t="s">
        <v>223</v>
      </c>
      <c r="F233" s="3" t="s">
        <v>224</v>
      </c>
      <c r="G233" s="3" t="s">
        <v>225</v>
      </c>
      <c r="H233" s="3" t="s">
        <v>248</v>
      </c>
      <c r="I233" s="34" t="s">
        <v>249</v>
      </c>
      <c r="J233" s="34" t="s">
        <v>250</v>
      </c>
      <c r="K233" s="3" t="s">
        <v>251</v>
      </c>
      <c r="L233" s="3">
        <v>22</v>
      </c>
      <c r="M233" s="3" t="s">
        <v>247</v>
      </c>
      <c r="N233" s="3" t="s">
        <v>250</v>
      </c>
      <c r="O233" s="3">
        <v>206</v>
      </c>
      <c r="P233" s="36">
        <v>10.676171438745852</v>
      </c>
      <c r="Q233" s="157">
        <v>250</v>
      </c>
      <c r="R233" s="157"/>
      <c r="S233" s="157"/>
      <c r="T233" s="62"/>
      <c r="U233" s="62"/>
      <c r="V233" s="62"/>
      <c r="W233" s="62"/>
      <c r="X233" s="62"/>
      <c r="Y233" s="62"/>
      <c r="Z233" s="62"/>
      <c r="AA233" s="62"/>
      <c r="AB233" s="62"/>
      <c r="AC233" s="36"/>
      <c r="AD233" s="36"/>
      <c r="AE233" s="36"/>
      <c r="AF233" s="36"/>
      <c r="AG233" s="36"/>
      <c r="AH233" s="36"/>
      <c r="AI233" s="36"/>
      <c r="AJ233" s="36"/>
      <c r="AK233" s="36"/>
    </row>
    <row r="234" spans="1:37" ht="20.25" customHeight="1">
      <c r="A234" s="13">
        <v>41542</v>
      </c>
      <c r="B234" s="72" t="s">
        <v>157</v>
      </c>
      <c r="C234" s="168">
        <v>2013</v>
      </c>
      <c r="D234" s="51">
        <v>8</v>
      </c>
      <c r="E234" s="3" t="s">
        <v>223</v>
      </c>
      <c r="F234" s="3" t="s">
        <v>224</v>
      </c>
      <c r="G234" s="3" t="s">
        <v>225</v>
      </c>
      <c r="H234" s="3" t="s">
        <v>248</v>
      </c>
      <c r="I234" s="34" t="s">
        <v>249</v>
      </c>
      <c r="J234" s="34" t="s">
        <v>250</v>
      </c>
      <c r="K234" s="3" t="s">
        <v>251</v>
      </c>
      <c r="L234" s="3">
        <v>24</v>
      </c>
      <c r="M234" s="3" t="s">
        <v>247</v>
      </c>
      <c r="N234" s="3" t="s">
        <v>250</v>
      </c>
      <c r="O234" s="3">
        <v>183</v>
      </c>
      <c r="P234" s="36">
        <v>13.114355954531376</v>
      </c>
      <c r="Q234" s="157">
        <v>250</v>
      </c>
      <c r="R234" s="157"/>
      <c r="S234" s="157"/>
      <c r="T234" s="62"/>
      <c r="U234" s="62"/>
      <c r="V234" s="62"/>
      <c r="W234" s="62"/>
      <c r="X234" s="62"/>
      <c r="Y234" s="62"/>
      <c r="Z234" s="62"/>
      <c r="AA234" s="62"/>
      <c r="AB234" s="62"/>
      <c r="AC234" s="36"/>
      <c r="AD234" s="36"/>
      <c r="AE234" s="36"/>
      <c r="AF234" s="36"/>
      <c r="AG234" s="36"/>
      <c r="AH234" s="36"/>
      <c r="AI234" s="36"/>
      <c r="AJ234" s="36"/>
      <c r="AK234" s="36"/>
    </row>
    <row r="235" spans="1:37" ht="20.25" customHeight="1">
      <c r="A235" s="72">
        <v>41480</v>
      </c>
      <c r="B235" s="72" t="s">
        <v>154</v>
      </c>
      <c r="C235" s="168">
        <v>2013</v>
      </c>
      <c r="D235" s="65">
        <v>2</v>
      </c>
      <c r="E235" s="36" t="s">
        <v>223</v>
      </c>
      <c r="F235" s="36" t="s">
        <v>224</v>
      </c>
      <c r="G235" s="36" t="s">
        <v>225</v>
      </c>
      <c r="H235" s="36" t="s">
        <v>248</v>
      </c>
      <c r="I235" s="53" t="s">
        <v>249</v>
      </c>
      <c r="J235" s="53" t="s">
        <v>250</v>
      </c>
      <c r="K235" s="36" t="s">
        <v>251</v>
      </c>
      <c r="L235" s="36">
        <v>1</v>
      </c>
      <c r="M235" s="36" t="s">
        <v>247</v>
      </c>
      <c r="N235" s="36" t="s">
        <v>250</v>
      </c>
      <c r="O235" s="36">
        <v>125</v>
      </c>
      <c r="P235" s="36">
        <v>0.79899064842718392</v>
      </c>
      <c r="Q235" s="62">
        <v>250</v>
      </c>
      <c r="R235" s="62"/>
      <c r="S235" s="62"/>
      <c r="T235" s="62"/>
      <c r="U235" s="62"/>
      <c r="V235" s="62"/>
      <c r="W235" s="62"/>
      <c r="X235" s="62"/>
      <c r="Y235" s="62"/>
      <c r="Z235" s="62"/>
      <c r="AA235" s="62"/>
      <c r="AB235" s="62"/>
      <c r="AC235" s="36"/>
      <c r="AD235" s="36"/>
      <c r="AE235" s="36"/>
      <c r="AF235" s="36"/>
      <c r="AG235" s="36"/>
      <c r="AH235" s="36"/>
      <c r="AI235" s="36"/>
      <c r="AJ235" s="36"/>
      <c r="AK235" s="36"/>
    </row>
    <row r="236" spans="1:37" ht="20.25" customHeight="1">
      <c r="A236" s="13">
        <v>41480</v>
      </c>
      <c r="B236" s="72" t="s">
        <v>154</v>
      </c>
      <c r="C236" s="168">
        <v>2013</v>
      </c>
      <c r="D236" s="51">
        <v>4</v>
      </c>
      <c r="E236" s="3" t="s">
        <v>223</v>
      </c>
      <c r="F236" s="3" t="s">
        <v>224</v>
      </c>
      <c r="G236" s="3" t="s">
        <v>225</v>
      </c>
      <c r="H236" s="3" t="s">
        <v>248</v>
      </c>
      <c r="I236" s="3" t="s">
        <v>249</v>
      </c>
      <c r="J236" s="3" t="s">
        <v>250</v>
      </c>
      <c r="K236" s="3" t="s">
        <v>251</v>
      </c>
      <c r="L236" s="3">
        <v>8</v>
      </c>
      <c r="M236" s="3" t="s">
        <v>247</v>
      </c>
      <c r="N236" s="3" t="s">
        <v>250</v>
      </c>
      <c r="O236" s="3">
        <v>124</v>
      </c>
      <c r="P236" s="65">
        <v>6.4338817738506862</v>
      </c>
      <c r="Q236" s="157">
        <v>250</v>
      </c>
      <c r="R236" s="157"/>
      <c r="S236" s="157"/>
      <c r="T236" s="62"/>
      <c r="U236" s="62"/>
      <c r="V236" s="62"/>
      <c r="W236" s="62"/>
      <c r="X236" s="62"/>
      <c r="Y236" s="62"/>
      <c r="Z236" s="62"/>
      <c r="AA236" s="62"/>
      <c r="AB236" s="62"/>
      <c r="AC236" s="36"/>
      <c r="AD236" s="36"/>
      <c r="AE236" s="36"/>
      <c r="AF236" s="36"/>
      <c r="AG236" s="36"/>
      <c r="AH236" s="36"/>
      <c r="AI236" s="36"/>
      <c r="AJ236" s="36"/>
      <c r="AK236" s="36"/>
    </row>
    <row r="237" spans="1:37" ht="20.25" customHeight="1">
      <c r="A237" s="71">
        <v>41480</v>
      </c>
      <c r="B237" s="72" t="s">
        <v>154</v>
      </c>
      <c r="C237" s="168">
        <v>2013</v>
      </c>
      <c r="D237" s="51">
        <v>5</v>
      </c>
      <c r="E237" s="51" t="s">
        <v>223</v>
      </c>
      <c r="F237" s="51" t="s">
        <v>224</v>
      </c>
      <c r="G237" s="51" t="s">
        <v>225</v>
      </c>
      <c r="H237" s="51" t="s">
        <v>248</v>
      </c>
      <c r="I237" s="51" t="s">
        <v>249</v>
      </c>
      <c r="J237" s="3" t="s">
        <v>250</v>
      </c>
      <c r="K237" s="3" t="s">
        <v>251</v>
      </c>
      <c r="L237" s="3">
        <v>4</v>
      </c>
      <c r="M237" s="3" t="s">
        <v>247</v>
      </c>
      <c r="N237" s="3" t="s">
        <v>250</v>
      </c>
      <c r="O237" s="3">
        <v>155</v>
      </c>
      <c r="P237" s="65">
        <v>2.5802812839925862</v>
      </c>
      <c r="Q237" s="157">
        <v>250</v>
      </c>
      <c r="R237" s="157"/>
      <c r="S237" s="157"/>
      <c r="T237" s="62"/>
      <c r="U237" s="62"/>
      <c r="V237" s="62"/>
      <c r="W237" s="62"/>
      <c r="X237" s="62"/>
      <c r="Y237" s="62"/>
      <c r="Z237" s="62"/>
      <c r="AA237" s="62"/>
      <c r="AB237" s="62"/>
      <c r="AC237" s="36"/>
      <c r="AD237" s="36"/>
      <c r="AE237" s="36"/>
      <c r="AF237" s="36"/>
      <c r="AG237" s="36"/>
      <c r="AH237" s="36"/>
      <c r="AI237" s="36"/>
      <c r="AJ237" s="36"/>
      <c r="AK237" s="36"/>
    </row>
    <row r="238" spans="1:37" ht="20.25" customHeight="1">
      <c r="A238" s="13">
        <v>41480</v>
      </c>
      <c r="B238" s="72" t="s">
        <v>154</v>
      </c>
      <c r="C238" s="168">
        <v>2013</v>
      </c>
      <c r="D238" s="51">
        <v>8</v>
      </c>
      <c r="E238" s="51" t="s">
        <v>223</v>
      </c>
      <c r="F238" s="51" t="s">
        <v>224</v>
      </c>
      <c r="G238" s="51" t="s">
        <v>225</v>
      </c>
      <c r="H238" s="51" t="s">
        <v>248</v>
      </c>
      <c r="I238" s="34" t="s">
        <v>249</v>
      </c>
      <c r="J238" s="34" t="s">
        <v>250</v>
      </c>
      <c r="K238" s="3" t="s">
        <v>251</v>
      </c>
      <c r="L238" s="3">
        <v>25</v>
      </c>
      <c r="M238" s="3" t="s">
        <v>247</v>
      </c>
      <c r="N238" s="3" t="s">
        <v>250</v>
      </c>
      <c r="O238" s="3">
        <v>251</v>
      </c>
      <c r="P238" s="36">
        <v>9.9597163506994004</v>
      </c>
      <c r="Q238" s="157">
        <v>250</v>
      </c>
      <c r="R238" s="157"/>
      <c r="S238" s="157"/>
      <c r="T238" s="62"/>
      <c r="U238" s="62"/>
      <c r="V238" s="62"/>
      <c r="W238" s="62"/>
      <c r="X238" s="62"/>
      <c r="Y238" s="62"/>
      <c r="Z238" s="62"/>
      <c r="AA238" s="62"/>
      <c r="AB238" s="62"/>
      <c r="AC238" s="36"/>
      <c r="AD238" s="36"/>
      <c r="AE238" s="36"/>
      <c r="AF238" s="36"/>
      <c r="AG238" s="36"/>
      <c r="AH238" s="36"/>
      <c r="AI238" s="36"/>
      <c r="AJ238" s="36"/>
      <c r="AK238" s="36"/>
    </row>
    <row r="239" spans="1:37" ht="20.25" customHeight="1">
      <c r="A239" s="71">
        <v>41422</v>
      </c>
      <c r="B239" s="72" t="s">
        <v>144</v>
      </c>
      <c r="C239" s="168">
        <v>2013</v>
      </c>
      <c r="D239" s="51">
        <v>4</v>
      </c>
      <c r="E239" s="51" t="s">
        <v>223</v>
      </c>
      <c r="F239" s="51" t="s">
        <v>224</v>
      </c>
      <c r="G239" s="51" t="s">
        <v>225</v>
      </c>
      <c r="H239" s="51" t="s">
        <v>248</v>
      </c>
      <c r="I239" s="34" t="s">
        <v>249</v>
      </c>
      <c r="J239" s="34" t="s">
        <v>250</v>
      </c>
      <c r="K239" s="3" t="s">
        <v>251</v>
      </c>
      <c r="L239" s="3">
        <v>18</v>
      </c>
      <c r="M239" s="3" t="s">
        <v>247</v>
      </c>
      <c r="N239" s="3" t="s">
        <v>250</v>
      </c>
      <c r="O239" s="3">
        <v>106</v>
      </c>
      <c r="P239" s="65">
        <v>16.956083202738657</v>
      </c>
      <c r="Q239" s="157">
        <v>250</v>
      </c>
      <c r="R239" s="157"/>
      <c r="S239" s="157"/>
      <c r="T239" s="62"/>
      <c r="U239" s="62"/>
      <c r="V239" s="62"/>
      <c r="W239" s="62"/>
      <c r="X239" s="62"/>
      <c r="Y239" s="62"/>
      <c r="Z239" s="62"/>
      <c r="AA239" s="62"/>
      <c r="AB239" s="62"/>
      <c r="AC239" s="36"/>
      <c r="AD239" s="36"/>
      <c r="AE239" s="36"/>
      <c r="AF239" s="36"/>
      <c r="AG239" s="36"/>
      <c r="AH239" s="36"/>
      <c r="AI239" s="36"/>
      <c r="AJ239" s="36"/>
      <c r="AK239" s="36"/>
    </row>
    <row r="240" spans="1:37" ht="20.25" customHeight="1">
      <c r="A240" s="71">
        <v>41422</v>
      </c>
      <c r="B240" s="72" t="s">
        <v>144</v>
      </c>
      <c r="C240" s="168">
        <v>2013</v>
      </c>
      <c r="D240" s="51">
        <v>5</v>
      </c>
      <c r="E240" s="51" t="s">
        <v>223</v>
      </c>
      <c r="F240" s="51" t="s">
        <v>224</v>
      </c>
      <c r="G240" s="51" t="s">
        <v>225</v>
      </c>
      <c r="H240" s="51" t="s">
        <v>248</v>
      </c>
      <c r="I240" s="34" t="s">
        <v>249</v>
      </c>
      <c r="J240" s="34" t="s">
        <v>250</v>
      </c>
      <c r="K240" s="3" t="s">
        <v>251</v>
      </c>
      <c r="L240" s="3">
        <v>15</v>
      </c>
      <c r="M240" s="3" t="s">
        <v>247</v>
      </c>
      <c r="N240" s="3" t="s">
        <v>250</v>
      </c>
      <c r="O240" s="3">
        <v>120</v>
      </c>
      <c r="P240" s="36">
        <v>12.5</v>
      </c>
      <c r="Q240" s="157">
        <v>250</v>
      </c>
      <c r="R240" s="157"/>
      <c r="S240" s="157"/>
      <c r="T240" s="62"/>
      <c r="U240" s="62"/>
      <c r="V240" s="62"/>
      <c r="W240" s="62"/>
      <c r="X240" s="62"/>
      <c r="Y240" s="62"/>
      <c r="Z240" s="62"/>
      <c r="AA240" s="62"/>
      <c r="AB240" s="62"/>
      <c r="AC240" s="36"/>
      <c r="AD240" s="36"/>
      <c r="AE240" s="36"/>
      <c r="AF240" s="36"/>
      <c r="AG240" s="36"/>
      <c r="AH240" s="36"/>
      <c r="AI240" s="36"/>
      <c r="AJ240" s="36"/>
      <c r="AK240" s="36"/>
    </row>
    <row r="241" spans="1:37" ht="20.25" customHeight="1">
      <c r="A241" s="13">
        <v>41422</v>
      </c>
      <c r="B241" s="35" t="s">
        <v>144</v>
      </c>
      <c r="C241" s="168">
        <v>2013</v>
      </c>
      <c r="D241" s="51">
        <v>8</v>
      </c>
      <c r="E241" s="3" t="s">
        <v>223</v>
      </c>
      <c r="F241" s="3" t="s">
        <v>224</v>
      </c>
      <c r="G241" s="3" t="s">
        <v>225</v>
      </c>
      <c r="H241" s="3" t="s">
        <v>248</v>
      </c>
      <c r="I241" s="3" t="s">
        <v>249</v>
      </c>
      <c r="J241" s="3" t="s">
        <v>250</v>
      </c>
      <c r="K241" s="3" t="s">
        <v>251</v>
      </c>
      <c r="L241" s="3">
        <v>20</v>
      </c>
      <c r="M241" s="3" t="s">
        <v>247</v>
      </c>
      <c r="N241" s="3" t="s">
        <v>250</v>
      </c>
      <c r="O241" s="3">
        <v>89</v>
      </c>
      <c r="P241" s="65">
        <v>22.466196971623198</v>
      </c>
      <c r="Q241" s="157">
        <v>250</v>
      </c>
      <c r="R241" s="157" t="s">
        <v>252</v>
      </c>
      <c r="S241" s="157"/>
      <c r="T241" s="62"/>
      <c r="U241" s="62"/>
      <c r="V241" s="62" t="e">
        <f>(#REF!/100)</f>
        <v>#REF!</v>
      </c>
      <c r="W241" s="62" t="e">
        <f t="shared" ref="W241" si="0">LN(V241)</f>
        <v>#REF!</v>
      </c>
      <c r="X241" s="62" t="e">
        <f t="shared" ref="X241" si="1">(V241*W241)</f>
        <v>#REF!</v>
      </c>
      <c r="Y241" s="62"/>
      <c r="Z241" s="62"/>
      <c r="AA241" s="62"/>
      <c r="AB241" s="62"/>
      <c r="AC241" s="36"/>
      <c r="AD241" s="36"/>
      <c r="AE241" s="36"/>
      <c r="AF241" s="36"/>
      <c r="AG241" s="36"/>
      <c r="AH241" s="36"/>
      <c r="AI241" s="36"/>
      <c r="AJ241" s="36"/>
      <c r="AK241" s="36"/>
    </row>
    <row r="242" spans="1:37" ht="20.25" customHeight="1">
      <c r="A242" s="13">
        <v>43019</v>
      </c>
      <c r="B242" s="72" t="s">
        <v>159</v>
      </c>
      <c r="C242" s="168">
        <v>2017</v>
      </c>
      <c r="D242" s="65">
        <v>4</v>
      </c>
      <c r="E242" s="36" t="s">
        <v>323</v>
      </c>
      <c r="F242" s="36" t="s">
        <v>489</v>
      </c>
      <c r="G242" s="36"/>
      <c r="H242" s="36" t="s">
        <v>490</v>
      </c>
      <c r="I242" s="36" t="s">
        <v>491</v>
      </c>
      <c r="J242" s="36" t="s">
        <v>371</v>
      </c>
      <c r="K242" s="3" t="s">
        <v>372</v>
      </c>
      <c r="L242" s="3">
        <v>14</v>
      </c>
      <c r="M242" s="3" t="s">
        <v>247</v>
      </c>
      <c r="N242" s="3" t="s">
        <v>371</v>
      </c>
      <c r="O242" s="3">
        <v>248</v>
      </c>
      <c r="P242" s="36">
        <v>5.5690158323797689</v>
      </c>
      <c r="Q242" s="36">
        <v>250</v>
      </c>
      <c r="R242" s="3"/>
      <c r="S242" s="3"/>
      <c r="T242" s="36"/>
      <c r="U242" s="36"/>
      <c r="V242" s="36"/>
      <c r="W242" s="36"/>
      <c r="X242" s="36"/>
      <c r="Y242" s="36"/>
      <c r="Z242" s="36"/>
    </row>
    <row r="243" spans="1:37" ht="20.25" customHeight="1">
      <c r="A243" s="71">
        <v>43019</v>
      </c>
      <c r="B243" s="72" t="s">
        <v>159</v>
      </c>
      <c r="C243" s="168">
        <v>2017</v>
      </c>
      <c r="D243" s="65">
        <v>5</v>
      </c>
      <c r="E243" s="36" t="s">
        <v>323</v>
      </c>
      <c r="F243" s="36" t="s">
        <v>489</v>
      </c>
      <c r="G243" s="36"/>
      <c r="H243" s="36" t="s">
        <v>490</v>
      </c>
      <c r="I243" s="36" t="s">
        <v>491</v>
      </c>
      <c r="J243" s="36" t="s">
        <v>371</v>
      </c>
      <c r="K243" s="3" t="s">
        <v>372</v>
      </c>
      <c r="L243" s="3">
        <v>4</v>
      </c>
      <c r="M243" s="3" t="s">
        <v>247</v>
      </c>
      <c r="N243" s="3" t="s">
        <v>371</v>
      </c>
      <c r="O243" s="3">
        <v>255</v>
      </c>
      <c r="P243" s="36">
        <v>1.5682796488609068</v>
      </c>
      <c r="Q243" s="3">
        <v>250</v>
      </c>
      <c r="R243" s="3"/>
      <c r="S243" s="3"/>
      <c r="T243" s="36"/>
      <c r="U243" s="36"/>
      <c r="V243" s="36"/>
      <c r="W243" s="36"/>
      <c r="X243" s="36"/>
      <c r="Y243" s="36"/>
      <c r="Z243" s="36"/>
    </row>
    <row r="244" spans="1:37" ht="20.25" customHeight="1">
      <c r="A244" s="13">
        <v>43019</v>
      </c>
      <c r="B244" s="72" t="s">
        <v>159</v>
      </c>
      <c r="C244" s="168">
        <v>2017</v>
      </c>
      <c r="D244" s="65">
        <v>8</v>
      </c>
      <c r="E244" s="36" t="s">
        <v>323</v>
      </c>
      <c r="F244" s="36" t="s">
        <v>489</v>
      </c>
      <c r="G244" s="36"/>
      <c r="H244" s="36" t="s">
        <v>490</v>
      </c>
      <c r="I244" s="36" t="s">
        <v>491</v>
      </c>
      <c r="J244" s="36" t="s">
        <v>371</v>
      </c>
      <c r="K244" s="3" t="s">
        <v>372</v>
      </c>
      <c r="L244" s="3">
        <v>7</v>
      </c>
      <c r="M244" s="3" t="s">
        <v>247</v>
      </c>
      <c r="N244" s="3" t="s">
        <v>371</v>
      </c>
      <c r="O244" s="3">
        <v>288</v>
      </c>
      <c r="P244" s="36">
        <v>2.3352733684651921</v>
      </c>
      <c r="Q244" s="3">
        <v>250</v>
      </c>
      <c r="R244" s="3"/>
      <c r="S244" s="3"/>
      <c r="T244" s="36"/>
      <c r="U244" s="36"/>
      <c r="V244" s="36"/>
      <c r="W244" s="36"/>
      <c r="X244" s="36"/>
      <c r="Y244" s="36"/>
      <c r="Z244" s="36"/>
    </row>
    <row r="245" spans="1:37" ht="20.25" customHeight="1">
      <c r="A245" s="13">
        <v>42867</v>
      </c>
      <c r="B245" s="72" t="s">
        <v>144</v>
      </c>
      <c r="C245" s="168">
        <v>2017</v>
      </c>
      <c r="D245" s="65">
        <v>4</v>
      </c>
      <c r="E245" s="36" t="s">
        <v>323</v>
      </c>
      <c r="F245" s="36" t="s">
        <v>489</v>
      </c>
      <c r="G245" s="36"/>
      <c r="H245" s="36" t="s">
        <v>490</v>
      </c>
      <c r="I245" s="36" t="s">
        <v>491</v>
      </c>
      <c r="J245" s="36" t="s">
        <v>371</v>
      </c>
      <c r="K245" s="3" t="s">
        <v>372</v>
      </c>
      <c r="L245" s="3">
        <v>2</v>
      </c>
      <c r="M245" s="3" t="s">
        <v>247</v>
      </c>
      <c r="N245" s="3" t="s">
        <v>371</v>
      </c>
      <c r="O245" s="3">
        <v>225</v>
      </c>
      <c r="P245" s="36">
        <v>0.87408018800341714</v>
      </c>
      <c r="Q245" s="3"/>
      <c r="R245" s="3"/>
      <c r="S245" s="3"/>
      <c r="T245" s="36"/>
      <c r="U245" s="36"/>
      <c r="V245" s="36"/>
      <c r="W245" s="36"/>
      <c r="X245" s="36"/>
      <c r="Y245" s="36"/>
      <c r="Z245" s="36"/>
    </row>
    <row r="246" spans="1:37" ht="20.25" customHeight="1">
      <c r="A246" s="35">
        <v>42634</v>
      </c>
      <c r="B246" s="72" t="s">
        <v>157</v>
      </c>
      <c r="C246" s="168">
        <v>2016</v>
      </c>
      <c r="D246" s="65">
        <v>4</v>
      </c>
      <c r="E246" s="65" t="s">
        <v>323</v>
      </c>
      <c r="F246" s="65" t="s">
        <v>489</v>
      </c>
      <c r="G246" s="65"/>
      <c r="H246" s="65" t="s">
        <v>490</v>
      </c>
      <c r="I246" s="65" t="s">
        <v>491</v>
      </c>
      <c r="J246" s="36" t="s">
        <v>371</v>
      </c>
      <c r="K246" s="36" t="s">
        <v>372</v>
      </c>
      <c r="L246" s="36">
        <v>1</v>
      </c>
      <c r="M246" s="36" t="s">
        <v>247</v>
      </c>
      <c r="N246" s="36" t="s">
        <v>371</v>
      </c>
      <c r="O246" s="36">
        <v>156</v>
      </c>
      <c r="P246" s="76">
        <v>0.63937497457156689</v>
      </c>
      <c r="Q246" s="36">
        <v>250</v>
      </c>
      <c r="R246" s="36"/>
      <c r="S246" s="36"/>
      <c r="T246" s="36"/>
      <c r="U246" s="36"/>
      <c r="V246" s="36"/>
      <c r="W246" s="36"/>
      <c r="X246" s="36"/>
      <c r="Y246" s="36"/>
      <c r="Z246" s="36"/>
    </row>
    <row r="247" spans="1:37" ht="20.25" customHeight="1">
      <c r="A247" s="13">
        <v>42634</v>
      </c>
      <c r="B247" s="35" t="s">
        <v>157</v>
      </c>
      <c r="C247" s="168">
        <v>2016</v>
      </c>
      <c r="D247" s="65">
        <v>5</v>
      </c>
      <c r="E247" s="36" t="s">
        <v>323</v>
      </c>
      <c r="F247" s="36" t="s">
        <v>489</v>
      </c>
      <c r="G247" s="36"/>
      <c r="H247" s="36" t="s">
        <v>490</v>
      </c>
      <c r="I247" s="36" t="s">
        <v>491</v>
      </c>
      <c r="J247" s="36" t="s">
        <v>371</v>
      </c>
      <c r="K247" s="36" t="s">
        <v>372</v>
      </c>
      <c r="L247" s="3">
        <v>4</v>
      </c>
      <c r="M247" s="3" t="s">
        <v>247</v>
      </c>
      <c r="N247" s="36" t="s">
        <v>371</v>
      </c>
      <c r="O247" s="3">
        <v>203</v>
      </c>
      <c r="P247" s="36">
        <v>1.9687183799590957</v>
      </c>
      <c r="Q247" s="36">
        <v>250</v>
      </c>
      <c r="R247" s="3"/>
      <c r="S247" s="3"/>
      <c r="T247" s="36"/>
      <c r="U247" s="36"/>
      <c r="V247" s="36"/>
      <c r="W247" s="36"/>
      <c r="X247" s="36"/>
      <c r="Y247" s="36"/>
      <c r="Z247" s="36"/>
    </row>
    <row r="248" spans="1:37" ht="20.25" customHeight="1">
      <c r="A248" s="35">
        <v>42634</v>
      </c>
      <c r="B248" s="72" t="s">
        <v>157</v>
      </c>
      <c r="C248" s="168">
        <v>2016</v>
      </c>
      <c r="D248" s="65">
        <v>8</v>
      </c>
      <c r="E248" s="36" t="s">
        <v>323</v>
      </c>
      <c r="F248" s="36" t="s">
        <v>489</v>
      </c>
      <c r="G248" s="36"/>
      <c r="H248" s="36" t="s">
        <v>490</v>
      </c>
      <c r="I248" s="36" t="s">
        <v>491</v>
      </c>
      <c r="J248" s="36" t="s">
        <v>371</v>
      </c>
      <c r="K248" s="36" t="s">
        <v>372</v>
      </c>
      <c r="L248" s="36">
        <v>9</v>
      </c>
      <c r="M248" s="3" t="s">
        <v>247</v>
      </c>
      <c r="N248" s="36" t="s">
        <v>371</v>
      </c>
      <c r="O248" s="36">
        <v>294</v>
      </c>
      <c r="P248" s="36">
        <v>2.8633370960550555</v>
      </c>
      <c r="Q248" s="3">
        <v>250</v>
      </c>
      <c r="R248" s="36"/>
      <c r="S248" s="36"/>
      <c r="T248" s="36"/>
      <c r="U248" s="36"/>
      <c r="V248" s="36"/>
      <c r="W248" s="36"/>
      <c r="X248" s="36"/>
      <c r="Y248" s="36"/>
      <c r="Z248" s="36"/>
    </row>
    <row r="249" spans="1:37" ht="20.25" customHeight="1">
      <c r="A249" s="169">
        <v>42515</v>
      </c>
      <c r="B249" s="169" t="s">
        <v>144</v>
      </c>
      <c r="C249" s="176">
        <v>2016</v>
      </c>
      <c r="D249" s="170">
        <v>8</v>
      </c>
      <c r="E249" s="171" t="s">
        <v>323</v>
      </c>
      <c r="F249" s="171" t="s">
        <v>489</v>
      </c>
      <c r="G249" s="171"/>
      <c r="H249" s="171" t="s">
        <v>490</v>
      </c>
      <c r="I249" s="171" t="s">
        <v>491</v>
      </c>
      <c r="J249" s="171" t="s">
        <v>371</v>
      </c>
      <c r="K249" s="171" t="s">
        <v>372</v>
      </c>
      <c r="L249" s="171">
        <v>1</v>
      </c>
      <c r="M249" s="171" t="s">
        <v>247</v>
      </c>
      <c r="N249" s="171" t="s">
        <v>371</v>
      </c>
      <c r="O249" s="171">
        <v>252</v>
      </c>
      <c r="P249" s="171">
        <v>0.39677710006952888</v>
      </c>
      <c r="Q249" s="171">
        <v>250</v>
      </c>
      <c r="R249" s="171"/>
      <c r="S249" s="171"/>
      <c r="T249" s="36"/>
      <c r="U249" s="36"/>
      <c r="V249" s="36"/>
      <c r="W249" s="36"/>
      <c r="X249" s="36"/>
      <c r="Y249" s="36"/>
      <c r="Z249" s="36"/>
    </row>
    <row r="250" spans="1:37" ht="20.25" customHeight="1">
      <c r="A250" s="71">
        <v>41912</v>
      </c>
      <c r="B250" s="35" t="s">
        <v>157</v>
      </c>
      <c r="C250" s="168">
        <v>2014</v>
      </c>
      <c r="D250" s="36">
        <v>4</v>
      </c>
      <c r="E250" s="65" t="s">
        <v>323</v>
      </c>
      <c r="F250" s="65" t="s">
        <v>489</v>
      </c>
      <c r="G250" s="65"/>
      <c r="H250" s="65" t="s">
        <v>490</v>
      </c>
      <c r="I250" s="65" t="s">
        <v>491</v>
      </c>
      <c r="J250" s="36" t="s">
        <v>371</v>
      </c>
      <c r="K250" s="36" t="s">
        <v>372</v>
      </c>
      <c r="L250" s="3">
        <v>5</v>
      </c>
      <c r="M250" s="3" t="s">
        <v>247</v>
      </c>
      <c r="N250" s="3" t="s">
        <v>371</v>
      </c>
      <c r="O250" s="3">
        <v>237</v>
      </c>
      <c r="P250" s="36">
        <v>2.1054794980903115</v>
      </c>
      <c r="Q250" s="65">
        <v>250</v>
      </c>
      <c r="R250" s="51"/>
      <c r="S250" s="51"/>
      <c r="T250" s="65"/>
      <c r="U250" s="36"/>
      <c r="V250" s="36"/>
      <c r="W250" s="36"/>
      <c r="X250" s="36"/>
      <c r="Y250" s="36"/>
      <c r="Z250" s="36"/>
    </row>
    <row r="251" spans="1:37" ht="20.25" customHeight="1">
      <c r="A251" s="13">
        <v>41912</v>
      </c>
      <c r="B251" s="72" t="s">
        <v>157</v>
      </c>
      <c r="C251" s="168">
        <v>2014</v>
      </c>
      <c r="D251" s="36">
        <v>5</v>
      </c>
      <c r="E251" s="36" t="s">
        <v>323</v>
      </c>
      <c r="F251" s="36" t="s">
        <v>489</v>
      </c>
      <c r="G251" s="36"/>
      <c r="H251" s="36" t="s">
        <v>490</v>
      </c>
      <c r="I251" s="36" t="s">
        <v>491</v>
      </c>
      <c r="J251" s="36" t="s">
        <v>371</v>
      </c>
      <c r="K251" s="3" t="s">
        <v>372</v>
      </c>
      <c r="L251" s="3">
        <v>2</v>
      </c>
      <c r="M251" s="3" t="s">
        <v>247</v>
      </c>
      <c r="N251" s="3" t="s">
        <v>371</v>
      </c>
      <c r="O251" s="3">
        <v>216</v>
      </c>
      <c r="P251" s="36">
        <v>0.92410867849487799</v>
      </c>
      <c r="Q251" s="3">
        <v>250</v>
      </c>
      <c r="R251" s="3"/>
      <c r="S251" s="3"/>
      <c r="T251" s="36"/>
      <c r="U251" s="36"/>
      <c r="V251" s="36"/>
      <c r="W251" s="36"/>
      <c r="X251" s="36"/>
      <c r="Y251" s="36"/>
      <c r="Z251" s="36"/>
    </row>
    <row r="252" spans="1:37" ht="20.25" customHeight="1">
      <c r="A252" s="35">
        <v>41761</v>
      </c>
      <c r="B252" s="72" t="s">
        <v>144</v>
      </c>
      <c r="C252" s="168">
        <v>2014</v>
      </c>
      <c r="D252" s="65">
        <v>5</v>
      </c>
      <c r="E252" s="36" t="s">
        <v>677</v>
      </c>
      <c r="F252" s="36"/>
      <c r="G252" s="36"/>
      <c r="H252" s="36"/>
      <c r="I252" s="36"/>
      <c r="J252" s="36"/>
      <c r="K252" s="36"/>
      <c r="L252" s="36">
        <v>1</v>
      </c>
      <c r="M252" s="36"/>
      <c r="N252" s="36" t="s">
        <v>505</v>
      </c>
      <c r="O252" s="36">
        <v>300</v>
      </c>
      <c r="P252" s="65">
        <v>0.33263927147670036</v>
      </c>
      <c r="Q252" s="36">
        <v>250</v>
      </c>
      <c r="R252" s="36"/>
      <c r="S252" s="36"/>
      <c r="T252" s="36"/>
      <c r="U252" s="36"/>
      <c r="V252" s="36"/>
      <c r="W252" s="36"/>
      <c r="X252" s="36"/>
      <c r="Y252" s="36"/>
      <c r="Z252" s="36"/>
    </row>
    <row r="253" spans="1:37" ht="20.25" customHeight="1">
      <c r="A253" s="35">
        <v>43019</v>
      </c>
      <c r="B253" s="35" t="s">
        <v>159</v>
      </c>
      <c r="C253" s="168">
        <v>2017</v>
      </c>
      <c r="D253" s="65">
        <v>2</v>
      </c>
      <c r="E253" s="65" t="s">
        <v>223</v>
      </c>
      <c r="F253" s="65" t="s">
        <v>267</v>
      </c>
      <c r="G253" s="65" t="s">
        <v>278</v>
      </c>
      <c r="H253" s="65" t="s">
        <v>279</v>
      </c>
      <c r="I253" s="65" t="s">
        <v>280</v>
      </c>
      <c r="J253" s="36" t="s">
        <v>284</v>
      </c>
      <c r="K253" s="36" t="s">
        <v>285</v>
      </c>
      <c r="L253" s="36">
        <v>299</v>
      </c>
      <c r="M253" s="36" t="s">
        <v>247</v>
      </c>
      <c r="N253" s="36" t="s">
        <v>24</v>
      </c>
      <c r="O253" s="36">
        <v>317</v>
      </c>
      <c r="P253" s="36">
        <v>1.0072146097154706</v>
      </c>
      <c r="Q253" s="36">
        <v>1000</v>
      </c>
      <c r="R253" s="36"/>
      <c r="S253" s="36"/>
      <c r="T253" s="36"/>
      <c r="U253" s="36"/>
      <c r="V253" s="36"/>
      <c r="W253" s="36"/>
      <c r="X253" s="36"/>
      <c r="Y253" s="36"/>
      <c r="Z253" s="36"/>
    </row>
    <row r="254" spans="1:37" ht="20.25" customHeight="1">
      <c r="A254" s="13">
        <v>43019</v>
      </c>
      <c r="B254" s="72" t="s">
        <v>159</v>
      </c>
      <c r="C254" s="168">
        <v>2017</v>
      </c>
      <c r="D254" s="65">
        <v>4</v>
      </c>
      <c r="E254" s="65" t="s">
        <v>223</v>
      </c>
      <c r="F254" s="65" t="s">
        <v>267</v>
      </c>
      <c r="G254" s="65" t="s">
        <v>278</v>
      </c>
      <c r="H254" s="65" t="s">
        <v>279</v>
      </c>
      <c r="I254" s="65" t="s">
        <v>280</v>
      </c>
      <c r="J254" s="36" t="s">
        <v>284</v>
      </c>
      <c r="K254" s="36" t="s">
        <v>285</v>
      </c>
      <c r="L254" s="36">
        <v>193</v>
      </c>
      <c r="M254" s="36" t="s">
        <v>247</v>
      </c>
      <c r="N254" s="36" t="s">
        <v>24</v>
      </c>
      <c r="O254" s="3">
        <v>214</v>
      </c>
      <c r="P254" s="36">
        <v>1.2164973961864765</v>
      </c>
      <c r="Q254" s="36">
        <v>1000</v>
      </c>
      <c r="R254" s="3"/>
      <c r="S254" s="3"/>
      <c r="T254" s="36"/>
      <c r="U254" s="36"/>
      <c r="V254" s="36"/>
      <c r="W254" s="36"/>
      <c r="X254" s="36"/>
      <c r="Y254" s="36"/>
      <c r="Z254" s="36"/>
    </row>
    <row r="255" spans="1:37" ht="20.25" customHeight="1">
      <c r="A255" s="13">
        <v>43019</v>
      </c>
      <c r="B255" s="35" t="s">
        <v>159</v>
      </c>
      <c r="C255" s="168">
        <v>2017</v>
      </c>
      <c r="D255" s="65">
        <v>8</v>
      </c>
      <c r="E255" s="36" t="s">
        <v>223</v>
      </c>
      <c r="F255" s="36" t="s">
        <v>267</v>
      </c>
      <c r="G255" s="36" t="s">
        <v>278</v>
      </c>
      <c r="H255" s="36" t="s">
        <v>279</v>
      </c>
      <c r="I255" s="36" t="s">
        <v>280</v>
      </c>
      <c r="J255" s="36" t="s">
        <v>284</v>
      </c>
      <c r="K255" s="36" t="s">
        <v>285</v>
      </c>
      <c r="L255" s="36">
        <v>313</v>
      </c>
      <c r="M255" s="36" t="s">
        <v>247</v>
      </c>
      <c r="N255" s="36" t="s">
        <v>24</v>
      </c>
      <c r="O255" s="3">
        <v>313</v>
      </c>
      <c r="P255" s="36">
        <v>3.9201814117177531</v>
      </c>
      <c r="Q255" s="36">
        <v>1000</v>
      </c>
      <c r="R255" s="3"/>
      <c r="S255" s="3"/>
      <c r="T255" s="36"/>
      <c r="U255" s="36"/>
      <c r="V255" s="36"/>
      <c r="W255" s="36"/>
      <c r="X255" s="36"/>
      <c r="Y255" s="36"/>
      <c r="Z255" s="36"/>
    </row>
    <row r="256" spans="1:37" ht="20.25" customHeight="1">
      <c r="A256" s="13">
        <v>42928</v>
      </c>
      <c r="B256" s="35" t="s">
        <v>154</v>
      </c>
      <c r="C256" s="168">
        <v>2017</v>
      </c>
      <c r="D256" s="65">
        <v>2</v>
      </c>
      <c r="E256" s="36" t="s">
        <v>223</v>
      </c>
      <c r="F256" s="36" t="s">
        <v>267</v>
      </c>
      <c r="G256" s="36" t="s">
        <v>278</v>
      </c>
      <c r="H256" s="36" t="s">
        <v>279</v>
      </c>
      <c r="I256" s="36" t="s">
        <v>280</v>
      </c>
      <c r="J256" s="36" t="s">
        <v>284</v>
      </c>
      <c r="K256" s="36" t="s">
        <v>285</v>
      </c>
      <c r="L256" s="36">
        <v>98</v>
      </c>
      <c r="M256" s="36" t="s">
        <v>247</v>
      </c>
      <c r="N256" s="36" t="s">
        <v>24</v>
      </c>
      <c r="O256" s="3">
        <v>116</v>
      </c>
      <c r="P256" s="36">
        <v>8.5734814479222599E-2</v>
      </c>
      <c r="Q256" s="36">
        <v>1000</v>
      </c>
      <c r="R256" s="3"/>
      <c r="S256" s="3"/>
      <c r="T256" s="36"/>
      <c r="U256" s="36"/>
      <c r="V256" s="36"/>
      <c r="W256" s="36"/>
      <c r="X256" s="36"/>
      <c r="Y256" s="36"/>
      <c r="Z256" s="36"/>
    </row>
    <row r="257" spans="1:26" ht="14">
      <c r="A257" s="13">
        <v>42928</v>
      </c>
      <c r="B257" s="72" t="s">
        <v>154</v>
      </c>
      <c r="C257" s="168">
        <v>2017</v>
      </c>
      <c r="D257" s="65">
        <v>4</v>
      </c>
      <c r="E257" s="36" t="s">
        <v>223</v>
      </c>
      <c r="F257" s="36" t="s">
        <v>267</v>
      </c>
      <c r="G257" s="36" t="s">
        <v>278</v>
      </c>
      <c r="H257" s="36" t="s">
        <v>279</v>
      </c>
      <c r="I257" s="36" t="s">
        <v>280</v>
      </c>
      <c r="J257" s="36" t="s">
        <v>284</v>
      </c>
      <c r="K257" s="36" t="s">
        <v>285</v>
      </c>
      <c r="L257" s="36">
        <v>88</v>
      </c>
      <c r="M257" s="36" t="s">
        <v>247</v>
      </c>
      <c r="N257" s="36" t="s">
        <v>24</v>
      </c>
      <c r="O257" s="3">
        <v>92</v>
      </c>
      <c r="P257" s="53">
        <v>0.38369038019046181</v>
      </c>
      <c r="Q257" s="36">
        <v>1000</v>
      </c>
      <c r="R257" s="3"/>
      <c r="S257" s="3"/>
      <c r="T257" s="36"/>
      <c r="U257" s="36"/>
      <c r="V257" s="36"/>
      <c r="W257" s="36"/>
      <c r="X257" s="36"/>
      <c r="Y257" s="36"/>
      <c r="Z257" s="36"/>
    </row>
    <row r="258" spans="1:26" ht="14">
      <c r="A258" s="13">
        <v>42928</v>
      </c>
      <c r="B258" s="72" t="s">
        <v>154</v>
      </c>
      <c r="C258" s="168">
        <v>2017</v>
      </c>
      <c r="D258" s="65">
        <v>5</v>
      </c>
      <c r="E258" s="36" t="s">
        <v>223</v>
      </c>
      <c r="F258" s="36" t="s">
        <v>267</v>
      </c>
      <c r="G258" s="36" t="s">
        <v>278</v>
      </c>
      <c r="H258" s="36" t="s">
        <v>279</v>
      </c>
      <c r="I258" s="36" t="s">
        <v>280</v>
      </c>
      <c r="J258" s="36" t="s">
        <v>284</v>
      </c>
      <c r="K258" s="36" t="s">
        <v>285</v>
      </c>
      <c r="L258" s="36">
        <v>1</v>
      </c>
      <c r="M258" s="36" t="s">
        <v>247</v>
      </c>
      <c r="N258" s="36" t="s">
        <v>24</v>
      </c>
      <c r="O258" s="3">
        <v>6</v>
      </c>
      <c r="P258" s="53">
        <v>7.3036537884469521E-3</v>
      </c>
      <c r="Q258" s="36">
        <v>1000</v>
      </c>
      <c r="R258" s="3"/>
      <c r="S258" s="3"/>
      <c r="T258" s="36"/>
      <c r="U258" s="36"/>
      <c r="V258" s="36"/>
      <c r="W258" s="36"/>
      <c r="X258" s="36"/>
      <c r="Y258" s="36"/>
      <c r="Z258" s="36"/>
    </row>
    <row r="259" spans="1:26" ht="14">
      <c r="A259" s="13">
        <v>42928</v>
      </c>
      <c r="B259" s="72" t="s">
        <v>154</v>
      </c>
      <c r="C259" s="168">
        <v>2017</v>
      </c>
      <c r="D259" s="65">
        <v>8</v>
      </c>
      <c r="E259" s="36" t="s">
        <v>223</v>
      </c>
      <c r="F259" s="36" t="s">
        <v>267</v>
      </c>
      <c r="G259" s="36" t="s">
        <v>278</v>
      </c>
      <c r="H259" s="36" t="s">
        <v>279</v>
      </c>
      <c r="I259" s="36" t="s">
        <v>280</v>
      </c>
      <c r="J259" s="36" t="s">
        <v>284</v>
      </c>
      <c r="K259" s="36" t="s">
        <v>285</v>
      </c>
      <c r="L259" s="36">
        <v>15</v>
      </c>
      <c r="M259" s="36" t="s">
        <v>247</v>
      </c>
      <c r="N259" s="36" t="s">
        <v>24</v>
      </c>
      <c r="O259" s="3">
        <v>26</v>
      </c>
      <c r="P259" s="53">
        <v>2.1873564331919289E-2</v>
      </c>
      <c r="Q259" s="36">
        <v>1000</v>
      </c>
      <c r="R259" s="3"/>
      <c r="S259" s="3"/>
      <c r="T259" s="36"/>
      <c r="U259" s="36"/>
      <c r="V259" s="36"/>
      <c r="W259" s="36"/>
      <c r="X259" s="36"/>
      <c r="Y259" s="36"/>
      <c r="Z259" s="36"/>
    </row>
    <row r="260" spans="1:26" ht="14">
      <c r="A260" s="13">
        <v>42867</v>
      </c>
      <c r="B260" s="72" t="s">
        <v>144</v>
      </c>
      <c r="C260" s="168">
        <v>2017</v>
      </c>
      <c r="D260" s="65">
        <v>4</v>
      </c>
      <c r="E260" s="36" t="s">
        <v>223</v>
      </c>
      <c r="F260" s="36" t="s">
        <v>267</v>
      </c>
      <c r="G260" s="36" t="s">
        <v>278</v>
      </c>
      <c r="H260" s="36" t="s">
        <v>279</v>
      </c>
      <c r="I260" s="36" t="s">
        <v>280</v>
      </c>
      <c r="J260" s="36" t="s">
        <v>284</v>
      </c>
      <c r="K260" s="36" t="s">
        <v>285</v>
      </c>
      <c r="L260" s="36">
        <v>640</v>
      </c>
      <c r="M260" s="36" t="s">
        <v>247</v>
      </c>
      <c r="N260" s="36" t="s">
        <v>24</v>
      </c>
      <c r="O260" s="3">
        <v>664</v>
      </c>
      <c r="P260" s="53">
        <v>1.6057627466172855</v>
      </c>
      <c r="Q260" s="36">
        <v>1000</v>
      </c>
      <c r="R260" s="3"/>
      <c r="S260" s="3"/>
      <c r="T260" s="36"/>
      <c r="U260" s="36"/>
      <c r="V260" s="36"/>
      <c r="W260" s="36"/>
      <c r="X260" s="36"/>
      <c r="Y260" s="36"/>
      <c r="Z260" s="36"/>
    </row>
    <row r="261" spans="1:26" ht="14">
      <c r="A261" s="13">
        <v>42867</v>
      </c>
      <c r="B261" s="72" t="s">
        <v>144</v>
      </c>
      <c r="C261" s="168">
        <v>2017</v>
      </c>
      <c r="D261" s="65">
        <v>5</v>
      </c>
      <c r="E261" s="36" t="s">
        <v>223</v>
      </c>
      <c r="F261" s="36" t="s">
        <v>267</v>
      </c>
      <c r="G261" s="36" t="s">
        <v>278</v>
      </c>
      <c r="H261" s="36" t="s">
        <v>279</v>
      </c>
      <c r="I261" s="65" t="s">
        <v>280</v>
      </c>
      <c r="J261" s="65" t="s">
        <v>284</v>
      </c>
      <c r="K261" s="36" t="s">
        <v>285</v>
      </c>
      <c r="L261" s="36">
        <v>2</v>
      </c>
      <c r="M261" s="36" t="s">
        <v>247</v>
      </c>
      <c r="N261" s="36" t="s">
        <v>24</v>
      </c>
      <c r="O261" s="3">
        <v>16</v>
      </c>
      <c r="P261" s="53">
        <v>4.0568081707308325E-3</v>
      </c>
      <c r="Q261" s="65">
        <v>1000</v>
      </c>
      <c r="R261" s="51"/>
      <c r="S261" s="51"/>
      <c r="T261" s="65"/>
      <c r="U261" s="36"/>
      <c r="V261" s="36"/>
      <c r="W261" s="36"/>
      <c r="X261" s="36"/>
      <c r="Y261" s="36"/>
      <c r="Z261" s="36"/>
    </row>
    <row r="262" spans="1:26" ht="14">
      <c r="A262" s="35">
        <v>42634</v>
      </c>
      <c r="B262" s="72" t="s">
        <v>157</v>
      </c>
      <c r="C262" s="168">
        <v>2016</v>
      </c>
      <c r="D262" s="65">
        <v>2</v>
      </c>
      <c r="E262" s="36" t="s">
        <v>223</v>
      </c>
      <c r="F262" s="36" t="s">
        <v>267</v>
      </c>
      <c r="G262" s="36" t="s">
        <v>278</v>
      </c>
      <c r="H262" s="36" t="s">
        <v>279</v>
      </c>
      <c r="I262" s="36" t="s">
        <v>280</v>
      </c>
      <c r="J262" s="36" t="s">
        <v>284</v>
      </c>
      <c r="K262" s="36" t="s">
        <v>285</v>
      </c>
      <c r="L262" s="36">
        <v>5</v>
      </c>
      <c r="M262" s="36" t="s">
        <v>247</v>
      </c>
      <c r="N262" s="36" t="s">
        <v>24</v>
      </c>
      <c r="O262" s="36">
        <v>19</v>
      </c>
      <c r="P262" s="53">
        <v>3.5625341099838493E-3</v>
      </c>
      <c r="Q262" s="36">
        <v>1000</v>
      </c>
      <c r="R262" s="36"/>
      <c r="S262" s="36"/>
      <c r="T262" s="36"/>
      <c r="U262" s="36"/>
      <c r="V262" s="36"/>
      <c r="W262" s="36"/>
      <c r="X262" s="36"/>
      <c r="Y262" s="36"/>
      <c r="Z262" s="36"/>
    </row>
    <row r="263" spans="1:26" ht="14">
      <c r="A263" s="35">
        <v>42634</v>
      </c>
      <c r="B263" s="72" t="s">
        <v>157</v>
      </c>
      <c r="C263" s="168">
        <v>2016</v>
      </c>
      <c r="D263" s="65">
        <v>4</v>
      </c>
      <c r="E263" s="36" t="s">
        <v>223</v>
      </c>
      <c r="F263" s="36" t="s">
        <v>267</v>
      </c>
      <c r="G263" s="36" t="s">
        <v>278</v>
      </c>
      <c r="H263" s="36" t="s">
        <v>279</v>
      </c>
      <c r="I263" s="36" t="s">
        <v>280</v>
      </c>
      <c r="J263" s="36" t="s">
        <v>284</v>
      </c>
      <c r="K263" s="36" t="s">
        <v>285</v>
      </c>
      <c r="L263" s="36">
        <v>117</v>
      </c>
      <c r="M263" s="36" t="s">
        <v>247</v>
      </c>
      <c r="N263" s="36" t="s">
        <v>24</v>
      </c>
      <c r="O263" s="36">
        <v>127</v>
      </c>
      <c r="P263" s="53">
        <v>0.23722806393514126</v>
      </c>
      <c r="Q263" s="36">
        <v>1000</v>
      </c>
      <c r="R263" s="36"/>
      <c r="S263" s="36"/>
      <c r="T263" s="36"/>
      <c r="U263" s="36"/>
      <c r="V263" s="36"/>
      <c r="W263" s="36"/>
      <c r="X263" s="36"/>
      <c r="Y263" s="36"/>
      <c r="Z263" s="36"/>
    </row>
    <row r="264" spans="1:26" ht="14">
      <c r="A264" s="35">
        <v>42634</v>
      </c>
      <c r="B264" s="35" t="s">
        <v>157</v>
      </c>
      <c r="C264" s="168">
        <v>2016</v>
      </c>
      <c r="D264" s="65">
        <v>5</v>
      </c>
      <c r="E264" s="36" t="s">
        <v>223</v>
      </c>
      <c r="F264" s="36" t="s">
        <v>267</v>
      </c>
      <c r="G264" s="36" t="s">
        <v>278</v>
      </c>
      <c r="H264" s="36" t="s">
        <v>279</v>
      </c>
      <c r="I264" s="36" t="s">
        <v>280</v>
      </c>
      <c r="J264" s="36" t="s">
        <v>284</v>
      </c>
      <c r="K264" s="36" t="s">
        <v>285</v>
      </c>
      <c r="L264" s="36">
        <v>46</v>
      </c>
      <c r="M264" s="36" t="s">
        <v>247</v>
      </c>
      <c r="N264" s="36" t="s">
        <v>24</v>
      </c>
      <c r="O264" s="36">
        <v>93</v>
      </c>
      <c r="P264" s="53">
        <v>4.3300451456890064E-2</v>
      </c>
      <c r="Q264" s="36">
        <v>1000</v>
      </c>
      <c r="R264" s="36" t="s">
        <v>511</v>
      </c>
      <c r="S264" s="36"/>
      <c r="T264" s="36"/>
      <c r="U264" s="36"/>
      <c r="V264" s="36"/>
      <c r="W264" s="36"/>
      <c r="X264" s="36"/>
      <c r="Y264" s="36"/>
      <c r="Z264" s="36"/>
    </row>
    <row r="265" spans="1:26" ht="14">
      <c r="A265" s="35">
        <v>42571</v>
      </c>
      <c r="B265" s="35" t="s">
        <v>154</v>
      </c>
      <c r="C265" s="168">
        <v>2016</v>
      </c>
      <c r="D265" s="36">
        <v>4</v>
      </c>
      <c r="E265" s="36" t="s">
        <v>223</v>
      </c>
      <c r="F265" s="36" t="s">
        <v>267</v>
      </c>
      <c r="G265" s="36" t="s">
        <v>278</v>
      </c>
      <c r="H265" s="36" t="s">
        <v>279</v>
      </c>
      <c r="I265" s="65" t="s">
        <v>280</v>
      </c>
      <c r="J265" s="65" t="s">
        <v>284</v>
      </c>
      <c r="K265" s="36" t="s">
        <v>285</v>
      </c>
      <c r="L265" s="36">
        <v>9</v>
      </c>
      <c r="M265" s="36" t="s">
        <v>247</v>
      </c>
      <c r="N265" s="36" t="s">
        <v>24</v>
      </c>
      <c r="O265" s="36">
        <v>13</v>
      </c>
      <c r="P265" s="53">
        <v>2.7112494075920045E-2</v>
      </c>
      <c r="Q265" s="65">
        <v>1000</v>
      </c>
      <c r="R265" s="65"/>
      <c r="S265" s="65"/>
      <c r="T265" s="166"/>
      <c r="U265" s="36"/>
      <c r="V265" s="36"/>
      <c r="W265" s="36"/>
      <c r="X265" s="36"/>
      <c r="Y265" s="36"/>
      <c r="Z265" s="36"/>
    </row>
    <row r="266" spans="1:26" ht="14">
      <c r="A266" s="35">
        <v>41851</v>
      </c>
      <c r="B266" s="35" t="s">
        <v>154</v>
      </c>
      <c r="C266" s="168">
        <v>2014</v>
      </c>
      <c r="D266" s="65">
        <v>4</v>
      </c>
      <c r="E266" s="36" t="s">
        <v>223</v>
      </c>
      <c r="F266" s="36" t="s">
        <v>267</v>
      </c>
      <c r="G266" s="36" t="s">
        <v>278</v>
      </c>
      <c r="H266" s="36" t="s">
        <v>279</v>
      </c>
      <c r="I266" s="36" t="s">
        <v>280</v>
      </c>
      <c r="J266" s="36" t="s">
        <v>284</v>
      </c>
      <c r="K266" s="36" t="s">
        <v>285</v>
      </c>
      <c r="L266" s="36">
        <v>100</v>
      </c>
      <c r="M266" s="36" t="s">
        <v>247</v>
      </c>
      <c r="N266" s="36" t="s">
        <v>24</v>
      </c>
      <c r="O266" s="36">
        <v>678</v>
      </c>
      <c r="P266" s="53">
        <v>0.38690730288093339</v>
      </c>
      <c r="Q266" s="36">
        <v>1000</v>
      </c>
      <c r="R266" s="36" t="s">
        <v>593</v>
      </c>
      <c r="S266" s="36"/>
      <c r="T266" s="36"/>
      <c r="U266" s="36"/>
      <c r="V266" s="36"/>
      <c r="W266" s="36"/>
      <c r="X266" s="36"/>
      <c r="Y266" s="36"/>
      <c r="Z266" s="36"/>
    </row>
    <row r="267" spans="1:26" ht="14">
      <c r="A267" s="35">
        <v>41851</v>
      </c>
      <c r="B267" s="72" t="s">
        <v>154</v>
      </c>
      <c r="C267" s="168">
        <v>2014</v>
      </c>
      <c r="D267" s="36">
        <v>4</v>
      </c>
      <c r="E267" s="65" t="s">
        <v>223</v>
      </c>
      <c r="F267" s="65" t="s">
        <v>267</v>
      </c>
      <c r="G267" s="65" t="s">
        <v>278</v>
      </c>
      <c r="H267" s="65" t="s">
        <v>279</v>
      </c>
      <c r="I267" s="65" t="s">
        <v>280</v>
      </c>
      <c r="J267" s="36"/>
      <c r="K267" s="36"/>
      <c r="L267" s="36">
        <v>157</v>
      </c>
      <c r="M267" s="36" t="s">
        <v>509</v>
      </c>
      <c r="N267" s="36" t="s">
        <v>24</v>
      </c>
      <c r="O267" s="36">
        <v>678</v>
      </c>
      <c r="P267" s="53">
        <v>0.60744446552306541</v>
      </c>
      <c r="Q267" s="36">
        <v>1000</v>
      </c>
      <c r="R267" s="36" t="s">
        <v>592</v>
      </c>
      <c r="S267" s="36"/>
      <c r="T267" s="36"/>
      <c r="U267" s="36"/>
      <c r="V267" s="36"/>
      <c r="W267" s="36"/>
      <c r="X267" s="36"/>
      <c r="Y267" s="36"/>
      <c r="Z267" s="36"/>
    </row>
    <row r="268" spans="1:26" ht="14">
      <c r="A268" s="35">
        <v>42634</v>
      </c>
      <c r="B268" s="35" t="s">
        <v>157</v>
      </c>
      <c r="C268" s="168">
        <v>2016</v>
      </c>
      <c r="D268" s="65">
        <v>8</v>
      </c>
      <c r="E268" s="36" t="s">
        <v>223</v>
      </c>
      <c r="F268" s="36" t="s">
        <v>267</v>
      </c>
      <c r="G268" s="36" t="s">
        <v>278</v>
      </c>
      <c r="H268" s="36" t="s">
        <v>279</v>
      </c>
      <c r="I268" s="36" t="s">
        <v>280</v>
      </c>
      <c r="J268" s="36" t="s">
        <v>284</v>
      </c>
      <c r="K268" s="36" t="s">
        <v>285</v>
      </c>
      <c r="L268" s="36">
        <v>3601</v>
      </c>
      <c r="M268" s="36" t="s">
        <v>247</v>
      </c>
      <c r="N268" s="36" t="s">
        <v>283</v>
      </c>
      <c r="O268" s="36">
        <v>3658</v>
      </c>
      <c r="P268" s="36">
        <v>6.3635926258759916</v>
      </c>
      <c r="Q268" s="36">
        <v>1000</v>
      </c>
      <c r="R268" s="36"/>
      <c r="S268" s="36"/>
      <c r="T268" s="36"/>
      <c r="U268" s="36"/>
      <c r="V268" s="36"/>
      <c r="W268" s="36"/>
      <c r="X268" s="36"/>
      <c r="Y268" s="36"/>
      <c r="Z268" s="36"/>
    </row>
    <row r="269" spans="1:26" s="56" customFormat="1" ht="14">
      <c r="A269" s="86">
        <v>42571</v>
      </c>
      <c r="B269" s="35" t="s">
        <v>154</v>
      </c>
      <c r="C269" s="168">
        <v>2016</v>
      </c>
      <c r="D269" s="76">
        <v>5</v>
      </c>
      <c r="E269" s="36" t="s">
        <v>223</v>
      </c>
      <c r="F269" s="36" t="s">
        <v>267</v>
      </c>
      <c r="G269" s="36" t="s">
        <v>278</v>
      </c>
      <c r="H269" s="36" t="s">
        <v>279</v>
      </c>
      <c r="I269" s="65" t="s">
        <v>280</v>
      </c>
      <c r="J269" s="65" t="s">
        <v>284</v>
      </c>
      <c r="K269" s="36" t="s">
        <v>285</v>
      </c>
      <c r="L269" s="36">
        <v>1</v>
      </c>
      <c r="M269" s="36" t="s">
        <v>247</v>
      </c>
      <c r="N269" s="36" t="s">
        <v>283</v>
      </c>
      <c r="O269" s="36">
        <v>2</v>
      </c>
      <c r="P269" s="65">
        <v>4.7613672886955352E-3</v>
      </c>
      <c r="Q269" s="65">
        <v>1000</v>
      </c>
      <c r="R269" s="65"/>
      <c r="S269" s="65"/>
      <c r="T269" s="65"/>
      <c r="U269" s="55"/>
      <c r="V269" s="55"/>
      <c r="W269" s="55"/>
      <c r="X269" s="55"/>
      <c r="Y269" s="55"/>
      <c r="Z269" s="55"/>
    </row>
    <row r="270" spans="1:26" s="56" customFormat="1" ht="14">
      <c r="A270" s="35">
        <v>42515</v>
      </c>
      <c r="B270" s="35" t="s">
        <v>144</v>
      </c>
      <c r="C270" s="168">
        <v>2016</v>
      </c>
      <c r="D270" s="76">
        <v>4</v>
      </c>
      <c r="E270" s="36" t="s">
        <v>223</v>
      </c>
      <c r="F270" s="36" t="s">
        <v>267</v>
      </c>
      <c r="G270" s="36" t="s">
        <v>278</v>
      </c>
      <c r="H270" s="36" t="s">
        <v>279</v>
      </c>
      <c r="I270" s="65" t="s">
        <v>280</v>
      </c>
      <c r="J270" s="65" t="s">
        <v>284</v>
      </c>
      <c r="K270" s="36" t="s">
        <v>285</v>
      </c>
      <c r="L270" s="36">
        <v>12</v>
      </c>
      <c r="M270" s="36" t="s">
        <v>247</v>
      </c>
      <c r="N270" s="36" t="s">
        <v>283</v>
      </c>
      <c r="O270" s="36">
        <v>17</v>
      </c>
      <c r="P270" s="36">
        <v>5.5901748019376946E-2</v>
      </c>
      <c r="Q270" s="65">
        <v>1000</v>
      </c>
      <c r="R270" s="65"/>
      <c r="S270" s="65"/>
      <c r="T270" s="65"/>
      <c r="U270" s="55"/>
      <c r="V270" s="55"/>
      <c r="W270" s="55"/>
      <c r="X270" s="55"/>
      <c r="Y270" s="55"/>
      <c r="Z270" s="55"/>
    </row>
    <row r="271" spans="1:26" ht="14">
      <c r="A271" s="169">
        <v>42515</v>
      </c>
      <c r="B271" s="169" t="s">
        <v>144</v>
      </c>
      <c r="C271" s="176">
        <v>2016</v>
      </c>
      <c r="D271" s="172">
        <v>8</v>
      </c>
      <c r="E271" s="171" t="s">
        <v>223</v>
      </c>
      <c r="F271" s="171" t="s">
        <v>267</v>
      </c>
      <c r="G271" s="171" t="s">
        <v>278</v>
      </c>
      <c r="H271" s="171" t="s">
        <v>279</v>
      </c>
      <c r="I271" s="171" t="s">
        <v>280</v>
      </c>
      <c r="J271" s="171" t="s">
        <v>284</v>
      </c>
      <c r="K271" s="171" t="s">
        <v>285</v>
      </c>
      <c r="L271" s="171">
        <v>2</v>
      </c>
      <c r="M271" s="171" t="s">
        <v>247</v>
      </c>
      <c r="N271" s="171" t="s">
        <v>283</v>
      </c>
      <c r="O271" s="171">
        <v>6</v>
      </c>
      <c r="P271" s="171">
        <v>4.0569274929027309E-3</v>
      </c>
      <c r="Q271" s="171">
        <v>1000</v>
      </c>
      <c r="R271" s="171"/>
      <c r="S271" s="171"/>
      <c r="T271" s="36"/>
      <c r="U271" s="36"/>
      <c r="V271" s="36"/>
      <c r="W271" s="36"/>
      <c r="X271" s="36"/>
      <c r="Y271" s="36"/>
      <c r="Z271" s="36"/>
    </row>
    <row r="272" spans="1:26" ht="14">
      <c r="A272" s="35">
        <v>42263</v>
      </c>
      <c r="B272" s="35" t="s">
        <v>157</v>
      </c>
      <c r="C272" s="168">
        <v>2015</v>
      </c>
      <c r="D272" s="36">
        <v>4</v>
      </c>
      <c r="E272" s="36" t="s">
        <v>223</v>
      </c>
      <c r="F272" s="36" t="s">
        <v>267</v>
      </c>
      <c r="G272" s="36" t="s">
        <v>278</v>
      </c>
      <c r="H272" s="36" t="s">
        <v>279</v>
      </c>
      <c r="I272" s="36" t="s">
        <v>280</v>
      </c>
      <c r="J272" s="36" t="s">
        <v>284</v>
      </c>
      <c r="K272" s="36" t="s">
        <v>285</v>
      </c>
      <c r="L272" s="36">
        <v>27</v>
      </c>
      <c r="M272" s="36" t="s">
        <v>247</v>
      </c>
      <c r="N272" s="36" t="s">
        <v>283</v>
      </c>
      <c r="O272" s="36">
        <v>36</v>
      </c>
      <c r="P272" s="36">
        <v>0.13060249374387323</v>
      </c>
      <c r="Q272" s="65">
        <v>1000</v>
      </c>
      <c r="R272" s="65"/>
      <c r="S272" s="65"/>
      <c r="T272" s="65"/>
      <c r="U272" s="36"/>
      <c r="V272" s="36"/>
      <c r="W272" s="36"/>
      <c r="X272" s="36"/>
      <c r="Y272" s="36"/>
      <c r="Z272" s="36"/>
    </row>
    <row r="273" spans="1:26" ht="14">
      <c r="A273" s="35">
        <v>42206</v>
      </c>
      <c r="B273" s="72" t="s">
        <v>154</v>
      </c>
      <c r="C273" s="168">
        <v>2015</v>
      </c>
      <c r="D273" s="36">
        <v>4</v>
      </c>
      <c r="E273" s="36" t="s">
        <v>223</v>
      </c>
      <c r="F273" s="36" t="s">
        <v>267</v>
      </c>
      <c r="G273" s="36" t="s">
        <v>278</v>
      </c>
      <c r="H273" s="36" t="s">
        <v>279</v>
      </c>
      <c r="I273" s="36" t="s">
        <v>280</v>
      </c>
      <c r="J273" s="36" t="s">
        <v>284</v>
      </c>
      <c r="K273" s="36" t="s">
        <v>285</v>
      </c>
      <c r="L273" s="36">
        <v>100</v>
      </c>
      <c r="M273" s="36" t="s">
        <v>247</v>
      </c>
      <c r="N273" s="36" t="s">
        <v>283</v>
      </c>
      <c r="O273" s="36">
        <v>249</v>
      </c>
      <c r="P273" s="36">
        <v>0.53827199311011842</v>
      </c>
      <c r="Q273" s="36">
        <v>1000</v>
      </c>
      <c r="R273" s="36" t="s">
        <v>599</v>
      </c>
      <c r="S273" s="36"/>
      <c r="T273" s="36"/>
      <c r="U273" s="36"/>
      <c r="V273" s="36"/>
      <c r="W273" s="36"/>
      <c r="X273" s="36"/>
      <c r="Y273" s="36"/>
      <c r="Z273" s="36"/>
    </row>
    <row r="274" spans="1:26" ht="14">
      <c r="A274" s="72">
        <v>42206</v>
      </c>
      <c r="B274" s="72" t="s">
        <v>154</v>
      </c>
      <c r="C274" s="168">
        <v>2015</v>
      </c>
      <c r="D274" s="36">
        <v>4</v>
      </c>
      <c r="E274" s="36" t="s">
        <v>223</v>
      </c>
      <c r="F274" s="36" t="s">
        <v>267</v>
      </c>
      <c r="G274" s="36" t="s">
        <v>278</v>
      </c>
      <c r="H274" s="36" t="s">
        <v>279</v>
      </c>
      <c r="I274" s="36" t="s">
        <v>280</v>
      </c>
      <c r="J274" s="36" t="s">
        <v>284</v>
      </c>
      <c r="K274" s="36" t="s">
        <v>285</v>
      </c>
      <c r="L274" s="36">
        <v>143</v>
      </c>
      <c r="M274" s="36" t="s">
        <v>247</v>
      </c>
      <c r="N274" s="36" t="s">
        <v>283</v>
      </c>
      <c r="O274" s="36">
        <v>249</v>
      </c>
      <c r="P274" s="65">
        <v>0.76972895014746945</v>
      </c>
      <c r="Q274" s="65">
        <v>1000</v>
      </c>
      <c r="R274" s="65" t="s">
        <v>599</v>
      </c>
      <c r="S274" s="65"/>
      <c r="T274" s="65"/>
      <c r="U274" s="36"/>
      <c r="V274" s="36"/>
      <c r="W274" s="36"/>
      <c r="X274" s="36"/>
      <c r="Y274" s="36"/>
      <c r="Z274" s="36"/>
    </row>
    <row r="275" spans="1:26" ht="14">
      <c r="A275" s="72">
        <v>42206</v>
      </c>
      <c r="B275" s="35" t="s">
        <v>154</v>
      </c>
      <c r="C275" s="168">
        <v>2015</v>
      </c>
      <c r="D275" s="65">
        <v>5</v>
      </c>
      <c r="E275" s="36" t="s">
        <v>223</v>
      </c>
      <c r="F275" s="36" t="s">
        <v>267</v>
      </c>
      <c r="G275" s="36" t="s">
        <v>278</v>
      </c>
      <c r="H275" s="36" t="s">
        <v>279</v>
      </c>
      <c r="I275" s="36" t="s">
        <v>280</v>
      </c>
      <c r="J275" s="36"/>
      <c r="K275" s="36"/>
      <c r="L275" s="36">
        <v>4</v>
      </c>
      <c r="M275" s="36" t="s">
        <v>509</v>
      </c>
      <c r="N275" s="36" t="s">
        <v>283</v>
      </c>
      <c r="O275" s="36">
        <v>12</v>
      </c>
      <c r="P275" s="36">
        <v>7.5923401422614712E-3</v>
      </c>
      <c r="Q275" s="36">
        <v>1000</v>
      </c>
      <c r="R275" s="36"/>
      <c r="S275" s="36"/>
      <c r="T275" s="36"/>
      <c r="U275" s="36"/>
      <c r="V275" s="36"/>
      <c r="W275" s="36"/>
      <c r="X275" s="36"/>
      <c r="Y275" s="36"/>
      <c r="Z275" s="36"/>
    </row>
    <row r="276" spans="1:26" ht="14">
      <c r="A276" s="35">
        <v>42206</v>
      </c>
      <c r="B276" s="35" t="s">
        <v>154</v>
      </c>
      <c r="C276" s="168">
        <v>2015</v>
      </c>
      <c r="D276" s="36">
        <v>5</v>
      </c>
      <c r="E276" s="65" t="s">
        <v>223</v>
      </c>
      <c r="F276" s="65" t="s">
        <v>267</v>
      </c>
      <c r="G276" s="65" t="s">
        <v>278</v>
      </c>
      <c r="H276" s="65" t="s">
        <v>279</v>
      </c>
      <c r="I276" s="65" t="s">
        <v>280</v>
      </c>
      <c r="J276" s="36" t="s">
        <v>284</v>
      </c>
      <c r="K276" s="36" t="s">
        <v>285</v>
      </c>
      <c r="L276" s="36">
        <v>3</v>
      </c>
      <c r="M276" s="36" t="s">
        <v>247</v>
      </c>
      <c r="N276" s="36" t="s">
        <v>283</v>
      </c>
      <c r="O276" s="36">
        <v>12</v>
      </c>
      <c r="P276" s="36">
        <v>5.6942551066961047E-3</v>
      </c>
      <c r="Q276" s="36">
        <v>1000</v>
      </c>
      <c r="R276" s="36"/>
      <c r="S276" s="36"/>
      <c r="T276" s="36"/>
      <c r="U276" s="36"/>
      <c r="V276" s="36"/>
      <c r="W276" s="36"/>
      <c r="X276" s="36"/>
      <c r="Y276" s="36"/>
      <c r="Z276" s="36"/>
    </row>
    <row r="277" spans="1:26" ht="14">
      <c r="A277" s="35">
        <v>42206</v>
      </c>
      <c r="B277" s="35" t="s">
        <v>154</v>
      </c>
      <c r="C277" s="168">
        <v>2015</v>
      </c>
      <c r="D277" s="65">
        <v>8</v>
      </c>
      <c r="E277" s="65" t="s">
        <v>223</v>
      </c>
      <c r="F277" s="65" t="s">
        <v>267</v>
      </c>
      <c r="G277" s="65" t="s">
        <v>278</v>
      </c>
      <c r="H277" s="65" t="s">
        <v>279</v>
      </c>
      <c r="I277" s="65" t="s">
        <v>280</v>
      </c>
      <c r="J277" s="36" t="s">
        <v>284</v>
      </c>
      <c r="K277" s="36" t="s">
        <v>285</v>
      </c>
      <c r="L277" s="36">
        <v>3</v>
      </c>
      <c r="M277" s="36" t="s">
        <v>247</v>
      </c>
      <c r="N277" s="36" t="s">
        <v>283</v>
      </c>
      <c r="O277" s="36">
        <v>7</v>
      </c>
      <c r="P277" s="36">
        <v>3.7211494630691413E-2</v>
      </c>
      <c r="Q277" s="36">
        <v>1000</v>
      </c>
      <c r="R277" s="36"/>
      <c r="S277" s="36"/>
      <c r="T277" s="36"/>
      <c r="U277" s="36"/>
      <c r="V277" s="36"/>
      <c r="W277" s="36"/>
      <c r="X277" s="36"/>
      <c r="Y277" s="36"/>
      <c r="Z277" s="36"/>
    </row>
    <row r="278" spans="1:26" ht="14">
      <c r="A278" s="72">
        <v>42144</v>
      </c>
      <c r="B278" s="72" t="s">
        <v>144</v>
      </c>
      <c r="C278" s="168">
        <v>2015</v>
      </c>
      <c r="D278" s="65">
        <v>2</v>
      </c>
      <c r="E278" s="65" t="s">
        <v>223</v>
      </c>
      <c r="F278" s="65" t="s">
        <v>267</v>
      </c>
      <c r="G278" s="65" t="s">
        <v>278</v>
      </c>
      <c r="H278" s="65" t="s">
        <v>279</v>
      </c>
      <c r="I278" s="65" t="s">
        <v>280</v>
      </c>
      <c r="J278" s="36" t="s">
        <v>284</v>
      </c>
      <c r="K278" s="36" t="s">
        <v>285</v>
      </c>
      <c r="L278" s="36">
        <v>2</v>
      </c>
      <c r="M278" s="36" t="s">
        <v>544</v>
      </c>
      <c r="N278" s="36" t="s">
        <v>283</v>
      </c>
      <c r="O278" s="36">
        <v>7</v>
      </c>
      <c r="P278" s="65">
        <v>7.4200255228170928E-3</v>
      </c>
      <c r="Q278" s="36">
        <v>1000</v>
      </c>
      <c r="R278" s="36"/>
      <c r="S278" s="36"/>
      <c r="T278" s="36"/>
      <c r="U278" s="36"/>
      <c r="V278" s="36"/>
      <c r="W278" s="36"/>
      <c r="X278" s="36"/>
      <c r="Y278" s="36"/>
      <c r="Z278" s="36"/>
    </row>
    <row r="279" spans="1:26" ht="14">
      <c r="A279" s="35">
        <v>42144</v>
      </c>
      <c r="B279" s="72" t="s">
        <v>144</v>
      </c>
      <c r="C279" s="168">
        <v>2015</v>
      </c>
      <c r="D279" s="36">
        <v>4</v>
      </c>
      <c r="E279" s="36" t="s">
        <v>223</v>
      </c>
      <c r="F279" s="36" t="s">
        <v>267</v>
      </c>
      <c r="G279" s="36" t="s">
        <v>278</v>
      </c>
      <c r="H279" s="36" t="s">
        <v>279</v>
      </c>
      <c r="I279" s="65" t="s">
        <v>280</v>
      </c>
      <c r="J279" s="65"/>
      <c r="K279" s="36"/>
      <c r="L279" s="36">
        <v>1</v>
      </c>
      <c r="M279" s="36" t="s">
        <v>509</v>
      </c>
      <c r="N279" s="36" t="s">
        <v>283</v>
      </c>
      <c r="O279" s="36">
        <v>21</v>
      </c>
      <c r="P279" s="65">
        <v>4.2478904499221705E-3</v>
      </c>
      <c r="Q279" s="65">
        <v>1000</v>
      </c>
      <c r="R279" s="65"/>
      <c r="S279" s="65"/>
      <c r="T279" s="65"/>
      <c r="U279" s="36"/>
      <c r="V279" s="36"/>
      <c r="W279" s="36"/>
      <c r="X279" s="36"/>
      <c r="Y279" s="36"/>
      <c r="Z279" s="36"/>
    </row>
    <row r="280" spans="1:26" ht="14">
      <c r="A280" s="35">
        <v>42144</v>
      </c>
      <c r="B280" s="72" t="s">
        <v>144</v>
      </c>
      <c r="C280" s="168">
        <v>2015</v>
      </c>
      <c r="D280" s="65">
        <v>4</v>
      </c>
      <c r="E280" s="65" t="s">
        <v>223</v>
      </c>
      <c r="F280" s="65" t="s">
        <v>267</v>
      </c>
      <c r="G280" s="65" t="s">
        <v>278</v>
      </c>
      <c r="H280" s="65" t="s">
        <v>279</v>
      </c>
      <c r="I280" s="65" t="s">
        <v>280</v>
      </c>
      <c r="J280" s="65" t="s">
        <v>284</v>
      </c>
      <c r="K280" s="36" t="s">
        <v>285</v>
      </c>
      <c r="L280" s="36">
        <v>8</v>
      </c>
      <c r="M280" s="36" t="s">
        <v>247</v>
      </c>
      <c r="N280" s="36" t="s">
        <v>283</v>
      </c>
      <c r="O280" s="36">
        <v>21</v>
      </c>
      <c r="P280" s="65">
        <v>3.3983123599377364E-2</v>
      </c>
      <c r="Q280" s="65">
        <v>1000</v>
      </c>
      <c r="R280" s="65"/>
      <c r="S280" s="65"/>
      <c r="T280" s="65"/>
      <c r="U280" s="36"/>
      <c r="V280" s="36"/>
      <c r="W280" s="36"/>
      <c r="X280" s="36"/>
      <c r="Y280" s="36"/>
      <c r="Z280" s="36"/>
    </row>
    <row r="281" spans="1:26" ht="14">
      <c r="A281" s="35">
        <v>42144</v>
      </c>
      <c r="B281" s="72" t="s">
        <v>144</v>
      </c>
      <c r="C281" s="168">
        <v>2015</v>
      </c>
      <c r="D281" s="65">
        <v>5</v>
      </c>
      <c r="E281" s="36" t="s">
        <v>223</v>
      </c>
      <c r="F281" s="36" t="s">
        <v>267</v>
      </c>
      <c r="G281" s="36" t="s">
        <v>278</v>
      </c>
      <c r="H281" s="36" t="s">
        <v>279</v>
      </c>
      <c r="I281" s="36" t="s">
        <v>280</v>
      </c>
      <c r="J281" s="36" t="s">
        <v>284</v>
      </c>
      <c r="K281" s="36" t="s">
        <v>285</v>
      </c>
      <c r="L281" s="36">
        <v>1</v>
      </c>
      <c r="M281" s="36" t="s">
        <v>247</v>
      </c>
      <c r="N281" s="36" t="s">
        <v>283</v>
      </c>
      <c r="O281" s="36">
        <v>8</v>
      </c>
      <c r="P281" s="65">
        <v>4.5986620298947003E-3</v>
      </c>
      <c r="Q281" s="36">
        <v>1000</v>
      </c>
      <c r="R281" s="36"/>
      <c r="S281" s="36"/>
      <c r="T281" s="36"/>
      <c r="U281" s="36"/>
      <c r="V281" s="36"/>
      <c r="W281" s="36"/>
      <c r="X281" s="36"/>
      <c r="Y281" s="36"/>
      <c r="Z281" s="36"/>
    </row>
    <row r="282" spans="1:26" ht="14">
      <c r="A282" s="35">
        <v>42144</v>
      </c>
      <c r="B282" s="72" t="s">
        <v>144</v>
      </c>
      <c r="C282" s="168">
        <v>2015</v>
      </c>
      <c r="D282" s="36">
        <v>5</v>
      </c>
      <c r="E282" s="36" t="s">
        <v>223</v>
      </c>
      <c r="F282" s="36" t="s">
        <v>267</v>
      </c>
      <c r="G282" s="36" t="s">
        <v>278</v>
      </c>
      <c r="H282" s="36" t="s">
        <v>279</v>
      </c>
      <c r="I282" s="36" t="s">
        <v>280</v>
      </c>
      <c r="J282" s="36"/>
      <c r="K282" s="36"/>
      <c r="L282" s="36">
        <v>1</v>
      </c>
      <c r="M282" s="36" t="s">
        <v>594</v>
      </c>
      <c r="N282" s="36" t="s">
        <v>283</v>
      </c>
      <c r="O282" s="36">
        <v>8</v>
      </c>
      <c r="P282" s="65">
        <v>4.5986620298947003E-3</v>
      </c>
      <c r="Q282" s="36">
        <v>1000</v>
      </c>
      <c r="R282" s="36"/>
      <c r="S282" s="36"/>
      <c r="T282" s="36"/>
      <c r="U282" s="36"/>
      <c r="V282" s="36"/>
      <c r="W282" s="36"/>
      <c r="X282" s="36"/>
      <c r="Y282" s="36"/>
      <c r="Z282" s="36"/>
    </row>
    <row r="283" spans="1:26" ht="14">
      <c r="A283" s="35">
        <v>41912</v>
      </c>
      <c r="B283" s="35" t="s">
        <v>157</v>
      </c>
      <c r="C283" s="168">
        <v>2014</v>
      </c>
      <c r="D283" s="76">
        <v>2</v>
      </c>
      <c r="E283" s="36" t="s">
        <v>223</v>
      </c>
      <c r="F283" s="36" t="s">
        <v>267</v>
      </c>
      <c r="G283" s="36" t="s">
        <v>278</v>
      </c>
      <c r="H283" s="36" t="s">
        <v>279</v>
      </c>
      <c r="I283" s="36" t="s">
        <v>280</v>
      </c>
      <c r="J283" s="36" t="s">
        <v>284</v>
      </c>
      <c r="K283" s="36" t="s">
        <v>285</v>
      </c>
      <c r="L283" s="36">
        <v>55</v>
      </c>
      <c r="M283" s="36" t="s">
        <v>247</v>
      </c>
      <c r="N283" s="36" t="s">
        <v>283</v>
      </c>
      <c r="O283" s="36">
        <v>97</v>
      </c>
      <c r="P283" s="36">
        <v>6.8496258758681774E-2</v>
      </c>
      <c r="Q283" s="36">
        <v>1000</v>
      </c>
      <c r="R283" s="36"/>
      <c r="S283" s="36"/>
      <c r="T283" s="36"/>
      <c r="U283" s="36"/>
      <c r="V283" s="36"/>
      <c r="W283" s="36"/>
      <c r="X283" s="36"/>
      <c r="Y283" s="36"/>
      <c r="Z283" s="36"/>
    </row>
    <row r="284" spans="1:26" ht="14">
      <c r="A284" s="35">
        <v>41912</v>
      </c>
      <c r="B284" s="72" t="s">
        <v>157</v>
      </c>
      <c r="C284" s="168">
        <v>2014</v>
      </c>
      <c r="D284" s="76">
        <v>2</v>
      </c>
      <c r="E284" s="65" t="s">
        <v>223</v>
      </c>
      <c r="F284" s="65" t="s">
        <v>267</v>
      </c>
      <c r="G284" s="65" t="s">
        <v>278</v>
      </c>
      <c r="H284" s="65" t="s">
        <v>279</v>
      </c>
      <c r="I284" s="65" t="s">
        <v>280</v>
      </c>
      <c r="J284" s="36"/>
      <c r="K284" s="36"/>
      <c r="L284" s="36">
        <v>8</v>
      </c>
      <c r="M284" s="36" t="s">
        <v>594</v>
      </c>
      <c r="N284" s="36" t="s">
        <v>283</v>
      </c>
      <c r="O284" s="36">
        <v>97</v>
      </c>
      <c r="P284" s="36">
        <v>9.9630921830809842E-3</v>
      </c>
      <c r="Q284" s="36">
        <v>1000</v>
      </c>
      <c r="R284" s="36" t="s">
        <v>579</v>
      </c>
      <c r="S284" s="36"/>
      <c r="T284" s="36"/>
      <c r="U284" s="36"/>
      <c r="V284" s="36"/>
      <c r="W284" s="36"/>
      <c r="X284" s="36"/>
      <c r="Y284" s="36"/>
      <c r="Z284" s="36"/>
    </row>
    <row r="285" spans="1:26" ht="14">
      <c r="A285" s="72">
        <v>41912</v>
      </c>
      <c r="B285" s="35" t="s">
        <v>157</v>
      </c>
      <c r="C285" s="168">
        <v>2014</v>
      </c>
      <c r="D285" s="76">
        <v>4</v>
      </c>
      <c r="E285" s="65" t="s">
        <v>223</v>
      </c>
      <c r="F285" s="65" t="s">
        <v>267</v>
      </c>
      <c r="G285" s="65" t="s">
        <v>278</v>
      </c>
      <c r="H285" s="65" t="s">
        <v>279</v>
      </c>
      <c r="I285" s="65" t="s">
        <v>280</v>
      </c>
      <c r="J285" s="36" t="s">
        <v>284</v>
      </c>
      <c r="K285" s="36" t="s">
        <v>285</v>
      </c>
      <c r="L285" s="36">
        <v>93</v>
      </c>
      <c r="M285" s="36" t="s">
        <v>247</v>
      </c>
      <c r="N285" s="36" t="s">
        <v>283</v>
      </c>
      <c r="O285" s="36">
        <v>108</v>
      </c>
      <c r="P285" s="65">
        <v>0.17245626405828682</v>
      </c>
      <c r="Q285" s="36">
        <v>1000</v>
      </c>
      <c r="R285" s="36"/>
      <c r="S285" s="36"/>
      <c r="T285" s="36"/>
      <c r="U285" s="36"/>
      <c r="V285" s="36"/>
      <c r="W285" s="36"/>
      <c r="X285" s="36"/>
      <c r="Y285" s="36"/>
      <c r="Z285" s="36"/>
    </row>
    <row r="286" spans="1:26" ht="14">
      <c r="A286" s="72">
        <v>41912</v>
      </c>
      <c r="B286" s="35" t="s">
        <v>157</v>
      </c>
      <c r="C286" s="168">
        <v>2014</v>
      </c>
      <c r="D286" s="76">
        <v>4</v>
      </c>
      <c r="E286" s="36" t="s">
        <v>223</v>
      </c>
      <c r="F286" s="36" t="s">
        <v>267</v>
      </c>
      <c r="G286" s="36" t="s">
        <v>278</v>
      </c>
      <c r="H286" s="36" t="s">
        <v>279</v>
      </c>
      <c r="I286" s="36" t="s">
        <v>280</v>
      </c>
      <c r="J286" s="36"/>
      <c r="K286" s="36"/>
      <c r="L286" s="36">
        <v>4</v>
      </c>
      <c r="M286" s="36" t="s">
        <v>247</v>
      </c>
      <c r="N286" s="36" t="s">
        <v>283</v>
      </c>
      <c r="O286" s="36">
        <v>108</v>
      </c>
      <c r="P286" s="65">
        <v>7.4174737229370661E-3</v>
      </c>
      <c r="Q286" s="36">
        <v>1000</v>
      </c>
      <c r="R286" s="36"/>
      <c r="S286" s="36"/>
      <c r="T286" s="36"/>
      <c r="U286" s="36"/>
      <c r="V286" s="36"/>
      <c r="W286" s="36"/>
      <c r="X286" s="36"/>
      <c r="Y286" s="36"/>
      <c r="Z286" s="36"/>
    </row>
    <row r="287" spans="1:26" ht="14">
      <c r="A287" s="35">
        <v>41912</v>
      </c>
      <c r="B287" s="35" t="s">
        <v>157</v>
      </c>
      <c r="C287" s="168">
        <v>2014</v>
      </c>
      <c r="D287" s="76">
        <v>5</v>
      </c>
      <c r="E287" s="36" t="s">
        <v>223</v>
      </c>
      <c r="F287" s="36" t="s">
        <v>267</v>
      </c>
      <c r="G287" s="36" t="s">
        <v>278</v>
      </c>
      <c r="H287" s="36" t="s">
        <v>279</v>
      </c>
      <c r="I287" s="36" t="s">
        <v>280</v>
      </c>
      <c r="J287" s="36" t="s">
        <v>284</v>
      </c>
      <c r="K287" s="36" t="s">
        <v>285</v>
      </c>
      <c r="L287" s="36">
        <v>52</v>
      </c>
      <c r="M287" s="36" t="s">
        <v>247</v>
      </c>
      <c r="N287" s="36" t="s">
        <v>283</v>
      </c>
      <c r="O287" s="36">
        <v>176</v>
      </c>
      <c r="P287" s="36">
        <v>5.7986713481609393E-2</v>
      </c>
      <c r="Q287" s="36">
        <v>1000</v>
      </c>
      <c r="R287" s="36" t="s">
        <v>595</v>
      </c>
      <c r="S287" s="36"/>
      <c r="T287" s="36"/>
      <c r="U287" s="36"/>
      <c r="V287" s="36"/>
      <c r="W287" s="36"/>
      <c r="X287" s="36"/>
      <c r="Y287" s="36"/>
      <c r="Z287" s="36"/>
    </row>
    <row r="288" spans="1:26" ht="14">
      <c r="A288" s="35">
        <v>41912</v>
      </c>
      <c r="B288" s="35" t="s">
        <v>157</v>
      </c>
      <c r="C288" s="168">
        <v>2014</v>
      </c>
      <c r="D288" s="76">
        <v>5</v>
      </c>
      <c r="E288" s="65" t="s">
        <v>223</v>
      </c>
      <c r="F288" s="65" t="s">
        <v>267</v>
      </c>
      <c r="G288" s="65" t="s">
        <v>278</v>
      </c>
      <c r="H288" s="65" t="s">
        <v>279</v>
      </c>
      <c r="I288" s="65" t="s">
        <v>280</v>
      </c>
      <c r="J288" s="36" t="s">
        <v>284</v>
      </c>
      <c r="K288" s="36" t="s">
        <v>285</v>
      </c>
      <c r="L288" s="36">
        <v>1</v>
      </c>
      <c r="M288" s="36" t="s">
        <v>247</v>
      </c>
      <c r="N288" s="36" t="s">
        <v>283</v>
      </c>
      <c r="O288" s="36">
        <v>176</v>
      </c>
      <c r="P288" s="36">
        <v>1.115129105415565E-3</v>
      </c>
      <c r="Q288" s="36">
        <v>1000</v>
      </c>
      <c r="R288" s="36" t="s">
        <v>596</v>
      </c>
      <c r="S288" s="36"/>
      <c r="T288" s="36"/>
      <c r="U288" s="36"/>
      <c r="V288" s="36"/>
      <c r="W288" s="36"/>
      <c r="X288" s="36"/>
      <c r="Y288" s="36"/>
      <c r="Z288" s="36"/>
    </row>
    <row r="289" spans="1:26" ht="14">
      <c r="A289" s="35">
        <v>41851</v>
      </c>
      <c r="B289" s="72" t="s">
        <v>154</v>
      </c>
      <c r="C289" s="168">
        <v>2014</v>
      </c>
      <c r="D289" s="65">
        <v>2</v>
      </c>
      <c r="E289" s="36" t="s">
        <v>223</v>
      </c>
      <c r="F289" s="36" t="s">
        <v>267</v>
      </c>
      <c r="G289" s="36" t="s">
        <v>278</v>
      </c>
      <c r="H289" s="36" t="s">
        <v>279</v>
      </c>
      <c r="I289" s="36" t="s">
        <v>280</v>
      </c>
      <c r="J289" s="36" t="s">
        <v>284</v>
      </c>
      <c r="K289" s="36" t="s">
        <v>285</v>
      </c>
      <c r="L289" s="36">
        <v>36</v>
      </c>
      <c r="M289" s="36" t="s">
        <v>247</v>
      </c>
      <c r="N289" s="36" t="s">
        <v>283</v>
      </c>
      <c r="O289" s="36">
        <v>53</v>
      </c>
      <c r="P289" s="65">
        <v>0.82613369869532194</v>
      </c>
      <c r="Q289" s="36">
        <v>1000</v>
      </c>
      <c r="R289" s="36"/>
      <c r="S289" s="36"/>
      <c r="T289" s="36"/>
      <c r="U289" s="36"/>
      <c r="V289" s="36"/>
      <c r="W289" s="36"/>
      <c r="X289" s="36"/>
      <c r="Y289" s="36"/>
      <c r="Z289" s="36"/>
    </row>
    <row r="290" spans="1:26" ht="14">
      <c r="A290" s="35">
        <v>41851</v>
      </c>
      <c r="B290" s="72" t="s">
        <v>154</v>
      </c>
      <c r="C290" s="168">
        <v>2014</v>
      </c>
      <c r="D290" s="65">
        <v>5</v>
      </c>
      <c r="E290" s="36" t="s">
        <v>223</v>
      </c>
      <c r="F290" s="36" t="s">
        <v>267</v>
      </c>
      <c r="G290" s="36" t="s">
        <v>278</v>
      </c>
      <c r="H290" s="36" t="s">
        <v>279</v>
      </c>
      <c r="I290" s="36" t="s">
        <v>280</v>
      </c>
      <c r="J290" s="36" t="s">
        <v>284</v>
      </c>
      <c r="K290" s="36" t="s">
        <v>285</v>
      </c>
      <c r="L290" s="36">
        <v>6</v>
      </c>
      <c r="M290" s="36" t="s">
        <v>247</v>
      </c>
      <c r="N290" s="36" t="s">
        <v>283</v>
      </c>
      <c r="O290" s="36">
        <v>138</v>
      </c>
      <c r="P290" s="65">
        <v>2.9757567595743765E-2</v>
      </c>
      <c r="Q290" s="36">
        <v>1000</v>
      </c>
      <c r="R290" s="36"/>
      <c r="S290" s="36"/>
      <c r="T290" s="36"/>
      <c r="U290" s="36"/>
      <c r="V290" s="36"/>
      <c r="W290" s="36"/>
      <c r="X290" s="36"/>
      <c r="Y290" s="36"/>
      <c r="Z290" s="36"/>
    </row>
    <row r="291" spans="1:26" ht="14">
      <c r="A291" s="35">
        <v>41761</v>
      </c>
      <c r="B291" s="72" t="s">
        <v>144</v>
      </c>
      <c r="C291" s="168">
        <v>2014</v>
      </c>
      <c r="D291" s="65">
        <v>2</v>
      </c>
      <c r="E291" s="65" t="s">
        <v>223</v>
      </c>
      <c r="F291" s="65" t="s">
        <v>267</v>
      </c>
      <c r="G291" s="65" t="s">
        <v>278</v>
      </c>
      <c r="H291" s="65" t="s">
        <v>279</v>
      </c>
      <c r="I291" s="65" t="s">
        <v>280</v>
      </c>
      <c r="J291" s="36" t="s">
        <v>284</v>
      </c>
      <c r="K291" s="36" t="s">
        <v>285</v>
      </c>
      <c r="L291" s="36">
        <v>1</v>
      </c>
      <c r="M291" s="36" t="s">
        <v>247</v>
      </c>
      <c r="N291" s="36" t="s">
        <v>283</v>
      </c>
      <c r="O291" s="36">
        <v>1</v>
      </c>
      <c r="P291" s="36">
        <v>0.6284248289959361</v>
      </c>
      <c r="Q291" s="36">
        <v>1000</v>
      </c>
      <c r="R291" s="36"/>
      <c r="S291" s="36"/>
      <c r="T291" s="36"/>
      <c r="U291" s="36"/>
      <c r="V291" s="36"/>
      <c r="W291" s="36"/>
      <c r="X291" s="36"/>
      <c r="Y291" s="36"/>
      <c r="Z291" s="36"/>
    </row>
    <row r="292" spans="1:26" ht="14">
      <c r="A292" s="72">
        <v>41761</v>
      </c>
      <c r="B292" s="35" t="s">
        <v>144</v>
      </c>
      <c r="C292" s="168">
        <v>2014</v>
      </c>
      <c r="D292" s="65">
        <v>4</v>
      </c>
      <c r="E292" s="65" t="s">
        <v>223</v>
      </c>
      <c r="F292" s="65" t="s">
        <v>267</v>
      </c>
      <c r="G292" s="65" t="s">
        <v>278</v>
      </c>
      <c r="H292" s="65" t="s">
        <v>279</v>
      </c>
      <c r="I292" s="65" t="s">
        <v>280</v>
      </c>
      <c r="J292" s="36"/>
      <c r="K292" s="36"/>
      <c r="L292" s="36">
        <v>13</v>
      </c>
      <c r="M292" s="36" t="s">
        <v>509</v>
      </c>
      <c r="N292" s="36" t="s">
        <v>283</v>
      </c>
      <c r="O292" s="36">
        <v>864</v>
      </c>
      <c r="P292" s="65">
        <v>3.5949822717298408E-2</v>
      </c>
      <c r="Q292" s="36">
        <v>1000</v>
      </c>
      <c r="R292" s="36"/>
      <c r="S292" s="36"/>
      <c r="T292" s="36"/>
      <c r="U292" s="36"/>
      <c r="V292" s="36"/>
      <c r="W292" s="36"/>
      <c r="X292" s="36"/>
      <c r="Y292" s="36"/>
      <c r="Z292" s="36"/>
    </row>
    <row r="293" spans="1:26" ht="14">
      <c r="A293" s="72">
        <v>41761</v>
      </c>
      <c r="B293" s="35" t="s">
        <v>144</v>
      </c>
      <c r="C293" s="168">
        <v>2014</v>
      </c>
      <c r="D293" s="65">
        <v>4</v>
      </c>
      <c r="E293" s="36" t="s">
        <v>223</v>
      </c>
      <c r="F293" s="36" t="s">
        <v>267</v>
      </c>
      <c r="G293" s="36" t="s">
        <v>278</v>
      </c>
      <c r="H293" s="36" t="s">
        <v>279</v>
      </c>
      <c r="I293" s="36" t="s">
        <v>280</v>
      </c>
      <c r="J293" s="36" t="s">
        <v>284</v>
      </c>
      <c r="K293" s="36" t="s">
        <v>285</v>
      </c>
      <c r="L293" s="36">
        <v>792</v>
      </c>
      <c r="M293" s="36" t="s">
        <v>247</v>
      </c>
      <c r="N293" s="36" t="s">
        <v>283</v>
      </c>
      <c r="O293" s="36">
        <v>864</v>
      </c>
      <c r="P293" s="65">
        <v>2.1901738147769487</v>
      </c>
      <c r="Q293" s="36">
        <v>1000</v>
      </c>
      <c r="R293" s="36"/>
      <c r="S293" s="36"/>
      <c r="T293" s="36"/>
      <c r="U293" s="36"/>
      <c r="V293" s="36"/>
      <c r="W293" s="36"/>
      <c r="X293" s="36"/>
      <c r="Y293" s="36"/>
      <c r="Z293" s="36"/>
    </row>
    <row r="294" spans="1:26" ht="14">
      <c r="A294" s="35">
        <v>41761</v>
      </c>
      <c r="B294" s="35" t="s">
        <v>144</v>
      </c>
      <c r="C294" s="168">
        <v>2014</v>
      </c>
      <c r="D294" s="65">
        <v>5</v>
      </c>
      <c r="E294" s="53" t="s">
        <v>223</v>
      </c>
      <c r="F294" s="53" t="s">
        <v>267</v>
      </c>
      <c r="G294" s="53" t="s">
        <v>278</v>
      </c>
      <c r="H294" s="53" t="s">
        <v>279</v>
      </c>
      <c r="I294" s="53" t="s">
        <v>280</v>
      </c>
      <c r="J294" s="36" t="s">
        <v>284</v>
      </c>
      <c r="K294" s="36" t="s">
        <v>285</v>
      </c>
      <c r="L294" s="36">
        <v>76</v>
      </c>
      <c r="M294" s="36" t="s">
        <v>247</v>
      </c>
      <c r="N294" s="36" t="s">
        <v>283</v>
      </c>
      <c r="O294" s="36">
        <v>87</v>
      </c>
      <c r="P294" s="36">
        <v>0.18189207277282332</v>
      </c>
      <c r="Q294" s="36">
        <v>1000</v>
      </c>
      <c r="R294" s="36"/>
      <c r="S294" s="36"/>
      <c r="T294" s="36"/>
      <c r="U294" s="36"/>
      <c r="V294" s="36"/>
      <c r="W294" s="36"/>
      <c r="X294" s="36"/>
      <c r="Y294" s="36"/>
      <c r="Z294" s="36"/>
    </row>
    <row r="295" spans="1:26" ht="14">
      <c r="A295" s="35">
        <v>41761</v>
      </c>
      <c r="B295" s="35" t="s">
        <v>144</v>
      </c>
      <c r="C295" s="168">
        <v>2014</v>
      </c>
      <c r="D295" s="65">
        <v>8</v>
      </c>
      <c r="E295" s="36" t="s">
        <v>223</v>
      </c>
      <c r="F295" s="36" t="s">
        <v>267</v>
      </c>
      <c r="G295" s="36" t="s">
        <v>278</v>
      </c>
      <c r="H295" s="36" t="s">
        <v>279</v>
      </c>
      <c r="I295" s="65" t="s">
        <v>280</v>
      </c>
      <c r="J295" s="65" t="s">
        <v>284</v>
      </c>
      <c r="K295" s="36" t="s">
        <v>285</v>
      </c>
      <c r="L295" s="36">
        <v>69</v>
      </c>
      <c r="M295" s="36" t="s">
        <v>247</v>
      </c>
      <c r="N295" s="36" t="s">
        <v>283</v>
      </c>
      <c r="O295" s="36">
        <v>91</v>
      </c>
      <c r="P295" s="36">
        <v>0.19813207216332956</v>
      </c>
      <c r="Q295" s="65">
        <v>1000</v>
      </c>
      <c r="R295" s="65"/>
      <c r="S295" s="65"/>
      <c r="T295" s="65"/>
      <c r="U295" s="36"/>
      <c r="V295" s="36"/>
      <c r="W295" s="36"/>
      <c r="X295" s="36"/>
      <c r="Y295" s="36"/>
      <c r="Z295" s="36"/>
    </row>
    <row r="296" spans="1:26" ht="14">
      <c r="A296" s="35">
        <v>41542</v>
      </c>
      <c r="B296" s="72" t="s">
        <v>157</v>
      </c>
      <c r="C296" s="168">
        <v>2013</v>
      </c>
      <c r="D296" s="65">
        <v>2</v>
      </c>
      <c r="E296" s="65" t="s">
        <v>223</v>
      </c>
      <c r="F296" s="36" t="s">
        <v>267</v>
      </c>
      <c r="G296" s="36" t="s">
        <v>278</v>
      </c>
      <c r="H296" s="65" t="s">
        <v>279</v>
      </c>
      <c r="I296" s="65" t="s">
        <v>280</v>
      </c>
      <c r="J296" s="65" t="s">
        <v>284</v>
      </c>
      <c r="K296" s="65" t="s">
        <v>285</v>
      </c>
      <c r="L296" s="65">
        <v>243</v>
      </c>
      <c r="M296" s="65" t="s">
        <v>247</v>
      </c>
      <c r="N296" s="65" t="s">
        <v>283</v>
      </c>
      <c r="O296" s="36">
        <v>244</v>
      </c>
      <c r="P296" s="36">
        <v>0.89707489447428901</v>
      </c>
      <c r="Q296" s="36">
        <v>1000</v>
      </c>
      <c r="R296" s="36"/>
      <c r="S296" s="36"/>
      <c r="T296" s="36"/>
      <c r="U296" s="36"/>
      <c r="V296" s="36"/>
      <c r="W296" s="36"/>
      <c r="X296" s="36"/>
      <c r="Y296" s="36"/>
      <c r="Z296" s="36"/>
    </row>
    <row r="297" spans="1:26" ht="14">
      <c r="A297" s="72">
        <v>41542</v>
      </c>
      <c r="B297" s="72" t="s">
        <v>157</v>
      </c>
      <c r="C297" s="168">
        <v>2013</v>
      </c>
      <c r="D297" s="65">
        <v>4</v>
      </c>
      <c r="E297" s="65" t="s">
        <v>223</v>
      </c>
      <c r="F297" s="65" t="s">
        <v>267</v>
      </c>
      <c r="G297" s="65" t="s">
        <v>278</v>
      </c>
      <c r="H297" s="65" t="s">
        <v>279</v>
      </c>
      <c r="I297" s="65" t="s">
        <v>280</v>
      </c>
      <c r="J297" s="36" t="s">
        <v>281</v>
      </c>
      <c r="K297" s="36" t="s">
        <v>282</v>
      </c>
      <c r="L297" s="36">
        <v>1</v>
      </c>
      <c r="M297" s="36" t="s">
        <v>247</v>
      </c>
      <c r="N297" s="36" t="s">
        <v>283</v>
      </c>
      <c r="O297" s="36">
        <v>522</v>
      </c>
      <c r="P297" s="36">
        <v>2.092123029799455E-3</v>
      </c>
      <c r="Q297" s="36">
        <v>1000</v>
      </c>
      <c r="R297" s="36"/>
      <c r="S297" s="36"/>
      <c r="T297" s="36"/>
      <c r="U297" s="36"/>
      <c r="V297" s="36"/>
      <c r="W297" s="36"/>
      <c r="X297" s="36"/>
      <c r="Y297" s="36"/>
      <c r="Z297" s="36"/>
    </row>
    <row r="298" spans="1:26" ht="14">
      <c r="A298" s="35">
        <v>41542</v>
      </c>
      <c r="B298" s="72" t="s">
        <v>157</v>
      </c>
      <c r="C298" s="168">
        <v>2013</v>
      </c>
      <c r="D298" s="65">
        <v>4</v>
      </c>
      <c r="E298" s="36" t="s">
        <v>223</v>
      </c>
      <c r="F298" s="36" t="s">
        <v>267</v>
      </c>
      <c r="G298" s="36" t="s">
        <v>278</v>
      </c>
      <c r="H298" s="36" t="s">
        <v>279</v>
      </c>
      <c r="I298" s="36" t="s">
        <v>280</v>
      </c>
      <c r="J298" s="36" t="s">
        <v>284</v>
      </c>
      <c r="K298" s="36" t="s">
        <v>285</v>
      </c>
      <c r="L298" s="36">
        <v>511</v>
      </c>
      <c r="M298" s="36" t="s">
        <v>247</v>
      </c>
      <c r="N298" s="36" t="s">
        <v>283</v>
      </c>
      <c r="O298" s="36">
        <v>522</v>
      </c>
      <c r="P298" s="36">
        <v>1.0690748682275217</v>
      </c>
      <c r="Q298" s="36">
        <v>1000</v>
      </c>
      <c r="R298" s="36" t="s">
        <v>605</v>
      </c>
      <c r="S298" s="36"/>
      <c r="T298" s="36"/>
      <c r="U298" s="36"/>
      <c r="V298" s="36"/>
      <c r="W298" s="36"/>
      <c r="X298" s="36"/>
      <c r="Y298" s="36"/>
      <c r="Z298" s="36"/>
    </row>
    <row r="299" spans="1:26" ht="14">
      <c r="A299" s="35">
        <v>41542</v>
      </c>
      <c r="B299" s="72" t="s">
        <v>157</v>
      </c>
      <c r="C299" s="168">
        <v>2013</v>
      </c>
      <c r="D299" s="65">
        <v>5</v>
      </c>
      <c r="E299" s="36" t="s">
        <v>223</v>
      </c>
      <c r="F299" s="36" t="s">
        <v>267</v>
      </c>
      <c r="G299" s="36" t="s">
        <v>278</v>
      </c>
      <c r="H299" s="36" t="s">
        <v>279</v>
      </c>
      <c r="I299" s="36" t="s">
        <v>280</v>
      </c>
      <c r="J299" s="36" t="s">
        <v>284</v>
      </c>
      <c r="K299" s="36" t="s">
        <v>285</v>
      </c>
      <c r="L299" s="36">
        <v>16</v>
      </c>
      <c r="M299" s="36" t="s">
        <v>247</v>
      </c>
      <c r="N299" s="36" t="s">
        <v>283</v>
      </c>
      <c r="O299" s="36">
        <v>41</v>
      </c>
      <c r="P299" s="36">
        <v>1.2570884582787054E-2</v>
      </c>
      <c r="Q299" s="36">
        <v>1000</v>
      </c>
      <c r="R299" s="36"/>
      <c r="S299" s="36"/>
      <c r="T299" s="36"/>
      <c r="U299" s="36"/>
      <c r="V299" s="36"/>
      <c r="W299" s="36"/>
      <c r="X299" s="36"/>
      <c r="Y299" s="36"/>
      <c r="Z299" s="36"/>
    </row>
    <row r="300" spans="1:26" ht="14">
      <c r="A300" s="35">
        <v>41480</v>
      </c>
      <c r="B300" s="72" t="s">
        <v>154</v>
      </c>
      <c r="C300" s="168">
        <v>2013</v>
      </c>
      <c r="D300" s="65">
        <v>2</v>
      </c>
      <c r="E300" s="36" t="s">
        <v>223</v>
      </c>
      <c r="F300" s="36" t="s">
        <v>267</v>
      </c>
      <c r="G300" s="36" t="s">
        <v>278</v>
      </c>
      <c r="H300" s="36" t="s">
        <v>279</v>
      </c>
      <c r="I300" s="36" t="s">
        <v>280</v>
      </c>
      <c r="J300" s="36" t="s">
        <v>284</v>
      </c>
      <c r="K300" s="36" t="s">
        <v>285</v>
      </c>
      <c r="L300" s="36">
        <v>101</v>
      </c>
      <c r="M300" s="36" t="s">
        <v>247</v>
      </c>
      <c r="N300" s="36" t="s">
        <v>283</v>
      </c>
      <c r="O300" s="36">
        <v>126</v>
      </c>
      <c r="P300" s="36">
        <v>0.1011354254504446</v>
      </c>
      <c r="Q300" s="36">
        <v>1000</v>
      </c>
      <c r="R300" s="36"/>
      <c r="S300" s="36"/>
      <c r="T300" s="36"/>
      <c r="U300" s="36"/>
      <c r="V300" s="36"/>
      <c r="W300" s="36"/>
      <c r="X300" s="36"/>
      <c r="Y300" s="36"/>
      <c r="Z300" s="36"/>
    </row>
    <row r="301" spans="1:26" ht="14">
      <c r="A301" s="35">
        <v>41480</v>
      </c>
      <c r="B301" s="72" t="s">
        <v>154</v>
      </c>
      <c r="C301" s="168">
        <v>2013</v>
      </c>
      <c r="D301" s="65">
        <v>4</v>
      </c>
      <c r="E301" s="53" t="s">
        <v>223</v>
      </c>
      <c r="F301" s="53" t="s">
        <v>267</v>
      </c>
      <c r="G301" s="53" t="s">
        <v>278</v>
      </c>
      <c r="H301" s="53" t="s">
        <v>279</v>
      </c>
      <c r="I301" s="53" t="s">
        <v>280</v>
      </c>
      <c r="J301" s="36" t="s">
        <v>281</v>
      </c>
      <c r="K301" s="36" t="s">
        <v>282</v>
      </c>
      <c r="L301" s="36">
        <v>1</v>
      </c>
      <c r="M301" s="36" t="s">
        <v>247</v>
      </c>
      <c r="N301" s="36" t="s">
        <v>283</v>
      </c>
      <c r="O301" s="36">
        <v>113</v>
      </c>
      <c r="P301" s="36">
        <v>2.4321460647296414E-3</v>
      </c>
      <c r="Q301" s="36">
        <v>1000</v>
      </c>
      <c r="R301" s="36"/>
      <c r="S301" s="36"/>
      <c r="T301" s="36"/>
      <c r="U301" s="36"/>
      <c r="V301" s="36"/>
      <c r="W301" s="36"/>
      <c r="X301" s="36"/>
      <c r="Y301" s="36"/>
      <c r="Z301" s="36"/>
    </row>
    <row r="302" spans="1:26" ht="14">
      <c r="A302" s="35">
        <v>41480</v>
      </c>
      <c r="B302" s="72" t="s">
        <v>154</v>
      </c>
      <c r="C302" s="168">
        <v>2013</v>
      </c>
      <c r="D302" s="65">
        <v>4</v>
      </c>
      <c r="E302" s="36" t="s">
        <v>223</v>
      </c>
      <c r="F302" s="36" t="s">
        <v>267</v>
      </c>
      <c r="G302" s="36" t="s">
        <v>278</v>
      </c>
      <c r="H302" s="36" t="s">
        <v>279</v>
      </c>
      <c r="I302" s="36" t="s">
        <v>280</v>
      </c>
      <c r="J302" s="36" t="s">
        <v>284</v>
      </c>
      <c r="K302" s="36" t="s">
        <v>285</v>
      </c>
      <c r="L302" s="36">
        <v>107</v>
      </c>
      <c r="M302" s="36" t="s">
        <v>247</v>
      </c>
      <c r="N302" s="36" t="s">
        <v>283</v>
      </c>
      <c r="O302" s="36">
        <v>113</v>
      </c>
      <c r="P302" s="36">
        <v>0.26023962892607161</v>
      </c>
      <c r="Q302" s="36">
        <v>1000</v>
      </c>
      <c r="R302" s="36"/>
      <c r="S302" s="36"/>
      <c r="T302" s="36"/>
      <c r="U302" s="36"/>
      <c r="V302" s="36"/>
      <c r="W302" s="36"/>
      <c r="X302" s="36"/>
      <c r="Y302" s="36"/>
      <c r="Z302" s="36"/>
    </row>
    <row r="303" spans="1:26" ht="14">
      <c r="A303" s="35">
        <v>41480</v>
      </c>
      <c r="B303" s="72" t="s">
        <v>154</v>
      </c>
      <c r="C303" s="168">
        <v>2013</v>
      </c>
      <c r="D303" s="65">
        <v>5</v>
      </c>
      <c r="E303" s="36" t="s">
        <v>223</v>
      </c>
      <c r="F303" s="36" t="s">
        <v>267</v>
      </c>
      <c r="G303" s="36" t="s">
        <v>278</v>
      </c>
      <c r="H303" s="36" t="s">
        <v>279</v>
      </c>
      <c r="I303" s="36" t="s">
        <v>280</v>
      </c>
      <c r="J303" s="36" t="s">
        <v>281</v>
      </c>
      <c r="K303" s="36" t="s">
        <v>282</v>
      </c>
      <c r="L303" s="36">
        <v>3</v>
      </c>
      <c r="M303" s="36" t="s">
        <v>247</v>
      </c>
      <c r="N303" s="36" t="s">
        <v>283</v>
      </c>
      <c r="O303" s="36">
        <v>45</v>
      </c>
      <c r="P303" s="36">
        <v>9.4001635249862828E-4</v>
      </c>
      <c r="Q303" s="36">
        <v>1000</v>
      </c>
      <c r="R303" s="36"/>
      <c r="S303" s="36"/>
      <c r="T303" s="36"/>
      <c r="U303" s="36"/>
      <c r="V303" s="36"/>
      <c r="W303" s="36"/>
      <c r="X303" s="36"/>
      <c r="Y303" s="36"/>
      <c r="Z303" s="36"/>
    </row>
    <row r="304" spans="1:26" ht="14">
      <c r="A304" s="35">
        <v>41480</v>
      </c>
      <c r="B304" s="72" t="s">
        <v>154</v>
      </c>
      <c r="C304" s="168">
        <v>2013</v>
      </c>
      <c r="D304" s="65">
        <v>5</v>
      </c>
      <c r="E304" s="65" t="s">
        <v>223</v>
      </c>
      <c r="F304" s="65" t="s">
        <v>267</v>
      </c>
      <c r="G304" s="65" t="s">
        <v>278</v>
      </c>
      <c r="H304" s="65" t="s">
        <v>279</v>
      </c>
      <c r="I304" s="65" t="s">
        <v>280</v>
      </c>
      <c r="J304" s="36" t="s">
        <v>284</v>
      </c>
      <c r="K304" s="36" t="s">
        <v>285</v>
      </c>
      <c r="L304" s="36">
        <v>23</v>
      </c>
      <c r="M304" s="36" t="s">
        <v>247</v>
      </c>
      <c r="N304" s="36" t="s">
        <v>283</v>
      </c>
      <c r="O304" s="36">
        <v>45</v>
      </c>
      <c r="P304" s="36">
        <v>7.206792035822817E-3</v>
      </c>
      <c r="Q304" s="36">
        <v>1000</v>
      </c>
      <c r="R304" s="36"/>
      <c r="S304" s="36"/>
      <c r="T304" s="36"/>
      <c r="U304" s="36"/>
      <c r="V304" s="36"/>
      <c r="W304" s="36"/>
      <c r="X304" s="36"/>
      <c r="Y304" s="36"/>
      <c r="Z304" s="36"/>
    </row>
    <row r="305" spans="1:26" ht="14">
      <c r="A305" s="35">
        <v>41422</v>
      </c>
      <c r="B305" s="72" t="s">
        <v>144</v>
      </c>
      <c r="C305" s="168">
        <v>2013</v>
      </c>
      <c r="D305" s="65">
        <v>4</v>
      </c>
      <c r="E305" s="65" t="s">
        <v>223</v>
      </c>
      <c r="F305" s="65" t="s">
        <v>267</v>
      </c>
      <c r="G305" s="65" t="s">
        <v>278</v>
      </c>
      <c r="H305" s="65" t="s">
        <v>279</v>
      </c>
      <c r="I305" s="65" t="s">
        <v>280</v>
      </c>
      <c r="J305" s="65" t="s">
        <v>284</v>
      </c>
      <c r="K305" s="36" t="s">
        <v>285</v>
      </c>
      <c r="L305" s="36">
        <v>51</v>
      </c>
      <c r="M305" s="36" t="s">
        <v>247</v>
      </c>
      <c r="N305" s="36" t="s">
        <v>283</v>
      </c>
      <c r="O305" s="36">
        <v>88</v>
      </c>
      <c r="P305" s="36">
        <v>8.5488766410839495E-2</v>
      </c>
      <c r="Q305" s="36">
        <v>1000</v>
      </c>
      <c r="R305" s="36"/>
      <c r="S305" s="36"/>
      <c r="T305" s="36"/>
      <c r="U305" s="36"/>
      <c r="V305" s="36"/>
      <c r="W305" s="36"/>
      <c r="X305" s="36"/>
      <c r="Y305" s="36"/>
      <c r="Z305" s="36"/>
    </row>
    <row r="306" spans="1:26" ht="14">
      <c r="A306" s="35">
        <v>41422</v>
      </c>
      <c r="B306" s="35" t="s">
        <v>144</v>
      </c>
      <c r="C306" s="168">
        <v>2013</v>
      </c>
      <c r="D306" s="65">
        <v>8</v>
      </c>
      <c r="E306" s="36" t="s">
        <v>223</v>
      </c>
      <c r="F306" s="36" t="s">
        <v>267</v>
      </c>
      <c r="G306" s="36" t="s">
        <v>278</v>
      </c>
      <c r="H306" s="36" t="s">
        <v>279</v>
      </c>
      <c r="I306" s="36" t="s">
        <v>280</v>
      </c>
      <c r="J306" s="36" t="s">
        <v>281</v>
      </c>
      <c r="K306" s="36" t="s">
        <v>282</v>
      </c>
      <c r="L306" s="36">
        <v>1</v>
      </c>
      <c r="M306" s="36" t="s">
        <v>247</v>
      </c>
      <c r="N306" s="36" t="s">
        <v>283</v>
      </c>
      <c r="O306" s="36">
        <v>19</v>
      </c>
      <c r="P306" s="36">
        <v>1.3380776987786771E-3</v>
      </c>
      <c r="Q306" s="36">
        <v>1000</v>
      </c>
      <c r="R306" s="36"/>
      <c r="S306" s="36"/>
      <c r="T306" s="36"/>
      <c r="U306" s="36"/>
      <c r="V306" s="36"/>
      <c r="W306" s="36"/>
      <c r="X306" s="36"/>
      <c r="Y306" s="36"/>
      <c r="Z306" s="36"/>
    </row>
    <row r="307" spans="1:26" ht="14">
      <c r="A307" s="35">
        <v>41422</v>
      </c>
      <c r="B307" s="35" t="s">
        <v>144</v>
      </c>
      <c r="C307" s="168">
        <v>2013</v>
      </c>
      <c r="D307" s="65">
        <v>8</v>
      </c>
      <c r="E307" s="36" t="s">
        <v>223</v>
      </c>
      <c r="F307" s="36" t="s">
        <v>267</v>
      </c>
      <c r="G307" s="36" t="s">
        <v>278</v>
      </c>
      <c r="H307" s="36" t="s">
        <v>279</v>
      </c>
      <c r="I307" s="36" t="s">
        <v>280</v>
      </c>
      <c r="J307" s="36" t="s">
        <v>284</v>
      </c>
      <c r="K307" s="36" t="s">
        <v>285</v>
      </c>
      <c r="L307" s="36">
        <v>14</v>
      </c>
      <c r="M307" s="36" t="s">
        <v>247</v>
      </c>
      <c r="N307" s="36" t="s">
        <v>283</v>
      </c>
      <c r="O307" s="36">
        <v>19</v>
      </c>
      <c r="P307" s="36">
        <v>1.8733087782901479E-2</v>
      </c>
      <c r="Q307" s="36">
        <v>1000</v>
      </c>
      <c r="R307" s="36"/>
      <c r="S307" s="36"/>
      <c r="T307" s="36"/>
      <c r="U307" s="36"/>
      <c r="V307" s="36"/>
      <c r="W307" s="36"/>
      <c r="X307" s="36"/>
      <c r="Y307" s="36"/>
      <c r="Z307" s="36"/>
    </row>
    <row r="308" spans="1:26" ht="14">
      <c r="A308" s="35">
        <v>43019</v>
      </c>
      <c r="B308" s="35" t="s">
        <v>159</v>
      </c>
      <c r="C308" s="168">
        <v>2017</v>
      </c>
      <c r="D308" s="65">
        <v>2</v>
      </c>
      <c r="E308" s="36" t="s">
        <v>223</v>
      </c>
      <c r="F308" s="36" t="s">
        <v>224</v>
      </c>
      <c r="G308" s="36" t="s">
        <v>225</v>
      </c>
      <c r="H308" s="36" t="s">
        <v>521</v>
      </c>
      <c r="I308" s="36" t="s">
        <v>522</v>
      </c>
      <c r="J308" s="36" t="s">
        <v>523</v>
      </c>
      <c r="K308" s="36" t="s">
        <v>551</v>
      </c>
      <c r="L308" s="36">
        <v>1</v>
      </c>
      <c r="M308" s="36" t="s">
        <v>247</v>
      </c>
      <c r="N308" s="36" t="s">
        <v>524</v>
      </c>
      <c r="O308" s="36">
        <v>317</v>
      </c>
      <c r="P308" s="36">
        <v>3.3686107348343502E-3</v>
      </c>
      <c r="Q308" s="36">
        <v>1000</v>
      </c>
      <c r="R308" s="36"/>
      <c r="S308" s="36"/>
      <c r="T308" s="36"/>
      <c r="U308" s="36"/>
      <c r="V308" s="36"/>
      <c r="W308" s="36"/>
      <c r="X308" s="36"/>
      <c r="Y308" s="36"/>
      <c r="Z308" s="36"/>
    </row>
    <row r="309" spans="1:26" ht="14">
      <c r="A309" s="13">
        <v>43019</v>
      </c>
      <c r="B309" s="72" t="s">
        <v>159</v>
      </c>
      <c r="C309" s="168">
        <v>2017</v>
      </c>
      <c r="D309" s="65">
        <v>4</v>
      </c>
      <c r="E309" s="36" t="s">
        <v>223</v>
      </c>
      <c r="F309" s="36" t="s">
        <v>224</v>
      </c>
      <c r="G309" s="36" t="s">
        <v>225</v>
      </c>
      <c r="H309" s="36" t="s">
        <v>521</v>
      </c>
      <c r="I309" s="36" t="s">
        <v>522</v>
      </c>
      <c r="J309" s="36" t="s">
        <v>523</v>
      </c>
      <c r="K309" s="36" t="s">
        <v>551</v>
      </c>
      <c r="L309" s="36">
        <v>1</v>
      </c>
      <c r="M309" s="36" t="s">
        <v>247</v>
      </c>
      <c r="N309" s="36" t="s">
        <v>524</v>
      </c>
      <c r="O309" s="3">
        <v>214</v>
      </c>
      <c r="P309" s="36">
        <v>6.303095317028373E-3</v>
      </c>
      <c r="Q309" s="36">
        <v>1000</v>
      </c>
      <c r="R309" s="3"/>
      <c r="S309" s="3"/>
      <c r="T309" s="36"/>
      <c r="U309" s="36"/>
      <c r="V309" s="36"/>
      <c r="W309" s="36"/>
      <c r="X309" s="36"/>
      <c r="Y309" s="36"/>
      <c r="Z309" s="36"/>
    </row>
    <row r="310" spans="1:26" ht="14">
      <c r="A310" s="35">
        <v>42634</v>
      </c>
      <c r="B310" s="72" t="s">
        <v>157</v>
      </c>
      <c r="C310" s="168">
        <v>2016</v>
      </c>
      <c r="D310" s="65">
        <v>4</v>
      </c>
      <c r="E310" s="36" t="s">
        <v>223</v>
      </c>
      <c r="F310" s="36" t="s">
        <v>224</v>
      </c>
      <c r="G310" s="36" t="s">
        <v>225</v>
      </c>
      <c r="H310" s="36" t="s">
        <v>521</v>
      </c>
      <c r="I310" s="36" t="s">
        <v>522</v>
      </c>
      <c r="J310" s="36" t="s">
        <v>523</v>
      </c>
      <c r="K310" s="36" t="s">
        <v>551</v>
      </c>
      <c r="L310" s="36">
        <v>1</v>
      </c>
      <c r="M310" s="36" t="s">
        <v>247</v>
      </c>
      <c r="N310" s="36" t="s">
        <v>524</v>
      </c>
      <c r="O310" s="36">
        <v>127</v>
      </c>
      <c r="P310" s="65">
        <v>2.0275902900439425E-3</v>
      </c>
      <c r="Q310" s="36">
        <v>1000</v>
      </c>
      <c r="R310" s="36"/>
      <c r="S310" s="36"/>
      <c r="T310" s="36"/>
      <c r="U310" s="36"/>
      <c r="V310" s="36"/>
      <c r="W310" s="36"/>
      <c r="X310" s="36"/>
      <c r="Y310" s="36"/>
      <c r="Z310" s="36"/>
    </row>
    <row r="311" spans="1:26" ht="14">
      <c r="A311" s="72">
        <v>42634</v>
      </c>
      <c r="B311" s="35" t="s">
        <v>157</v>
      </c>
      <c r="C311" s="168">
        <v>2016</v>
      </c>
      <c r="D311" s="65">
        <v>8</v>
      </c>
      <c r="E311" s="36" t="s">
        <v>223</v>
      </c>
      <c r="F311" s="36" t="s">
        <v>224</v>
      </c>
      <c r="G311" s="36" t="s">
        <v>225</v>
      </c>
      <c r="H311" s="36" t="s">
        <v>521</v>
      </c>
      <c r="I311" s="36" t="s">
        <v>522</v>
      </c>
      <c r="J311" s="36" t="s">
        <v>523</v>
      </c>
      <c r="K311" s="36" t="s">
        <v>551</v>
      </c>
      <c r="L311" s="36">
        <v>1</v>
      </c>
      <c r="M311" s="36" t="s">
        <v>544</v>
      </c>
      <c r="N311" s="36" t="s">
        <v>524</v>
      </c>
      <c r="O311" s="36">
        <v>3658</v>
      </c>
      <c r="P311" s="36">
        <v>1.7671737367053572E-3</v>
      </c>
      <c r="Q311" s="36">
        <v>1000</v>
      </c>
      <c r="R311" s="36" t="s">
        <v>525</v>
      </c>
      <c r="S311" s="36"/>
      <c r="T311" s="36"/>
      <c r="U311" s="36"/>
      <c r="V311" s="36"/>
      <c r="W311" s="36"/>
      <c r="X311" s="36"/>
      <c r="Y311" s="36"/>
      <c r="Z311" s="36"/>
    </row>
    <row r="312" spans="1:26" ht="14">
      <c r="A312" s="35">
        <v>42571</v>
      </c>
      <c r="B312" s="35" t="s">
        <v>154</v>
      </c>
      <c r="C312" s="168">
        <v>2016</v>
      </c>
      <c r="D312" s="65">
        <v>8</v>
      </c>
      <c r="E312" s="36" t="s">
        <v>223</v>
      </c>
      <c r="F312" s="36" t="s">
        <v>224</v>
      </c>
      <c r="G312" s="36" t="s">
        <v>225</v>
      </c>
      <c r="H312" s="36" t="s">
        <v>521</v>
      </c>
      <c r="I312" s="36" t="s">
        <v>522</v>
      </c>
      <c r="J312" s="36" t="s">
        <v>523</v>
      </c>
      <c r="K312" s="36" t="s">
        <v>551</v>
      </c>
      <c r="L312" s="36">
        <v>1</v>
      </c>
      <c r="M312" s="36" t="s">
        <v>544</v>
      </c>
      <c r="N312" s="36" t="s">
        <v>524</v>
      </c>
      <c r="O312" s="36">
        <v>3</v>
      </c>
      <c r="P312" s="65">
        <v>4.6343831054653072E-3</v>
      </c>
      <c r="Q312" s="36">
        <v>1000</v>
      </c>
      <c r="R312" s="36"/>
      <c r="S312" s="36"/>
      <c r="T312" s="36"/>
      <c r="U312" s="36"/>
      <c r="V312" s="36"/>
      <c r="W312" s="36"/>
      <c r="X312" s="36"/>
      <c r="Y312" s="36"/>
      <c r="Z312" s="36"/>
    </row>
    <row r="313" spans="1:26" ht="14">
      <c r="A313" s="35">
        <v>42263</v>
      </c>
      <c r="B313" s="35" t="s">
        <v>157</v>
      </c>
      <c r="C313" s="168">
        <v>2015</v>
      </c>
      <c r="D313" s="76">
        <v>5</v>
      </c>
      <c r="E313" s="36" t="s">
        <v>223</v>
      </c>
      <c r="F313" s="36" t="s">
        <v>224</v>
      </c>
      <c r="G313" s="36" t="s">
        <v>225</v>
      </c>
      <c r="H313" s="36" t="s">
        <v>521</v>
      </c>
      <c r="I313" s="36" t="s">
        <v>522</v>
      </c>
      <c r="J313" s="36" t="s">
        <v>523</v>
      </c>
      <c r="K313" s="36" t="s">
        <v>551</v>
      </c>
      <c r="L313" s="36">
        <v>1</v>
      </c>
      <c r="M313" s="36" t="s">
        <v>544</v>
      </c>
      <c r="N313" s="36" t="s">
        <v>524</v>
      </c>
      <c r="O313" s="36">
        <v>3</v>
      </c>
      <c r="P313" s="36">
        <v>9.4220260047917694E-3</v>
      </c>
      <c r="Q313" s="36">
        <v>1000</v>
      </c>
      <c r="R313" s="36"/>
      <c r="S313" s="36"/>
      <c r="T313" s="36"/>
      <c r="U313" s="36"/>
      <c r="V313" s="36"/>
      <c r="W313" s="36"/>
      <c r="X313" s="36"/>
      <c r="Y313" s="36"/>
      <c r="Z313" s="36"/>
    </row>
    <row r="314" spans="1:26" ht="14">
      <c r="A314" s="35">
        <v>42206</v>
      </c>
      <c r="B314" s="72" t="s">
        <v>154</v>
      </c>
      <c r="C314" s="168">
        <v>2015</v>
      </c>
      <c r="D314" s="36">
        <v>4</v>
      </c>
      <c r="E314" s="36" t="s">
        <v>223</v>
      </c>
      <c r="F314" s="36" t="s">
        <v>224</v>
      </c>
      <c r="G314" s="36" t="s">
        <v>225</v>
      </c>
      <c r="H314" s="36" t="s">
        <v>521</v>
      </c>
      <c r="I314" s="36" t="s">
        <v>522</v>
      </c>
      <c r="J314" s="36" t="s">
        <v>523</v>
      </c>
      <c r="K314" s="36" t="s">
        <v>551</v>
      </c>
      <c r="L314" s="36">
        <v>1</v>
      </c>
      <c r="M314" s="36" t="s">
        <v>247</v>
      </c>
      <c r="N314" s="36" t="s">
        <v>524</v>
      </c>
      <c r="O314" s="36">
        <v>249</v>
      </c>
      <c r="P314" s="36">
        <v>5.3827199311011851E-3</v>
      </c>
      <c r="Q314" s="36">
        <v>1000</v>
      </c>
      <c r="R314" s="36"/>
      <c r="S314" s="36"/>
      <c r="T314" s="36"/>
      <c r="U314" s="36"/>
      <c r="V314" s="36"/>
      <c r="W314" s="36"/>
      <c r="X314" s="36"/>
      <c r="Y314" s="36"/>
      <c r="Z314" s="36"/>
    </row>
    <row r="315" spans="1:26" ht="14">
      <c r="A315" s="35">
        <v>41761</v>
      </c>
      <c r="B315" s="35" t="s">
        <v>144</v>
      </c>
      <c r="C315" s="168">
        <v>2014</v>
      </c>
      <c r="D315" s="65">
        <v>2</v>
      </c>
      <c r="E315" s="65" t="s">
        <v>223</v>
      </c>
      <c r="F315" s="65" t="s">
        <v>224</v>
      </c>
      <c r="G315" s="65" t="s">
        <v>225</v>
      </c>
      <c r="H315" s="65" t="s">
        <v>248</v>
      </c>
      <c r="I315" s="65" t="s">
        <v>359</v>
      </c>
      <c r="J315" s="65" t="s">
        <v>670</v>
      </c>
      <c r="K315" s="36"/>
      <c r="L315" s="36">
        <v>3</v>
      </c>
      <c r="M315" s="36" t="s">
        <v>229</v>
      </c>
      <c r="N315" s="36" t="s">
        <v>670</v>
      </c>
      <c r="O315" s="36">
        <v>29</v>
      </c>
      <c r="P315" s="36">
        <v>10.279818121138311</v>
      </c>
      <c r="Q315" s="65">
        <v>250</v>
      </c>
      <c r="R315" s="65"/>
      <c r="S315" s="65"/>
      <c r="T315" s="65"/>
      <c r="U315" s="36"/>
      <c r="V315" s="36"/>
      <c r="W315" s="36"/>
      <c r="X315" s="36"/>
      <c r="Y315" s="36"/>
      <c r="Z315" s="36"/>
    </row>
    <row r="316" spans="1:26" ht="14">
      <c r="A316" s="13">
        <v>42206</v>
      </c>
      <c r="B316" s="35" t="s">
        <v>154</v>
      </c>
      <c r="C316" s="168">
        <v>2015</v>
      </c>
      <c r="D316" s="36">
        <v>5</v>
      </c>
      <c r="E316" s="65" t="s">
        <v>223</v>
      </c>
      <c r="F316" s="65" t="s">
        <v>224</v>
      </c>
      <c r="G316" s="65" t="s">
        <v>225</v>
      </c>
      <c r="H316" s="65"/>
      <c r="I316" s="65"/>
      <c r="J316" s="36" t="s">
        <v>476</v>
      </c>
      <c r="K316" s="36"/>
      <c r="L316" s="36">
        <v>1</v>
      </c>
      <c r="M316" s="36" t="s">
        <v>229</v>
      </c>
      <c r="N316" s="36" t="s">
        <v>476</v>
      </c>
      <c r="O316" s="3">
        <v>251</v>
      </c>
      <c r="P316" s="65">
        <v>0.3983156294006901</v>
      </c>
      <c r="Q316" s="3">
        <v>250</v>
      </c>
      <c r="R316" s="32"/>
      <c r="S316" s="32"/>
      <c r="T316" s="36"/>
      <c r="U316" s="36"/>
      <c r="V316" s="36"/>
      <c r="W316" s="36"/>
      <c r="X316" s="36"/>
      <c r="Y316" s="36"/>
      <c r="Z316" s="36"/>
    </row>
    <row r="317" spans="1:26" ht="14">
      <c r="A317" s="13">
        <v>42867</v>
      </c>
      <c r="B317" s="72" t="s">
        <v>144</v>
      </c>
      <c r="C317" s="168">
        <v>2017</v>
      </c>
      <c r="D317" s="65">
        <v>4</v>
      </c>
      <c r="E317" s="65" t="s">
        <v>223</v>
      </c>
      <c r="F317" s="65" t="s">
        <v>224</v>
      </c>
      <c r="G317" s="65" t="s">
        <v>225</v>
      </c>
      <c r="H317" s="65" t="s">
        <v>248</v>
      </c>
      <c r="I317" s="65" t="s">
        <v>359</v>
      </c>
      <c r="J317" s="65" t="s">
        <v>669</v>
      </c>
      <c r="K317" s="36"/>
      <c r="L317" s="36">
        <v>3</v>
      </c>
      <c r="M317" s="36" t="s">
        <v>229</v>
      </c>
      <c r="N317" s="36" t="s">
        <v>669</v>
      </c>
      <c r="O317" s="3">
        <v>225</v>
      </c>
      <c r="P317" s="36">
        <v>1.3111202820051258</v>
      </c>
      <c r="Q317" s="3"/>
      <c r="R317" s="3"/>
      <c r="S317" s="3"/>
      <c r="T317" s="36"/>
      <c r="U317" s="36"/>
      <c r="V317" s="36"/>
      <c r="W317" s="36"/>
      <c r="X317" s="36"/>
      <c r="Y317" s="36"/>
      <c r="Z317" s="36"/>
    </row>
    <row r="318" spans="1:26" ht="14">
      <c r="A318" s="35">
        <v>41761</v>
      </c>
      <c r="B318" s="72" t="s">
        <v>144</v>
      </c>
      <c r="C318" s="168">
        <v>2014</v>
      </c>
      <c r="D318" s="65">
        <v>2</v>
      </c>
      <c r="E318" s="65" t="s">
        <v>223</v>
      </c>
      <c r="F318" s="65" t="s">
        <v>224</v>
      </c>
      <c r="G318" s="65" t="s">
        <v>225</v>
      </c>
      <c r="H318" s="65" t="s">
        <v>248</v>
      </c>
      <c r="I318" s="65" t="s">
        <v>359</v>
      </c>
      <c r="J318" s="65" t="s">
        <v>669</v>
      </c>
      <c r="K318" s="36"/>
      <c r="L318" s="36">
        <v>3</v>
      </c>
      <c r="M318" s="36" t="s">
        <v>229</v>
      </c>
      <c r="N318" s="36" t="s">
        <v>669</v>
      </c>
      <c r="O318" s="36">
        <v>29</v>
      </c>
      <c r="P318" s="36">
        <v>10.279818121138311</v>
      </c>
      <c r="Q318" s="65">
        <v>250</v>
      </c>
      <c r="R318" s="65"/>
      <c r="S318" s="65"/>
      <c r="T318" s="65"/>
      <c r="U318" s="36"/>
      <c r="V318" s="36"/>
      <c r="W318" s="36"/>
      <c r="X318" s="36"/>
      <c r="Y318" s="36"/>
      <c r="Z318" s="36"/>
    </row>
    <row r="319" spans="1:26" ht="14">
      <c r="A319" s="35">
        <v>42571</v>
      </c>
      <c r="B319" s="72" t="s">
        <v>154</v>
      </c>
      <c r="C319" s="168">
        <v>2016</v>
      </c>
      <c r="D319" s="36">
        <v>4</v>
      </c>
      <c r="E319" s="65" t="s">
        <v>223</v>
      </c>
      <c r="F319" s="65" t="s">
        <v>267</v>
      </c>
      <c r="G319" s="65"/>
      <c r="H319" s="65" t="s">
        <v>273</v>
      </c>
      <c r="I319" s="65"/>
      <c r="J319" s="65" t="s">
        <v>537</v>
      </c>
      <c r="K319" s="36" t="s">
        <v>538</v>
      </c>
      <c r="L319" s="36">
        <v>2</v>
      </c>
      <c r="M319" s="36" t="s">
        <v>247</v>
      </c>
      <c r="N319" s="36" t="s">
        <v>539</v>
      </c>
      <c r="O319" s="36">
        <v>13</v>
      </c>
      <c r="P319" s="36">
        <v>6.024998683537789E-3</v>
      </c>
      <c r="Q319" s="65">
        <v>1000</v>
      </c>
      <c r="R319" s="65"/>
      <c r="S319" s="65"/>
      <c r="T319" s="166"/>
      <c r="U319" s="36"/>
      <c r="V319" s="36"/>
      <c r="W319" s="36"/>
      <c r="X319" s="36"/>
      <c r="Y319" s="36"/>
      <c r="Z319" s="36"/>
    </row>
    <row r="320" spans="1:26" ht="14">
      <c r="A320" s="35">
        <v>42263</v>
      </c>
      <c r="B320" s="35" t="s">
        <v>157</v>
      </c>
      <c r="C320" s="168">
        <v>2015</v>
      </c>
      <c r="D320" s="76">
        <v>4</v>
      </c>
      <c r="E320" s="65" t="s">
        <v>223</v>
      </c>
      <c r="F320" s="65" t="s">
        <v>267</v>
      </c>
      <c r="G320" s="65"/>
      <c r="H320" s="65" t="s">
        <v>273</v>
      </c>
      <c r="I320" s="65"/>
      <c r="J320" s="65" t="s">
        <v>537</v>
      </c>
      <c r="K320" s="36" t="s">
        <v>538</v>
      </c>
      <c r="L320" s="36">
        <v>1</v>
      </c>
      <c r="M320" s="36" t="s">
        <v>247</v>
      </c>
      <c r="N320" s="36" t="s">
        <v>539</v>
      </c>
      <c r="O320" s="36">
        <v>36</v>
      </c>
      <c r="P320" s="65">
        <v>4.8371293979212306E-3</v>
      </c>
      <c r="Q320" s="65">
        <v>1000</v>
      </c>
      <c r="R320" s="65"/>
      <c r="S320" s="65"/>
      <c r="T320" s="65"/>
      <c r="U320" s="36"/>
      <c r="V320" s="36"/>
      <c r="W320" s="36"/>
      <c r="X320" s="36"/>
      <c r="Y320" s="36"/>
      <c r="Z320" s="36"/>
    </row>
    <row r="321" spans="1:26" ht="14">
      <c r="A321" s="72">
        <v>41912</v>
      </c>
      <c r="B321" s="35" t="s">
        <v>157</v>
      </c>
      <c r="C321" s="168">
        <v>2014</v>
      </c>
      <c r="D321" s="76">
        <v>4</v>
      </c>
      <c r="E321" s="65" t="s">
        <v>223</v>
      </c>
      <c r="F321" s="65" t="s">
        <v>267</v>
      </c>
      <c r="G321" s="65"/>
      <c r="H321" s="65" t="s">
        <v>273</v>
      </c>
      <c r="I321" s="65"/>
      <c r="J321" s="36" t="s">
        <v>537</v>
      </c>
      <c r="K321" s="36" t="s">
        <v>538</v>
      </c>
      <c r="L321" s="36">
        <v>1</v>
      </c>
      <c r="M321" s="36" t="s">
        <v>247</v>
      </c>
      <c r="N321" s="36" t="s">
        <v>539</v>
      </c>
      <c r="O321" s="36">
        <v>108</v>
      </c>
      <c r="P321" s="65">
        <v>1.8543684307342665E-3</v>
      </c>
      <c r="Q321" s="36">
        <v>1000</v>
      </c>
      <c r="R321" s="36"/>
      <c r="S321" s="36"/>
      <c r="T321" s="36"/>
      <c r="U321" s="36"/>
      <c r="V321" s="36"/>
      <c r="W321" s="36"/>
      <c r="X321" s="36"/>
      <c r="Y321" s="36"/>
      <c r="Z321" s="36"/>
    </row>
    <row r="322" spans="1:26" ht="14">
      <c r="A322" s="35">
        <v>41851</v>
      </c>
      <c r="B322" s="72" t="s">
        <v>154</v>
      </c>
      <c r="C322" s="168">
        <v>2014</v>
      </c>
      <c r="D322" s="36">
        <v>4</v>
      </c>
      <c r="E322" s="65" t="s">
        <v>223</v>
      </c>
      <c r="F322" s="65" t="s">
        <v>267</v>
      </c>
      <c r="G322" s="65"/>
      <c r="H322" s="65" t="s">
        <v>273</v>
      </c>
      <c r="I322" s="65"/>
      <c r="J322" s="36" t="s">
        <v>537</v>
      </c>
      <c r="K322" s="36" t="s">
        <v>538</v>
      </c>
      <c r="L322" s="36">
        <v>1</v>
      </c>
      <c r="M322" s="36" t="s">
        <v>247</v>
      </c>
      <c r="N322" s="36" t="s">
        <v>539</v>
      </c>
      <c r="O322" s="36">
        <v>678</v>
      </c>
      <c r="P322" s="65">
        <v>3.869073028809334E-3</v>
      </c>
      <c r="Q322" s="36">
        <v>1000</v>
      </c>
      <c r="R322" s="36"/>
      <c r="S322" s="36"/>
      <c r="T322" s="36"/>
      <c r="U322" s="36"/>
      <c r="V322" s="36"/>
      <c r="W322" s="36"/>
      <c r="X322" s="36"/>
      <c r="Y322" s="36"/>
      <c r="Z322" s="36"/>
    </row>
    <row r="323" spans="1:26" ht="14">
      <c r="A323" s="35">
        <v>41761</v>
      </c>
      <c r="B323" s="35" t="s">
        <v>144</v>
      </c>
      <c r="C323" s="168">
        <v>2014</v>
      </c>
      <c r="D323" s="65">
        <v>2</v>
      </c>
      <c r="E323" s="65" t="s">
        <v>223</v>
      </c>
      <c r="F323" s="65" t="s">
        <v>224</v>
      </c>
      <c r="G323" s="65" t="s">
        <v>225</v>
      </c>
      <c r="H323" s="65" t="s">
        <v>226</v>
      </c>
      <c r="I323" s="65" t="s">
        <v>674</v>
      </c>
      <c r="J323" s="65" t="s">
        <v>675</v>
      </c>
      <c r="K323" s="36"/>
      <c r="L323" s="36">
        <v>1</v>
      </c>
      <c r="M323" s="36" t="s">
        <v>229</v>
      </c>
      <c r="N323" s="36" t="s">
        <v>676</v>
      </c>
      <c r="O323" s="36">
        <v>29</v>
      </c>
      <c r="P323" s="36">
        <v>3.4266060403794367</v>
      </c>
      <c r="Q323" s="65">
        <v>250</v>
      </c>
      <c r="R323" s="65"/>
      <c r="S323" s="65"/>
      <c r="T323" s="65"/>
      <c r="U323" s="36"/>
      <c r="V323" s="36"/>
      <c r="W323" s="36"/>
      <c r="X323" s="36"/>
      <c r="Y323" s="36"/>
      <c r="Z323" s="36"/>
    </row>
    <row r="324" spans="1:26" ht="14">
      <c r="A324" s="13">
        <v>43019</v>
      </c>
      <c r="B324" s="72" t="s">
        <v>159</v>
      </c>
      <c r="C324" s="168">
        <v>2017</v>
      </c>
      <c r="D324" s="65">
        <v>4</v>
      </c>
      <c r="E324" s="36" t="s">
        <v>526</v>
      </c>
      <c r="F324" s="36" t="s">
        <v>267</v>
      </c>
      <c r="G324" s="36" t="s">
        <v>278</v>
      </c>
      <c r="H324" s="36" t="s">
        <v>272</v>
      </c>
      <c r="I324" s="36" t="s">
        <v>527</v>
      </c>
      <c r="J324" s="36" t="s">
        <v>528</v>
      </c>
      <c r="K324" s="36" t="s">
        <v>529</v>
      </c>
      <c r="L324" s="36">
        <v>1</v>
      </c>
      <c r="M324" s="36" t="s">
        <v>247</v>
      </c>
      <c r="N324" s="36" t="s">
        <v>530</v>
      </c>
      <c r="O324" s="3">
        <v>214</v>
      </c>
      <c r="P324" s="36">
        <v>6.303095317028373E-3</v>
      </c>
      <c r="Q324" s="36">
        <v>1000</v>
      </c>
      <c r="R324" s="3"/>
      <c r="S324" s="3"/>
      <c r="T324" s="36"/>
      <c r="U324" s="36"/>
      <c r="V324" s="36"/>
      <c r="W324" s="36"/>
      <c r="X324" s="36"/>
      <c r="Y324" s="36"/>
      <c r="Z324" s="36"/>
    </row>
    <row r="325" spans="1:26" ht="14">
      <c r="A325" s="35">
        <v>42634</v>
      </c>
      <c r="B325" s="72" t="s">
        <v>157</v>
      </c>
      <c r="C325" s="168">
        <v>2016</v>
      </c>
      <c r="D325" s="65">
        <v>4</v>
      </c>
      <c r="E325" s="53" t="s">
        <v>526</v>
      </c>
      <c r="F325" s="36" t="s">
        <v>267</v>
      </c>
      <c r="G325" s="36" t="s">
        <v>278</v>
      </c>
      <c r="H325" s="53" t="s">
        <v>272</v>
      </c>
      <c r="I325" s="53" t="s">
        <v>527</v>
      </c>
      <c r="J325" s="53" t="s">
        <v>528</v>
      </c>
      <c r="K325" s="36" t="s">
        <v>529</v>
      </c>
      <c r="L325" s="36">
        <v>1</v>
      </c>
      <c r="M325" s="36" t="s">
        <v>247</v>
      </c>
      <c r="N325" s="36" t="s">
        <v>530</v>
      </c>
      <c r="O325" s="36">
        <v>127</v>
      </c>
      <c r="P325" s="65">
        <v>2.0275902900439425E-3</v>
      </c>
      <c r="Q325" s="36">
        <v>1000</v>
      </c>
      <c r="R325" s="36"/>
      <c r="S325" s="36"/>
      <c r="T325" s="36"/>
      <c r="U325" s="36"/>
      <c r="V325" s="36"/>
      <c r="W325" s="36"/>
      <c r="X325" s="36"/>
      <c r="Y325" s="36"/>
      <c r="Z325" s="36"/>
    </row>
    <row r="326" spans="1:26" ht="14">
      <c r="A326" s="71">
        <v>43019</v>
      </c>
      <c r="B326" s="72" t="s">
        <v>159</v>
      </c>
      <c r="C326" s="168">
        <v>2017</v>
      </c>
      <c r="D326" s="65">
        <v>5</v>
      </c>
      <c r="E326" s="36" t="s">
        <v>288</v>
      </c>
      <c r="F326" s="36" t="s">
        <v>289</v>
      </c>
      <c r="G326" s="36"/>
      <c r="H326" s="36"/>
      <c r="I326" s="36"/>
      <c r="J326" s="36"/>
      <c r="K326" s="36"/>
      <c r="L326" s="36">
        <v>1</v>
      </c>
      <c r="M326" s="36" t="s">
        <v>221</v>
      </c>
      <c r="N326" s="36" t="s">
        <v>499</v>
      </c>
      <c r="O326" s="3">
        <v>3</v>
      </c>
      <c r="P326" s="36">
        <v>7.390795038988502E-3</v>
      </c>
      <c r="Q326" s="36">
        <v>1000</v>
      </c>
      <c r="R326" s="3"/>
      <c r="S326" s="3"/>
      <c r="T326" s="36"/>
      <c r="U326" s="36"/>
      <c r="V326" s="36"/>
      <c r="W326" s="36"/>
      <c r="X326" s="36"/>
      <c r="Y326" s="36"/>
      <c r="Z326" s="36"/>
    </row>
    <row r="327" spans="1:26" ht="14">
      <c r="A327" s="13">
        <v>42867</v>
      </c>
      <c r="B327" s="72" t="s">
        <v>144</v>
      </c>
      <c r="C327" s="168">
        <v>2017</v>
      </c>
      <c r="D327" s="65">
        <v>8</v>
      </c>
      <c r="E327" s="36" t="s">
        <v>288</v>
      </c>
      <c r="F327" s="36" t="s">
        <v>289</v>
      </c>
      <c r="G327" s="36"/>
      <c r="H327" s="36"/>
      <c r="I327" s="36"/>
      <c r="J327" s="36"/>
      <c r="K327" s="36"/>
      <c r="L327" s="36">
        <v>28</v>
      </c>
      <c r="M327" s="36" t="s">
        <v>221</v>
      </c>
      <c r="N327" s="36" t="s">
        <v>499</v>
      </c>
      <c r="O327" s="3">
        <v>42</v>
      </c>
      <c r="P327" s="36">
        <v>0.1144701399085164</v>
      </c>
      <c r="Q327" s="36">
        <v>1000</v>
      </c>
      <c r="R327" s="3"/>
      <c r="S327" s="3"/>
      <c r="T327" s="36"/>
      <c r="U327" s="36"/>
      <c r="V327" s="36"/>
      <c r="W327" s="36"/>
      <c r="X327" s="36"/>
      <c r="Y327" s="36"/>
      <c r="Z327" s="36"/>
    </row>
    <row r="328" spans="1:26" ht="14">
      <c r="A328" s="72">
        <v>42634</v>
      </c>
      <c r="B328" s="35" t="s">
        <v>157</v>
      </c>
      <c r="C328" s="168">
        <v>2016</v>
      </c>
      <c r="D328" s="65">
        <v>8</v>
      </c>
      <c r="E328" s="36" t="s">
        <v>288</v>
      </c>
      <c r="F328" s="36" t="s">
        <v>289</v>
      </c>
      <c r="G328" s="36"/>
      <c r="H328" s="36"/>
      <c r="I328" s="36"/>
      <c r="J328" s="36"/>
      <c r="K328" s="36"/>
      <c r="L328" s="36">
        <v>2</v>
      </c>
      <c r="M328" s="36" t="s">
        <v>221</v>
      </c>
      <c r="N328" s="36" t="s">
        <v>499</v>
      </c>
      <c r="O328" s="36">
        <v>3658</v>
      </c>
      <c r="P328" s="36">
        <v>3.5343474734107145E-3</v>
      </c>
      <c r="Q328" s="36">
        <v>1000</v>
      </c>
      <c r="R328" s="36"/>
      <c r="S328" s="36"/>
      <c r="T328" s="36"/>
      <c r="U328" s="36"/>
      <c r="V328" s="36"/>
      <c r="W328" s="36"/>
      <c r="X328" s="36"/>
      <c r="Y328" s="36"/>
      <c r="Z328" s="36"/>
    </row>
    <row r="329" spans="1:26" ht="14">
      <c r="A329" s="72">
        <v>41761</v>
      </c>
      <c r="B329" s="35" t="s">
        <v>144</v>
      </c>
      <c r="C329" s="168">
        <v>2014</v>
      </c>
      <c r="D329" s="65">
        <v>4</v>
      </c>
      <c r="E329" s="36" t="s">
        <v>288</v>
      </c>
      <c r="F329" s="36" t="s">
        <v>289</v>
      </c>
      <c r="G329" s="36"/>
      <c r="H329" s="36"/>
      <c r="I329" s="36"/>
      <c r="J329" s="36"/>
      <c r="K329" s="36"/>
      <c r="L329" s="36">
        <v>5</v>
      </c>
      <c r="M329" s="36" t="s">
        <v>221</v>
      </c>
      <c r="N329" s="36" t="s">
        <v>499</v>
      </c>
      <c r="O329" s="36">
        <v>864</v>
      </c>
      <c r="P329" s="65">
        <v>1.3826854891268621E-2</v>
      </c>
      <c r="Q329" s="36">
        <v>1000</v>
      </c>
      <c r="R329" s="36"/>
      <c r="S329" s="36"/>
      <c r="T329" s="36"/>
      <c r="U329" s="36"/>
      <c r="V329" s="36"/>
      <c r="W329" s="36"/>
      <c r="X329" s="36"/>
      <c r="Y329" s="36"/>
      <c r="Z329" s="36"/>
    </row>
    <row r="330" spans="1:26" ht="14">
      <c r="A330" s="86">
        <v>42571</v>
      </c>
      <c r="B330" s="72" t="s">
        <v>154</v>
      </c>
      <c r="C330" s="168">
        <v>2016</v>
      </c>
      <c r="D330" s="76">
        <v>5</v>
      </c>
      <c r="E330" s="36" t="s">
        <v>288</v>
      </c>
      <c r="F330" s="36" t="s">
        <v>289</v>
      </c>
      <c r="G330" s="36"/>
      <c r="H330" s="36" t="s">
        <v>567</v>
      </c>
      <c r="I330" s="36" t="s">
        <v>340</v>
      </c>
      <c r="J330" s="36" t="s">
        <v>565</v>
      </c>
      <c r="K330" s="36" t="s">
        <v>566</v>
      </c>
      <c r="L330" s="36">
        <v>1</v>
      </c>
      <c r="M330" s="36" t="s">
        <v>247</v>
      </c>
      <c r="N330" s="36" t="s">
        <v>294</v>
      </c>
      <c r="O330" s="36">
        <v>2</v>
      </c>
      <c r="P330" s="65">
        <v>4.7613672886955352E-3</v>
      </c>
      <c r="Q330" s="65">
        <v>1000</v>
      </c>
      <c r="R330" s="65"/>
      <c r="S330" s="65"/>
      <c r="T330" s="65"/>
      <c r="U330" s="36"/>
      <c r="V330" s="36"/>
      <c r="W330" s="36"/>
      <c r="X330" s="36"/>
      <c r="Y330" s="36"/>
      <c r="Z330" s="36"/>
    </row>
    <row r="331" spans="1:26" ht="14">
      <c r="A331" s="35">
        <v>42515</v>
      </c>
      <c r="B331" s="35" t="s">
        <v>144</v>
      </c>
      <c r="C331" s="168">
        <v>2016</v>
      </c>
      <c r="D331" s="76">
        <v>4</v>
      </c>
      <c r="E331" s="36" t="s">
        <v>288</v>
      </c>
      <c r="F331" s="36" t="s">
        <v>289</v>
      </c>
      <c r="G331" s="36"/>
      <c r="H331" s="36"/>
      <c r="I331" s="65"/>
      <c r="J331" s="65"/>
      <c r="K331" s="36"/>
      <c r="L331" s="36">
        <v>1</v>
      </c>
      <c r="M331" s="36" t="s">
        <v>221</v>
      </c>
      <c r="N331" s="36" t="s">
        <v>294</v>
      </c>
      <c r="O331" s="36">
        <v>17</v>
      </c>
      <c r="P331" s="36">
        <v>4.6584790016147449E-3</v>
      </c>
      <c r="Q331" s="65">
        <v>1000</v>
      </c>
      <c r="R331" s="65"/>
      <c r="S331" s="65"/>
      <c r="T331" s="65"/>
      <c r="U331" s="36"/>
      <c r="V331" s="36"/>
      <c r="W331" s="36"/>
      <c r="X331" s="36"/>
      <c r="Y331" s="36"/>
      <c r="Z331" s="36"/>
    </row>
    <row r="332" spans="1:26" ht="14">
      <c r="A332" s="35">
        <v>42515</v>
      </c>
      <c r="B332" s="35" t="s">
        <v>144</v>
      </c>
      <c r="C332" s="168">
        <v>2016</v>
      </c>
      <c r="D332" s="76">
        <v>5</v>
      </c>
      <c r="E332" s="65" t="s">
        <v>288</v>
      </c>
      <c r="F332" s="65" t="s">
        <v>289</v>
      </c>
      <c r="G332" s="65"/>
      <c r="H332" s="65"/>
      <c r="I332" s="65"/>
      <c r="J332" s="36"/>
      <c r="K332" s="36"/>
      <c r="L332" s="36">
        <v>14</v>
      </c>
      <c r="M332" s="36" t="s">
        <v>221</v>
      </c>
      <c r="N332" s="36" t="s">
        <v>294</v>
      </c>
      <c r="O332" s="36">
        <v>17</v>
      </c>
      <c r="P332" s="65">
        <v>3.9710695982345091E-2</v>
      </c>
      <c r="Q332" s="36">
        <v>1000</v>
      </c>
      <c r="R332" s="36" t="s">
        <v>568</v>
      </c>
      <c r="S332" s="36"/>
      <c r="T332" s="36"/>
      <c r="U332" s="36"/>
      <c r="V332" s="36"/>
      <c r="W332" s="36"/>
      <c r="X332" s="36"/>
      <c r="Y332" s="36"/>
      <c r="Z332" s="36"/>
    </row>
    <row r="333" spans="1:26" ht="14">
      <c r="A333" s="169">
        <v>42515</v>
      </c>
      <c r="B333" s="169" t="s">
        <v>144</v>
      </c>
      <c r="C333" s="176">
        <v>2016</v>
      </c>
      <c r="D333" s="172">
        <v>8</v>
      </c>
      <c r="E333" s="170" t="s">
        <v>288</v>
      </c>
      <c r="F333" s="170" t="s">
        <v>289</v>
      </c>
      <c r="G333" s="170"/>
      <c r="H333" s="170"/>
      <c r="I333" s="170"/>
      <c r="J333" s="171"/>
      <c r="K333" s="171"/>
      <c r="L333" s="171">
        <v>3</v>
      </c>
      <c r="M333" s="171" t="s">
        <v>221</v>
      </c>
      <c r="N333" s="171" t="s">
        <v>294</v>
      </c>
      <c r="O333" s="171">
        <v>6</v>
      </c>
      <c r="P333" s="171">
        <v>6.0853912393540981E-3</v>
      </c>
      <c r="Q333" s="171">
        <v>1000</v>
      </c>
      <c r="R333" s="171"/>
      <c r="S333" s="171"/>
      <c r="T333" s="36"/>
      <c r="U333" s="36"/>
      <c r="V333" s="36"/>
      <c r="W333" s="36"/>
      <c r="X333" s="36"/>
      <c r="Y333" s="36"/>
      <c r="Z333" s="36"/>
    </row>
    <row r="334" spans="1:26" ht="14">
      <c r="A334" s="72">
        <v>42144</v>
      </c>
      <c r="B334" s="72" t="s">
        <v>144</v>
      </c>
      <c r="C334" s="168">
        <v>2015</v>
      </c>
      <c r="D334" s="65">
        <v>2</v>
      </c>
      <c r="E334" s="36" t="s">
        <v>288</v>
      </c>
      <c r="F334" s="36" t="s">
        <v>289</v>
      </c>
      <c r="G334" s="36"/>
      <c r="H334" s="36"/>
      <c r="I334" s="36"/>
      <c r="J334" s="36" t="s">
        <v>293</v>
      </c>
      <c r="K334" s="36" t="s">
        <v>541</v>
      </c>
      <c r="L334" s="36">
        <v>1</v>
      </c>
      <c r="M334" s="36" t="s">
        <v>247</v>
      </c>
      <c r="N334" s="36" t="s">
        <v>294</v>
      </c>
      <c r="O334" s="36">
        <v>7</v>
      </c>
      <c r="P334" s="65">
        <v>3.7100127614085464E-3</v>
      </c>
      <c r="Q334" s="36">
        <v>1000</v>
      </c>
      <c r="R334" s="36"/>
      <c r="S334" s="36"/>
      <c r="T334" s="36"/>
      <c r="U334" s="36"/>
      <c r="V334" s="36"/>
      <c r="W334" s="36"/>
      <c r="X334" s="36"/>
      <c r="Y334" s="36"/>
      <c r="Z334" s="36"/>
    </row>
    <row r="335" spans="1:26" ht="14">
      <c r="A335" s="35">
        <v>42144</v>
      </c>
      <c r="B335" s="72" t="s">
        <v>144</v>
      </c>
      <c r="C335" s="168">
        <v>2015</v>
      </c>
      <c r="D335" s="36">
        <v>4</v>
      </c>
      <c r="E335" s="36" t="s">
        <v>288</v>
      </c>
      <c r="F335" s="36" t="s">
        <v>289</v>
      </c>
      <c r="G335" s="36"/>
      <c r="H335" s="36"/>
      <c r="I335" s="65"/>
      <c r="J335" s="65" t="s">
        <v>293</v>
      </c>
      <c r="K335" s="36" t="s">
        <v>541</v>
      </c>
      <c r="L335" s="36">
        <v>3</v>
      </c>
      <c r="M335" s="36" t="s">
        <v>247</v>
      </c>
      <c r="N335" s="36" t="s">
        <v>294</v>
      </c>
      <c r="O335" s="36">
        <v>21</v>
      </c>
      <c r="P335" s="65">
        <v>1.2743671349766512E-2</v>
      </c>
      <c r="Q335" s="65">
        <v>1000</v>
      </c>
      <c r="R335" s="65"/>
      <c r="S335" s="65"/>
      <c r="T335" s="65"/>
      <c r="U335" s="36"/>
      <c r="V335" s="36"/>
      <c r="W335" s="36"/>
      <c r="X335" s="36"/>
      <c r="Y335" s="36"/>
      <c r="Z335" s="36"/>
    </row>
    <row r="336" spans="1:26" ht="14">
      <c r="A336" s="72">
        <v>41912</v>
      </c>
      <c r="B336" s="35" t="s">
        <v>157</v>
      </c>
      <c r="C336" s="168">
        <v>2014</v>
      </c>
      <c r="D336" s="76">
        <v>4</v>
      </c>
      <c r="E336" s="65" t="s">
        <v>288</v>
      </c>
      <c r="F336" s="65" t="s">
        <v>289</v>
      </c>
      <c r="G336" s="65"/>
      <c r="H336" s="65"/>
      <c r="I336" s="65"/>
      <c r="J336" s="36"/>
      <c r="K336" s="36"/>
      <c r="L336" s="36">
        <v>6</v>
      </c>
      <c r="M336" s="36" t="s">
        <v>221</v>
      </c>
      <c r="N336" s="36" t="s">
        <v>294</v>
      </c>
      <c r="O336" s="36">
        <v>108</v>
      </c>
      <c r="P336" s="65">
        <v>1.1126210584405594E-2</v>
      </c>
      <c r="Q336" s="36">
        <v>1000</v>
      </c>
      <c r="R336" s="36"/>
      <c r="S336" s="36"/>
      <c r="T336" s="36"/>
      <c r="U336" s="36"/>
      <c r="V336" s="36"/>
      <c r="W336" s="36"/>
      <c r="X336" s="36"/>
      <c r="Y336" s="36"/>
      <c r="Z336" s="36"/>
    </row>
    <row r="337" spans="1:26" ht="14">
      <c r="A337" s="72">
        <v>41912</v>
      </c>
      <c r="B337" s="35" t="s">
        <v>157</v>
      </c>
      <c r="C337" s="168">
        <v>2014</v>
      </c>
      <c r="D337" s="76">
        <v>5</v>
      </c>
      <c r="E337" s="65" t="s">
        <v>288</v>
      </c>
      <c r="F337" s="65" t="s">
        <v>289</v>
      </c>
      <c r="G337" s="65"/>
      <c r="H337" s="65" t="s">
        <v>567</v>
      </c>
      <c r="I337" s="65" t="s">
        <v>340</v>
      </c>
      <c r="J337" s="36" t="s">
        <v>565</v>
      </c>
      <c r="K337" s="36" t="s">
        <v>566</v>
      </c>
      <c r="L337" s="36">
        <v>96</v>
      </c>
      <c r="M337" s="36" t="s">
        <v>247</v>
      </c>
      <c r="N337" s="36" t="s">
        <v>294</v>
      </c>
      <c r="O337" s="36">
        <v>176</v>
      </c>
      <c r="P337" s="36">
        <v>0.10705239411989424</v>
      </c>
      <c r="Q337" s="36">
        <v>1000</v>
      </c>
      <c r="R337" s="36" t="s">
        <v>574</v>
      </c>
      <c r="S337" s="36"/>
      <c r="T337" s="36"/>
      <c r="U337" s="36"/>
      <c r="V337" s="36"/>
      <c r="W337" s="36"/>
      <c r="X337" s="36"/>
      <c r="Y337" s="36"/>
      <c r="Z337" s="36"/>
    </row>
    <row r="338" spans="1:26" ht="14">
      <c r="A338" s="72">
        <v>41912</v>
      </c>
      <c r="B338" s="35" t="s">
        <v>157</v>
      </c>
      <c r="C338" s="168">
        <v>2014</v>
      </c>
      <c r="D338" s="76">
        <v>5</v>
      </c>
      <c r="E338" s="36" t="s">
        <v>288</v>
      </c>
      <c r="F338" s="36" t="s">
        <v>289</v>
      </c>
      <c r="G338" s="36"/>
      <c r="H338" s="36"/>
      <c r="I338" s="36"/>
      <c r="J338" s="36"/>
      <c r="K338" s="36"/>
      <c r="L338" s="36">
        <v>4</v>
      </c>
      <c r="M338" s="36" t="s">
        <v>221</v>
      </c>
      <c r="N338" s="36" t="s">
        <v>294</v>
      </c>
      <c r="O338" s="36">
        <v>176</v>
      </c>
      <c r="P338" s="36">
        <v>4.4605164216622601E-3</v>
      </c>
      <c r="Q338" s="36">
        <v>1000</v>
      </c>
      <c r="R338" s="36"/>
      <c r="S338" s="36"/>
      <c r="T338" s="36"/>
      <c r="U338" s="36"/>
      <c r="V338" s="36"/>
      <c r="W338" s="36"/>
      <c r="X338" s="36"/>
      <c r="Y338" s="36"/>
      <c r="Z338" s="36"/>
    </row>
    <row r="339" spans="1:26" ht="14">
      <c r="A339" s="72">
        <v>41912</v>
      </c>
      <c r="B339" s="35" t="s">
        <v>157</v>
      </c>
      <c r="C339" s="168">
        <v>2014</v>
      </c>
      <c r="D339" s="76">
        <v>8</v>
      </c>
      <c r="E339" s="65" t="s">
        <v>288</v>
      </c>
      <c r="F339" s="65" t="s">
        <v>289</v>
      </c>
      <c r="G339" s="65"/>
      <c r="H339" s="65" t="s">
        <v>567</v>
      </c>
      <c r="I339" s="65" t="s">
        <v>340</v>
      </c>
      <c r="J339" s="36" t="s">
        <v>565</v>
      </c>
      <c r="K339" s="36" t="s">
        <v>566</v>
      </c>
      <c r="L339" s="36">
        <v>4</v>
      </c>
      <c r="M339" s="36" t="s">
        <v>247</v>
      </c>
      <c r="N339" s="36" t="s">
        <v>294</v>
      </c>
      <c r="O339" s="36">
        <v>12</v>
      </c>
      <c r="P339" s="36">
        <v>1.1185294038238291E-2</v>
      </c>
      <c r="Q339" s="36">
        <v>1000</v>
      </c>
      <c r="R339" s="36"/>
      <c r="S339" s="36"/>
      <c r="T339" s="36"/>
      <c r="U339" s="36"/>
      <c r="V339" s="36"/>
      <c r="W339" s="36"/>
      <c r="X339" s="36"/>
      <c r="Y339" s="36"/>
      <c r="Z339" s="36"/>
    </row>
    <row r="340" spans="1:26" ht="14">
      <c r="A340" s="72">
        <v>41912</v>
      </c>
      <c r="B340" s="35" t="s">
        <v>157</v>
      </c>
      <c r="C340" s="168">
        <v>2014</v>
      </c>
      <c r="D340" s="76">
        <v>8</v>
      </c>
      <c r="E340" s="36" t="s">
        <v>288</v>
      </c>
      <c r="F340" s="36" t="s">
        <v>289</v>
      </c>
      <c r="G340" s="36"/>
      <c r="H340" s="36"/>
      <c r="I340" s="36"/>
      <c r="J340" s="36"/>
      <c r="K340" s="36"/>
      <c r="L340" s="36">
        <v>5</v>
      </c>
      <c r="M340" s="36" t="s">
        <v>221</v>
      </c>
      <c r="N340" s="36" t="s">
        <v>294</v>
      </c>
      <c r="O340" s="36">
        <v>12</v>
      </c>
      <c r="P340" s="36">
        <v>1.3981617547797871E-2</v>
      </c>
      <c r="Q340" s="36">
        <v>1000</v>
      </c>
      <c r="R340" s="36"/>
      <c r="S340" s="36"/>
      <c r="T340" s="36"/>
      <c r="U340" s="36"/>
      <c r="V340" s="36"/>
      <c r="W340" s="36"/>
      <c r="X340" s="36"/>
      <c r="Y340" s="36"/>
      <c r="Z340" s="36"/>
    </row>
    <row r="341" spans="1:26" ht="14">
      <c r="A341" s="72">
        <v>41851</v>
      </c>
      <c r="B341" s="35" t="s">
        <v>154</v>
      </c>
      <c r="C341" s="168">
        <v>2014</v>
      </c>
      <c r="D341" s="65">
        <v>2</v>
      </c>
      <c r="E341" s="36" t="s">
        <v>288</v>
      </c>
      <c r="F341" s="36" t="s">
        <v>289</v>
      </c>
      <c r="G341" s="36"/>
      <c r="H341" s="36"/>
      <c r="I341" s="36"/>
      <c r="J341" s="36"/>
      <c r="K341" s="36"/>
      <c r="L341" s="36">
        <v>6</v>
      </c>
      <c r="M341" s="36" t="s">
        <v>221</v>
      </c>
      <c r="N341" s="36" t="s">
        <v>294</v>
      </c>
      <c r="O341" s="36">
        <v>53</v>
      </c>
      <c r="P341" s="65">
        <v>0.13768894978255367</v>
      </c>
      <c r="Q341" s="36">
        <v>1000</v>
      </c>
      <c r="R341" s="36"/>
      <c r="S341" s="36"/>
      <c r="T341" s="36"/>
      <c r="U341" s="36"/>
      <c r="V341" s="36"/>
      <c r="W341" s="36"/>
      <c r="X341" s="36"/>
      <c r="Y341" s="36"/>
      <c r="Z341" s="36"/>
    </row>
    <row r="342" spans="1:26" ht="14">
      <c r="A342" s="72">
        <v>41851</v>
      </c>
      <c r="B342" s="72" t="s">
        <v>154</v>
      </c>
      <c r="C342" s="168">
        <v>2014</v>
      </c>
      <c r="D342" s="36">
        <v>5</v>
      </c>
      <c r="E342" s="65" t="s">
        <v>288</v>
      </c>
      <c r="F342" s="65" t="s">
        <v>289</v>
      </c>
      <c r="G342" s="65"/>
      <c r="H342" s="65"/>
      <c r="I342" s="65"/>
      <c r="J342" s="65"/>
      <c r="K342" s="36"/>
      <c r="L342" s="36">
        <v>10</v>
      </c>
      <c r="M342" s="36" t="s">
        <v>221</v>
      </c>
      <c r="N342" s="36" t="s">
        <v>294</v>
      </c>
      <c r="O342" s="36">
        <v>138</v>
      </c>
      <c r="P342" s="65">
        <v>4.9595945992906287E-2</v>
      </c>
      <c r="Q342" s="36">
        <v>1000</v>
      </c>
      <c r="R342" s="36"/>
      <c r="S342" s="36"/>
      <c r="T342" s="36"/>
      <c r="U342" s="36"/>
      <c r="V342" s="36"/>
      <c r="W342" s="36"/>
      <c r="X342" s="36"/>
      <c r="Y342" s="36"/>
      <c r="Z342" s="36"/>
    </row>
    <row r="343" spans="1:26" ht="14">
      <c r="A343" s="72">
        <v>41851</v>
      </c>
      <c r="B343" s="72" t="s">
        <v>154</v>
      </c>
      <c r="C343" s="168">
        <v>2014</v>
      </c>
      <c r="D343" s="76">
        <v>8</v>
      </c>
      <c r="E343" s="36" t="s">
        <v>288</v>
      </c>
      <c r="F343" s="36" t="s">
        <v>289</v>
      </c>
      <c r="G343" s="36"/>
      <c r="H343" s="36"/>
      <c r="I343" s="36"/>
      <c r="J343" s="36"/>
      <c r="K343" s="36"/>
      <c r="L343" s="36">
        <v>1</v>
      </c>
      <c r="M343" s="36" t="s">
        <v>221</v>
      </c>
      <c r="N343" s="36" t="s">
        <v>294</v>
      </c>
      <c r="O343" s="36">
        <v>5</v>
      </c>
      <c r="P343" s="65">
        <v>7.1653613374835813E-3</v>
      </c>
      <c r="Q343" s="36">
        <v>1000</v>
      </c>
      <c r="R343" s="36"/>
      <c r="S343" s="36"/>
      <c r="T343" s="36"/>
      <c r="U343" s="36"/>
      <c r="V343" s="36"/>
      <c r="W343" s="36"/>
      <c r="X343" s="36"/>
      <c r="Y343" s="36"/>
      <c r="Z343" s="36"/>
    </row>
    <row r="344" spans="1:26" ht="14">
      <c r="A344" s="72">
        <v>41542</v>
      </c>
      <c r="B344" s="72" t="s">
        <v>157</v>
      </c>
      <c r="C344" s="168">
        <v>2013</v>
      </c>
      <c r="D344" s="65">
        <v>4</v>
      </c>
      <c r="E344" s="65" t="s">
        <v>288</v>
      </c>
      <c r="F344" s="65" t="s">
        <v>289</v>
      </c>
      <c r="G344" s="65" t="s">
        <v>290</v>
      </c>
      <c r="H344" s="65" t="s">
        <v>339</v>
      </c>
      <c r="I344" s="65" t="s">
        <v>340</v>
      </c>
      <c r="J344" s="36" t="s">
        <v>341</v>
      </c>
      <c r="K344" s="36"/>
      <c r="L344" s="36">
        <v>2</v>
      </c>
      <c r="M344" s="36" t="s">
        <v>229</v>
      </c>
      <c r="N344" s="36" t="s">
        <v>294</v>
      </c>
      <c r="O344" s="36">
        <v>522</v>
      </c>
      <c r="P344" s="65">
        <v>4.18424605959891E-3</v>
      </c>
      <c r="Q344" s="36">
        <v>1000</v>
      </c>
      <c r="R344" s="36"/>
      <c r="S344" s="36"/>
      <c r="T344" s="36"/>
      <c r="U344" s="36"/>
      <c r="V344" s="36"/>
      <c r="W344" s="36"/>
      <c r="X344" s="36"/>
      <c r="Y344" s="36"/>
      <c r="Z344" s="36"/>
    </row>
    <row r="345" spans="1:26" ht="14">
      <c r="A345" s="35">
        <v>41542</v>
      </c>
      <c r="B345" s="72" t="s">
        <v>157</v>
      </c>
      <c r="C345" s="168">
        <v>2013</v>
      </c>
      <c r="D345" s="65">
        <v>5</v>
      </c>
      <c r="E345" s="36" t="s">
        <v>288</v>
      </c>
      <c r="F345" s="36" t="s">
        <v>289</v>
      </c>
      <c r="G345" s="36" t="s">
        <v>290</v>
      </c>
      <c r="H345" s="36" t="s">
        <v>339</v>
      </c>
      <c r="I345" s="36" t="s">
        <v>340</v>
      </c>
      <c r="J345" s="36" t="s">
        <v>341</v>
      </c>
      <c r="K345" s="36"/>
      <c r="L345" s="36">
        <v>2</v>
      </c>
      <c r="M345" s="36" t="s">
        <v>229</v>
      </c>
      <c r="N345" s="36" t="s">
        <v>294</v>
      </c>
      <c r="O345" s="36">
        <v>41</v>
      </c>
      <c r="P345" s="65">
        <v>1.5713605728483817E-3</v>
      </c>
      <c r="Q345" s="36">
        <v>1000</v>
      </c>
      <c r="R345" s="36"/>
      <c r="S345" s="36"/>
      <c r="T345" s="36"/>
      <c r="U345" s="36"/>
      <c r="V345" s="36"/>
      <c r="W345" s="36"/>
      <c r="X345" s="36"/>
      <c r="Y345" s="36"/>
      <c r="Z345" s="36"/>
    </row>
    <row r="346" spans="1:26" ht="14">
      <c r="A346" s="35">
        <v>41542</v>
      </c>
      <c r="B346" s="72" t="s">
        <v>157</v>
      </c>
      <c r="C346" s="168">
        <v>2013</v>
      </c>
      <c r="D346" s="65">
        <v>8</v>
      </c>
      <c r="E346" s="65" t="s">
        <v>288</v>
      </c>
      <c r="F346" s="65" t="s">
        <v>289</v>
      </c>
      <c r="G346" s="65" t="s">
        <v>290</v>
      </c>
      <c r="H346" s="65" t="s">
        <v>339</v>
      </c>
      <c r="I346" s="65" t="s">
        <v>340</v>
      </c>
      <c r="J346" s="65" t="s">
        <v>341</v>
      </c>
      <c r="K346" s="36"/>
      <c r="L346" s="36">
        <v>1</v>
      </c>
      <c r="M346" s="36" t="s">
        <v>229</v>
      </c>
      <c r="N346" s="36" t="s">
        <v>294</v>
      </c>
      <c r="O346" s="36">
        <v>1</v>
      </c>
      <c r="P346" s="65">
        <v>3.0358466983660556E-3</v>
      </c>
      <c r="Q346" s="36">
        <v>1000</v>
      </c>
      <c r="R346" s="36"/>
      <c r="S346" s="36"/>
      <c r="T346" s="36"/>
      <c r="U346" s="36"/>
      <c r="V346" s="36"/>
      <c r="W346" s="36"/>
      <c r="X346" s="36"/>
      <c r="Y346" s="36"/>
      <c r="Z346" s="36"/>
    </row>
    <row r="347" spans="1:26" ht="14">
      <c r="A347" s="72">
        <v>41480</v>
      </c>
      <c r="B347" s="72" t="s">
        <v>154</v>
      </c>
      <c r="C347" s="168">
        <v>2013</v>
      </c>
      <c r="D347" s="65">
        <v>5</v>
      </c>
      <c r="E347" s="65" t="s">
        <v>288</v>
      </c>
      <c r="F347" s="65" t="s">
        <v>289</v>
      </c>
      <c r="G347" s="65" t="s">
        <v>290</v>
      </c>
      <c r="H347" s="65" t="s">
        <v>291</v>
      </c>
      <c r="I347" s="65" t="s">
        <v>292</v>
      </c>
      <c r="J347" s="36" t="s">
        <v>293</v>
      </c>
      <c r="K347" s="36"/>
      <c r="L347" s="36">
        <v>1</v>
      </c>
      <c r="M347" s="36" t="s">
        <v>229</v>
      </c>
      <c r="N347" s="36" t="s">
        <v>294</v>
      </c>
      <c r="O347" s="36">
        <v>45</v>
      </c>
      <c r="P347" s="36">
        <v>3.1333878416620943E-4</v>
      </c>
      <c r="Q347" s="36">
        <v>1000</v>
      </c>
      <c r="R347" s="36"/>
      <c r="S347" s="36"/>
      <c r="T347" s="36"/>
      <c r="U347" s="36"/>
      <c r="V347" s="36"/>
      <c r="W347" s="36"/>
      <c r="X347" s="36"/>
      <c r="Y347" s="36"/>
      <c r="Z347" s="36"/>
    </row>
    <row r="348" spans="1:26" ht="14">
      <c r="A348" s="72">
        <v>41480</v>
      </c>
      <c r="B348" s="72" t="s">
        <v>154</v>
      </c>
      <c r="C348" s="168">
        <v>2013</v>
      </c>
      <c r="D348" s="65">
        <v>5</v>
      </c>
      <c r="E348" s="36" t="s">
        <v>288</v>
      </c>
      <c r="F348" s="36"/>
      <c r="G348" s="36"/>
      <c r="H348" s="36"/>
      <c r="I348" s="36"/>
      <c r="J348" s="36"/>
      <c r="K348" s="36"/>
      <c r="L348" s="36">
        <v>1</v>
      </c>
      <c r="M348" s="36" t="s">
        <v>474</v>
      </c>
      <c r="N348" s="36" t="s">
        <v>294</v>
      </c>
      <c r="O348" s="36">
        <v>45</v>
      </c>
      <c r="P348" s="36">
        <v>3.1333878416620943E-4</v>
      </c>
      <c r="Q348" s="36">
        <v>1000</v>
      </c>
      <c r="R348" s="36" t="s">
        <v>350</v>
      </c>
      <c r="S348" s="36"/>
      <c r="T348" s="36"/>
      <c r="U348" s="36"/>
      <c r="V348" s="36"/>
      <c r="W348" s="36"/>
      <c r="X348" s="36"/>
      <c r="Y348" s="36"/>
      <c r="Z348" s="36"/>
    </row>
    <row r="349" spans="1:26" ht="14">
      <c r="A349" s="35">
        <v>41480</v>
      </c>
      <c r="B349" s="35" t="s">
        <v>154</v>
      </c>
      <c r="C349" s="168">
        <v>2013</v>
      </c>
      <c r="D349" s="65">
        <v>8</v>
      </c>
      <c r="E349" s="36" t="s">
        <v>288</v>
      </c>
      <c r="F349" s="36" t="s">
        <v>289</v>
      </c>
      <c r="G349" s="36" t="s">
        <v>290</v>
      </c>
      <c r="H349" s="36" t="s">
        <v>339</v>
      </c>
      <c r="I349" s="36" t="s">
        <v>340</v>
      </c>
      <c r="J349" s="36" t="s">
        <v>341</v>
      </c>
      <c r="K349" s="36"/>
      <c r="L349" s="36">
        <v>7</v>
      </c>
      <c r="M349" s="36" t="s">
        <v>229</v>
      </c>
      <c r="N349" s="36" t="s">
        <v>294</v>
      </c>
      <c r="O349" s="36">
        <v>15</v>
      </c>
      <c r="P349" s="36">
        <v>2.0756581897814911E-3</v>
      </c>
      <c r="Q349" s="36">
        <v>1000</v>
      </c>
      <c r="R349" s="36"/>
      <c r="S349" s="36"/>
      <c r="T349" s="36"/>
      <c r="U349" s="36"/>
      <c r="V349" s="36"/>
      <c r="W349" s="36"/>
      <c r="X349" s="36"/>
      <c r="Y349" s="36"/>
      <c r="Z349" s="36"/>
    </row>
    <row r="350" spans="1:26" ht="14">
      <c r="A350" s="35">
        <v>42634</v>
      </c>
      <c r="B350" s="35" t="s">
        <v>157</v>
      </c>
      <c r="C350" s="168">
        <v>2016</v>
      </c>
      <c r="D350" s="65">
        <v>5</v>
      </c>
      <c r="E350" s="36" t="s">
        <v>223</v>
      </c>
      <c r="F350" s="36" t="s">
        <v>267</v>
      </c>
      <c r="G350" s="36"/>
      <c r="H350" s="36" t="s">
        <v>273</v>
      </c>
      <c r="I350" s="36"/>
      <c r="J350" s="36"/>
      <c r="K350" s="36"/>
      <c r="L350" s="36">
        <v>1</v>
      </c>
      <c r="M350" s="36" t="s">
        <v>508</v>
      </c>
      <c r="N350" s="36" t="s">
        <v>513</v>
      </c>
      <c r="O350" s="36">
        <v>93</v>
      </c>
      <c r="P350" s="65">
        <v>9.4131416210630576E-4</v>
      </c>
      <c r="Q350" s="36">
        <v>1000</v>
      </c>
      <c r="R350" s="36"/>
      <c r="S350" s="36"/>
      <c r="T350" s="36"/>
      <c r="U350" s="36"/>
      <c r="V350" s="36"/>
      <c r="W350" s="36"/>
      <c r="X350" s="36"/>
      <c r="Y350" s="36"/>
      <c r="Z350" s="36"/>
    </row>
    <row r="351" spans="1:26" ht="14">
      <c r="A351" s="13">
        <v>42928</v>
      </c>
      <c r="B351" s="64" t="s">
        <v>154</v>
      </c>
      <c r="C351" s="165">
        <v>2017</v>
      </c>
      <c r="D351" s="65">
        <v>4</v>
      </c>
      <c r="E351" s="3" t="s">
        <v>223</v>
      </c>
      <c r="F351" s="3" t="s">
        <v>224</v>
      </c>
      <c r="G351" s="3" t="s">
        <v>225</v>
      </c>
      <c r="H351" s="3" t="s">
        <v>243</v>
      </c>
      <c r="I351" s="3"/>
      <c r="J351" s="3"/>
      <c r="K351" s="3"/>
      <c r="L351" s="3">
        <v>2</v>
      </c>
      <c r="M351" s="3" t="s">
        <v>247</v>
      </c>
      <c r="N351" s="3" t="s">
        <v>673</v>
      </c>
      <c r="O351" s="3">
        <v>225</v>
      </c>
      <c r="P351" s="36">
        <v>0.88532328131540106</v>
      </c>
      <c r="Q351" s="36">
        <v>250</v>
      </c>
      <c r="R351" s="3" t="s">
        <v>658</v>
      </c>
      <c r="S351" s="3"/>
      <c r="T351" s="36"/>
      <c r="U351" s="36"/>
      <c r="V351" s="36"/>
      <c r="W351" s="36"/>
      <c r="X351" s="36"/>
      <c r="Y351" s="36"/>
      <c r="Z351" s="36"/>
    </row>
    <row r="352" spans="1:26" ht="14">
      <c r="A352" s="35">
        <v>42144</v>
      </c>
      <c r="B352" s="64" t="s">
        <v>144</v>
      </c>
      <c r="C352" s="165">
        <v>2015</v>
      </c>
      <c r="D352" s="36">
        <v>4</v>
      </c>
      <c r="E352" s="65" t="s">
        <v>223</v>
      </c>
      <c r="F352" s="65" t="s">
        <v>224</v>
      </c>
      <c r="G352" s="65" t="s">
        <v>225</v>
      </c>
      <c r="H352" s="65" t="s">
        <v>243</v>
      </c>
      <c r="I352" s="65" t="s">
        <v>244</v>
      </c>
      <c r="J352" s="36" t="s">
        <v>245</v>
      </c>
      <c r="K352" s="36" t="s">
        <v>246</v>
      </c>
      <c r="L352" s="36">
        <v>1</v>
      </c>
      <c r="M352" s="36" t="s">
        <v>247</v>
      </c>
      <c r="N352" s="36" t="s">
        <v>673</v>
      </c>
      <c r="O352" s="36">
        <v>229</v>
      </c>
      <c r="P352" s="65">
        <v>0.43629167816834835</v>
      </c>
      <c r="Q352" s="65">
        <v>250</v>
      </c>
      <c r="R352" s="65"/>
      <c r="S352" s="65"/>
      <c r="T352" s="65"/>
      <c r="U352" s="36"/>
      <c r="V352" s="36"/>
      <c r="W352" s="36"/>
      <c r="X352" s="36"/>
      <c r="Y352" s="36"/>
      <c r="Z352" s="36"/>
    </row>
    <row r="353" spans="1:26" ht="14">
      <c r="A353" s="35">
        <v>41761</v>
      </c>
      <c r="B353" s="64" t="s">
        <v>144</v>
      </c>
      <c r="C353" s="165">
        <v>2014</v>
      </c>
      <c r="D353" s="65">
        <v>2</v>
      </c>
      <c r="E353" s="36" t="s">
        <v>223</v>
      </c>
      <c r="F353" s="36" t="s">
        <v>224</v>
      </c>
      <c r="G353" s="36" t="s">
        <v>225</v>
      </c>
      <c r="H353" s="36" t="s">
        <v>243</v>
      </c>
      <c r="I353" s="65"/>
      <c r="J353" s="65"/>
      <c r="K353" s="36"/>
      <c r="L353" s="36">
        <v>2</v>
      </c>
      <c r="M353" s="36" t="s">
        <v>508</v>
      </c>
      <c r="N353" s="36" t="s">
        <v>673</v>
      </c>
      <c r="O353" s="36">
        <v>29</v>
      </c>
      <c r="P353" s="36">
        <v>6.8532120807588734</v>
      </c>
      <c r="Q353" s="65">
        <v>250</v>
      </c>
      <c r="R353" s="65"/>
      <c r="S353" s="65"/>
      <c r="T353" s="65"/>
      <c r="U353" s="36"/>
      <c r="V353" s="36"/>
      <c r="W353" s="36"/>
      <c r="X353" s="36"/>
      <c r="Y353" s="36"/>
      <c r="Z353" s="36"/>
    </row>
    <row r="354" spans="1:26" ht="14">
      <c r="A354" s="13">
        <v>41761</v>
      </c>
      <c r="B354" s="64" t="s">
        <v>144</v>
      </c>
      <c r="C354" s="165">
        <v>2014</v>
      </c>
      <c r="D354" s="65">
        <v>4</v>
      </c>
      <c r="E354" s="51" t="s">
        <v>223</v>
      </c>
      <c r="F354" s="51" t="s">
        <v>224</v>
      </c>
      <c r="G354" s="51" t="s">
        <v>225</v>
      </c>
      <c r="H354" s="51" t="s">
        <v>243</v>
      </c>
      <c r="I354" s="51" t="s">
        <v>244</v>
      </c>
      <c r="J354" s="3" t="s">
        <v>245</v>
      </c>
      <c r="K354" s="3" t="s">
        <v>246</v>
      </c>
      <c r="L354" s="3">
        <v>1</v>
      </c>
      <c r="M354" s="3" t="s">
        <v>247</v>
      </c>
      <c r="N354" s="3" t="s">
        <v>673</v>
      </c>
      <c r="O354" s="3">
        <v>256</v>
      </c>
      <c r="P354" s="36">
        <v>0.38129187294839412</v>
      </c>
      <c r="Q354" s="36">
        <v>250</v>
      </c>
      <c r="R354" s="3"/>
      <c r="S354" s="3"/>
      <c r="T354" s="36"/>
      <c r="U354" s="36"/>
      <c r="V354" s="36"/>
      <c r="W354" s="36"/>
      <c r="X354" s="36"/>
      <c r="Y354" s="36"/>
      <c r="Z354" s="36"/>
    </row>
    <row r="355" spans="1:26" ht="14">
      <c r="A355" s="13">
        <v>41542</v>
      </c>
      <c r="B355" s="64" t="s">
        <v>157</v>
      </c>
      <c r="C355" s="165">
        <v>2013</v>
      </c>
      <c r="D355" s="51">
        <v>2</v>
      </c>
      <c r="E355" s="3" t="s">
        <v>223</v>
      </c>
      <c r="F355" s="3" t="s">
        <v>224</v>
      </c>
      <c r="G355" s="3" t="s">
        <v>225</v>
      </c>
      <c r="H355" s="3" t="s">
        <v>243</v>
      </c>
      <c r="I355" s="3" t="s">
        <v>244</v>
      </c>
      <c r="J355" s="3" t="s">
        <v>245</v>
      </c>
      <c r="K355" s="3" t="s">
        <v>246</v>
      </c>
      <c r="L355" s="3">
        <v>2</v>
      </c>
      <c r="M355" s="3" t="s">
        <v>247</v>
      </c>
      <c r="N355" s="3" t="s">
        <v>673</v>
      </c>
      <c r="O355" s="3">
        <v>110</v>
      </c>
      <c r="P355" s="36">
        <v>1.8018042443507878</v>
      </c>
      <c r="Q355" s="3">
        <v>250</v>
      </c>
      <c r="R355" s="3"/>
      <c r="S355" s="3"/>
      <c r="T355" s="36"/>
      <c r="U355" s="36"/>
      <c r="V355" s="36"/>
      <c r="W355" s="36"/>
      <c r="X355" s="36"/>
      <c r="Y355" s="36"/>
      <c r="Z355" s="36"/>
    </row>
    <row r="356" spans="1:26" ht="14">
      <c r="A356" s="13">
        <v>41542</v>
      </c>
      <c r="B356" s="64" t="s">
        <v>157</v>
      </c>
      <c r="C356" s="165">
        <v>2013</v>
      </c>
      <c r="D356" s="51">
        <v>4</v>
      </c>
      <c r="E356" s="3" t="s">
        <v>223</v>
      </c>
      <c r="F356" s="3" t="s">
        <v>224</v>
      </c>
      <c r="G356" s="3" t="s">
        <v>225</v>
      </c>
      <c r="H356" s="3" t="s">
        <v>243</v>
      </c>
      <c r="I356" s="3"/>
      <c r="J356" s="3"/>
      <c r="K356" s="3"/>
      <c r="L356" s="3">
        <v>1</v>
      </c>
      <c r="M356" s="3" t="s">
        <v>508</v>
      </c>
      <c r="N356" s="3" t="s">
        <v>673</v>
      </c>
      <c r="O356" s="3">
        <v>159</v>
      </c>
      <c r="P356" s="36">
        <v>0.62206233822921186</v>
      </c>
      <c r="Q356" s="3">
        <v>250</v>
      </c>
      <c r="R356" s="3"/>
      <c r="S356" s="3"/>
      <c r="T356" s="36"/>
      <c r="U356" s="36"/>
      <c r="V356" s="36"/>
      <c r="W356" s="36"/>
      <c r="X356" s="36"/>
      <c r="Y356" s="36"/>
      <c r="Z356" s="36"/>
    </row>
    <row r="357" spans="1:26" ht="14">
      <c r="A357" s="13">
        <v>41480</v>
      </c>
      <c r="B357" s="64" t="s">
        <v>154</v>
      </c>
      <c r="C357" s="165">
        <v>2013</v>
      </c>
      <c r="D357" s="51">
        <v>4</v>
      </c>
      <c r="E357" s="3" t="s">
        <v>223</v>
      </c>
      <c r="F357" s="3" t="s">
        <v>224</v>
      </c>
      <c r="G357" s="3" t="s">
        <v>225</v>
      </c>
      <c r="H357" s="3" t="s">
        <v>243</v>
      </c>
      <c r="I357" s="3" t="s">
        <v>244</v>
      </c>
      <c r="J357" s="3" t="s">
        <v>245</v>
      </c>
      <c r="K357" s="3" t="s">
        <v>246</v>
      </c>
      <c r="L357" s="3">
        <v>4</v>
      </c>
      <c r="M357" s="3" t="s">
        <v>247</v>
      </c>
      <c r="N357" s="3" t="s">
        <v>673</v>
      </c>
      <c r="O357" s="3">
        <v>124</v>
      </c>
      <c r="P357" s="65">
        <v>3.2169408869253431</v>
      </c>
      <c r="Q357" s="3">
        <v>250</v>
      </c>
      <c r="R357" s="3"/>
      <c r="S357" s="3"/>
      <c r="T357" s="36"/>
      <c r="U357" s="36"/>
      <c r="V357" s="36"/>
      <c r="W357" s="36"/>
      <c r="X357" s="36"/>
      <c r="Y357" s="36"/>
      <c r="Z357" s="36"/>
    </row>
    <row r="358" spans="1:26" ht="14">
      <c r="A358" s="13">
        <v>41480</v>
      </c>
      <c r="B358" s="64" t="s">
        <v>154</v>
      </c>
      <c r="C358" s="165">
        <v>2013</v>
      </c>
      <c r="D358" s="51">
        <v>8</v>
      </c>
      <c r="E358" s="3" t="s">
        <v>223</v>
      </c>
      <c r="F358" s="3" t="s">
        <v>224</v>
      </c>
      <c r="G358" s="3" t="s">
        <v>225</v>
      </c>
      <c r="H358" s="3" t="s">
        <v>243</v>
      </c>
      <c r="I358" s="3" t="s">
        <v>244</v>
      </c>
      <c r="J358" s="3" t="s">
        <v>245</v>
      </c>
      <c r="K358" s="3" t="s">
        <v>246</v>
      </c>
      <c r="L358" s="3">
        <v>1</v>
      </c>
      <c r="M358" s="3" t="s">
        <v>247</v>
      </c>
      <c r="N358" s="3" t="s">
        <v>673</v>
      </c>
      <c r="O358" s="3">
        <v>251</v>
      </c>
      <c r="P358" s="36">
        <v>0.39838865402797602</v>
      </c>
      <c r="Q358" s="3">
        <v>250</v>
      </c>
      <c r="R358" s="3"/>
      <c r="S358" s="3"/>
      <c r="T358" s="36"/>
      <c r="U358" s="36"/>
      <c r="V358" s="36"/>
      <c r="W358" s="36"/>
      <c r="X358" s="36"/>
      <c r="Y358" s="36"/>
      <c r="Z358" s="36"/>
    </row>
    <row r="359" spans="1:26" ht="14">
      <c r="A359" s="71">
        <v>41422</v>
      </c>
      <c r="B359" s="64" t="s">
        <v>144</v>
      </c>
      <c r="C359" s="165">
        <v>2013</v>
      </c>
      <c r="D359" s="51">
        <v>2</v>
      </c>
      <c r="E359" s="3" t="s">
        <v>223</v>
      </c>
      <c r="F359" s="3" t="s">
        <v>224</v>
      </c>
      <c r="G359" s="3" t="s">
        <v>225</v>
      </c>
      <c r="H359" s="3" t="s">
        <v>243</v>
      </c>
      <c r="I359" s="3" t="s">
        <v>244</v>
      </c>
      <c r="J359" s="3" t="s">
        <v>245</v>
      </c>
      <c r="K359" s="3" t="s">
        <v>246</v>
      </c>
      <c r="L359" s="3">
        <v>4</v>
      </c>
      <c r="M359" s="3" t="s">
        <v>247</v>
      </c>
      <c r="N359" s="3" t="s">
        <v>673</v>
      </c>
      <c r="O359" s="3">
        <v>40</v>
      </c>
      <c r="P359" s="65">
        <v>9.995279691706644</v>
      </c>
      <c r="Q359" s="3">
        <v>250</v>
      </c>
      <c r="R359" s="3"/>
      <c r="S359" s="3"/>
      <c r="T359" s="36"/>
      <c r="U359" s="36"/>
      <c r="V359" s="36"/>
      <c r="W359" s="36"/>
      <c r="X359" s="36"/>
      <c r="Y359" s="36"/>
      <c r="Z359" s="36"/>
    </row>
    <row r="360" spans="1:26" ht="14">
      <c r="A360" s="13">
        <v>41422</v>
      </c>
      <c r="B360" s="64" t="s">
        <v>144</v>
      </c>
      <c r="C360" s="165">
        <v>2013</v>
      </c>
      <c r="D360" s="51">
        <v>4</v>
      </c>
      <c r="E360" s="3" t="s">
        <v>223</v>
      </c>
      <c r="F360" s="3" t="s">
        <v>224</v>
      </c>
      <c r="G360" s="3" t="s">
        <v>225</v>
      </c>
      <c r="H360" s="3" t="s">
        <v>243</v>
      </c>
      <c r="I360" s="3" t="s">
        <v>244</v>
      </c>
      <c r="J360" s="3" t="s">
        <v>245</v>
      </c>
      <c r="K360" s="3" t="s">
        <v>246</v>
      </c>
      <c r="L360" s="3">
        <v>10</v>
      </c>
      <c r="M360" s="3" t="s">
        <v>247</v>
      </c>
      <c r="N360" s="3" t="s">
        <v>673</v>
      </c>
      <c r="O360" s="3">
        <v>106</v>
      </c>
      <c r="P360" s="65">
        <v>9.4200462237436966</v>
      </c>
      <c r="Q360" s="3">
        <v>250</v>
      </c>
      <c r="R360" s="3"/>
      <c r="S360" s="3"/>
      <c r="T360" s="36"/>
      <c r="U360" s="36"/>
      <c r="V360" s="36"/>
      <c r="W360" s="36"/>
      <c r="X360" s="36"/>
      <c r="Y360" s="36"/>
      <c r="Z360" s="36"/>
    </row>
    <row r="361" spans="1:26" ht="14">
      <c r="A361" s="71">
        <v>41422</v>
      </c>
      <c r="B361" s="64" t="s">
        <v>144</v>
      </c>
      <c r="C361" s="165">
        <v>2013</v>
      </c>
      <c r="D361" s="51">
        <v>5</v>
      </c>
      <c r="E361" s="3" t="s">
        <v>223</v>
      </c>
      <c r="F361" s="3" t="s">
        <v>224</v>
      </c>
      <c r="G361" s="3" t="s">
        <v>225</v>
      </c>
      <c r="H361" s="3" t="s">
        <v>243</v>
      </c>
      <c r="I361" s="3" t="s">
        <v>244</v>
      </c>
      <c r="J361" s="3" t="s">
        <v>245</v>
      </c>
      <c r="K361" s="3" t="s">
        <v>246</v>
      </c>
      <c r="L361" s="3">
        <v>1</v>
      </c>
      <c r="M361" s="3" t="s">
        <v>247</v>
      </c>
      <c r="N361" s="3" t="s">
        <v>673</v>
      </c>
      <c r="O361" s="3">
        <v>120</v>
      </c>
      <c r="P361" s="36">
        <v>0.83333333333333337</v>
      </c>
      <c r="Q361" s="3">
        <v>250</v>
      </c>
      <c r="R361" s="3"/>
      <c r="S361" s="3"/>
      <c r="T361" s="36"/>
      <c r="U361" s="36"/>
      <c r="V361" s="36"/>
      <c r="W361" s="36"/>
      <c r="X361" s="36"/>
      <c r="Y361" s="36"/>
      <c r="Z361" s="36"/>
    </row>
    <row r="362" spans="1:26" ht="14">
      <c r="A362" s="13">
        <v>41422</v>
      </c>
      <c r="B362" s="64" t="s">
        <v>144</v>
      </c>
      <c r="C362" s="165">
        <v>2013</v>
      </c>
      <c r="D362" s="51">
        <v>8</v>
      </c>
      <c r="E362" s="3" t="s">
        <v>223</v>
      </c>
      <c r="F362" s="3" t="s">
        <v>224</v>
      </c>
      <c r="G362" s="3" t="s">
        <v>225</v>
      </c>
      <c r="H362" s="3" t="s">
        <v>243</v>
      </c>
      <c r="I362" s="3" t="s">
        <v>244</v>
      </c>
      <c r="J362" s="3" t="s">
        <v>245</v>
      </c>
      <c r="K362" s="3" t="s">
        <v>246</v>
      </c>
      <c r="L362" s="3">
        <v>2</v>
      </c>
      <c r="M362" s="3" t="s">
        <v>247</v>
      </c>
      <c r="N362" s="3" t="s">
        <v>673</v>
      </c>
      <c r="O362" s="3">
        <v>89</v>
      </c>
      <c r="P362" s="36">
        <v>2.2466196971623202</v>
      </c>
      <c r="Q362" s="3">
        <v>250</v>
      </c>
      <c r="R362" s="3"/>
      <c r="S362" s="3"/>
      <c r="T362" s="36"/>
      <c r="U362" s="36"/>
      <c r="V362" s="36"/>
      <c r="W362" s="36"/>
      <c r="X362" s="36"/>
      <c r="Y362" s="36"/>
      <c r="Z362" s="36"/>
    </row>
    <row r="363" spans="1:26" ht="14">
      <c r="A363" s="13">
        <v>42928</v>
      </c>
      <c r="B363" s="64" t="s">
        <v>154</v>
      </c>
      <c r="C363" s="165">
        <v>2017</v>
      </c>
      <c r="D363" s="65">
        <v>2</v>
      </c>
      <c r="E363" s="3" t="s">
        <v>223</v>
      </c>
      <c r="F363" s="3" t="s">
        <v>224</v>
      </c>
      <c r="G363" s="3" t="s">
        <v>225</v>
      </c>
      <c r="H363" s="3" t="s">
        <v>248</v>
      </c>
      <c r="I363" s="3" t="s">
        <v>359</v>
      </c>
      <c r="J363" s="3" t="s">
        <v>360</v>
      </c>
      <c r="K363" s="3" t="s">
        <v>361</v>
      </c>
      <c r="L363" s="3">
        <v>1</v>
      </c>
      <c r="M363" s="3" t="s">
        <v>247</v>
      </c>
      <c r="N363" s="3" t="s">
        <v>362</v>
      </c>
      <c r="O363" s="3">
        <v>656</v>
      </c>
      <c r="P363" s="36">
        <v>0.1522843261809422</v>
      </c>
      <c r="Q363" s="36">
        <v>250</v>
      </c>
      <c r="R363" s="3"/>
      <c r="S363" s="3"/>
      <c r="T363" s="36"/>
      <c r="U363" s="36"/>
      <c r="V363" s="36"/>
      <c r="W363" s="36"/>
      <c r="X363" s="36"/>
      <c r="Y363" s="36"/>
      <c r="Z363" s="36"/>
    </row>
    <row r="364" spans="1:26" ht="14">
      <c r="A364" s="13">
        <v>42867</v>
      </c>
      <c r="B364" s="64" t="s">
        <v>144</v>
      </c>
      <c r="C364" s="165">
        <v>2017</v>
      </c>
      <c r="D364" s="65">
        <v>4</v>
      </c>
      <c r="E364" s="51" t="s">
        <v>223</v>
      </c>
      <c r="F364" s="51" t="s">
        <v>224</v>
      </c>
      <c r="G364" s="51" t="s">
        <v>225</v>
      </c>
      <c r="H364" s="51" t="s">
        <v>248</v>
      </c>
      <c r="I364" s="51" t="s">
        <v>359</v>
      </c>
      <c r="J364" s="3" t="s">
        <v>360</v>
      </c>
      <c r="K364" s="3" t="s">
        <v>361</v>
      </c>
      <c r="L364" s="3">
        <v>1</v>
      </c>
      <c r="M364" s="3" t="s">
        <v>247</v>
      </c>
      <c r="N364" s="3" t="s">
        <v>362</v>
      </c>
      <c r="O364" s="3">
        <v>225</v>
      </c>
      <c r="P364" s="36">
        <v>0.43704009400170857</v>
      </c>
      <c r="Q364" s="3"/>
      <c r="R364" s="3"/>
      <c r="S364" s="3"/>
      <c r="T364" s="36"/>
      <c r="U364" s="36"/>
      <c r="V364" s="36"/>
      <c r="W364" s="36"/>
      <c r="X364" s="36"/>
      <c r="Y364" s="36"/>
      <c r="Z364" s="36"/>
    </row>
    <row r="365" spans="1:26" ht="14">
      <c r="A365" s="13">
        <v>42515</v>
      </c>
      <c r="B365" s="64" t="s">
        <v>144</v>
      </c>
      <c r="C365" s="165">
        <v>2016</v>
      </c>
      <c r="D365" s="3">
        <v>4</v>
      </c>
      <c r="E365" s="51" t="s">
        <v>223</v>
      </c>
      <c r="F365" s="51" t="s">
        <v>224</v>
      </c>
      <c r="G365" s="51" t="s">
        <v>225</v>
      </c>
      <c r="H365" s="51" t="s">
        <v>248</v>
      </c>
      <c r="I365" s="51" t="s">
        <v>359</v>
      </c>
      <c r="J365" s="3" t="s">
        <v>360</v>
      </c>
      <c r="K365" s="3" t="s">
        <v>361</v>
      </c>
      <c r="L365" s="3">
        <v>2</v>
      </c>
      <c r="M365" s="3" t="s">
        <v>247</v>
      </c>
      <c r="N365" s="3" t="s">
        <v>362</v>
      </c>
      <c r="O365" s="3">
        <v>217</v>
      </c>
      <c r="P365" s="36">
        <v>0.9209290862393783</v>
      </c>
      <c r="Q365" s="3">
        <v>250</v>
      </c>
      <c r="R365" s="3"/>
      <c r="S365" s="3"/>
      <c r="T365" s="36"/>
      <c r="U365" s="36"/>
      <c r="V365" s="36"/>
      <c r="W365" s="36"/>
      <c r="X365" s="36"/>
      <c r="Y365" s="36"/>
      <c r="Z365" s="36"/>
    </row>
    <row r="366" spans="1:26" ht="14">
      <c r="A366" s="35">
        <v>42928</v>
      </c>
      <c r="B366" s="64" t="s">
        <v>154</v>
      </c>
      <c r="C366" s="165">
        <v>2017</v>
      </c>
      <c r="D366" s="65">
        <v>5</v>
      </c>
      <c r="E366" s="65" t="s">
        <v>300</v>
      </c>
      <c r="F366" s="65" t="s">
        <v>301</v>
      </c>
      <c r="G366" s="36"/>
      <c r="H366" s="36"/>
      <c r="I366" s="65"/>
      <c r="J366" s="65"/>
      <c r="K366" s="36"/>
      <c r="L366" s="36">
        <v>1</v>
      </c>
      <c r="M366" s="36"/>
      <c r="N366" s="36" t="s">
        <v>302</v>
      </c>
      <c r="O366" s="36">
        <v>385</v>
      </c>
      <c r="P366" s="36">
        <v>0.25962643656433609</v>
      </c>
      <c r="Q366" s="65">
        <v>250</v>
      </c>
      <c r="R366" s="65"/>
      <c r="S366" s="65"/>
      <c r="T366" s="65"/>
      <c r="U366" s="36"/>
      <c r="V366" s="36"/>
      <c r="W366" s="36"/>
      <c r="X366" s="36"/>
      <c r="Y366" s="36"/>
      <c r="Z366" s="36"/>
    </row>
    <row r="367" spans="1:26" ht="14">
      <c r="A367" s="71">
        <v>43019</v>
      </c>
      <c r="B367" s="64" t="s">
        <v>159</v>
      </c>
      <c r="C367" s="165">
        <v>2017</v>
      </c>
      <c r="D367" s="65">
        <v>5</v>
      </c>
      <c r="E367" s="65" t="s">
        <v>300</v>
      </c>
      <c r="F367" s="65" t="s">
        <v>301</v>
      </c>
      <c r="G367" s="65"/>
      <c r="H367" s="65"/>
      <c r="I367" s="65"/>
      <c r="J367" s="36"/>
      <c r="K367" s="36"/>
      <c r="L367" s="36">
        <v>7</v>
      </c>
      <c r="M367" s="36" t="s">
        <v>221</v>
      </c>
      <c r="N367" s="36" t="s">
        <v>302</v>
      </c>
      <c r="O367" s="3">
        <v>255</v>
      </c>
      <c r="P367" s="36">
        <v>2.7444893855065864</v>
      </c>
      <c r="Q367" s="3">
        <v>250</v>
      </c>
      <c r="R367" s="3"/>
      <c r="S367" s="3"/>
      <c r="T367" s="36"/>
      <c r="U367" s="36"/>
      <c r="V367" s="36"/>
      <c r="W367" s="36"/>
      <c r="X367" s="36"/>
      <c r="Y367" s="36"/>
      <c r="Z367" s="36"/>
    </row>
    <row r="368" spans="1:26" ht="14">
      <c r="A368" s="13">
        <v>43019</v>
      </c>
      <c r="B368" s="64" t="s">
        <v>159</v>
      </c>
      <c r="C368" s="165">
        <v>2017</v>
      </c>
      <c r="D368" s="65">
        <v>8</v>
      </c>
      <c r="E368" s="65" t="s">
        <v>300</v>
      </c>
      <c r="F368" s="65" t="s">
        <v>301</v>
      </c>
      <c r="G368" s="65"/>
      <c r="H368" s="65"/>
      <c r="I368" s="65"/>
      <c r="J368" s="36"/>
      <c r="K368" s="36"/>
      <c r="L368" s="36">
        <v>4</v>
      </c>
      <c r="M368" s="36" t="s">
        <v>221</v>
      </c>
      <c r="N368" s="36" t="s">
        <v>302</v>
      </c>
      <c r="O368" s="3">
        <v>288</v>
      </c>
      <c r="P368" s="36">
        <v>1.3344419248372525</v>
      </c>
      <c r="Q368" s="3">
        <v>250</v>
      </c>
      <c r="R368" s="3"/>
      <c r="S368" s="3"/>
      <c r="T368" s="36"/>
      <c r="U368" s="36"/>
      <c r="V368" s="36"/>
      <c r="W368" s="36"/>
      <c r="X368" s="36"/>
      <c r="Y368" s="36"/>
      <c r="Z368" s="36"/>
    </row>
    <row r="369" spans="1:26" ht="14">
      <c r="A369" s="35">
        <v>41480</v>
      </c>
      <c r="B369" s="64" t="s">
        <v>154</v>
      </c>
      <c r="C369" s="165">
        <v>2013</v>
      </c>
      <c r="D369" s="65">
        <v>4</v>
      </c>
      <c r="E369" s="36" t="s">
        <v>300</v>
      </c>
      <c r="F369" s="36" t="s">
        <v>301</v>
      </c>
      <c r="G369" s="36"/>
      <c r="H369" s="36"/>
      <c r="I369" s="36"/>
      <c r="J369" s="36"/>
      <c r="K369" s="36"/>
      <c r="L369" s="36">
        <v>1</v>
      </c>
      <c r="M369" s="36" t="s">
        <v>221</v>
      </c>
      <c r="N369" s="36" t="s">
        <v>302</v>
      </c>
      <c r="O369" s="36">
        <v>124</v>
      </c>
      <c r="P369" s="65">
        <v>0.80423522173133577</v>
      </c>
      <c r="Q369" s="36">
        <v>250</v>
      </c>
      <c r="R369" s="36" t="s">
        <v>222</v>
      </c>
      <c r="S369" s="36"/>
      <c r="T369" s="36"/>
      <c r="U369" s="36"/>
      <c r="V369" s="36"/>
      <c r="W369" s="36"/>
      <c r="X369" s="36"/>
      <c r="Y369" s="36"/>
      <c r="Z369" s="36"/>
    </row>
    <row r="370" spans="1:26" ht="14">
      <c r="A370" s="72">
        <v>41480</v>
      </c>
      <c r="B370" s="64" t="s">
        <v>154</v>
      </c>
      <c r="C370" s="165">
        <v>2013</v>
      </c>
      <c r="D370" s="65">
        <v>5</v>
      </c>
      <c r="E370" s="65" t="s">
        <v>300</v>
      </c>
      <c r="F370" s="65" t="s">
        <v>301</v>
      </c>
      <c r="G370" s="65"/>
      <c r="H370" s="65"/>
      <c r="I370" s="65"/>
      <c r="J370" s="36"/>
      <c r="K370" s="36"/>
      <c r="L370" s="36">
        <v>9</v>
      </c>
      <c r="M370" s="36" t="s">
        <v>221</v>
      </c>
      <c r="N370" s="36" t="s">
        <v>302</v>
      </c>
      <c r="O370" s="3">
        <v>155</v>
      </c>
      <c r="P370" s="65">
        <v>5.8056328889833191</v>
      </c>
      <c r="Q370" s="36">
        <v>250</v>
      </c>
      <c r="R370" s="36" t="s">
        <v>222</v>
      </c>
      <c r="S370" s="36"/>
      <c r="T370" s="36"/>
      <c r="U370" s="36"/>
      <c r="V370" s="36"/>
      <c r="W370" s="36"/>
      <c r="X370" s="36"/>
      <c r="Y370" s="36"/>
      <c r="Z370" s="36"/>
    </row>
    <row r="371" spans="1:26" ht="14">
      <c r="A371" s="35">
        <v>41480</v>
      </c>
      <c r="B371" s="64" t="s">
        <v>154</v>
      </c>
      <c r="C371" s="165">
        <v>2013</v>
      </c>
      <c r="D371" s="65">
        <v>8</v>
      </c>
      <c r="E371" s="65" t="s">
        <v>300</v>
      </c>
      <c r="F371" s="36" t="s">
        <v>301</v>
      </c>
      <c r="G371" s="36"/>
      <c r="H371" s="65"/>
      <c r="I371" s="65"/>
      <c r="J371" s="65"/>
      <c r="K371" s="65"/>
      <c r="L371" s="65">
        <v>2</v>
      </c>
      <c r="M371" s="65" t="s">
        <v>221</v>
      </c>
      <c r="N371" s="65" t="s">
        <v>302</v>
      </c>
      <c r="O371" s="36">
        <v>251</v>
      </c>
      <c r="P371" s="36">
        <v>0.79677730805595204</v>
      </c>
      <c r="Q371" s="36">
        <v>250</v>
      </c>
      <c r="R371" s="36"/>
      <c r="S371" s="36"/>
      <c r="T371" s="36"/>
      <c r="U371" s="36"/>
      <c r="V371" s="36"/>
      <c r="W371" s="36"/>
      <c r="X371" s="36"/>
      <c r="Y371" s="36"/>
      <c r="Z371" s="36"/>
    </row>
    <row r="372" spans="1:26" ht="14">
      <c r="A372" s="35">
        <v>41422</v>
      </c>
      <c r="B372" s="64" t="s">
        <v>144</v>
      </c>
      <c r="C372" s="165">
        <v>2013</v>
      </c>
      <c r="D372" s="65">
        <v>8</v>
      </c>
      <c r="E372" s="65" t="s">
        <v>300</v>
      </c>
      <c r="F372" s="65" t="s">
        <v>301</v>
      </c>
      <c r="G372" s="65"/>
      <c r="H372" s="65"/>
      <c r="I372" s="65"/>
      <c r="J372" s="36"/>
      <c r="K372" s="36"/>
      <c r="L372" s="36">
        <v>3</v>
      </c>
      <c r="M372" s="36" t="s">
        <v>221</v>
      </c>
      <c r="N372" s="36" t="s">
        <v>302</v>
      </c>
      <c r="O372" s="3">
        <v>89</v>
      </c>
      <c r="P372" s="36">
        <v>3.3699295457434797</v>
      </c>
      <c r="Q372" s="36">
        <v>250</v>
      </c>
      <c r="R372" s="36" t="s">
        <v>222</v>
      </c>
      <c r="S372" s="36"/>
      <c r="T372" s="36"/>
      <c r="U372" s="36"/>
      <c r="V372" s="36"/>
      <c r="W372" s="36"/>
      <c r="X372" s="36"/>
      <c r="Y372" s="36"/>
      <c r="Z372" s="36"/>
    </row>
    <row r="373" spans="1:26" ht="14">
      <c r="A373" s="72">
        <v>42144</v>
      </c>
      <c r="B373" s="64" t="s">
        <v>144</v>
      </c>
      <c r="C373" s="165">
        <v>2015</v>
      </c>
      <c r="D373" s="65">
        <v>2</v>
      </c>
      <c r="E373" s="36" t="s">
        <v>323</v>
      </c>
      <c r="F373" s="36" t="s">
        <v>324</v>
      </c>
      <c r="G373" s="36"/>
      <c r="H373" s="36" t="s">
        <v>325</v>
      </c>
      <c r="I373" s="36" t="s">
        <v>326</v>
      </c>
      <c r="J373" s="36" t="s">
        <v>327</v>
      </c>
      <c r="K373" s="36"/>
      <c r="L373" s="36">
        <v>4</v>
      </c>
      <c r="M373" s="36" t="s">
        <v>229</v>
      </c>
      <c r="N373" s="36" t="s">
        <v>532</v>
      </c>
      <c r="O373" s="36">
        <v>7</v>
      </c>
      <c r="P373" s="65">
        <v>1.4840051045634186E-2</v>
      </c>
      <c r="Q373" s="36">
        <v>1000</v>
      </c>
      <c r="R373" s="36"/>
      <c r="S373" s="36"/>
      <c r="T373" s="36"/>
      <c r="U373" s="36"/>
      <c r="V373" s="36"/>
      <c r="W373" s="36"/>
      <c r="X373" s="36"/>
      <c r="Y373" s="36"/>
      <c r="Z373" s="36"/>
    </row>
    <row r="374" spans="1:26" ht="14">
      <c r="A374" s="72">
        <v>42144</v>
      </c>
      <c r="B374" s="64" t="s">
        <v>144</v>
      </c>
      <c r="C374" s="165">
        <v>2015</v>
      </c>
      <c r="D374" s="36">
        <v>4</v>
      </c>
      <c r="E374" s="36" t="s">
        <v>323</v>
      </c>
      <c r="F374" s="36" t="s">
        <v>324</v>
      </c>
      <c r="G374" s="36"/>
      <c r="H374" s="36" t="s">
        <v>325</v>
      </c>
      <c r="I374" s="65" t="s">
        <v>326</v>
      </c>
      <c r="J374" s="65" t="s">
        <v>327</v>
      </c>
      <c r="K374" s="36"/>
      <c r="L374" s="36">
        <v>7</v>
      </c>
      <c r="M374" s="36" t="s">
        <v>229</v>
      </c>
      <c r="N374" s="36" t="s">
        <v>532</v>
      </c>
      <c r="O374" s="36">
        <v>21</v>
      </c>
      <c r="P374" s="65">
        <v>2.9735233149455195E-2</v>
      </c>
      <c r="Q374" s="65">
        <v>1000</v>
      </c>
      <c r="R374" s="65"/>
      <c r="S374" s="65"/>
      <c r="T374" s="145"/>
      <c r="U374" s="36"/>
      <c r="V374" s="36"/>
      <c r="W374" s="36"/>
      <c r="X374" s="36"/>
      <c r="Y374" s="36"/>
      <c r="Z374" s="36"/>
    </row>
    <row r="375" spans="1:26" ht="14">
      <c r="A375" s="35">
        <v>42144</v>
      </c>
      <c r="B375" s="64" t="s">
        <v>144</v>
      </c>
      <c r="C375" s="165">
        <v>2015</v>
      </c>
      <c r="D375" s="36">
        <v>5</v>
      </c>
      <c r="E375" s="36" t="s">
        <v>323</v>
      </c>
      <c r="F375" s="36" t="s">
        <v>324</v>
      </c>
      <c r="G375" s="36"/>
      <c r="H375" s="36" t="s">
        <v>325</v>
      </c>
      <c r="I375" s="36" t="s">
        <v>326</v>
      </c>
      <c r="J375" s="36" t="s">
        <v>327</v>
      </c>
      <c r="K375" s="36"/>
      <c r="L375" s="36">
        <v>5</v>
      </c>
      <c r="M375" s="36" t="s">
        <v>229</v>
      </c>
      <c r="N375" s="36" t="s">
        <v>532</v>
      </c>
      <c r="O375" s="36">
        <v>8</v>
      </c>
      <c r="P375" s="65">
        <v>2.2993310149473492E-2</v>
      </c>
      <c r="Q375" s="36">
        <v>1000</v>
      </c>
      <c r="R375" s="36"/>
      <c r="S375" s="36"/>
      <c r="T375" s="36"/>
      <c r="U375" s="36"/>
      <c r="V375" s="36"/>
      <c r="W375" s="36"/>
      <c r="X375" s="36"/>
      <c r="Y375" s="36"/>
      <c r="Z375" s="36"/>
    </row>
    <row r="376" spans="1:26" ht="14">
      <c r="A376" s="13">
        <v>42928</v>
      </c>
      <c r="B376" s="64" t="s">
        <v>154</v>
      </c>
      <c r="C376" s="165">
        <v>2017</v>
      </c>
      <c r="D376" s="65">
        <v>2</v>
      </c>
      <c r="E376" s="36" t="s">
        <v>323</v>
      </c>
      <c r="F376" s="36" t="s">
        <v>324</v>
      </c>
      <c r="G376" s="36"/>
      <c r="H376" s="36" t="s">
        <v>325</v>
      </c>
      <c r="I376" s="36" t="s">
        <v>326</v>
      </c>
      <c r="J376" s="3"/>
      <c r="K376" s="3"/>
      <c r="L376" s="3">
        <v>18</v>
      </c>
      <c r="M376" s="36" t="s">
        <v>509</v>
      </c>
      <c r="N376" s="36" t="s">
        <v>327</v>
      </c>
      <c r="O376" s="3">
        <v>116</v>
      </c>
      <c r="P376" s="36">
        <v>1.5747210822714356E-2</v>
      </c>
      <c r="Q376" s="36">
        <v>1000</v>
      </c>
      <c r="R376" s="3"/>
      <c r="S376" s="3"/>
      <c r="T376" s="36"/>
      <c r="U376" s="36"/>
      <c r="V376" s="36"/>
      <c r="W376" s="36"/>
      <c r="X376" s="36"/>
      <c r="Y376" s="36"/>
      <c r="Z376" s="36"/>
    </row>
    <row r="377" spans="1:26" ht="14">
      <c r="A377" s="13">
        <v>42928</v>
      </c>
      <c r="B377" s="64" t="s">
        <v>154</v>
      </c>
      <c r="C377" s="165">
        <v>2017</v>
      </c>
      <c r="D377" s="65">
        <v>5</v>
      </c>
      <c r="E377" s="65" t="s">
        <v>323</v>
      </c>
      <c r="F377" s="65" t="s">
        <v>324</v>
      </c>
      <c r="G377" s="65"/>
      <c r="H377" s="65" t="s">
        <v>325</v>
      </c>
      <c r="I377" s="65" t="s">
        <v>326</v>
      </c>
      <c r="J377" s="3"/>
      <c r="K377" s="3"/>
      <c r="L377" s="3">
        <v>2</v>
      </c>
      <c r="M377" s="36" t="s">
        <v>509</v>
      </c>
      <c r="N377" s="36" t="s">
        <v>327</v>
      </c>
      <c r="O377" s="3">
        <v>6</v>
      </c>
      <c r="P377" s="36">
        <v>1.4607307576893904E-2</v>
      </c>
      <c r="Q377" s="36">
        <v>1000</v>
      </c>
      <c r="R377" s="3"/>
      <c r="S377" s="3"/>
      <c r="T377" s="36"/>
      <c r="U377" s="36"/>
      <c r="V377" s="36"/>
      <c r="W377" s="36"/>
      <c r="X377" s="36"/>
      <c r="Y377" s="36"/>
      <c r="Z377" s="36"/>
    </row>
    <row r="378" spans="1:26" ht="14">
      <c r="A378" s="13">
        <v>42867</v>
      </c>
      <c r="B378" s="64" t="s">
        <v>144</v>
      </c>
      <c r="C378" s="165">
        <v>2017</v>
      </c>
      <c r="D378" s="65">
        <v>4</v>
      </c>
      <c r="E378" s="65" t="s">
        <v>323</v>
      </c>
      <c r="F378" s="36" t="s">
        <v>324</v>
      </c>
      <c r="G378" s="36"/>
      <c r="H378" s="65" t="s">
        <v>325</v>
      </c>
      <c r="I378" s="65" t="s">
        <v>326</v>
      </c>
      <c r="J378" s="51"/>
      <c r="K378" s="3"/>
      <c r="L378" s="3">
        <v>22</v>
      </c>
      <c r="M378" s="36" t="s">
        <v>509</v>
      </c>
      <c r="N378" s="36" t="s">
        <v>327</v>
      </c>
      <c r="O378" s="3">
        <v>664</v>
      </c>
      <c r="P378" s="36">
        <v>5.5198094414969111E-2</v>
      </c>
      <c r="Q378" s="36">
        <v>1000</v>
      </c>
      <c r="R378" s="3"/>
      <c r="S378" s="3"/>
      <c r="T378" s="36"/>
      <c r="U378" s="36"/>
      <c r="V378" s="36"/>
      <c r="W378" s="36"/>
      <c r="X378" s="36"/>
      <c r="Y378" s="36"/>
      <c r="Z378" s="36"/>
    </row>
    <row r="379" spans="1:26" ht="14">
      <c r="A379" s="13">
        <v>42867</v>
      </c>
      <c r="B379" s="64" t="s">
        <v>144</v>
      </c>
      <c r="C379" s="165">
        <v>2017</v>
      </c>
      <c r="D379" s="65">
        <v>5</v>
      </c>
      <c r="E379" s="53" t="s">
        <v>323</v>
      </c>
      <c r="F379" s="53" t="s">
        <v>324</v>
      </c>
      <c r="G379" s="53"/>
      <c r="H379" s="53" t="s">
        <v>325</v>
      </c>
      <c r="I379" s="53" t="s">
        <v>326</v>
      </c>
      <c r="J379" s="36" t="s">
        <v>327</v>
      </c>
      <c r="K379" s="36"/>
      <c r="L379" s="36">
        <v>4</v>
      </c>
      <c r="M379" s="36" t="s">
        <v>509</v>
      </c>
      <c r="N379" s="36" t="s">
        <v>327</v>
      </c>
      <c r="O379" s="3">
        <v>16</v>
      </c>
      <c r="P379" s="36">
        <v>8.1136163414616651E-3</v>
      </c>
      <c r="Q379" s="65">
        <v>1000</v>
      </c>
      <c r="R379" s="51"/>
      <c r="S379" s="51"/>
      <c r="T379" s="65"/>
      <c r="U379" s="36"/>
      <c r="V379" s="36"/>
      <c r="W379" s="36"/>
      <c r="X379" s="36"/>
      <c r="Y379" s="36"/>
      <c r="Z379" s="36"/>
    </row>
    <row r="380" spans="1:26" ht="14">
      <c r="A380" s="72">
        <v>42571</v>
      </c>
      <c r="B380" s="64" t="s">
        <v>154</v>
      </c>
      <c r="C380" s="165">
        <v>2016</v>
      </c>
      <c r="D380" s="65">
        <v>2</v>
      </c>
      <c r="E380" s="36" t="s">
        <v>323</v>
      </c>
      <c r="F380" s="36" t="s">
        <v>324</v>
      </c>
      <c r="G380" s="36"/>
      <c r="H380" s="36" t="s">
        <v>325</v>
      </c>
      <c r="I380" s="36" t="s">
        <v>326</v>
      </c>
      <c r="J380" s="36" t="s">
        <v>327</v>
      </c>
      <c r="K380" s="36"/>
      <c r="L380" s="36">
        <v>2</v>
      </c>
      <c r="M380" s="36" t="s">
        <v>229</v>
      </c>
      <c r="N380" s="36" t="s">
        <v>327</v>
      </c>
      <c r="O380" s="36">
        <v>5</v>
      </c>
      <c r="P380" s="36">
        <v>3.9394066096260097E-3</v>
      </c>
      <c r="Q380" s="36">
        <v>1000</v>
      </c>
      <c r="R380" s="36"/>
      <c r="S380" s="36"/>
      <c r="T380" s="36"/>
      <c r="U380" s="36"/>
      <c r="V380" s="36"/>
      <c r="W380" s="36"/>
      <c r="X380" s="36"/>
      <c r="Y380" s="36"/>
      <c r="Z380" s="36"/>
    </row>
    <row r="381" spans="1:26" ht="14">
      <c r="A381" s="35">
        <v>42515</v>
      </c>
      <c r="B381" s="64" t="s">
        <v>144</v>
      </c>
      <c r="C381" s="165">
        <v>2016</v>
      </c>
      <c r="D381" s="76">
        <v>2</v>
      </c>
      <c r="E381" s="36" t="s">
        <v>323</v>
      </c>
      <c r="F381" s="36" t="s">
        <v>324</v>
      </c>
      <c r="G381" s="36"/>
      <c r="H381" s="36" t="s">
        <v>325</v>
      </c>
      <c r="I381" s="36" t="s">
        <v>326</v>
      </c>
      <c r="J381" s="36" t="s">
        <v>327</v>
      </c>
      <c r="K381" s="36"/>
      <c r="L381" s="36">
        <v>13</v>
      </c>
      <c r="M381" s="36" t="s">
        <v>229</v>
      </c>
      <c r="N381" s="36" t="s">
        <v>327</v>
      </c>
      <c r="O381" s="36">
        <v>13</v>
      </c>
      <c r="P381" s="65">
        <v>5.008158069356166E-2</v>
      </c>
      <c r="Q381" s="65">
        <v>1000</v>
      </c>
      <c r="R381" s="65"/>
      <c r="S381" s="65"/>
      <c r="T381" s="65"/>
      <c r="U381" s="36"/>
      <c r="V381" s="36"/>
      <c r="W381" s="36"/>
      <c r="X381" s="36"/>
      <c r="Y381" s="36"/>
      <c r="Z381" s="36"/>
    </row>
    <row r="382" spans="1:26" ht="14">
      <c r="A382" s="35">
        <v>42515</v>
      </c>
      <c r="B382" s="64" t="s">
        <v>144</v>
      </c>
      <c r="C382" s="165">
        <v>2016</v>
      </c>
      <c r="D382" s="76">
        <v>5</v>
      </c>
      <c r="E382" s="65" t="s">
        <v>323</v>
      </c>
      <c r="F382" s="65" t="s">
        <v>324</v>
      </c>
      <c r="G382" s="65"/>
      <c r="H382" s="65" t="s">
        <v>325</v>
      </c>
      <c r="I382" s="65" t="s">
        <v>326</v>
      </c>
      <c r="J382" s="36" t="s">
        <v>327</v>
      </c>
      <c r="K382" s="36"/>
      <c r="L382" s="36">
        <v>2</v>
      </c>
      <c r="M382" s="36" t="s">
        <v>229</v>
      </c>
      <c r="N382" s="36" t="s">
        <v>327</v>
      </c>
      <c r="O382" s="36">
        <v>17</v>
      </c>
      <c r="P382" s="36">
        <v>5.6729565689064409E-3</v>
      </c>
      <c r="Q382" s="36">
        <v>1000</v>
      </c>
      <c r="R382" s="36"/>
      <c r="S382" s="36"/>
      <c r="T382" s="36"/>
      <c r="U382" s="36"/>
      <c r="V382" s="36"/>
      <c r="W382" s="36"/>
      <c r="X382" s="36"/>
      <c r="Y382" s="36"/>
      <c r="Z382" s="36"/>
    </row>
    <row r="383" spans="1:26" ht="14">
      <c r="A383" s="72">
        <v>42206</v>
      </c>
      <c r="B383" s="64" t="s">
        <v>154</v>
      </c>
      <c r="C383" s="165">
        <v>2015</v>
      </c>
      <c r="D383" s="76">
        <v>2</v>
      </c>
      <c r="E383" s="36" t="s">
        <v>323</v>
      </c>
      <c r="F383" s="36" t="s">
        <v>324</v>
      </c>
      <c r="G383" s="36"/>
      <c r="H383" s="36" t="s">
        <v>325</v>
      </c>
      <c r="I383" s="36" t="s">
        <v>326</v>
      </c>
      <c r="J383" s="36" t="s">
        <v>327</v>
      </c>
      <c r="K383" s="36"/>
      <c r="L383" s="36">
        <v>1</v>
      </c>
      <c r="M383" s="36" t="s">
        <v>229</v>
      </c>
      <c r="N383" s="36" t="s">
        <v>327</v>
      </c>
      <c r="O383" s="36">
        <v>3</v>
      </c>
      <c r="P383" s="36">
        <v>1.0984943130251956E-2</v>
      </c>
      <c r="Q383" s="36">
        <v>1000</v>
      </c>
      <c r="R383" s="36"/>
      <c r="S383" s="36"/>
      <c r="T383" s="36"/>
      <c r="U383" s="36"/>
      <c r="V383" s="36"/>
      <c r="W383" s="36"/>
      <c r="X383" s="36"/>
      <c r="Y383" s="36"/>
      <c r="Z383" s="36"/>
    </row>
    <row r="384" spans="1:26" ht="14">
      <c r="A384" s="64">
        <v>42206</v>
      </c>
      <c r="B384" s="64" t="s">
        <v>154</v>
      </c>
      <c r="C384" s="165">
        <v>2015</v>
      </c>
      <c r="D384" s="36">
        <v>5</v>
      </c>
      <c r="E384" s="36" t="s">
        <v>323</v>
      </c>
      <c r="F384" s="36" t="s">
        <v>324</v>
      </c>
      <c r="G384" s="36"/>
      <c r="H384" s="36" t="s">
        <v>325</v>
      </c>
      <c r="I384" s="36" t="s">
        <v>326</v>
      </c>
      <c r="J384" s="36" t="s">
        <v>327</v>
      </c>
      <c r="K384" s="36"/>
      <c r="L384" s="36">
        <v>4</v>
      </c>
      <c r="M384" s="36" t="s">
        <v>229</v>
      </c>
      <c r="N384" s="36" t="s">
        <v>327</v>
      </c>
      <c r="O384" s="36">
        <v>12</v>
      </c>
      <c r="P384" s="36">
        <v>7.5923401422614712E-3</v>
      </c>
      <c r="Q384" s="36">
        <v>1000</v>
      </c>
      <c r="R384" s="36"/>
      <c r="S384" s="36"/>
      <c r="T384" s="36"/>
      <c r="U384" s="36"/>
      <c r="V384" s="36"/>
      <c r="W384" s="36"/>
      <c r="X384" s="36"/>
      <c r="Y384" s="36"/>
      <c r="Z384" s="36"/>
    </row>
    <row r="385" spans="1:26" ht="14">
      <c r="A385" s="64">
        <v>41761</v>
      </c>
      <c r="B385" s="64" t="s">
        <v>144</v>
      </c>
      <c r="C385" s="165">
        <v>2014</v>
      </c>
      <c r="D385" s="65">
        <v>4</v>
      </c>
      <c r="E385" s="36" t="s">
        <v>323</v>
      </c>
      <c r="F385" s="36" t="s">
        <v>324</v>
      </c>
      <c r="G385" s="36"/>
      <c r="H385" s="36" t="s">
        <v>325</v>
      </c>
      <c r="I385" s="36" t="s">
        <v>326</v>
      </c>
      <c r="J385" s="36" t="s">
        <v>327</v>
      </c>
      <c r="K385" s="36"/>
      <c r="L385" s="36">
        <v>20</v>
      </c>
      <c r="M385" s="36" t="s">
        <v>229</v>
      </c>
      <c r="N385" s="36" t="s">
        <v>327</v>
      </c>
      <c r="O385" s="36">
        <v>864</v>
      </c>
      <c r="P385" s="65">
        <v>5.5307419565074484E-2</v>
      </c>
      <c r="Q385" s="36">
        <v>1000</v>
      </c>
      <c r="R385" s="36"/>
      <c r="S385" s="36"/>
      <c r="T385" s="36"/>
      <c r="U385" s="36"/>
      <c r="V385" s="36"/>
      <c r="W385" s="36"/>
      <c r="X385" s="36"/>
      <c r="Y385" s="36"/>
      <c r="Z385" s="36"/>
    </row>
    <row r="386" spans="1:26" ht="14">
      <c r="A386" s="64">
        <v>41761</v>
      </c>
      <c r="B386" s="64" t="s">
        <v>144</v>
      </c>
      <c r="C386" s="165">
        <v>2014</v>
      </c>
      <c r="D386" s="65">
        <v>5</v>
      </c>
      <c r="E386" s="65" t="s">
        <v>323</v>
      </c>
      <c r="F386" s="65" t="s">
        <v>324</v>
      </c>
      <c r="G386" s="65"/>
      <c r="H386" s="65" t="s">
        <v>325</v>
      </c>
      <c r="I386" s="65" t="s">
        <v>326</v>
      </c>
      <c r="J386" s="36" t="s">
        <v>327</v>
      </c>
      <c r="K386" s="36"/>
      <c r="L386" s="36">
        <v>2</v>
      </c>
      <c r="M386" s="36" t="s">
        <v>229</v>
      </c>
      <c r="N386" s="36" t="s">
        <v>327</v>
      </c>
      <c r="O386" s="36">
        <v>87</v>
      </c>
      <c r="P386" s="36">
        <v>4.7866334940216632E-3</v>
      </c>
      <c r="Q386" s="36">
        <v>1000</v>
      </c>
      <c r="R386" s="36"/>
      <c r="S386" s="36"/>
      <c r="T386" s="36"/>
      <c r="U386" s="36"/>
      <c r="V386" s="36"/>
      <c r="W386" s="36"/>
      <c r="X386" s="36"/>
      <c r="Y386" s="36"/>
      <c r="Z386" s="36"/>
    </row>
    <row r="387" spans="1:26" ht="14">
      <c r="A387" s="64">
        <v>41761</v>
      </c>
      <c r="B387" s="64" t="s">
        <v>144</v>
      </c>
      <c r="C387" s="165">
        <v>2014</v>
      </c>
      <c r="D387" s="65">
        <v>8</v>
      </c>
      <c r="E387" s="36" t="s">
        <v>323</v>
      </c>
      <c r="F387" s="36" t="s">
        <v>324</v>
      </c>
      <c r="G387" s="36"/>
      <c r="H387" s="36" t="s">
        <v>325</v>
      </c>
      <c r="I387" s="65" t="s">
        <v>326</v>
      </c>
      <c r="J387" s="65" t="s">
        <v>327</v>
      </c>
      <c r="K387" s="36"/>
      <c r="L387" s="36">
        <v>9</v>
      </c>
      <c r="M387" s="36" t="s">
        <v>229</v>
      </c>
      <c r="N387" s="36" t="s">
        <v>327</v>
      </c>
      <c r="O387" s="36">
        <v>91</v>
      </c>
      <c r="P387" s="36">
        <v>2.5843313760434292E-2</v>
      </c>
      <c r="Q387" s="65">
        <v>1000</v>
      </c>
      <c r="R387" s="65" t="s">
        <v>548</v>
      </c>
      <c r="S387" s="65"/>
      <c r="T387" s="65"/>
      <c r="U387" s="36"/>
      <c r="V387" s="36"/>
      <c r="W387" s="36"/>
      <c r="X387" s="36"/>
      <c r="Y387" s="36"/>
      <c r="Z387" s="36"/>
    </row>
    <row r="388" spans="1:26" ht="14">
      <c r="A388" s="64">
        <v>41480</v>
      </c>
      <c r="B388" s="64" t="s">
        <v>693</v>
      </c>
      <c r="C388" s="165">
        <v>2013</v>
      </c>
      <c r="D388" s="65">
        <v>2</v>
      </c>
      <c r="E388" s="36" t="s">
        <v>323</v>
      </c>
      <c r="F388" s="36" t="s">
        <v>324</v>
      </c>
      <c r="G388" s="36"/>
      <c r="H388" s="36" t="s">
        <v>325</v>
      </c>
      <c r="I388" s="36" t="s">
        <v>326</v>
      </c>
      <c r="J388" s="36"/>
      <c r="K388" s="36"/>
      <c r="L388" s="36">
        <v>5</v>
      </c>
      <c r="M388" s="36" t="s">
        <v>509</v>
      </c>
      <c r="N388" s="36" t="s">
        <v>327</v>
      </c>
      <c r="O388" s="36">
        <v>126</v>
      </c>
      <c r="P388" s="36">
        <v>5.0067042302200538E-3</v>
      </c>
      <c r="Q388" s="36">
        <v>1000</v>
      </c>
      <c r="R388" s="36"/>
      <c r="S388" s="36"/>
      <c r="T388" s="36"/>
      <c r="U388" s="36"/>
      <c r="V388" s="36"/>
      <c r="W388" s="36"/>
      <c r="X388" s="36"/>
      <c r="Y388" s="36"/>
      <c r="Z388" s="36"/>
    </row>
    <row r="389" spans="1:26" ht="14">
      <c r="A389" s="64">
        <v>41480</v>
      </c>
      <c r="B389" s="64" t="s">
        <v>154</v>
      </c>
      <c r="C389" s="165">
        <v>2013</v>
      </c>
      <c r="D389" s="65">
        <v>4</v>
      </c>
      <c r="E389" s="36" t="s">
        <v>323</v>
      </c>
      <c r="F389" s="36" t="s">
        <v>324</v>
      </c>
      <c r="G389" s="36"/>
      <c r="H389" s="36" t="s">
        <v>325</v>
      </c>
      <c r="I389" s="36" t="s">
        <v>326</v>
      </c>
      <c r="J389" s="36" t="s">
        <v>349</v>
      </c>
      <c r="K389" s="36"/>
      <c r="L389" s="36">
        <v>2</v>
      </c>
      <c r="M389" s="36" t="s">
        <v>229</v>
      </c>
      <c r="N389" s="36" t="s">
        <v>327</v>
      </c>
      <c r="O389" s="36">
        <v>113</v>
      </c>
      <c r="P389" s="36">
        <v>4.8642921294592793E-3</v>
      </c>
      <c r="Q389" s="36">
        <v>1000</v>
      </c>
      <c r="R389" s="36"/>
      <c r="S389" s="36"/>
      <c r="T389" s="36"/>
      <c r="U389" s="36"/>
      <c r="V389" s="36"/>
      <c r="W389" s="36"/>
      <c r="X389" s="36"/>
      <c r="Y389" s="36"/>
      <c r="Z389" s="36"/>
    </row>
    <row r="390" spans="1:26" ht="14">
      <c r="A390" s="72">
        <v>41480</v>
      </c>
      <c r="B390" s="64" t="s">
        <v>154</v>
      </c>
      <c r="C390" s="165">
        <v>2013</v>
      </c>
      <c r="D390" s="65">
        <v>5</v>
      </c>
      <c r="E390" s="36" t="s">
        <v>323</v>
      </c>
      <c r="F390" s="36" t="s">
        <v>324</v>
      </c>
      <c r="G390" s="36"/>
      <c r="H390" s="36" t="s">
        <v>325</v>
      </c>
      <c r="I390" s="36" t="s">
        <v>326</v>
      </c>
      <c r="J390" s="36"/>
      <c r="K390" s="36"/>
      <c r="L390" s="36">
        <v>4</v>
      </c>
      <c r="M390" s="36" t="s">
        <v>509</v>
      </c>
      <c r="N390" s="36" t="s">
        <v>327</v>
      </c>
      <c r="O390" s="36">
        <v>45</v>
      </c>
      <c r="P390" s="65">
        <v>1.2533551366648377E-3</v>
      </c>
      <c r="Q390" s="36">
        <v>1000</v>
      </c>
      <c r="R390" s="36"/>
      <c r="S390" s="36"/>
      <c r="T390" s="36"/>
      <c r="U390" s="36"/>
      <c r="V390" s="36"/>
      <c r="W390" s="36"/>
      <c r="X390" s="36"/>
      <c r="Y390" s="36"/>
      <c r="Z390" s="36"/>
    </row>
    <row r="391" spans="1:26" ht="14">
      <c r="A391" s="35">
        <v>41480</v>
      </c>
      <c r="B391" s="35" t="s">
        <v>154</v>
      </c>
      <c r="C391" s="165">
        <v>2013</v>
      </c>
      <c r="D391" s="65">
        <v>8</v>
      </c>
      <c r="E391" s="36" t="s">
        <v>323</v>
      </c>
      <c r="F391" s="36" t="s">
        <v>324</v>
      </c>
      <c r="G391" s="36"/>
      <c r="H391" s="36" t="s">
        <v>325</v>
      </c>
      <c r="I391" s="36" t="s">
        <v>326</v>
      </c>
      <c r="J391" s="36"/>
      <c r="K391" s="36"/>
      <c r="L391" s="36">
        <v>1</v>
      </c>
      <c r="M391" s="36" t="s">
        <v>509</v>
      </c>
      <c r="N391" s="36" t="s">
        <v>327</v>
      </c>
      <c r="O391" s="36">
        <v>15</v>
      </c>
      <c r="P391" s="36">
        <v>2.9652259854021296E-4</v>
      </c>
      <c r="Q391" s="36">
        <v>1000</v>
      </c>
      <c r="R391" s="36"/>
      <c r="S391" s="36"/>
      <c r="T391" s="36"/>
      <c r="U391" s="36"/>
      <c r="V391" s="36"/>
      <c r="W391" s="36"/>
      <c r="X391" s="36"/>
      <c r="Y391" s="36"/>
      <c r="Z391" s="36"/>
    </row>
    <row r="392" spans="1:26" ht="14">
      <c r="A392" s="35">
        <v>41422</v>
      </c>
      <c r="B392" s="35" t="s">
        <v>144</v>
      </c>
      <c r="C392" s="165">
        <v>2013</v>
      </c>
      <c r="D392" s="65">
        <v>2</v>
      </c>
      <c r="E392" s="36" t="s">
        <v>323</v>
      </c>
      <c r="F392" s="36" t="s">
        <v>324</v>
      </c>
      <c r="G392" s="36"/>
      <c r="H392" s="36" t="s">
        <v>325</v>
      </c>
      <c r="I392" s="36" t="s">
        <v>326</v>
      </c>
      <c r="J392" s="36" t="s">
        <v>327</v>
      </c>
      <c r="K392" s="36"/>
      <c r="L392" s="36">
        <v>4</v>
      </c>
      <c r="M392" s="36" t="s">
        <v>229</v>
      </c>
      <c r="N392" s="36" t="s">
        <v>327</v>
      </c>
      <c r="O392" s="36">
        <v>8</v>
      </c>
      <c r="P392" s="65">
        <v>2.3601541466791342E-2</v>
      </c>
      <c r="Q392" s="36">
        <v>1000</v>
      </c>
      <c r="R392" s="36"/>
      <c r="S392" s="36"/>
      <c r="T392" s="36"/>
      <c r="U392" s="36"/>
      <c r="V392" s="36"/>
      <c r="W392" s="36"/>
      <c r="X392" s="36"/>
      <c r="Y392" s="36"/>
      <c r="Z392" s="36"/>
    </row>
    <row r="393" spans="1:26" ht="14">
      <c r="A393" s="35">
        <v>41422</v>
      </c>
      <c r="B393" s="72" t="s">
        <v>144</v>
      </c>
      <c r="C393" s="165">
        <v>2013</v>
      </c>
      <c r="D393" s="65">
        <v>4</v>
      </c>
      <c r="E393" s="65" t="s">
        <v>323</v>
      </c>
      <c r="F393" s="65" t="s">
        <v>324</v>
      </c>
      <c r="G393" s="65"/>
      <c r="H393" s="65" t="s">
        <v>325</v>
      </c>
      <c r="I393" s="65" t="s">
        <v>326</v>
      </c>
      <c r="J393" s="36"/>
      <c r="K393" s="36"/>
      <c r="L393" s="36">
        <v>13</v>
      </c>
      <c r="M393" s="36" t="s">
        <v>509</v>
      </c>
      <c r="N393" s="36" t="s">
        <v>327</v>
      </c>
      <c r="O393" s="36">
        <v>88</v>
      </c>
      <c r="P393" s="36">
        <v>2.1791254183155178E-2</v>
      </c>
      <c r="Q393" s="36">
        <v>1000</v>
      </c>
      <c r="R393" s="36"/>
      <c r="S393" s="36"/>
      <c r="T393" s="36"/>
      <c r="U393" s="36"/>
      <c r="V393" s="36"/>
      <c r="W393" s="36"/>
      <c r="X393" s="36"/>
      <c r="Y393" s="36"/>
      <c r="Z393" s="36"/>
    </row>
    <row r="394" spans="1:26" ht="14">
      <c r="A394" s="13">
        <v>42263</v>
      </c>
      <c r="B394" s="35" t="s">
        <v>157</v>
      </c>
      <c r="C394" s="165">
        <v>2015</v>
      </c>
      <c r="D394" s="65">
        <v>2</v>
      </c>
      <c r="E394" s="36" t="s">
        <v>223</v>
      </c>
      <c r="F394" s="36" t="s">
        <v>224</v>
      </c>
      <c r="G394" s="36" t="s">
        <v>225</v>
      </c>
      <c r="H394" s="36" t="s">
        <v>226</v>
      </c>
      <c r="I394" s="36" t="s">
        <v>239</v>
      </c>
      <c r="J394" s="36" t="s">
        <v>240</v>
      </c>
      <c r="K394" s="3"/>
      <c r="L394" s="3">
        <v>91</v>
      </c>
      <c r="M394" s="3" t="s">
        <v>229</v>
      </c>
      <c r="N394" s="36" t="s">
        <v>481</v>
      </c>
      <c r="O394" s="3">
        <v>203</v>
      </c>
      <c r="P394" s="36">
        <v>44.821346073699495</v>
      </c>
      <c r="Q394" s="3">
        <v>250</v>
      </c>
      <c r="R394" s="3"/>
      <c r="S394" s="3"/>
      <c r="T394" s="36"/>
      <c r="U394" s="36"/>
      <c r="V394" s="36"/>
      <c r="W394" s="36"/>
      <c r="X394" s="36"/>
      <c r="Y394" s="36"/>
      <c r="Z394" s="36"/>
    </row>
    <row r="395" spans="1:26" ht="14">
      <c r="A395" s="71">
        <v>42144</v>
      </c>
      <c r="B395" s="72" t="s">
        <v>144</v>
      </c>
      <c r="C395" s="165">
        <v>2015</v>
      </c>
      <c r="D395" s="65">
        <v>2</v>
      </c>
      <c r="E395" s="65" t="s">
        <v>223</v>
      </c>
      <c r="F395" s="36" t="s">
        <v>224</v>
      </c>
      <c r="G395" s="36" t="s">
        <v>225</v>
      </c>
      <c r="H395" s="65" t="s">
        <v>226</v>
      </c>
      <c r="I395" s="65" t="s">
        <v>239</v>
      </c>
      <c r="J395" s="65" t="s">
        <v>240</v>
      </c>
      <c r="K395" s="3"/>
      <c r="L395" s="3">
        <v>287</v>
      </c>
      <c r="M395" s="3" t="s">
        <v>229</v>
      </c>
      <c r="N395" s="3" t="s">
        <v>481</v>
      </c>
      <c r="O395" s="3">
        <v>333</v>
      </c>
      <c r="P395" s="65">
        <v>86.163803556643643</v>
      </c>
      <c r="Q395" s="36">
        <v>250</v>
      </c>
      <c r="R395" s="3" t="s">
        <v>502</v>
      </c>
      <c r="S395" s="3"/>
      <c r="T395" s="36"/>
      <c r="U395" s="36"/>
      <c r="V395" s="36"/>
      <c r="W395" s="36"/>
      <c r="X395" s="36"/>
      <c r="Y395" s="36"/>
      <c r="Z395" s="36"/>
    </row>
    <row r="396" spans="1:26" ht="14">
      <c r="A396" s="35">
        <v>43019</v>
      </c>
      <c r="B396" s="35" t="s">
        <v>159</v>
      </c>
      <c r="C396" s="165">
        <v>2017</v>
      </c>
      <c r="D396" s="65">
        <v>2</v>
      </c>
      <c r="E396" s="36" t="s">
        <v>223</v>
      </c>
      <c r="F396" s="36" t="s">
        <v>224</v>
      </c>
      <c r="G396" s="36" t="s">
        <v>225</v>
      </c>
      <c r="H396" s="36" t="s">
        <v>226</v>
      </c>
      <c r="I396" s="36" t="s">
        <v>239</v>
      </c>
      <c r="J396" s="36" t="s">
        <v>240</v>
      </c>
      <c r="K396" s="36"/>
      <c r="L396" s="36">
        <v>45</v>
      </c>
      <c r="M396" s="36" t="s">
        <v>229</v>
      </c>
      <c r="N396" s="36" t="s">
        <v>240</v>
      </c>
      <c r="O396" s="36">
        <v>150</v>
      </c>
      <c r="P396" s="36">
        <v>29.679645119117254</v>
      </c>
      <c r="Q396" s="36">
        <v>250</v>
      </c>
      <c r="R396" s="36"/>
      <c r="S396" s="36"/>
      <c r="T396" s="36"/>
      <c r="U396" s="36"/>
      <c r="V396" s="36"/>
      <c r="W396" s="36"/>
      <c r="X396" s="36"/>
      <c r="Y396" s="36"/>
      <c r="Z396" s="36"/>
    </row>
    <row r="397" spans="1:26" ht="14">
      <c r="A397" s="13">
        <v>43019</v>
      </c>
      <c r="B397" s="72" t="s">
        <v>159</v>
      </c>
      <c r="C397" s="165">
        <v>2017</v>
      </c>
      <c r="D397" s="65">
        <v>4</v>
      </c>
      <c r="E397" s="36" t="s">
        <v>223</v>
      </c>
      <c r="F397" s="36" t="s">
        <v>224</v>
      </c>
      <c r="G397" s="36" t="s">
        <v>225</v>
      </c>
      <c r="H397" s="36" t="s">
        <v>226</v>
      </c>
      <c r="I397" s="36" t="s">
        <v>239</v>
      </c>
      <c r="J397" s="36" t="s">
        <v>240</v>
      </c>
      <c r="K397" s="3"/>
      <c r="L397" s="36">
        <v>105</v>
      </c>
      <c r="M397" s="3" t="s">
        <v>229</v>
      </c>
      <c r="N397" s="36" t="s">
        <v>240</v>
      </c>
      <c r="O397" s="3">
        <v>248</v>
      </c>
      <c r="P397" s="36">
        <v>41.767618742848285</v>
      </c>
      <c r="Q397" s="36">
        <v>250</v>
      </c>
      <c r="R397" s="3"/>
      <c r="S397" s="3"/>
      <c r="T397" s="36"/>
      <c r="U397" s="36"/>
      <c r="V397" s="36"/>
      <c r="W397" s="36"/>
      <c r="X397" s="36"/>
      <c r="Y397" s="36"/>
      <c r="Z397" s="36"/>
    </row>
    <row r="398" spans="1:26" ht="14">
      <c r="A398" s="71">
        <v>43019</v>
      </c>
      <c r="B398" s="72" t="s">
        <v>159</v>
      </c>
      <c r="C398" s="165">
        <v>2017</v>
      </c>
      <c r="D398" s="65">
        <v>5</v>
      </c>
      <c r="E398" s="36" t="s">
        <v>223</v>
      </c>
      <c r="F398" s="36" t="s">
        <v>224</v>
      </c>
      <c r="G398" s="36" t="s">
        <v>225</v>
      </c>
      <c r="H398" s="36" t="s">
        <v>226</v>
      </c>
      <c r="I398" s="36" t="s">
        <v>239</v>
      </c>
      <c r="J398" s="36" t="s">
        <v>240</v>
      </c>
      <c r="K398" s="3"/>
      <c r="L398" s="36">
        <v>31</v>
      </c>
      <c r="M398" s="3" t="s">
        <v>229</v>
      </c>
      <c r="N398" s="36" t="s">
        <v>240</v>
      </c>
      <c r="O398" s="3">
        <v>255</v>
      </c>
      <c r="P398" s="36">
        <v>12.154167278672027</v>
      </c>
      <c r="Q398" s="3">
        <v>250</v>
      </c>
      <c r="R398" s="3"/>
      <c r="S398" s="3"/>
      <c r="T398" s="36"/>
      <c r="U398" s="36"/>
      <c r="V398" s="36"/>
      <c r="W398" s="36"/>
      <c r="X398" s="36"/>
      <c r="Y398" s="36"/>
      <c r="Z398" s="36"/>
    </row>
    <row r="399" spans="1:26" ht="14">
      <c r="A399" s="13">
        <v>43019</v>
      </c>
      <c r="B399" s="35" t="s">
        <v>159</v>
      </c>
      <c r="C399" s="165">
        <v>2017</v>
      </c>
      <c r="D399" s="65">
        <v>8</v>
      </c>
      <c r="E399" s="36" t="s">
        <v>223</v>
      </c>
      <c r="F399" s="36" t="s">
        <v>224</v>
      </c>
      <c r="G399" s="36" t="s">
        <v>225</v>
      </c>
      <c r="H399" s="36" t="s">
        <v>226</v>
      </c>
      <c r="I399" s="36" t="s">
        <v>239</v>
      </c>
      <c r="J399" s="36" t="s">
        <v>240</v>
      </c>
      <c r="K399" s="3"/>
      <c r="L399" s="36">
        <v>37</v>
      </c>
      <c r="M399" s="3" t="s">
        <v>229</v>
      </c>
      <c r="N399" s="36" t="s">
        <v>240</v>
      </c>
      <c r="O399" s="3">
        <v>288</v>
      </c>
      <c r="P399" s="36">
        <v>12.34358780474459</v>
      </c>
      <c r="Q399" s="3">
        <v>250</v>
      </c>
      <c r="R399" s="3"/>
      <c r="S399" s="3"/>
      <c r="T399" s="36"/>
      <c r="U399" s="36"/>
      <c r="V399" s="36"/>
      <c r="W399" s="36"/>
      <c r="X399" s="36"/>
      <c r="Y399" s="36"/>
      <c r="Z399" s="36"/>
    </row>
    <row r="400" spans="1:26" ht="14">
      <c r="A400" s="13">
        <v>42928</v>
      </c>
      <c r="B400" s="72" t="s">
        <v>154</v>
      </c>
      <c r="C400" s="165">
        <v>2017</v>
      </c>
      <c r="D400" s="65">
        <v>2</v>
      </c>
      <c r="E400" s="36" t="s">
        <v>223</v>
      </c>
      <c r="F400" s="36" t="s">
        <v>224</v>
      </c>
      <c r="G400" s="36" t="s">
        <v>225</v>
      </c>
      <c r="H400" s="36" t="s">
        <v>226</v>
      </c>
      <c r="I400" s="36" t="s">
        <v>239</v>
      </c>
      <c r="J400" s="36" t="s">
        <v>240</v>
      </c>
      <c r="K400" s="3"/>
      <c r="L400" s="36">
        <v>291</v>
      </c>
      <c r="M400" s="3" t="s">
        <v>229</v>
      </c>
      <c r="N400" s="36" t="s">
        <v>240</v>
      </c>
      <c r="O400" s="3">
        <v>656</v>
      </c>
      <c r="P400" s="36">
        <v>44.314738918654186</v>
      </c>
      <c r="Q400" s="36">
        <v>250</v>
      </c>
      <c r="R400" s="3"/>
      <c r="S400" s="3"/>
      <c r="T400" s="36"/>
      <c r="U400" s="36"/>
      <c r="V400" s="36"/>
      <c r="W400" s="36"/>
      <c r="X400" s="36"/>
      <c r="Y400" s="36"/>
      <c r="Z400" s="36"/>
    </row>
    <row r="401" spans="1:26" ht="14">
      <c r="A401" s="13">
        <v>42928</v>
      </c>
      <c r="B401" s="72" t="s">
        <v>154</v>
      </c>
      <c r="C401" s="165">
        <v>2017</v>
      </c>
      <c r="D401" s="65">
        <v>4</v>
      </c>
      <c r="E401" s="65" t="s">
        <v>223</v>
      </c>
      <c r="F401" s="65" t="s">
        <v>224</v>
      </c>
      <c r="G401" s="65" t="s">
        <v>225</v>
      </c>
      <c r="H401" s="65" t="s">
        <v>226</v>
      </c>
      <c r="I401" s="65" t="s">
        <v>239</v>
      </c>
      <c r="J401" s="36" t="s">
        <v>240</v>
      </c>
      <c r="K401" s="3"/>
      <c r="L401" s="36">
        <v>118</v>
      </c>
      <c r="M401" s="3" t="s">
        <v>229</v>
      </c>
      <c r="N401" s="36" t="s">
        <v>240</v>
      </c>
      <c r="O401" s="3">
        <v>225</v>
      </c>
      <c r="P401" s="36">
        <v>52.234073597608713</v>
      </c>
      <c r="Q401" s="36">
        <v>250</v>
      </c>
      <c r="R401" s="3"/>
      <c r="S401" s="3"/>
      <c r="T401" s="36"/>
      <c r="U401" s="36"/>
      <c r="V401" s="36"/>
      <c r="W401" s="36"/>
      <c r="X401" s="36"/>
      <c r="Y401" s="36"/>
      <c r="Z401" s="36"/>
    </row>
    <row r="402" spans="1:26" ht="14">
      <c r="A402" s="35">
        <v>42928</v>
      </c>
      <c r="B402" s="72" t="s">
        <v>154</v>
      </c>
      <c r="C402" s="165">
        <v>2017</v>
      </c>
      <c r="D402" s="65">
        <v>5</v>
      </c>
      <c r="E402" s="36" t="s">
        <v>223</v>
      </c>
      <c r="F402" s="36" t="s">
        <v>224</v>
      </c>
      <c r="G402" s="36" t="s">
        <v>225</v>
      </c>
      <c r="H402" s="36" t="s">
        <v>226</v>
      </c>
      <c r="I402" s="36" t="s">
        <v>239</v>
      </c>
      <c r="J402" s="36" t="s">
        <v>240</v>
      </c>
      <c r="K402" s="36"/>
      <c r="L402" s="36">
        <v>43</v>
      </c>
      <c r="M402" s="36" t="s">
        <v>229</v>
      </c>
      <c r="N402" s="36" t="s">
        <v>240</v>
      </c>
      <c r="O402" s="36">
        <v>385</v>
      </c>
      <c r="P402" s="36">
        <v>11.163936772266453</v>
      </c>
      <c r="Q402" s="36">
        <v>250</v>
      </c>
      <c r="R402" s="36"/>
      <c r="S402" s="36"/>
      <c r="T402" s="36"/>
      <c r="U402" s="36"/>
      <c r="V402" s="36"/>
      <c r="W402" s="36"/>
      <c r="X402" s="36"/>
      <c r="Y402" s="36"/>
      <c r="Z402" s="36"/>
    </row>
    <row r="403" spans="1:26" ht="14">
      <c r="A403" s="13">
        <v>42928</v>
      </c>
      <c r="B403" s="72" t="s">
        <v>154</v>
      </c>
      <c r="C403" s="165">
        <v>2017</v>
      </c>
      <c r="D403" s="65">
        <v>8</v>
      </c>
      <c r="E403" s="36" t="s">
        <v>223</v>
      </c>
      <c r="F403" s="36" t="s">
        <v>224</v>
      </c>
      <c r="G403" s="36" t="s">
        <v>225</v>
      </c>
      <c r="H403" s="36" t="s">
        <v>226</v>
      </c>
      <c r="I403" s="36" t="s">
        <v>239</v>
      </c>
      <c r="J403" s="36" t="s">
        <v>240</v>
      </c>
      <c r="K403" s="3"/>
      <c r="L403" s="36">
        <v>58</v>
      </c>
      <c r="M403" s="3" t="s">
        <v>229</v>
      </c>
      <c r="N403" s="36" t="s">
        <v>240</v>
      </c>
      <c r="O403" s="3">
        <v>319</v>
      </c>
      <c r="P403" s="36">
        <v>18.174924694877202</v>
      </c>
      <c r="Q403" s="36">
        <v>250</v>
      </c>
      <c r="R403" s="3"/>
      <c r="S403" s="3"/>
      <c r="T403" s="36"/>
      <c r="U403" s="36"/>
      <c r="V403" s="36"/>
      <c r="W403" s="36"/>
      <c r="X403" s="36"/>
      <c r="Y403" s="36"/>
      <c r="Z403" s="36"/>
    </row>
    <row r="404" spans="1:26" ht="14">
      <c r="A404" s="13">
        <v>42867</v>
      </c>
      <c r="B404" s="72" t="s">
        <v>144</v>
      </c>
      <c r="C404" s="165">
        <v>2017</v>
      </c>
      <c r="D404" s="65">
        <v>2</v>
      </c>
      <c r="E404" s="36" t="s">
        <v>223</v>
      </c>
      <c r="F404" s="36" t="s">
        <v>224</v>
      </c>
      <c r="G404" s="36" t="s">
        <v>225</v>
      </c>
      <c r="H404" s="36" t="s">
        <v>226</v>
      </c>
      <c r="I404" s="36" t="s">
        <v>239</v>
      </c>
      <c r="J404" s="36" t="s">
        <v>240</v>
      </c>
      <c r="K404" s="3"/>
      <c r="L404" s="36">
        <v>211</v>
      </c>
      <c r="M404" s="3" t="s">
        <v>229</v>
      </c>
      <c r="N404" s="36" t="s">
        <v>240</v>
      </c>
      <c r="O404" s="3">
        <v>216</v>
      </c>
      <c r="P404" s="36">
        <v>97.685185185185176</v>
      </c>
      <c r="Q404" s="3"/>
      <c r="R404" s="3"/>
      <c r="S404" s="3"/>
      <c r="T404" s="36"/>
      <c r="U404" s="36"/>
      <c r="V404" s="36"/>
      <c r="W404" s="36"/>
      <c r="X404" s="36"/>
      <c r="Y404" s="36"/>
      <c r="Z404" s="36"/>
    </row>
    <row r="405" spans="1:26" ht="14">
      <c r="A405" s="13">
        <v>42867</v>
      </c>
      <c r="B405" s="72" t="s">
        <v>144</v>
      </c>
      <c r="C405" s="165">
        <v>2017</v>
      </c>
      <c r="D405" s="65">
        <v>4</v>
      </c>
      <c r="E405" s="36" t="s">
        <v>223</v>
      </c>
      <c r="F405" s="36" t="s">
        <v>224</v>
      </c>
      <c r="G405" s="36" t="s">
        <v>225</v>
      </c>
      <c r="H405" s="36" t="s">
        <v>226</v>
      </c>
      <c r="I405" s="36" t="s">
        <v>239</v>
      </c>
      <c r="J405" s="36" t="s">
        <v>240</v>
      </c>
      <c r="K405" s="3"/>
      <c r="L405" s="36">
        <v>74</v>
      </c>
      <c r="M405" s="3" t="s">
        <v>229</v>
      </c>
      <c r="N405" s="36" t="s">
        <v>240</v>
      </c>
      <c r="O405" s="3">
        <v>225</v>
      </c>
      <c r="P405" s="36">
        <v>32.340966956126437</v>
      </c>
      <c r="Q405" s="3"/>
      <c r="R405" s="3"/>
      <c r="S405" s="3"/>
      <c r="T405" s="36"/>
      <c r="U405" s="36"/>
      <c r="V405" s="36"/>
      <c r="W405" s="36"/>
      <c r="X405" s="36"/>
      <c r="Y405" s="36"/>
      <c r="Z405" s="36"/>
    </row>
    <row r="406" spans="1:26" ht="14">
      <c r="A406" s="13">
        <v>42867</v>
      </c>
      <c r="B406" s="72" t="s">
        <v>144</v>
      </c>
      <c r="C406" s="165">
        <v>2017</v>
      </c>
      <c r="D406" s="65">
        <v>5</v>
      </c>
      <c r="E406" s="36" t="s">
        <v>223</v>
      </c>
      <c r="F406" s="36" t="s">
        <v>224</v>
      </c>
      <c r="G406" s="36" t="s">
        <v>225</v>
      </c>
      <c r="H406" s="36" t="s">
        <v>226</v>
      </c>
      <c r="I406" s="36" t="s">
        <v>239</v>
      </c>
      <c r="J406" s="36" t="s">
        <v>240</v>
      </c>
      <c r="K406" s="3"/>
      <c r="L406" s="36">
        <v>24</v>
      </c>
      <c r="M406" s="3" t="s">
        <v>229</v>
      </c>
      <c r="N406" s="36" t="s">
        <v>240</v>
      </c>
      <c r="O406" s="3">
        <v>222</v>
      </c>
      <c r="P406" s="36">
        <v>10.80730221996045</v>
      </c>
      <c r="Q406" s="3"/>
      <c r="R406" s="3"/>
      <c r="S406" s="3"/>
      <c r="T406" s="36"/>
      <c r="U406" s="36"/>
      <c r="V406" s="36"/>
      <c r="W406" s="36"/>
      <c r="X406" s="36"/>
      <c r="Y406" s="36"/>
      <c r="Z406" s="36"/>
    </row>
    <row r="407" spans="1:26" ht="14">
      <c r="A407" s="13">
        <v>42867</v>
      </c>
      <c r="B407" s="72" t="s">
        <v>144</v>
      </c>
      <c r="C407" s="165">
        <v>2017</v>
      </c>
      <c r="D407" s="65">
        <v>8</v>
      </c>
      <c r="E407" s="36" t="s">
        <v>223</v>
      </c>
      <c r="F407" s="36" t="s">
        <v>224</v>
      </c>
      <c r="G407" s="36" t="s">
        <v>225</v>
      </c>
      <c r="H407" s="36" t="s">
        <v>226</v>
      </c>
      <c r="I407" s="36" t="s">
        <v>239</v>
      </c>
      <c r="J407" s="36" t="s">
        <v>240</v>
      </c>
      <c r="K407" s="3"/>
      <c r="L407" s="36">
        <v>26</v>
      </c>
      <c r="M407" s="3" t="s">
        <v>229</v>
      </c>
      <c r="N407" s="36" t="s">
        <v>240</v>
      </c>
      <c r="O407" s="3">
        <v>268</v>
      </c>
      <c r="P407" s="36">
        <v>9.684834569192418</v>
      </c>
      <c r="Q407" s="3"/>
      <c r="R407" s="3"/>
      <c r="S407" s="3"/>
      <c r="T407" s="36"/>
      <c r="U407" s="36"/>
      <c r="V407" s="36"/>
      <c r="W407" s="36"/>
      <c r="X407" s="36"/>
      <c r="Y407" s="36"/>
      <c r="Z407" s="36"/>
    </row>
    <row r="408" spans="1:26" ht="14">
      <c r="A408" s="71">
        <v>42634</v>
      </c>
      <c r="B408" s="72" t="s">
        <v>157</v>
      </c>
      <c r="C408" s="165">
        <v>2016</v>
      </c>
      <c r="D408" s="65">
        <v>2</v>
      </c>
      <c r="E408" s="36" t="s">
        <v>223</v>
      </c>
      <c r="F408" s="36" t="s">
        <v>224</v>
      </c>
      <c r="G408" s="36" t="s">
        <v>225</v>
      </c>
      <c r="H408" s="36" t="s">
        <v>226</v>
      </c>
      <c r="I408" s="36" t="s">
        <v>239</v>
      </c>
      <c r="J408" s="36" t="s">
        <v>240</v>
      </c>
      <c r="K408" s="3"/>
      <c r="L408" s="36">
        <v>114</v>
      </c>
      <c r="M408" s="3" t="s">
        <v>229</v>
      </c>
      <c r="N408" s="36" t="s">
        <v>240</v>
      </c>
      <c r="O408" s="3">
        <v>233</v>
      </c>
      <c r="P408" s="36">
        <v>48.920415065337146</v>
      </c>
      <c r="Q408" s="3">
        <v>250</v>
      </c>
      <c r="R408" s="3"/>
      <c r="S408" s="3"/>
      <c r="T408" s="36"/>
      <c r="U408" s="36"/>
      <c r="V408" s="36"/>
      <c r="W408" s="36"/>
      <c r="X408" s="36"/>
      <c r="Y408" s="36"/>
      <c r="Z408" s="36"/>
    </row>
    <row r="409" spans="1:26" ht="14">
      <c r="A409" s="35">
        <v>42634</v>
      </c>
      <c r="B409" s="72" t="s">
        <v>157</v>
      </c>
      <c r="C409" s="165">
        <v>2016</v>
      </c>
      <c r="D409" s="65">
        <v>4</v>
      </c>
      <c r="E409" s="36" t="s">
        <v>223</v>
      </c>
      <c r="F409" s="36" t="s">
        <v>224</v>
      </c>
      <c r="G409" s="36" t="s">
        <v>225</v>
      </c>
      <c r="H409" s="36" t="s">
        <v>226</v>
      </c>
      <c r="I409" s="36" t="s">
        <v>239</v>
      </c>
      <c r="J409" s="36" t="s">
        <v>240</v>
      </c>
      <c r="K409" s="36"/>
      <c r="L409" s="36">
        <v>37</v>
      </c>
      <c r="M409" s="36" t="s">
        <v>229</v>
      </c>
      <c r="N409" s="36" t="s">
        <v>240</v>
      </c>
      <c r="O409" s="36">
        <v>156</v>
      </c>
      <c r="P409" s="76">
        <v>23.65687405914797</v>
      </c>
      <c r="Q409" s="36">
        <v>250</v>
      </c>
      <c r="R409" s="36"/>
      <c r="S409" s="36"/>
      <c r="T409" s="36"/>
      <c r="U409" s="36"/>
      <c r="V409" s="36"/>
      <c r="W409" s="36"/>
      <c r="X409" s="36"/>
      <c r="Y409" s="36"/>
      <c r="Z409" s="36"/>
    </row>
    <row r="410" spans="1:26" ht="14">
      <c r="A410" s="13">
        <v>42634</v>
      </c>
      <c r="B410" s="35" t="s">
        <v>157</v>
      </c>
      <c r="C410" s="165">
        <v>2016</v>
      </c>
      <c r="D410" s="65">
        <v>5</v>
      </c>
      <c r="E410" s="36" t="s">
        <v>223</v>
      </c>
      <c r="F410" s="36" t="s">
        <v>224</v>
      </c>
      <c r="G410" s="36" t="s">
        <v>225</v>
      </c>
      <c r="H410" s="36" t="s">
        <v>226</v>
      </c>
      <c r="I410" s="36" t="s">
        <v>239</v>
      </c>
      <c r="J410" s="36" t="s">
        <v>240</v>
      </c>
      <c r="K410" s="36"/>
      <c r="L410" s="3">
        <v>4</v>
      </c>
      <c r="M410" s="3" t="s">
        <v>229</v>
      </c>
      <c r="N410" s="36" t="s">
        <v>240</v>
      </c>
      <c r="O410" s="3">
        <v>203</v>
      </c>
      <c r="P410" s="36">
        <v>1.9687183799590957</v>
      </c>
      <c r="Q410" s="36">
        <v>250</v>
      </c>
      <c r="R410" s="3"/>
      <c r="S410" s="3"/>
      <c r="T410" s="36"/>
      <c r="U410" s="36"/>
      <c r="V410" s="36"/>
      <c r="W410" s="36"/>
      <c r="X410" s="36"/>
      <c r="Y410" s="36"/>
      <c r="Z410" s="36"/>
    </row>
    <row r="411" spans="1:26" ht="14">
      <c r="A411" s="35">
        <v>42634</v>
      </c>
      <c r="B411" s="35" t="s">
        <v>157</v>
      </c>
      <c r="C411" s="165">
        <v>2016</v>
      </c>
      <c r="D411" s="65">
        <v>8</v>
      </c>
      <c r="E411" s="65" t="s">
        <v>223</v>
      </c>
      <c r="F411" s="65" t="s">
        <v>224</v>
      </c>
      <c r="G411" s="65" t="s">
        <v>225</v>
      </c>
      <c r="H411" s="65" t="s">
        <v>226</v>
      </c>
      <c r="I411" s="65" t="s">
        <v>239</v>
      </c>
      <c r="J411" s="36" t="s">
        <v>240</v>
      </c>
      <c r="K411" s="36"/>
      <c r="L411" s="36">
        <v>27</v>
      </c>
      <c r="M411" s="3" t="s">
        <v>229</v>
      </c>
      <c r="N411" s="36" t="s">
        <v>240</v>
      </c>
      <c r="O411" s="36">
        <v>294</v>
      </c>
      <c r="P411" s="36">
        <v>8.5900112881651669</v>
      </c>
      <c r="Q411" s="36">
        <v>250</v>
      </c>
      <c r="R411" s="55"/>
      <c r="S411" s="55"/>
      <c r="T411" s="36"/>
      <c r="U411" s="36"/>
      <c r="V411" s="36"/>
      <c r="W411" s="36"/>
      <c r="X411" s="36"/>
      <c r="Y411" s="36"/>
      <c r="Z411" s="36"/>
    </row>
    <row r="412" spans="1:26" ht="14">
      <c r="A412" s="72">
        <v>42571</v>
      </c>
      <c r="B412" s="72" t="s">
        <v>154</v>
      </c>
      <c r="C412" s="165">
        <v>2016</v>
      </c>
      <c r="D412" s="65">
        <v>2</v>
      </c>
      <c r="E412" s="36" t="s">
        <v>223</v>
      </c>
      <c r="F412" s="36" t="s">
        <v>224</v>
      </c>
      <c r="G412" s="36" t="s">
        <v>225</v>
      </c>
      <c r="H412" s="36" t="s">
        <v>226</v>
      </c>
      <c r="I412" s="65" t="s">
        <v>239</v>
      </c>
      <c r="J412" s="65" t="s">
        <v>240</v>
      </c>
      <c r="K412" s="36"/>
      <c r="L412" s="36">
        <v>43</v>
      </c>
      <c r="M412" s="3" t="s">
        <v>229</v>
      </c>
      <c r="N412" s="36" t="s">
        <v>240</v>
      </c>
      <c r="O412" s="36">
        <v>179</v>
      </c>
      <c r="P412" s="36">
        <v>24.019980523963493</v>
      </c>
      <c r="Q412" s="65">
        <v>250</v>
      </c>
      <c r="R412" s="51"/>
      <c r="S412" s="51"/>
      <c r="T412" s="65"/>
      <c r="U412" s="36"/>
      <c r="V412" s="36"/>
      <c r="W412" s="36"/>
      <c r="X412" s="36"/>
      <c r="Y412" s="36"/>
      <c r="Z412" s="36"/>
    </row>
    <row r="413" spans="1:26" ht="14">
      <c r="A413" s="35">
        <v>42571</v>
      </c>
      <c r="B413" s="35" t="s">
        <v>154</v>
      </c>
      <c r="C413" s="165">
        <v>2016</v>
      </c>
      <c r="D413" s="65">
        <v>4</v>
      </c>
      <c r="E413" s="36" t="s">
        <v>223</v>
      </c>
      <c r="F413" s="36" t="s">
        <v>224</v>
      </c>
      <c r="G413" s="36" t="s">
        <v>225</v>
      </c>
      <c r="H413" s="36" t="s">
        <v>226</v>
      </c>
      <c r="I413" s="65" t="s">
        <v>239</v>
      </c>
      <c r="J413" s="65" t="s">
        <v>240</v>
      </c>
      <c r="K413" s="3"/>
      <c r="L413" s="36">
        <v>70</v>
      </c>
      <c r="M413" s="3" t="s">
        <v>229</v>
      </c>
      <c r="N413" s="36" t="s">
        <v>240</v>
      </c>
      <c r="O413" s="3">
        <v>223</v>
      </c>
      <c r="P413" s="36">
        <v>31.377841370399061</v>
      </c>
      <c r="Q413" s="51">
        <v>250</v>
      </c>
      <c r="R413" s="51"/>
      <c r="S413" s="51"/>
      <c r="T413" s="166"/>
      <c r="U413" s="36"/>
      <c r="V413" s="36"/>
      <c r="W413" s="36"/>
      <c r="X413" s="36"/>
      <c r="Y413" s="36"/>
      <c r="Z413" s="36"/>
    </row>
    <row r="414" spans="1:26" ht="14">
      <c r="A414" s="35">
        <v>42571</v>
      </c>
      <c r="B414" s="72" t="s">
        <v>154</v>
      </c>
      <c r="C414" s="165">
        <v>2016</v>
      </c>
      <c r="D414" s="65">
        <v>5</v>
      </c>
      <c r="E414" s="36" t="s">
        <v>223</v>
      </c>
      <c r="F414" s="36" t="s">
        <v>224</v>
      </c>
      <c r="G414" s="36" t="s">
        <v>225</v>
      </c>
      <c r="H414" s="36" t="s">
        <v>226</v>
      </c>
      <c r="I414" s="65" t="s">
        <v>239</v>
      </c>
      <c r="J414" s="65" t="s">
        <v>240</v>
      </c>
      <c r="K414" s="3"/>
      <c r="L414" s="36">
        <v>53</v>
      </c>
      <c r="M414" s="3" t="s">
        <v>229</v>
      </c>
      <c r="N414" s="36" t="s">
        <v>240</v>
      </c>
      <c r="O414" s="3">
        <v>211</v>
      </c>
      <c r="P414" s="65">
        <v>25.116091445817052</v>
      </c>
      <c r="Q414" s="65">
        <v>250</v>
      </c>
      <c r="R414" s="51"/>
      <c r="S414" s="51"/>
      <c r="T414" s="65"/>
      <c r="U414" s="36"/>
      <c r="V414" s="36"/>
      <c r="W414" s="36"/>
      <c r="X414" s="36"/>
      <c r="Y414" s="36"/>
      <c r="Z414" s="36"/>
    </row>
    <row r="415" spans="1:26" ht="14">
      <c r="A415" s="35">
        <v>42571</v>
      </c>
      <c r="B415" s="72" t="s">
        <v>154</v>
      </c>
      <c r="C415" s="165">
        <v>2016</v>
      </c>
      <c r="D415" s="65">
        <v>8</v>
      </c>
      <c r="E415" s="36" t="s">
        <v>223</v>
      </c>
      <c r="F415" s="36" t="s">
        <v>224</v>
      </c>
      <c r="G415" s="36" t="s">
        <v>225</v>
      </c>
      <c r="H415" s="36" t="s">
        <v>226</v>
      </c>
      <c r="I415" s="36" t="s">
        <v>239</v>
      </c>
      <c r="J415" s="36" t="s">
        <v>240</v>
      </c>
      <c r="K415" s="3"/>
      <c r="L415" s="36">
        <v>37</v>
      </c>
      <c r="M415" s="3" t="s">
        <v>229</v>
      </c>
      <c r="N415" s="36" t="s">
        <v>240</v>
      </c>
      <c r="O415" s="3">
        <v>237</v>
      </c>
      <c r="P415" s="65">
        <v>15.609643812132038</v>
      </c>
      <c r="Q415" s="51">
        <v>250</v>
      </c>
      <c r="R415" s="51"/>
      <c r="S415" s="51"/>
      <c r="T415" s="65"/>
      <c r="U415" s="36"/>
      <c r="V415" s="36"/>
      <c r="W415" s="36"/>
      <c r="X415" s="36"/>
      <c r="Y415" s="36"/>
      <c r="Z415" s="36"/>
    </row>
    <row r="416" spans="1:26" ht="14">
      <c r="A416" s="13">
        <v>42515</v>
      </c>
      <c r="B416" s="35" t="s">
        <v>144</v>
      </c>
      <c r="C416" s="165">
        <v>2016</v>
      </c>
      <c r="D416" s="51">
        <v>2</v>
      </c>
      <c r="E416" s="3" t="s">
        <v>223</v>
      </c>
      <c r="F416" s="3" t="s">
        <v>224</v>
      </c>
      <c r="G416" s="3" t="s">
        <v>225</v>
      </c>
      <c r="H416" s="3" t="s">
        <v>226</v>
      </c>
      <c r="I416" s="51" t="s">
        <v>239</v>
      </c>
      <c r="J416" s="51" t="s">
        <v>240</v>
      </c>
      <c r="K416" s="3"/>
      <c r="L416" s="3">
        <v>170</v>
      </c>
      <c r="M416" s="3" t="s">
        <v>229</v>
      </c>
      <c r="N416" s="3" t="s">
        <v>240</v>
      </c>
      <c r="O416" s="3">
        <v>194</v>
      </c>
      <c r="P416" s="65">
        <v>87.584980058155139</v>
      </c>
      <c r="Q416" s="51">
        <v>250</v>
      </c>
      <c r="R416" s="51" t="s">
        <v>358</v>
      </c>
      <c r="S416" s="51"/>
      <c r="T416" s="65"/>
      <c r="U416" s="36"/>
      <c r="V416" s="36"/>
      <c r="W416" s="36"/>
      <c r="X416" s="36"/>
      <c r="Y416" s="36"/>
      <c r="Z416" s="36"/>
    </row>
    <row r="417" spans="1:26" ht="14">
      <c r="A417" s="13">
        <v>42515</v>
      </c>
      <c r="B417" s="35" t="s">
        <v>144</v>
      </c>
      <c r="C417" s="165">
        <v>2016</v>
      </c>
      <c r="D417" s="3">
        <v>4</v>
      </c>
      <c r="E417" s="3" t="s">
        <v>223</v>
      </c>
      <c r="F417" s="3" t="s">
        <v>224</v>
      </c>
      <c r="G417" s="3" t="s">
        <v>225</v>
      </c>
      <c r="H417" s="3" t="s">
        <v>226</v>
      </c>
      <c r="I417" s="3" t="s">
        <v>239</v>
      </c>
      <c r="J417" s="3" t="s">
        <v>240</v>
      </c>
      <c r="K417" s="3"/>
      <c r="L417" s="3">
        <v>154</v>
      </c>
      <c r="M417" s="3" t="s">
        <v>229</v>
      </c>
      <c r="N417" s="3" t="s">
        <v>240</v>
      </c>
      <c r="O417" s="3">
        <v>217</v>
      </c>
      <c r="P417" s="36">
        <v>70.911539640432139</v>
      </c>
      <c r="Q417" s="36">
        <v>250</v>
      </c>
      <c r="R417" s="3"/>
      <c r="S417" s="3"/>
      <c r="T417" s="36"/>
      <c r="U417" s="36"/>
      <c r="V417" s="36"/>
      <c r="W417" s="36"/>
      <c r="X417" s="36"/>
      <c r="Y417" s="36"/>
      <c r="Z417" s="36"/>
    </row>
    <row r="418" spans="1:26" ht="14">
      <c r="A418" s="13">
        <v>42515</v>
      </c>
      <c r="B418" s="35" t="s">
        <v>144</v>
      </c>
      <c r="C418" s="165">
        <v>2016</v>
      </c>
      <c r="D418" s="3">
        <v>5</v>
      </c>
      <c r="E418" s="51" t="s">
        <v>223</v>
      </c>
      <c r="F418" s="51" t="s">
        <v>224</v>
      </c>
      <c r="G418" s="51" t="s">
        <v>225</v>
      </c>
      <c r="H418" s="51" t="s">
        <v>226</v>
      </c>
      <c r="I418" s="51" t="s">
        <v>239</v>
      </c>
      <c r="J418" s="3" t="s">
        <v>240</v>
      </c>
      <c r="K418" s="3"/>
      <c r="L418" s="3">
        <v>26</v>
      </c>
      <c r="M418" s="3" t="s">
        <v>229</v>
      </c>
      <c r="N418" s="3" t="s">
        <v>240</v>
      </c>
      <c r="O418" s="3">
        <v>214</v>
      </c>
      <c r="P418" s="65">
        <v>12.14367418971155</v>
      </c>
      <c r="Q418" s="36">
        <v>250</v>
      </c>
      <c r="R418" s="3"/>
      <c r="S418" s="3"/>
      <c r="T418" s="36"/>
      <c r="U418" s="36"/>
      <c r="V418" s="36"/>
      <c r="W418" s="36"/>
      <c r="X418" s="36"/>
      <c r="Y418" s="36"/>
      <c r="Z418" s="36"/>
    </row>
    <row r="419" spans="1:26" ht="14">
      <c r="A419" s="169">
        <v>42515</v>
      </c>
      <c r="B419" s="169" t="s">
        <v>144</v>
      </c>
      <c r="C419" s="179">
        <v>2016</v>
      </c>
      <c r="D419" s="170">
        <v>8</v>
      </c>
      <c r="E419" s="170" t="s">
        <v>223</v>
      </c>
      <c r="F419" s="170" t="s">
        <v>224</v>
      </c>
      <c r="G419" s="170" t="s">
        <v>225</v>
      </c>
      <c r="H419" s="170" t="s">
        <v>226</v>
      </c>
      <c r="I419" s="170" t="s">
        <v>239</v>
      </c>
      <c r="J419" s="171" t="s">
        <v>240</v>
      </c>
      <c r="K419" s="171"/>
      <c r="L419" s="171">
        <v>61</v>
      </c>
      <c r="M419" s="171" t="s">
        <v>229</v>
      </c>
      <c r="N419" s="171" t="s">
        <v>240</v>
      </c>
      <c r="O419" s="171">
        <v>252</v>
      </c>
      <c r="P419" s="171">
        <v>24.203403104241264</v>
      </c>
      <c r="Q419" s="171">
        <v>250</v>
      </c>
      <c r="R419" s="171"/>
      <c r="S419" s="171"/>
      <c r="T419" s="36"/>
      <c r="U419" s="36"/>
      <c r="V419" s="36"/>
      <c r="W419" s="36"/>
      <c r="X419" s="36"/>
      <c r="Y419" s="36"/>
      <c r="Z419" s="36"/>
    </row>
    <row r="420" spans="1:26" ht="14">
      <c r="A420" s="13">
        <v>42263</v>
      </c>
      <c r="B420" s="35" t="s">
        <v>157</v>
      </c>
      <c r="C420" s="165">
        <v>2015</v>
      </c>
      <c r="D420" s="36">
        <v>4</v>
      </c>
      <c r="E420" s="36" t="s">
        <v>223</v>
      </c>
      <c r="F420" s="36" t="s">
        <v>224</v>
      </c>
      <c r="G420" s="36" t="s">
        <v>225</v>
      </c>
      <c r="H420" s="36" t="s">
        <v>226</v>
      </c>
      <c r="I420" s="65" t="s">
        <v>239</v>
      </c>
      <c r="J420" s="65" t="s">
        <v>240</v>
      </c>
      <c r="K420" s="3"/>
      <c r="L420" s="3">
        <v>87</v>
      </c>
      <c r="M420" s="3" t="s">
        <v>229</v>
      </c>
      <c r="N420" s="36" t="s">
        <v>240</v>
      </c>
      <c r="O420" s="3">
        <v>161</v>
      </c>
      <c r="P420" s="65">
        <v>53.943168389600693</v>
      </c>
      <c r="Q420" s="51">
        <v>250</v>
      </c>
      <c r="R420" s="51"/>
      <c r="S420" s="51"/>
      <c r="T420" s="65"/>
      <c r="U420" s="36"/>
      <c r="V420" s="36"/>
      <c r="W420" s="36"/>
      <c r="X420" s="36"/>
      <c r="Y420" s="36"/>
      <c r="Z420" s="36"/>
    </row>
    <row r="421" spans="1:26" ht="14">
      <c r="A421" s="71">
        <v>42263</v>
      </c>
      <c r="B421" s="35" t="s">
        <v>157</v>
      </c>
      <c r="C421" s="165">
        <v>2015</v>
      </c>
      <c r="D421" s="36">
        <v>5</v>
      </c>
      <c r="E421" s="65" t="s">
        <v>223</v>
      </c>
      <c r="F421" s="65" t="s">
        <v>224</v>
      </c>
      <c r="G421" s="65" t="s">
        <v>225</v>
      </c>
      <c r="H421" s="65" t="s">
        <v>226</v>
      </c>
      <c r="I421" s="65" t="s">
        <v>239</v>
      </c>
      <c r="J421" s="36" t="s">
        <v>240</v>
      </c>
      <c r="K421" s="3"/>
      <c r="L421" s="36">
        <v>34</v>
      </c>
      <c r="M421" s="3" t="s">
        <v>229</v>
      </c>
      <c r="N421" s="3" t="s">
        <v>240</v>
      </c>
      <c r="O421" s="3">
        <v>222</v>
      </c>
      <c r="P421" s="36">
        <v>15.310986276340138</v>
      </c>
      <c r="Q421" s="36">
        <v>250</v>
      </c>
      <c r="R421" s="3"/>
      <c r="S421" s="3"/>
      <c r="T421" s="36"/>
      <c r="U421" s="36"/>
      <c r="V421" s="36"/>
      <c r="W421" s="36"/>
      <c r="X421" s="36"/>
      <c r="Y421" s="36"/>
      <c r="Z421" s="36"/>
    </row>
    <row r="422" spans="1:26" ht="14">
      <c r="A422" s="13">
        <v>42263</v>
      </c>
      <c r="B422" s="72" t="s">
        <v>157</v>
      </c>
      <c r="C422" s="165">
        <v>2015</v>
      </c>
      <c r="D422" s="65">
        <v>8</v>
      </c>
      <c r="E422" s="36" t="s">
        <v>223</v>
      </c>
      <c r="F422" s="36" t="s">
        <v>224</v>
      </c>
      <c r="G422" s="36" t="s">
        <v>225</v>
      </c>
      <c r="H422" s="36" t="s">
        <v>226</v>
      </c>
      <c r="I422" s="36" t="s">
        <v>239</v>
      </c>
      <c r="J422" s="36" t="s">
        <v>240</v>
      </c>
      <c r="K422" s="3"/>
      <c r="L422" s="3">
        <v>57</v>
      </c>
      <c r="M422" s="3" t="s">
        <v>229</v>
      </c>
      <c r="N422" s="3" t="s">
        <v>240</v>
      </c>
      <c r="O422" s="3">
        <v>244</v>
      </c>
      <c r="P422" s="36">
        <v>23.360655737704924</v>
      </c>
      <c r="Q422" s="3">
        <v>250</v>
      </c>
      <c r="R422" s="3"/>
      <c r="S422" s="3"/>
      <c r="T422" s="36"/>
      <c r="U422" s="36"/>
      <c r="V422" s="36"/>
      <c r="W422" s="36"/>
      <c r="X422" s="36"/>
      <c r="Y422" s="36"/>
      <c r="Z422" s="36"/>
    </row>
    <row r="423" spans="1:26" ht="14">
      <c r="A423" s="72">
        <v>42206</v>
      </c>
      <c r="B423" s="72" t="s">
        <v>154</v>
      </c>
      <c r="C423" s="165">
        <v>2015</v>
      </c>
      <c r="D423" s="65">
        <v>2</v>
      </c>
      <c r="E423" s="65" t="s">
        <v>223</v>
      </c>
      <c r="F423" s="36" t="s">
        <v>224</v>
      </c>
      <c r="G423" s="36" t="s">
        <v>225</v>
      </c>
      <c r="H423" s="65" t="s">
        <v>226</v>
      </c>
      <c r="I423" s="65" t="s">
        <v>239</v>
      </c>
      <c r="J423" s="65" t="s">
        <v>240</v>
      </c>
      <c r="K423" s="36"/>
      <c r="L423" s="36">
        <v>233</v>
      </c>
      <c r="M423" s="36" t="s">
        <v>229</v>
      </c>
      <c r="N423" s="36" t="s">
        <v>240</v>
      </c>
      <c r="O423" s="36">
        <v>337</v>
      </c>
      <c r="P423" s="36">
        <v>69.116681082350013</v>
      </c>
      <c r="Q423" s="36">
        <v>250</v>
      </c>
      <c r="R423" s="36"/>
      <c r="S423" s="36"/>
      <c r="T423" s="36"/>
      <c r="U423" s="36"/>
      <c r="V423" s="36"/>
      <c r="W423" s="36"/>
      <c r="X423" s="36"/>
      <c r="Y423" s="36"/>
      <c r="Z423" s="36"/>
    </row>
    <row r="424" spans="1:26" ht="14">
      <c r="A424" s="13">
        <v>42206</v>
      </c>
      <c r="B424" s="72" t="s">
        <v>154</v>
      </c>
      <c r="C424" s="165">
        <v>2015</v>
      </c>
      <c r="D424" s="36">
        <v>4</v>
      </c>
      <c r="E424" s="36" t="s">
        <v>223</v>
      </c>
      <c r="F424" s="36" t="s">
        <v>224</v>
      </c>
      <c r="G424" s="36" t="s">
        <v>225</v>
      </c>
      <c r="H424" s="36" t="s">
        <v>226</v>
      </c>
      <c r="I424" s="65" t="s">
        <v>239</v>
      </c>
      <c r="J424" s="65" t="s">
        <v>240</v>
      </c>
      <c r="K424" s="3"/>
      <c r="L424" s="3">
        <v>94</v>
      </c>
      <c r="M424" s="3" t="s">
        <v>229</v>
      </c>
      <c r="N424" s="36" t="s">
        <v>240</v>
      </c>
      <c r="O424" s="3">
        <v>273</v>
      </c>
      <c r="P424" s="65">
        <v>33.970740136603091</v>
      </c>
      <c r="Q424" s="65">
        <v>250</v>
      </c>
      <c r="R424" s="51"/>
      <c r="S424" s="51"/>
      <c r="T424" s="65"/>
      <c r="U424" s="36"/>
      <c r="V424" s="36"/>
      <c r="W424" s="36"/>
      <c r="X424" s="36"/>
      <c r="Y424" s="36"/>
      <c r="Z424" s="36"/>
    </row>
    <row r="425" spans="1:26" ht="14">
      <c r="A425" s="13">
        <v>42206</v>
      </c>
      <c r="B425" s="35" t="s">
        <v>154</v>
      </c>
      <c r="C425" s="165">
        <v>2015</v>
      </c>
      <c r="D425" s="36">
        <v>5</v>
      </c>
      <c r="E425" s="65" t="s">
        <v>223</v>
      </c>
      <c r="F425" s="65" t="s">
        <v>224</v>
      </c>
      <c r="G425" s="65" t="s">
        <v>225</v>
      </c>
      <c r="H425" s="65" t="s">
        <v>226</v>
      </c>
      <c r="I425" s="65" t="s">
        <v>239</v>
      </c>
      <c r="J425" s="36" t="s">
        <v>240</v>
      </c>
      <c r="K425" s="36"/>
      <c r="L425" s="36">
        <v>37</v>
      </c>
      <c r="M425" s="36" t="s">
        <v>229</v>
      </c>
      <c r="N425" s="36" t="s">
        <v>240</v>
      </c>
      <c r="O425" s="3">
        <v>251</v>
      </c>
      <c r="P425" s="65">
        <v>14.737678287825537</v>
      </c>
      <c r="Q425" s="36">
        <v>250</v>
      </c>
      <c r="R425" s="3"/>
      <c r="S425" s="3"/>
      <c r="T425" s="36"/>
      <c r="U425" s="36"/>
      <c r="V425" s="36"/>
      <c r="W425" s="36"/>
      <c r="X425" s="36"/>
      <c r="Y425" s="36"/>
      <c r="Z425" s="36"/>
    </row>
    <row r="426" spans="1:26" ht="14">
      <c r="A426" s="71">
        <v>42206</v>
      </c>
      <c r="B426" s="35" t="s">
        <v>154</v>
      </c>
      <c r="C426" s="165">
        <v>2015</v>
      </c>
      <c r="D426" s="65">
        <v>8</v>
      </c>
      <c r="E426" s="65" t="s">
        <v>223</v>
      </c>
      <c r="F426" s="65" t="s">
        <v>224</v>
      </c>
      <c r="G426" s="65" t="s">
        <v>225</v>
      </c>
      <c r="H426" s="65" t="s">
        <v>226</v>
      </c>
      <c r="I426" s="65" t="s">
        <v>239</v>
      </c>
      <c r="J426" s="36" t="s">
        <v>240</v>
      </c>
      <c r="K426" s="3"/>
      <c r="L426" s="3">
        <v>9</v>
      </c>
      <c r="M426" s="3" t="s">
        <v>229</v>
      </c>
      <c r="N426" s="36" t="s">
        <v>240</v>
      </c>
      <c r="O426" s="3">
        <v>199</v>
      </c>
      <c r="P426" s="65">
        <v>4.5186862241847008</v>
      </c>
      <c r="Q426" s="36">
        <v>250</v>
      </c>
      <c r="R426" s="3"/>
      <c r="S426" s="3"/>
      <c r="T426" s="36"/>
      <c r="U426" s="36"/>
      <c r="V426" s="36"/>
      <c r="W426" s="36"/>
      <c r="X426" s="36"/>
      <c r="Y426" s="36"/>
      <c r="Z426" s="36"/>
    </row>
    <row r="427" spans="1:26" ht="14">
      <c r="A427" s="72">
        <v>42144</v>
      </c>
      <c r="B427" s="72" t="s">
        <v>144</v>
      </c>
      <c r="C427" s="165">
        <v>2015</v>
      </c>
      <c r="D427" s="36">
        <v>4</v>
      </c>
      <c r="E427" s="65" t="s">
        <v>223</v>
      </c>
      <c r="F427" s="65" t="s">
        <v>224</v>
      </c>
      <c r="G427" s="65" t="s">
        <v>225</v>
      </c>
      <c r="H427" s="65" t="s">
        <v>226</v>
      </c>
      <c r="I427" s="65" t="s">
        <v>239</v>
      </c>
      <c r="J427" s="65" t="s">
        <v>240</v>
      </c>
      <c r="K427" s="36"/>
      <c r="L427" s="36">
        <v>162</v>
      </c>
      <c r="M427" s="36" t="s">
        <v>229</v>
      </c>
      <c r="N427" s="36" t="s">
        <v>240</v>
      </c>
      <c r="O427" s="36">
        <v>229</v>
      </c>
      <c r="P427" s="65">
        <v>70.679251863272427</v>
      </c>
      <c r="Q427" s="65">
        <v>250</v>
      </c>
      <c r="R427" s="65"/>
      <c r="S427" s="65"/>
      <c r="T427" s="65"/>
      <c r="U427" s="36"/>
      <c r="V427" s="36"/>
      <c r="W427" s="36"/>
      <c r="X427" s="36"/>
      <c r="Y427" s="36"/>
      <c r="Z427" s="36"/>
    </row>
    <row r="428" spans="1:26" ht="14">
      <c r="A428" s="72">
        <v>42144</v>
      </c>
      <c r="B428" s="72" t="s">
        <v>144</v>
      </c>
      <c r="C428" s="165">
        <v>2015</v>
      </c>
      <c r="D428" s="36">
        <v>5</v>
      </c>
      <c r="E428" s="65" t="s">
        <v>223</v>
      </c>
      <c r="F428" s="65" t="s">
        <v>224</v>
      </c>
      <c r="G428" s="65" t="s">
        <v>225</v>
      </c>
      <c r="H428" s="65" t="s">
        <v>226</v>
      </c>
      <c r="I428" s="65" t="s">
        <v>239</v>
      </c>
      <c r="J428" s="36" t="s">
        <v>240</v>
      </c>
      <c r="K428" s="36"/>
      <c r="L428" s="36">
        <v>54</v>
      </c>
      <c r="M428" s="36" t="s">
        <v>229</v>
      </c>
      <c r="N428" s="36" t="s">
        <v>240</v>
      </c>
      <c r="O428" s="36">
        <v>327</v>
      </c>
      <c r="P428" s="36">
        <v>16.507686171263263</v>
      </c>
      <c r="Q428" s="36">
        <v>250</v>
      </c>
      <c r="R428" s="36"/>
      <c r="S428" s="36"/>
      <c r="T428" s="36"/>
      <c r="U428" s="36"/>
      <c r="V428" s="36"/>
      <c r="W428" s="36"/>
      <c r="X428" s="36"/>
      <c r="Y428" s="36"/>
      <c r="Z428" s="36"/>
    </row>
    <row r="429" spans="1:26" ht="14">
      <c r="A429" s="63">
        <v>41912</v>
      </c>
      <c r="B429" s="72" t="s">
        <v>157</v>
      </c>
      <c r="C429" s="165">
        <v>2014</v>
      </c>
      <c r="D429" s="65">
        <v>2</v>
      </c>
      <c r="E429" s="36" t="s">
        <v>223</v>
      </c>
      <c r="F429" s="36" t="s">
        <v>224</v>
      </c>
      <c r="G429" s="36" t="s">
        <v>225</v>
      </c>
      <c r="H429" s="36" t="s">
        <v>226</v>
      </c>
      <c r="I429" s="36" t="s">
        <v>239</v>
      </c>
      <c r="J429" s="36" t="s">
        <v>240</v>
      </c>
      <c r="K429" s="3"/>
      <c r="L429" s="3">
        <v>43</v>
      </c>
      <c r="M429" s="3" t="s">
        <v>229</v>
      </c>
      <c r="N429" s="3" t="s">
        <v>240</v>
      </c>
      <c r="O429" s="3">
        <v>232</v>
      </c>
      <c r="P429" s="36">
        <v>18.512092641435533</v>
      </c>
      <c r="Q429" s="3">
        <v>250</v>
      </c>
      <c r="R429" s="3"/>
      <c r="S429" s="3"/>
      <c r="T429" s="36"/>
      <c r="U429" s="36"/>
      <c r="V429" s="36"/>
      <c r="W429" s="36"/>
      <c r="X429" s="36"/>
      <c r="Y429" s="36"/>
      <c r="Z429" s="36"/>
    </row>
    <row r="430" spans="1:26" ht="14">
      <c r="A430" s="71">
        <v>41912</v>
      </c>
      <c r="B430" s="72" t="s">
        <v>157</v>
      </c>
      <c r="C430" s="165">
        <v>2014</v>
      </c>
      <c r="D430" s="36">
        <v>4</v>
      </c>
      <c r="E430" s="36" t="s">
        <v>223</v>
      </c>
      <c r="F430" s="36" t="s">
        <v>224</v>
      </c>
      <c r="G430" s="36" t="s">
        <v>225</v>
      </c>
      <c r="H430" s="36" t="s">
        <v>226</v>
      </c>
      <c r="I430" s="36" t="s">
        <v>239</v>
      </c>
      <c r="J430" s="36" t="s">
        <v>240</v>
      </c>
      <c r="K430" s="3"/>
      <c r="L430" s="3">
        <v>53</v>
      </c>
      <c r="M430" s="3" t="s">
        <v>229</v>
      </c>
      <c r="N430" s="3" t="s">
        <v>240</v>
      </c>
      <c r="O430" s="3">
        <v>237</v>
      </c>
      <c r="P430" s="65">
        <v>22.318082679757296</v>
      </c>
      <c r="Q430" s="65">
        <v>250</v>
      </c>
      <c r="R430" s="51"/>
      <c r="S430" s="51"/>
      <c r="T430" s="65"/>
      <c r="U430" s="36"/>
      <c r="V430" s="36"/>
      <c r="W430" s="36"/>
      <c r="X430" s="36"/>
      <c r="Y430" s="36"/>
      <c r="Z430" s="36"/>
    </row>
    <row r="431" spans="1:26" ht="14">
      <c r="A431" s="71">
        <v>41912</v>
      </c>
      <c r="B431" s="72" t="s">
        <v>157</v>
      </c>
      <c r="C431" s="165">
        <v>2014</v>
      </c>
      <c r="D431" s="36">
        <v>5</v>
      </c>
      <c r="E431" s="65" t="s">
        <v>223</v>
      </c>
      <c r="F431" s="36" t="s">
        <v>224</v>
      </c>
      <c r="G431" s="36" t="s">
        <v>225</v>
      </c>
      <c r="H431" s="65" t="s">
        <v>226</v>
      </c>
      <c r="I431" s="65" t="s">
        <v>239</v>
      </c>
      <c r="J431" s="65" t="s">
        <v>240</v>
      </c>
      <c r="K431" s="3"/>
      <c r="L431" s="3">
        <v>60</v>
      </c>
      <c r="M431" s="3" t="s">
        <v>229</v>
      </c>
      <c r="N431" s="3" t="s">
        <v>240</v>
      </c>
      <c r="O431" s="3">
        <v>216</v>
      </c>
      <c r="P431" s="36">
        <v>27.723260354846346</v>
      </c>
      <c r="Q431" s="36">
        <v>250</v>
      </c>
      <c r="R431" s="3"/>
      <c r="S431" s="3"/>
      <c r="T431" s="36"/>
      <c r="U431" s="36"/>
      <c r="V431" s="36"/>
      <c r="W431" s="36"/>
      <c r="X431" s="36"/>
      <c r="Y431" s="36"/>
      <c r="Z431" s="36"/>
    </row>
    <row r="432" spans="1:26" ht="14">
      <c r="A432" s="71">
        <v>41912</v>
      </c>
      <c r="B432" s="72" t="s">
        <v>157</v>
      </c>
      <c r="C432" s="165">
        <v>2014</v>
      </c>
      <c r="D432" s="65">
        <v>8</v>
      </c>
      <c r="E432" s="36" t="s">
        <v>223</v>
      </c>
      <c r="F432" s="36" t="s">
        <v>224</v>
      </c>
      <c r="G432" s="36" t="s">
        <v>225</v>
      </c>
      <c r="H432" s="36" t="s">
        <v>226</v>
      </c>
      <c r="I432" s="36" t="s">
        <v>239</v>
      </c>
      <c r="J432" s="36" t="s">
        <v>240</v>
      </c>
      <c r="K432" s="3"/>
      <c r="L432" s="3">
        <v>26</v>
      </c>
      <c r="M432" s="3" t="s">
        <v>229</v>
      </c>
      <c r="N432" s="3" t="s">
        <v>240</v>
      </c>
      <c r="O432" s="3">
        <v>217</v>
      </c>
      <c r="P432" s="36">
        <v>11.977546299838803</v>
      </c>
      <c r="Q432" s="3">
        <v>250</v>
      </c>
      <c r="R432" s="3"/>
      <c r="S432" s="3"/>
      <c r="T432" s="36"/>
      <c r="U432" s="36"/>
      <c r="V432" s="36"/>
      <c r="W432" s="36"/>
      <c r="X432" s="36"/>
      <c r="Y432" s="36"/>
      <c r="Z432" s="36"/>
    </row>
    <row r="433" spans="1:26" ht="14">
      <c r="A433" s="35">
        <v>41851</v>
      </c>
      <c r="B433" s="72" t="s">
        <v>154</v>
      </c>
      <c r="C433" s="165">
        <v>2014</v>
      </c>
      <c r="D433" s="65">
        <v>2</v>
      </c>
      <c r="E433" s="65" t="s">
        <v>223</v>
      </c>
      <c r="F433" s="65" t="s">
        <v>224</v>
      </c>
      <c r="G433" s="65" t="s">
        <v>225</v>
      </c>
      <c r="H433" s="65" t="s">
        <v>226</v>
      </c>
      <c r="I433" s="65" t="s">
        <v>239</v>
      </c>
      <c r="J433" s="36" t="s">
        <v>240</v>
      </c>
      <c r="K433" s="36"/>
      <c r="L433" s="36">
        <v>2</v>
      </c>
      <c r="M433" s="36" t="s">
        <v>229</v>
      </c>
      <c r="N433" s="36" t="s">
        <v>240</v>
      </c>
      <c r="O433" s="36">
        <v>119</v>
      </c>
      <c r="P433" s="65">
        <v>1.660231052273178</v>
      </c>
      <c r="Q433" s="36">
        <v>250</v>
      </c>
      <c r="R433" s="36"/>
      <c r="S433" s="36"/>
      <c r="T433" s="36"/>
      <c r="U433" s="36"/>
      <c r="V433" s="36"/>
      <c r="W433" s="36"/>
      <c r="X433" s="36"/>
      <c r="Y433" s="36"/>
      <c r="Z433" s="36"/>
    </row>
    <row r="434" spans="1:26" ht="14">
      <c r="A434" s="71">
        <v>41851</v>
      </c>
      <c r="B434" s="72" t="s">
        <v>154</v>
      </c>
      <c r="C434" s="165">
        <v>2014</v>
      </c>
      <c r="D434" s="36">
        <v>4</v>
      </c>
      <c r="E434" s="65" t="s">
        <v>223</v>
      </c>
      <c r="F434" s="65" t="s">
        <v>224</v>
      </c>
      <c r="G434" s="65" t="s">
        <v>225</v>
      </c>
      <c r="H434" s="65" t="s">
        <v>226</v>
      </c>
      <c r="I434" s="65" t="s">
        <v>239</v>
      </c>
      <c r="J434" s="36" t="s">
        <v>240</v>
      </c>
      <c r="K434" s="3"/>
      <c r="L434" s="3">
        <v>70</v>
      </c>
      <c r="M434" s="3" t="s">
        <v>229</v>
      </c>
      <c r="N434" s="3" t="s">
        <v>240</v>
      </c>
      <c r="O434" s="3">
        <v>188</v>
      </c>
      <c r="P434" s="65">
        <v>36.257307415173997</v>
      </c>
      <c r="Q434" s="36">
        <v>250</v>
      </c>
      <c r="R434" s="3"/>
      <c r="S434" s="3"/>
      <c r="T434" s="36"/>
      <c r="U434" s="36"/>
      <c r="V434" s="36"/>
      <c r="W434" s="36"/>
      <c r="X434" s="36"/>
      <c r="Y434" s="36"/>
      <c r="Z434" s="36"/>
    </row>
    <row r="435" spans="1:26" ht="14">
      <c r="A435" s="71">
        <v>41851</v>
      </c>
      <c r="B435" s="72" t="s">
        <v>154</v>
      </c>
      <c r="C435" s="165">
        <v>2014</v>
      </c>
      <c r="D435" s="36">
        <v>5</v>
      </c>
      <c r="E435" s="65" t="s">
        <v>223</v>
      </c>
      <c r="F435" s="65" t="s">
        <v>224</v>
      </c>
      <c r="G435" s="65" t="s">
        <v>225</v>
      </c>
      <c r="H435" s="65" t="s">
        <v>226</v>
      </c>
      <c r="I435" s="65" t="s">
        <v>239</v>
      </c>
      <c r="J435" s="36" t="s">
        <v>240</v>
      </c>
      <c r="K435" s="3"/>
      <c r="L435" s="3">
        <v>79</v>
      </c>
      <c r="M435" s="3" t="s">
        <v>229</v>
      </c>
      <c r="N435" s="3" t="s">
        <v>240</v>
      </c>
      <c r="O435" s="3">
        <v>205</v>
      </c>
      <c r="P435" s="65">
        <v>38.272831705748921</v>
      </c>
      <c r="Q435" s="36">
        <v>250</v>
      </c>
      <c r="R435" s="3"/>
      <c r="S435" s="3"/>
      <c r="T435" s="36"/>
      <c r="U435" s="36"/>
      <c r="V435" s="36"/>
      <c r="W435" s="36"/>
      <c r="X435" s="36"/>
      <c r="Y435" s="36"/>
      <c r="Z435" s="36"/>
    </row>
    <row r="436" spans="1:26" ht="14">
      <c r="A436" s="13">
        <v>41851</v>
      </c>
      <c r="B436" s="72" t="s">
        <v>154</v>
      </c>
      <c r="C436" s="165">
        <v>2014</v>
      </c>
      <c r="D436" s="65">
        <v>8</v>
      </c>
      <c r="E436" s="36" t="s">
        <v>223</v>
      </c>
      <c r="F436" s="36" t="s">
        <v>224</v>
      </c>
      <c r="G436" s="36" t="s">
        <v>225</v>
      </c>
      <c r="H436" s="36" t="s">
        <v>226</v>
      </c>
      <c r="I436" s="36" t="s">
        <v>239</v>
      </c>
      <c r="J436" s="36" t="s">
        <v>240</v>
      </c>
      <c r="K436" s="3"/>
      <c r="L436" s="3">
        <v>33</v>
      </c>
      <c r="M436" s="3" t="s">
        <v>229</v>
      </c>
      <c r="N436" s="3" t="s">
        <v>240</v>
      </c>
      <c r="O436" s="3">
        <v>237</v>
      </c>
      <c r="P436" s="65">
        <v>13.919062090208101</v>
      </c>
      <c r="Q436" s="3">
        <v>250</v>
      </c>
      <c r="R436" s="3"/>
      <c r="S436" s="3"/>
      <c r="T436" s="36"/>
      <c r="U436" s="36"/>
      <c r="V436" s="36"/>
      <c r="W436" s="36"/>
      <c r="X436" s="36"/>
      <c r="Y436" s="36"/>
      <c r="Z436" s="36"/>
    </row>
    <row r="437" spans="1:26" ht="14">
      <c r="A437" s="35">
        <v>41761</v>
      </c>
      <c r="B437" s="72" t="s">
        <v>144</v>
      </c>
      <c r="C437" s="165">
        <v>2014</v>
      </c>
      <c r="D437" s="65">
        <v>2</v>
      </c>
      <c r="E437" s="65" t="s">
        <v>223</v>
      </c>
      <c r="F437" s="65" t="s">
        <v>224</v>
      </c>
      <c r="G437" s="65" t="s">
        <v>225</v>
      </c>
      <c r="H437" s="65" t="s">
        <v>226</v>
      </c>
      <c r="I437" s="65" t="s">
        <v>239</v>
      </c>
      <c r="J437" s="36" t="s">
        <v>240</v>
      </c>
      <c r="K437" s="36"/>
      <c r="L437" s="36">
        <v>4</v>
      </c>
      <c r="M437" s="36" t="s">
        <v>229</v>
      </c>
      <c r="N437" s="36" t="s">
        <v>240</v>
      </c>
      <c r="O437" s="36">
        <v>29</v>
      </c>
      <c r="P437" s="36">
        <v>13.706424161517777</v>
      </c>
      <c r="Q437" s="65">
        <v>250</v>
      </c>
      <c r="R437" s="65"/>
      <c r="S437" s="65"/>
      <c r="T437" s="65"/>
      <c r="U437" s="36"/>
      <c r="V437" s="36"/>
      <c r="W437" s="36"/>
      <c r="X437" s="36"/>
      <c r="Y437" s="36"/>
      <c r="Z437" s="36"/>
    </row>
    <row r="438" spans="1:26" ht="14">
      <c r="A438" s="13">
        <v>41761</v>
      </c>
      <c r="B438" s="72" t="s">
        <v>144</v>
      </c>
      <c r="C438" s="165">
        <v>2014</v>
      </c>
      <c r="D438" s="36">
        <v>4</v>
      </c>
      <c r="E438" s="53" t="s">
        <v>223</v>
      </c>
      <c r="F438" s="53" t="s">
        <v>224</v>
      </c>
      <c r="G438" s="53" t="s">
        <v>225</v>
      </c>
      <c r="H438" s="53" t="s">
        <v>226</v>
      </c>
      <c r="I438" s="53" t="s">
        <v>239</v>
      </c>
      <c r="J438" s="36" t="s">
        <v>240</v>
      </c>
      <c r="K438" s="36"/>
      <c r="L438" s="36">
        <v>103</v>
      </c>
      <c r="M438" s="3" t="s">
        <v>229</v>
      </c>
      <c r="N438" s="3" t="s">
        <v>240</v>
      </c>
      <c r="O438" s="3">
        <v>256</v>
      </c>
      <c r="P438" s="36">
        <v>39.273062913684591</v>
      </c>
      <c r="Q438" s="36">
        <v>250</v>
      </c>
      <c r="R438" s="3"/>
      <c r="S438" s="3"/>
      <c r="T438" s="36"/>
      <c r="U438" s="36"/>
      <c r="V438" s="36"/>
      <c r="W438" s="36"/>
      <c r="X438" s="36"/>
      <c r="Y438" s="36"/>
      <c r="Z438" s="36"/>
    </row>
    <row r="439" spans="1:26" ht="14">
      <c r="A439" s="71">
        <v>41761</v>
      </c>
      <c r="B439" s="72" t="s">
        <v>144</v>
      </c>
      <c r="C439" s="165">
        <v>2014</v>
      </c>
      <c r="D439" s="65">
        <v>5</v>
      </c>
      <c r="E439" s="65" t="s">
        <v>223</v>
      </c>
      <c r="F439" s="65" t="s">
        <v>224</v>
      </c>
      <c r="G439" s="65" t="s">
        <v>225</v>
      </c>
      <c r="H439" s="65" t="s">
        <v>226</v>
      </c>
      <c r="I439" s="65" t="s">
        <v>239</v>
      </c>
      <c r="J439" s="36" t="s">
        <v>240</v>
      </c>
      <c r="K439" s="3"/>
      <c r="L439" s="3">
        <v>57</v>
      </c>
      <c r="M439" s="3" t="s">
        <v>229</v>
      </c>
      <c r="N439" s="3" t="s">
        <v>240</v>
      </c>
      <c r="O439" s="3">
        <v>300</v>
      </c>
      <c r="P439" s="65">
        <v>18.960438474171923</v>
      </c>
      <c r="Q439" s="3">
        <v>250</v>
      </c>
      <c r="R439" s="3"/>
      <c r="S439" s="3"/>
      <c r="T439" s="36"/>
      <c r="U439" s="36"/>
      <c r="V439" s="36"/>
      <c r="W439" s="36"/>
      <c r="X439" s="36"/>
      <c r="Y439" s="36"/>
      <c r="Z439" s="36"/>
    </row>
    <row r="440" spans="1:26" ht="14">
      <c r="A440" s="71">
        <v>41761</v>
      </c>
      <c r="B440" s="72" t="s">
        <v>144</v>
      </c>
      <c r="C440" s="165">
        <v>2014</v>
      </c>
      <c r="D440" s="65">
        <v>8</v>
      </c>
      <c r="E440" s="65" t="s">
        <v>223</v>
      </c>
      <c r="F440" s="65" t="s">
        <v>224</v>
      </c>
      <c r="G440" s="65" t="s">
        <v>225</v>
      </c>
      <c r="H440" s="65" t="s">
        <v>226</v>
      </c>
      <c r="I440" s="65" t="s">
        <v>239</v>
      </c>
      <c r="J440" s="65" t="s">
        <v>240</v>
      </c>
      <c r="K440" s="51"/>
      <c r="L440" s="51">
        <v>12</v>
      </c>
      <c r="M440" s="51" t="s">
        <v>229</v>
      </c>
      <c r="N440" s="51" t="s">
        <v>240</v>
      </c>
      <c r="O440" s="3">
        <v>129</v>
      </c>
      <c r="P440" s="36">
        <v>9.2780181751710558</v>
      </c>
      <c r="Q440" s="65">
        <v>250</v>
      </c>
      <c r="R440" s="51"/>
      <c r="S440" s="51"/>
      <c r="T440" s="65"/>
      <c r="U440" s="36"/>
      <c r="V440" s="36"/>
      <c r="W440" s="36"/>
      <c r="X440" s="36"/>
      <c r="Y440" s="36"/>
      <c r="Z440" s="36"/>
    </row>
    <row r="441" spans="1:26" ht="14">
      <c r="A441" s="71">
        <v>41542</v>
      </c>
      <c r="B441" s="72" t="s">
        <v>157</v>
      </c>
      <c r="C441" s="165">
        <v>2013</v>
      </c>
      <c r="D441" s="51">
        <v>2</v>
      </c>
      <c r="E441" s="3" t="s">
        <v>223</v>
      </c>
      <c r="F441" s="3" t="s">
        <v>224</v>
      </c>
      <c r="G441" s="3" t="s">
        <v>225</v>
      </c>
      <c r="H441" s="3" t="s">
        <v>226</v>
      </c>
      <c r="I441" s="3" t="s">
        <v>239</v>
      </c>
      <c r="J441" s="3" t="s">
        <v>240</v>
      </c>
      <c r="K441" s="3"/>
      <c r="L441" s="3">
        <v>18</v>
      </c>
      <c r="M441" s="3" t="s">
        <v>229</v>
      </c>
      <c r="N441" s="3" t="s">
        <v>240</v>
      </c>
      <c r="O441" s="3">
        <v>110</v>
      </c>
      <c r="P441" s="36">
        <v>16.21623819915709</v>
      </c>
      <c r="Q441" s="3">
        <v>250</v>
      </c>
      <c r="R441" s="3"/>
      <c r="S441" s="3"/>
      <c r="T441" s="36"/>
      <c r="U441" s="36"/>
      <c r="V441" s="36"/>
      <c r="W441" s="36"/>
      <c r="X441" s="36"/>
      <c r="Y441" s="36"/>
      <c r="Z441" s="36"/>
    </row>
    <row r="442" spans="1:26" ht="14">
      <c r="A442" s="71">
        <v>41542</v>
      </c>
      <c r="B442" s="72" t="s">
        <v>157</v>
      </c>
      <c r="C442" s="165">
        <v>2013</v>
      </c>
      <c r="D442" s="51">
        <v>4</v>
      </c>
      <c r="E442" s="51" t="s">
        <v>223</v>
      </c>
      <c r="F442" s="51" t="s">
        <v>224</v>
      </c>
      <c r="G442" s="51" t="s">
        <v>225</v>
      </c>
      <c r="H442" s="51" t="s">
        <v>226</v>
      </c>
      <c r="I442" s="51" t="s">
        <v>239</v>
      </c>
      <c r="J442" s="3" t="s">
        <v>240</v>
      </c>
      <c r="K442" s="3"/>
      <c r="L442" s="3">
        <v>33</v>
      </c>
      <c r="M442" s="3" t="s">
        <v>229</v>
      </c>
      <c r="N442" s="3" t="s">
        <v>240</v>
      </c>
      <c r="O442" s="3">
        <v>159</v>
      </c>
      <c r="P442" s="36">
        <v>20.528057161563989</v>
      </c>
      <c r="Q442" s="3">
        <v>250</v>
      </c>
      <c r="R442" s="3"/>
      <c r="S442" s="3"/>
      <c r="T442" s="36"/>
      <c r="U442" s="36"/>
      <c r="V442" s="36"/>
      <c r="W442" s="36"/>
      <c r="X442" s="36"/>
      <c r="Y442" s="36"/>
      <c r="Z442" s="36"/>
    </row>
    <row r="443" spans="1:26" ht="14">
      <c r="A443" s="71">
        <v>41542</v>
      </c>
      <c r="B443" s="72" t="s">
        <v>157</v>
      </c>
      <c r="C443" s="165">
        <v>2013</v>
      </c>
      <c r="D443" s="51">
        <v>5</v>
      </c>
      <c r="E443" s="51" t="s">
        <v>223</v>
      </c>
      <c r="F443" s="3" t="s">
        <v>224</v>
      </c>
      <c r="G443" s="3" t="s">
        <v>225</v>
      </c>
      <c r="H443" s="51" t="s">
        <v>226</v>
      </c>
      <c r="I443" s="51" t="s">
        <v>239</v>
      </c>
      <c r="J443" s="51" t="s">
        <v>240</v>
      </c>
      <c r="K443" s="3"/>
      <c r="L443" s="3">
        <v>46</v>
      </c>
      <c r="M443" s="3" t="s">
        <v>229</v>
      </c>
      <c r="N443" s="3" t="s">
        <v>240</v>
      </c>
      <c r="O443" s="3">
        <v>206</v>
      </c>
      <c r="P443" s="36">
        <v>22.322903917377694</v>
      </c>
      <c r="Q443" s="3">
        <v>250</v>
      </c>
      <c r="R443" s="3"/>
      <c r="S443" s="3"/>
      <c r="T443" s="36"/>
      <c r="U443" s="36"/>
      <c r="V443" s="36"/>
      <c r="W443" s="36"/>
      <c r="X443" s="36"/>
      <c r="Y443" s="36"/>
      <c r="Z443" s="36"/>
    </row>
    <row r="444" spans="1:26" ht="14">
      <c r="A444" s="71">
        <v>41542</v>
      </c>
      <c r="B444" s="72" t="s">
        <v>157</v>
      </c>
      <c r="C444" s="165">
        <v>2013</v>
      </c>
      <c r="D444" s="51">
        <v>8</v>
      </c>
      <c r="E444" s="51" t="s">
        <v>223</v>
      </c>
      <c r="F444" s="51" t="s">
        <v>224</v>
      </c>
      <c r="G444" s="51" t="s">
        <v>225</v>
      </c>
      <c r="H444" s="51" t="s">
        <v>226</v>
      </c>
      <c r="I444" s="51" t="s">
        <v>239</v>
      </c>
      <c r="J444" s="3" t="s">
        <v>240</v>
      </c>
      <c r="K444" s="3"/>
      <c r="L444" s="3">
        <v>27</v>
      </c>
      <c r="M444" s="3" t="s">
        <v>229</v>
      </c>
      <c r="N444" s="3" t="s">
        <v>240</v>
      </c>
      <c r="O444" s="3">
        <v>183</v>
      </c>
      <c r="P444" s="36">
        <v>14.7536504488478</v>
      </c>
      <c r="Q444" s="3">
        <v>250</v>
      </c>
      <c r="R444" s="3"/>
      <c r="S444" s="3"/>
      <c r="T444" s="36"/>
      <c r="U444" s="36"/>
      <c r="V444" s="36"/>
      <c r="W444" s="36"/>
      <c r="X444" s="36"/>
      <c r="Y444" s="36"/>
      <c r="Z444" s="36"/>
    </row>
    <row r="445" spans="1:26" ht="14">
      <c r="A445" s="72">
        <v>41480</v>
      </c>
      <c r="B445" s="72" t="s">
        <v>154</v>
      </c>
      <c r="C445" s="165">
        <v>2013</v>
      </c>
      <c r="D445" s="65">
        <v>2</v>
      </c>
      <c r="E445" s="36" t="s">
        <v>223</v>
      </c>
      <c r="F445" s="36" t="s">
        <v>224</v>
      </c>
      <c r="G445" s="36" t="s">
        <v>225</v>
      </c>
      <c r="H445" s="36" t="s">
        <v>226</v>
      </c>
      <c r="I445" s="36" t="s">
        <v>239</v>
      </c>
      <c r="J445" s="36" t="s">
        <v>240</v>
      </c>
      <c r="K445" s="36"/>
      <c r="L445" s="36">
        <v>15</v>
      </c>
      <c r="M445" s="36" t="s">
        <v>229</v>
      </c>
      <c r="N445" s="36" t="s">
        <v>240</v>
      </c>
      <c r="O445" s="36">
        <v>125</v>
      </c>
      <c r="P445" s="36">
        <v>11.984859726407759</v>
      </c>
      <c r="Q445" s="36">
        <v>250</v>
      </c>
      <c r="R445" s="36"/>
      <c r="S445" s="36"/>
      <c r="T445" s="36"/>
      <c r="U445" s="36"/>
      <c r="V445" s="36"/>
      <c r="W445" s="36"/>
      <c r="X445" s="36"/>
      <c r="Y445" s="36"/>
      <c r="Z445" s="36"/>
    </row>
    <row r="446" spans="1:26" ht="14">
      <c r="A446" s="13">
        <v>41480</v>
      </c>
      <c r="B446" s="72" t="s">
        <v>154</v>
      </c>
      <c r="C446" s="165">
        <v>2013</v>
      </c>
      <c r="D446" s="51">
        <v>4</v>
      </c>
      <c r="E446" s="51" t="s">
        <v>223</v>
      </c>
      <c r="F446" s="51" t="s">
        <v>224</v>
      </c>
      <c r="G446" s="51" t="s">
        <v>225</v>
      </c>
      <c r="H446" s="51" t="s">
        <v>226</v>
      </c>
      <c r="I446" s="51" t="s">
        <v>239</v>
      </c>
      <c r="J446" s="3" t="s">
        <v>240</v>
      </c>
      <c r="K446" s="3"/>
      <c r="L446" s="3">
        <v>15</v>
      </c>
      <c r="M446" s="3" t="s">
        <v>229</v>
      </c>
      <c r="N446" s="3" t="s">
        <v>240</v>
      </c>
      <c r="O446" s="3">
        <v>124</v>
      </c>
      <c r="P446" s="36">
        <v>12.063528325970035</v>
      </c>
      <c r="Q446" s="3">
        <v>250</v>
      </c>
      <c r="R446" s="3"/>
      <c r="S446" s="3"/>
      <c r="T446" s="36"/>
      <c r="U446" s="36"/>
      <c r="V446" s="36"/>
      <c r="W446" s="36"/>
      <c r="X446" s="36"/>
      <c r="Y446" s="36"/>
      <c r="Z446" s="36"/>
    </row>
    <row r="447" spans="1:26" ht="14">
      <c r="A447" s="71">
        <v>41480</v>
      </c>
      <c r="B447" s="72" t="s">
        <v>154</v>
      </c>
      <c r="C447" s="165">
        <v>2013</v>
      </c>
      <c r="D447" s="51">
        <v>5</v>
      </c>
      <c r="E447" s="3" t="s">
        <v>223</v>
      </c>
      <c r="F447" s="3" t="s">
        <v>224</v>
      </c>
      <c r="G447" s="3" t="s">
        <v>225</v>
      </c>
      <c r="H447" s="3" t="s">
        <v>226</v>
      </c>
      <c r="I447" s="3" t="s">
        <v>239</v>
      </c>
      <c r="J447" s="3" t="s">
        <v>240</v>
      </c>
      <c r="K447" s="3"/>
      <c r="L447" s="3">
        <v>12</v>
      </c>
      <c r="M447" s="3" t="s">
        <v>229</v>
      </c>
      <c r="N447" s="3" t="s">
        <v>240</v>
      </c>
      <c r="O447" s="3">
        <v>155</v>
      </c>
      <c r="P447" s="65">
        <v>7.7408438519777576</v>
      </c>
      <c r="Q447" s="3">
        <v>250</v>
      </c>
      <c r="R447" s="3"/>
      <c r="S447" s="3"/>
      <c r="T447" s="36"/>
      <c r="U447" s="36"/>
      <c r="V447" s="36"/>
      <c r="W447" s="36"/>
      <c r="X447" s="36"/>
      <c r="Y447" s="36"/>
      <c r="Z447" s="36"/>
    </row>
    <row r="448" spans="1:26" ht="14">
      <c r="A448" s="13">
        <v>41480</v>
      </c>
      <c r="B448" s="72" t="s">
        <v>154</v>
      </c>
      <c r="C448" s="165">
        <v>2013</v>
      </c>
      <c r="D448" s="51">
        <v>8</v>
      </c>
      <c r="E448" s="51" t="s">
        <v>223</v>
      </c>
      <c r="F448" s="51" t="s">
        <v>224</v>
      </c>
      <c r="G448" s="51" t="s">
        <v>225</v>
      </c>
      <c r="H448" s="51" t="s">
        <v>226</v>
      </c>
      <c r="I448" s="51" t="s">
        <v>239</v>
      </c>
      <c r="J448" s="3" t="s">
        <v>240</v>
      </c>
      <c r="K448" s="3"/>
      <c r="L448" s="3">
        <v>16</v>
      </c>
      <c r="M448" s="3" t="s">
        <v>229</v>
      </c>
      <c r="N448" s="3" t="s">
        <v>240</v>
      </c>
      <c r="O448" s="3">
        <v>251</v>
      </c>
      <c r="P448" s="65">
        <v>6.3742184644476163</v>
      </c>
      <c r="Q448" s="3">
        <v>250</v>
      </c>
      <c r="R448" s="3"/>
      <c r="S448" s="3"/>
      <c r="T448" s="36"/>
      <c r="U448" s="36"/>
      <c r="V448" s="36"/>
      <c r="W448" s="36"/>
      <c r="X448" s="36"/>
      <c r="Y448" s="36"/>
      <c r="Z448" s="36"/>
    </row>
    <row r="449" spans="1:26" ht="14">
      <c r="A449" s="71">
        <v>41422</v>
      </c>
      <c r="B449" s="72" t="s">
        <v>144</v>
      </c>
      <c r="C449" s="165">
        <v>2013</v>
      </c>
      <c r="D449" s="51">
        <v>2</v>
      </c>
      <c r="E449" s="3" t="s">
        <v>223</v>
      </c>
      <c r="F449" s="3" t="s">
        <v>224</v>
      </c>
      <c r="G449" s="3" t="s">
        <v>225</v>
      </c>
      <c r="H449" s="3" t="s">
        <v>226</v>
      </c>
      <c r="I449" s="3" t="s">
        <v>239</v>
      </c>
      <c r="J449" s="3" t="s">
        <v>240</v>
      </c>
      <c r="K449" s="3"/>
      <c r="L449" s="3">
        <v>3</v>
      </c>
      <c r="M449" s="3" t="s">
        <v>229</v>
      </c>
      <c r="N449" s="3" t="s">
        <v>240</v>
      </c>
      <c r="O449" s="3">
        <v>40</v>
      </c>
      <c r="P449" s="65">
        <v>7.4964597687799808</v>
      </c>
      <c r="Q449" s="3">
        <v>250</v>
      </c>
      <c r="R449" s="3" t="s">
        <v>241</v>
      </c>
      <c r="S449" s="3"/>
      <c r="T449" s="36"/>
      <c r="U449" s="36"/>
      <c r="V449" s="36"/>
      <c r="W449" s="36"/>
      <c r="X449" s="36"/>
      <c r="Y449" s="36"/>
      <c r="Z449" s="36"/>
    </row>
    <row r="450" spans="1:26" ht="14">
      <c r="A450" s="13">
        <v>41422</v>
      </c>
      <c r="B450" s="72" t="s">
        <v>144</v>
      </c>
      <c r="C450" s="165">
        <v>2013</v>
      </c>
      <c r="D450" s="51">
        <v>4</v>
      </c>
      <c r="E450" s="51" t="s">
        <v>223</v>
      </c>
      <c r="F450" s="3" t="s">
        <v>224</v>
      </c>
      <c r="G450" s="3" t="s">
        <v>225</v>
      </c>
      <c r="H450" s="51" t="s">
        <v>226</v>
      </c>
      <c r="I450" s="51" t="s">
        <v>239</v>
      </c>
      <c r="J450" s="51" t="s">
        <v>240</v>
      </c>
      <c r="K450" s="3"/>
      <c r="L450" s="3">
        <v>22</v>
      </c>
      <c r="M450" s="3" t="s">
        <v>229</v>
      </c>
      <c r="N450" s="3" t="s">
        <v>240</v>
      </c>
      <c r="O450" s="3">
        <v>106</v>
      </c>
      <c r="P450" s="65">
        <v>20.724101692236133</v>
      </c>
      <c r="Q450" s="3">
        <v>250</v>
      </c>
      <c r="R450" s="3" t="s">
        <v>241</v>
      </c>
      <c r="S450" s="3"/>
      <c r="T450" s="36"/>
      <c r="U450" s="36"/>
      <c r="V450" s="36"/>
      <c r="W450" s="36"/>
      <c r="X450" s="36"/>
      <c r="Y450" s="36"/>
      <c r="Z450" s="36"/>
    </row>
    <row r="451" spans="1:26" ht="14">
      <c r="A451" s="71">
        <v>41422</v>
      </c>
      <c r="B451" s="72" t="s">
        <v>144</v>
      </c>
      <c r="C451" s="165">
        <v>2013</v>
      </c>
      <c r="D451" s="51">
        <v>5</v>
      </c>
      <c r="E451" s="51" t="s">
        <v>223</v>
      </c>
      <c r="F451" s="51" t="s">
        <v>224</v>
      </c>
      <c r="G451" s="51" t="s">
        <v>225</v>
      </c>
      <c r="H451" s="51" t="s">
        <v>226</v>
      </c>
      <c r="I451" s="51" t="s">
        <v>239</v>
      </c>
      <c r="J451" s="3" t="s">
        <v>240</v>
      </c>
      <c r="K451" s="3"/>
      <c r="L451" s="3">
        <v>22</v>
      </c>
      <c r="M451" s="3" t="s">
        <v>229</v>
      </c>
      <c r="N451" s="3" t="s">
        <v>240</v>
      </c>
      <c r="O451" s="3">
        <v>120</v>
      </c>
      <c r="P451" s="36">
        <v>18.333333333333332</v>
      </c>
      <c r="Q451" s="3">
        <v>250</v>
      </c>
      <c r="R451" s="3" t="s">
        <v>242</v>
      </c>
      <c r="S451" s="3"/>
      <c r="T451" s="36"/>
      <c r="U451" s="36"/>
      <c r="V451" s="36"/>
      <c r="W451" s="36"/>
      <c r="X451" s="36"/>
      <c r="Y451" s="36"/>
      <c r="Z451" s="36"/>
    </row>
    <row r="452" spans="1:26" ht="14">
      <c r="A452" s="13">
        <v>41422</v>
      </c>
      <c r="B452" s="72" t="s">
        <v>144</v>
      </c>
      <c r="C452" s="165">
        <v>2013</v>
      </c>
      <c r="D452" s="51">
        <v>8</v>
      </c>
      <c r="E452" s="51" t="s">
        <v>223</v>
      </c>
      <c r="F452" s="51" t="s">
        <v>224</v>
      </c>
      <c r="G452" s="51" t="s">
        <v>225</v>
      </c>
      <c r="H452" s="51" t="s">
        <v>226</v>
      </c>
      <c r="I452" s="51" t="s">
        <v>239</v>
      </c>
      <c r="J452" s="51" t="s">
        <v>240</v>
      </c>
      <c r="K452" s="3"/>
      <c r="L452" s="3">
        <v>26</v>
      </c>
      <c r="M452" s="3" t="s">
        <v>229</v>
      </c>
      <c r="N452" s="3" t="s">
        <v>240</v>
      </c>
      <c r="O452" s="3">
        <v>89</v>
      </c>
      <c r="P452" s="36">
        <v>29.206056063110157</v>
      </c>
      <c r="Q452" s="3">
        <v>250</v>
      </c>
      <c r="R452" s="3" t="s">
        <v>242</v>
      </c>
      <c r="S452" s="3"/>
      <c r="T452" s="36"/>
      <c r="U452" s="36"/>
      <c r="V452" s="36"/>
      <c r="W452" s="36"/>
      <c r="X452" s="36"/>
      <c r="Y452" s="36"/>
      <c r="Z452" s="36"/>
    </row>
    <row r="453" spans="1:26" ht="14">
      <c r="A453" s="35">
        <v>41761</v>
      </c>
      <c r="B453" s="72" t="s">
        <v>144</v>
      </c>
      <c r="C453" s="165">
        <v>2014</v>
      </c>
      <c r="D453" s="65">
        <v>2</v>
      </c>
      <c r="E453" s="65" t="s">
        <v>223</v>
      </c>
      <c r="F453" s="65" t="s">
        <v>224</v>
      </c>
      <c r="G453" s="65" t="s">
        <v>225</v>
      </c>
      <c r="H453" s="65" t="s">
        <v>248</v>
      </c>
      <c r="I453" s="65" t="s">
        <v>359</v>
      </c>
      <c r="J453" s="65" t="s">
        <v>672</v>
      </c>
      <c r="K453" s="36"/>
      <c r="L453" s="36">
        <v>1</v>
      </c>
      <c r="M453" s="36" t="s">
        <v>229</v>
      </c>
      <c r="N453" s="36" t="s">
        <v>672</v>
      </c>
      <c r="O453" s="36">
        <v>29</v>
      </c>
      <c r="P453" s="36">
        <v>3.4266060403794367</v>
      </c>
      <c r="Q453" s="65">
        <v>250</v>
      </c>
      <c r="R453" s="65"/>
      <c r="S453" s="65"/>
      <c r="T453" s="65"/>
      <c r="U453" s="36"/>
      <c r="V453" s="36"/>
      <c r="W453" s="36"/>
      <c r="X453" s="36"/>
      <c r="Y453" s="36"/>
      <c r="Z453" s="36"/>
    </row>
    <row r="454" spans="1:26" ht="14">
      <c r="A454" s="35">
        <v>41761</v>
      </c>
      <c r="B454" s="72" t="s">
        <v>144</v>
      </c>
      <c r="C454" s="165">
        <v>2014</v>
      </c>
      <c r="D454" s="65">
        <v>2</v>
      </c>
      <c r="E454" s="65" t="s">
        <v>223</v>
      </c>
      <c r="F454" s="65" t="s">
        <v>224</v>
      </c>
      <c r="G454" s="65" t="s">
        <v>225</v>
      </c>
      <c r="H454" s="65" t="s">
        <v>248</v>
      </c>
      <c r="I454" s="65" t="s">
        <v>359</v>
      </c>
      <c r="J454" s="65" t="s">
        <v>671</v>
      </c>
      <c r="K454" s="36"/>
      <c r="L454" s="36">
        <v>2</v>
      </c>
      <c r="M454" s="36" t="s">
        <v>229</v>
      </c>
      <c r="N454" s="36" t="s">
        <v>671</v>
      </c>
      <c r="O454" s="36">
        <v>29</v>
      </c>
      <c r="P454" s="36">
        <v>6.8532120807588734</v>
      </c>
      <c r="Q454" s="65">
        <v>250</v>
      </c>
      <c r="R454" s="65"/>
      <c r="S454" s="65"/>
      <c r="T454" s="65"/>
      <c r="U454" s="36"/>
      <c r="V454" s="36"/>
      <c r="W454" s="36"/>
      <c r="X454" s="36"/>
      <c r="Y454" s="36"/>
      <c r="Z454" s="36"/>
    </row>
    <row r="455" spans="1:26" ht="14">
      <c r="A455" s="71">
        <v>43019</v>
      </c>
      <c r="B455" s="72" t="s">
        <v>159</v>
      </c>
      <c r="C455" s="165">
        <v>2017</v>
      </c>
      <c r="D455" s="65">
        <v>5</v>
      </c>
      <c r="E455" s="65" t="s">
        <v>223</v>
      </c>
      <c r="F455" s="65" t="s">
        <v>267</v>
      </c>
      <c r="G455" s="65"/>
      <c r="H455" s="65" t="s">
        <v>273</v>
      </c>
      <c r="I455" s="65"/>
      <c r="J455" s="36"/>
      <c r="K455" s="36"/>
      <c r="L455" s="36">
        <v>1</v>
      </c>
      <c r="M455" s="36" t="s">
        <v>508</v>
      </c>
      <c r="N455" s="36" t="s">
        <v>335</v>
      </c>
      <c r="O455" s="3">
        <v>3</v>
      </c>
      <c r="P455" s="36">
        <v>7.3907950389884838E-3</v>
      </c>
      <c r="Q455" s="36">
        <v>1000</v>
      </c>
      <c r="R455" s="3"/>
      <c r="S455" s="3"/>
      <c r="T455" s="36"/>
      <c r="U455" s="36"/>
      <c r="V455" s="36"/>
      <c r="W455" s="36"/>
      <c r="X455" s="36"/>
      <c r="Y455" s="36"/>
      <c r="Z455" s="36"/>
    </row>
    <row r="456" spans="1:26" ht="14">
      <c r="A456" s="72">
        <v>42634</v>
      </c>
      <c r="B456" s="72" t="s">
        <v>157</v>
      </c>
      <c r="C456" s="165">
        <v>2016</v>
      </c>
      <c r="D456" s="65">
        <v>8</v>
      </c>
      <c r="E456" s="65" t="s">
        <v>223</v>
      </c>
      <c r="F456" s="36" t="s">
        <v>267</v>
      </c>
      <c r="G456" s="36"/>
      <c r="H456" s="65" t="s">
        <v>273</v>
      </c>
      <c r="I456" s="65"/>
      <c r="J456" s="65"/>
      <c r="K456" s="65"/>
      <c r="L456" s="65">
        <v>1</v>
      </c>
      <c r="M456" s="65" t="s">
        <v>508</v>
      </c>
      <c r="N456" s="65" t="s">
        <v>335</v>
      </c>
      <c r="O456" s="36">
        <v>3658</v>
      </c>
      <c r="P456" s="36">
        <v>1.7671737367053572E-3</v>
      </c>
      <c r="Q456" s="36">
        <v>1000</v>
      </c>
      <c r="R456" s="36"/>
      <c r="S456" s="36"/>
      <c r="T456" s="36"/>
      <c r="U456" s="36"/>
      <c r="V456" s="36"/>
      <c r="W456" s="36"/>
      <c r="X456" s="36"/>
      <c r="Y456" s="36"/>
      <c r="Z456" s="36"/>
    </row>
    <row r="457" spans="1:26" ht="14">
      <c r="A457" s="35">
        <v>42571</v>
      </c>
      <c r="B457" s="72" t="s">
        <v>154</v>
      </c>
      <c r="C457" s="165">
        <v>2016</v>
      </c>
      <c r="D457" s="65">
        <v>2</v>
      </c>
      <c r="E457" s="36" t="s">
        <v>223</v>
      </c>
      <c r="F457" s="36" t="s">
        <v>267</v>
      </c>
      <c r="G457" s="36"/>
      <c r="H457" s="36" t="s">
        <v>273</v>
      </c>
      <c r="I457" s="36"/>
      <c r="J457" s="36"/>
      <c r="K457" s="36"/>
      <c r="L457" s="36">
        <v>2</v>
      </c>
      <c r="M457" s="36" t="s">
        <v>508</v>
      </c>
      <c r="N457" s="36" t="s">
        <v>335</v>
      </c>
      <c r="O457" s="36">
        <v>5</v>
      </c>
      <c r="P457" s="36">
        <v>3.9394066096260097E-3</v>
      </c>
      <c r="Q457" s="65">
        <v>1000</v>
      </c>
      <c r="R457" s="65" t="s">
        <v>564</v>
      </c>
      <c r="S457" s="65"/>
      <c r="T457" s="65"/>
      <c r="U457" s="36"/>
      <c r="V457" s="36"/>
      <c r="W457" s="36"/>
      <c r="X457" s="36"/>
      <c r="Y457" s="36"/>
      <c r="Z457" s="36"/>
    </row>
    <row r="458" spans="1:26" ht="14">
      <c r="A458" s="35">
        <v>42515</v>
      </c>
      <c r="B458" s="72" t="s">
        <v>144</v>
      </c>
      <c r="C458" s="165">
        <v>2016</v>
      </c>
      <c r="D458" s="76">
        <v>4</v>
      </c>
      <c r="E458" s="65" t="s">
        <v>223</v>
      </c>
      <c r="F458" s="65" t="s">
        <v>267</v>
      </c>
      <c r="G458" s="65"/>
      <c r="H458" s="65" t="s">
        <v>273</v>
      </c>
      <c r="I458" s="65"/>
      <c r="J458" s="65"/>
      <c r="K458" s="36"/>
      <c r="L458" s="36">
        <v>3</v>
      </c>
      <c r="M458" s="36" t="s">
        <v>508</v>
      </c>
      <c r="N458" s="36" t="s">
        <v>335</v>
      </c>
      <c r="O458" s="36">
        <v>17</v>
      </c>
      <c r="P458" s="36">
        <v>1.3975437004844236E-2</v>
      </c>
      <c r="Q458" s="65">
        <v>1000</v>
      </c>
      <c r="R458" s="65"/>
      <c r="S458" s="65"/>
      <c r="T458" s="65"/>
      <c r="U458" s="36"/>
      <c r="V458" s="36"/>
      <c r="W458" s="36"/>
      <c r="X458" s="36"/>
      <c r="Y458" s="36"/>
      <c r="Z458" s="36"/>
    </row>
    <row r="459" spans="1:26" ht="14">
      <c r="A459" s="35">
        <v>41912</v>
      </c>
      <c r="B459" s="72" t="s">
        <v>157</v>
      </c>
      <c r="C459" s="165">
        <v>2014</v>
      </c>
      <c r="D459" s="76">
        <v>5</v>
      </c>
      <c r="E459" s="36" t="s">
        <v>223</v>
      </c>
      <c r="F459" s="36" t="s">
        <v>267</v>
      </c>
      <c r="G459" s="36"/>
      <c r="H459" s="36" t="s">
        <v>273</v>
      </c>
      <c r="I459" s="36"/>
      <c r="J459" s="36"/>
      <c r="K459" s="36"/>
      <c r="L459" s="36">
        <v>1</v>
      </c>
      <c r="M459" s="36" t="s">
        <v>508</v>
      </c>
      <c r="N459" s="36" t="s">
        <v>335</v>
      </c>
      <c r="O459" s="36">
        <v>176</v>
      </c>
      <c r="P459" s="36">
        <v>1.115129105415565E-3</v>
      </c>
      <c r="Q459" s="36">
        <v>1000</v>
      </c>
      <c r="R459" s="36"/>
      <c r="S459" s="36"/>
      <c r="T459" s="36"/>
      <c r="U459" s="36"/>
      <c r="V459" s="36"/>
      <c r="W459" s="36"/>
      <c r="X459" s="36"/>
      <c r="Y459" s="36"/>
      <c r="Z459" s="36"/>
    </row>
    <row r="460" spans="1:26" ht="14">
      <c r="A460" s="35">
        <v>41542</v>
      </c>
      <c r="B460" s="72" t="s">
        <v>157</v>
      </c>
      <c r="C460" s="165">
        <v>2013</v>
      </c>
      <c r="D460" s="65">
        <v>4</v>
      </c>
      <c r="E460" s="36" t="s">
        <v>223</v>
      </c>
      <c r="F460" s="36" t="s">
        <v>267</v>
      </c>
      <c r="G460" s="36"/>
      <c r="H460" s="36" t="s">
        <v>273</v>
      </c>
      <c r="I460" s="36"/>
      <c r="J460" s="36"/>
      <c r="K460" s="36"/>
      <c r="L460" s="36">
        <v>1</v>
      </c>
      <c r="M460" s="36" t="s">
        <v>508</v>
      </c>
      <c r="N460" s="36" t="s">
        <v>335</v>
      </c>
      <c r="O460" s="36">
        <v>522</v>
      </c>
      <c r="P460" s="36">
        <v>2.092123029799455E-3</v>
      </c>
      <c r="Q460" s="36">
        <v>1000</v>
      </c>
      <c r="R460" s="36"/>
      <c r="S460" s="36"/>
      <c r="T460" s="36"/>
      <c r="U460" s="36"/>
      <c r="V460" s="36"/>
      <c r="W460" s="36"/>
      <c r="X460" s="36"/>
      <c r="Y460" s="36"/>
      <c r="Z460" s="36"/>
    </row>
    <row r="461" spans="1:26" ht="14">
      <c r="A461" s="35">
        <v>41480</v>
      </c>
      <c r="B461" s="72" t="s">
        <v>693</v>
      </c>
      <c r="C461" s="165">
        <v>2013</v>
      </c>
      <c r="D461" s="65">
        <v>2</v>
      </c>
      <c r="E461" s="36" t="s">
        <v>223</v>
      </c>
      <c r="F461" s="36" t="s">
        <v>267</v>
      </c>
      <c r="G461" s="36" t="s">
        <v>273</v>
      </c>
      <c r="H461" s="36"/>
      <c r="I461" s="36"/>
      <c r="J461" s="36"/>
      <c r="K461" s="36"/>
      <c r="L461" s="36">
        <v>19</v>
      </c>
      <c r="M461" s="36" t="s">
        <v>510</v>
      </c>
      <c r="N461" s="36" t="s">
        <v>335</v>
      </c>
      <c r="O461" s="36">
        <v>126</v>
      </c>
      <c r="P461" s="36">
        <v>1.9025476074836203E-2</v>
      </c>
      <c r="Q461" s="36">
        <v>1000</v>
      </c>
      <c r="R461" s="36" t="s">
        <v>336</v>
      </c>
      <c r="S461" s="36" t="e">
        <f>SUM(#REF!)</f>
        <v>#REF!</v>
      </c>
      <c r="T461" s="36"/>
      <c r="U461" s="36"/>
      <c r="V461" s="36"/>
      <c r="W461" s="36"/>
      <c r="X461" s="36"/>
      <c r="Y461" s="36"/>
      <c r="Z461" s="36"/>
    </row>
    <row r="462" spans="1:26" ht="14">
      <c r="A462" s="35">
        <v>41480</v>
      </c>
      <c r="B462" s="35" t="s">
        <v>154</v>
      </c>
      <c r="C462" s="165">
        <v>2013</v>
      </c>
      <c r="D462" s="65">
        <v>4</v>
      </c>
      <c r="E462" s="36" t="s">
        <v>223</v>
      </c>
      <c r="F462" s="36" t="s">
        <v>267</v>
      </c>
      <c r="G462" s="36" t="s">
        <v>273</v>
      </c>
      <c r="H462" s="36"/>
      <c r="I462" s="36"/>
      <c r="J462" s="36"/>
      <c r="K462" s="36"/>
      <c r="L462" s="36">
        <v>2</v>
      </c>
      <c r="M462" s="36" t="s">
        <v>510</v>
      </c>
      <c r="N462" s="36" t="s">
        <v>335</v>
      </c>
      <c r="O462" s="36">
        <v>113</v>
      </c>
      <c r="P462" s="36">
        <v>4.8642921294592793E-3</v>
      </c>
      <c r="Q462" s="36">
        <v>1000</v>
      </c>
      <c r="R462" s="36" t="s">
        <v>336</v>
      </c>
      <c r="S462" s="36"/>
      <c r="T462" s="36"/>
      <c r="U462" s="36"/>
      <c r="V462" s="36"/>
      <c r="W462" s="36"/>
      <c r="X462" s="36"/>
      <c r="Y462" s="36"/>
      <c r="Z462" s="36"/>
    </row>
    <row r="463" spans="1:26" ht="14">
      <c r="A463" s="72">
        <v>41480</v>
      </c>
      <c r="B463" s="72" t="s">
        <v>154</v>
      </c>
      <c r="C463" s="165">
        <v>2013</v>
      </c>
      <c r="D463" s="65">
        <v>5</v>
      </c>
      <c r="E463" s="65" t="s">
        <v>223</v>
      </c>
      <c r="F463" s="65" t="s">
        <v>267</v>
      </c>
      <c r="G463" s="65"/>
      <c r="H463" s="65" t="s">
        <v>273</v>
      </c>
      <c r="I463" s="65"/>
      <c r="J463" s="36"/>
      <c r="K463" s="36"/>
      <c r="L463" s="36">
        <v>9</v>
      </c>
      <c r="M463" s="36" t="s">
        <v>508</v>
      </c>
      <c r="N463" s="36" t="s">
        <v>335</v>
      </c>
      <c r="O463" s="36">
        <v>45</v>
      </c>
      <c r="P463" s="36">
        <v>2.820049057495885E-3</v>
      </c>
      <c r="Q463" s="36">
        <v>1000</v>
      </c>
      <c r="R463" s="36" t="s">
        <v>336</v>
      </c>
      <c r="S463" s="36"/>
      <c r="T463" s="36"/>
      <c r="U463" s="36"/>
      <c r="V463" s="36"/>
      <c r="W463" s="36"/>
      <c r="X463" s="36"/>
      <c r="Y463" s="36"/>
      <c r="Z463" s="36"/>
    </row>
    <row r="464" spans="1:26" ht="14">
      <c r="A464" s="72">
        <v>41480</v>
      </c>
      <c r="B464" s="72" t="s">
        <v>154</v>
      </c>
      <c r="C464" s="165">
        <v>2013</v>
      </c>
      <c r="D464" s="65">
        <v>5</v>
      </c>
      <c r="E464" s="36" t="s">
        <v>223</v>
      </c>
      <c r="F464" s="36" t="s">
        <v>267</v>
      </c>
      <c r="G464" s="36"/>
      <c r="H464" s="36" t="s">
        <v>273</v>
      </c>
      <c r="I464" s="36"/>
      <c r="J464" s="36"/>
      <c r="K464" s="36"/>
      <c r="L464" s="36">
        <v>1</v>
      </c>
      <c r="M464" s="36" t="s">
        <v>508</v>
      </c>
      <c r="N464" s="36" t="s">
        <v>335</v>
      </c>
      <c r="O464" s="36">
        <v>45</v>
      </c>
      <c r="P464" s="36">
        <v>3.1333878416620943E-4</v>
      </c>
      <c r="Q464" s="36">
        <v>1000</v>
      </c>
      <c r="R464" s="36" t="s">
        <v>337</v>
      </c>
      <c r="S464" s="36"/>
      <c r="T464" s="36"/>
      <c r="U464" s="36"/>
      <c r="V464" s="36"/>
      <c r="W464" s="36"/>
      <c r="X464" s="36"/>
      <c r="Y464" s="36"/>
      <c r="Z464" s="36"/>
    </row>
    <row r="465" spans="1:26" ht="14">
      <c r="A465" s="35">
        <v>41480</v>
      </c>
      <c r="B465" s="72" t="s">
        <v>154</v>
      </c>
      <c r="C465" s="165">
        <v>2013</v>
      </c>
      <c r="D465" s="65">
        <v>8</v>
      </c>
      <c r="E465" s="36" t="s">
        <v>223</v>
      </c>
      <c r="F465" s="36" t="s">
        <v>267</v>
      </c>
      <c r="G465" s="36"/>
      <c r="H465" s="36" t="s">
        <v>273</v>
      </c>
      <c r="I465" s="36"/>
      <c r="J465" s="36"/>
      <c r="K465" s="36"/>
      <c r="L465" s="36">
        <v>1</v>
      </c>
      <c r="M465" s="36" t="s">
        <v>508</v>
      </c>
      <c r="N465" s="36" t="s">
        <v>335</v>
      </c>
      <c r="O465" s="36">
        <v>15</v>
      </c>
      <c r="P465" s="36">
        <v>2.9652259854021296E-4</v>
      </c>
      <c r="Q465" s="36">
        <v>1000</v>
      </c>
      <c r="R465" s="36" t="s">
        <v>336</v>
      </c>
      <c r="S465" s="36"/>
      <c r="T465" s="36"/>
      <c r="U465" s="36"/>
      <c r="V465" s="36"/>
      <c r="W465" s="36"/>
      <c r="X465" s="36"/>
      <c r="Y465" s="36"/>
      <c r="Z465" s="36"/>
    </row>
    <row r="466" spans="1:26" ht="14">
      <c r="A466" s="35">
        <v>41480</v>
      </c>
      <c r="B466" s="72" t="s">
        <v>154</v>
      </c>
      <c r="C466" s="165">
        <v>2013</v>
      </c>
      <c r="D466" s="65">
        <v>8</v>
      </c>
      <c r="E466" s="36" t="s">
        <v>223</v>
      </c>
      <c r="F466" s="36" t="s">
        <v>267</v>
      </c>
      <c r="G466" s="36"/>
      <c r="H466" s="36" t="s">
        <v>273</v>
      </c>
      <c r="I466" s="36"/>
      <c r="J466" s="36"/>
      <c r="K466" s="36"/>
      <c r="L466" s="36">
        <v>1</v>
      </c>
      <c r="M466" s="36" t="s">
        <v>508</v>
      </c>
      <c r="N466" s="36" t="s">
        <v>335</v>
      </c>
      <c r="O466" s="36">
        <v>15</v>
      </c>
      <c r="P466" s="36">
        <v>2.9652259854021296E-4</v>
      </c>
      <c r="Q466" s="36">
        <v>1000</v>
      </c>
      <c r="R466" s="36" t="s">
        <v>337</v>
      </c>
      <c r="S466" s="36"/>
      <c r="T466" s="36"/>
      <c r="U466" s="36"/>
      <c r="V466" s="36"/>
      <c r="W466" s="36"/>
      <c r="X466" s="36"/>
      <c r="Y466" s="36"/>
      <c r="Z466" s="36"/>
    </row>
    <row r="467" spans="1:26" ht="14">
      <c r="A467" s="35">
        <v>41480</v>
      </c>
      <c r="B467" s="72" t="s">
        <v>154</v>
      </c>
      <c r="C467" s="165">
        <v>2013</v>
      </c>
      <c r="D467" s="65">
        <v>8</v>
      </c>
      <c r="E467" s="36" t="s">
        <v>223</v>
      </c>
      <c r="F467" s="36" t="s">
        <v>267</v>
      </c>
      <c r="G467" s="36"/>
      <c r="H467" s="36" t="s">
        <v>273</v>
      </c>
      <c r="I467" s="36"/>
      <c r="J467" s="36"/>
      <c r="K467" s="36"/>
      <c r="L467" s="36">
        <v>1</v>
      </c>
      <c r="M467" s="36" t="s">
        <v>508</v>
      </c>
      <c r="N467" s="36" t="s">
        <v>335</v>
      </c>
      <c r="O467" s="36">
        <v>15</v>
      </c>
      <c r="P467" s="36">
        <v>2.9652259854021296E-4</v>
      </c>
      <c r="Q467" s="36">
        <v>1000</v>
      </c>
      <c r="R467" s="36" t="s">
        <v>338</v>
      </c>
      <c r="S467" s="36"/>
      <c r="T467" s="36"/>
      <c r="U467" s="36"/>
      <c r="V467" s="36"/>
      <c r="W467" s="36"/>
      <c r="X467" s="36"/>
      <c r="Y467" s="36"/>
      <c r="Z467" s="36"/>
    </row>
    <row r="468" spans="1:26" ht="14">
      <c r="A468" s="13">
        <v>43019</v>
      </c>
      <c r="B468" s="72" t="s">
        <v>159</v>
      </c>
      <c r="C468" s="165">
        <v>2017</v>
      </c>
      <c r="D468" s="65">
        <v>4</v>
      </c>
      <c r="E468" s="36" t="s">
        <v>223</v>
      </c>
      <c r="F468" s="36" t="s">
        <v>267</v>
      </c>
      <c r="G468" s="3"/>
      <c r="H468" s="36" t="s">
        <v>652</v>
      </c>
      <c r="I468" s="3"/>
      <c r="J468" s="36" t="s">
        <v>649</v>
      </c>
      <c r="K468" s="36" t="s">
        <v>650</v>
      </c>
      <c r="L468" s="36">
        <v>1</v>
      </c>
      <c r="M468" s="36" t="s">
        <v>247</v>
      </c>
      <c r="N468" s="36" t="s">
        <v>651</v>
      </c>
      <c r="O468" s="3">
        <v>214</v>
      </c>
      <c r="P468" s="36">
        <v>6.303095317028373E-3</v>
      </c>
      <c r="Q468" s="36">
        <v>1000</v>
      </c>
      <c r="R468" s="3"/>
      <c r="S468" s="3"/>
      <c r="T468" s="36"/>
      <c r="U468" s="36"/>
      <c r="V468" s="36"/>
      <c r="W468" s="36"/>
      <c r="X468" s="36"/>
      <c r="Y468" s="36"/>
      <c r="Z468" s="36"/>
    </row>
    <row r="469" spans="1:26" ht="14">
      <c r="A469" s="13">
        <v>42928</v>
      </c>
      <c r="B469" s="35" t="s">
        <v>154</v>
      </c>
      <c r="C469" s="165">
        <v>2017</v>
      </c>
      <c r="D469" s="65">
        <v>8</v>
      </c>
      <c r="E469" s="36" t="s">
        <v>223</v>
      </c>
      <c r="F469" s="36" t="s">
        <v>267</v>
      </c>
      <c r="G469" s="3"/>
      <c r="H469" s="36" t="s">
        <v>652</v>
      </c>
      <c r="I469" s="3"/>
      <c r="J469" s="36" t="s">
        <v>649</v>
      </c>
      <c r="K469" s="36" t="s">
        <v>650</v>
      </c>
      <c r="L469" s="36">
        <v>1</v>
      </c>
      <c r="M469" s="36" t="s">
        <v>247</v>
      </c>
      <c r="N469" s="36" t="s">
        <v>651</v>
      </c>
      <c r="O469" s="3">
        <v>26</v>
      </c>
      <c r="P469" s="36">
        <v>1.4582376221279529E-3</v>
      </c>
      <c r="Q469" s="36">
        <v>1000</v>
      </c>
      <c r="R469" s="3"/>
      <c r="S469" s="3"/>
      <c r="T469" s="36"/>
      <c r="U469" s="36"/>
      <c r="V469" s="36"/>
      <c r="W469" s="36"/>
      <c r="X469" s="36"/>
      <c r="Y469" s="36"/>
      <c r="Z469" s="36"/>
    </row>
    <row r="470" spans="1:26" ht="14">
      <c r="A470" s="35">
        <v>41851</v>
      </c>
      <c r="B470" s="35" t="s">
        <v>154</v>
      </c>
      <c r="C470" s="165">
        <v>2014</v>
      </c>
      <c r="D470" s="65">
        <v>2</v>
      </c>
      <c r="E470" s="36" t="s">
        <v>351</v>
      </c>
      <c r="F470" s="36"/>
      <c r="G470" s="36"/>
      <c r="H470" s="36"/>
      <c r="I470" s="36"/>
      <c r="J470" s="36"/>
      <c r="K470" s="36"/>
      <c r="L470" s="36">
        <v>5</v>
      </c>
      <c r="M470" s="36" t="s">
        <v>474</v>
      </c>
      <c r="N470" s="36" t="s">
        <v>534</v>
      </c>
      <c r="O470" s="36">
        <v>53</v>
      </c>
      <c r="P470" s="65">
        <v>0.1147407914854614</v>
      </c>
      <c r="Q470" s="36">
        <v>1000</v>
      </c>
      <c r="R470" s="36"/>
      <c r="S470" s="36"/>
      <c r="T470" s="36"/>
      <c r="U470" s="36"/>
      <c r="V470" s="36"/>
      <c r="W470" s="36"/>
      <c r="X470" s="36"/>
      <c r="Y470" s="36"/>
      <c r="Z470" s="36"/>
    </row>
    <row r="471" spans="1:26" ht="14">
      <c r="A471" s="35">
        <v>41851</v>
      </c>
      <c r="B471" s="35" t="s">
        <v>154</v>
      </c>
      <c r="C471" s="165">
        <v>2014</v>
      </c>
      <c r="D471" s="36">
        <v>4</v>
      </c>
      <c r="E471" s="65" t="s">
        <v>351</v>
      </c>
      <c r="F471" s="65"/>
      <c r="G471" s="65"/>
      <c r="H471" s="65"/>
      <c r="I471" s="65"/>
      <c r="J471" s="36"/>
      <c r="K471" s="36"/>
      <c r="L471" s="36">
        <v>415</v>
      </c>
      <c r="M471" s="36" t="s">
        <v>474</v>
      </c>
      <c r="N471" s="36" t="s">
        <v>534</v>
      </c>
      <c r="O471" s="36">
        <v>678</v>
      </c>
      <c r="P471" s="65">
        <v>1.6056653069558735</v>
      </c>
      <c r="Q471" s="36">
        <v>1000</v>
      </c>
      <c r="R471" s="36" t="s">
        <v>536</v>
      </c>
      <c r="S471" s="36"/>
      <c r="T471" s="36"/>
      <c r="U471" s="36"/>
      <c r="V471" s="36"/>
      <c r="W471" s="36"/>
      <c r="X471" s="36"/>
      <c r="Y471" s="36"/>
      <c r="Z471" s="36"/>
    </row>
    <row r="472" spans="1:26" ht="14">
      <c r="A472" s="72">
        <v>41851</v>
      </c>
      <c r="B472" s="35" t="s">
        <v>154</v>
      </c>
      <c r="C472" s="165">
        <v>2014</v>
      </c>
      <c r="D472" s="36">
        <v>5</v>
      </c>
      <c r="E472" s="36" t="s">
        <v>351</v>
      </c>
      <c r="F472" s="36"/>
      <c r="G472" s="36"/>
      <c r="H472" s="36"/>
      <c r="I472" s="36"/>
      <c r="J472" s="36"/>
      <c r="K472" s="36"/>
      <c r="L472" s="36">
        <v>119</v>
      </c>
      <c r="M472" s="36" t="s">
        <v>474</v>
      </c>
      <c r="N472" s="36" t="s">
        <v>534</v>
      </c>
      <c r="O472" s="36">
        <v>138</v>
      </c>
      <c r="P472" s="65">
        <v>0.59019175731558482</v>
      </c>
      <c r="Q472" s="36">
        <v>1000</v>
      </c>
      <c r="R472" s="36" t="s">
        <v>535</v>
      </c>
      <c r="S472" s="36"/>
      <c r="T472" s="36"/>
      <c r="U472" s="36"/>
      <c r="V472" s="36"/>
      <c r="W472" s="36"/>
      <c r="X472" s="36"/>
      <c r="Y472" s="36"/>
      <c r="Z472" s="36"/>
    </row>
    <row r="473" spans="1:26" ht="14">
      <c r="A473" s="35">
        <v>41912</v>
      </c>
      <c r="B473" s="35" t="s">
        <v>157</v>
      </c>
      <c r="C473" s="165">
        <v>2014</v>
      </c>
      <c r="D473" s="76">
        <v>5</v>
      </c>
      <c r="E473" s="65" t="s">
        <v>351</v>
      </c>
      <c r="F473" s="65"/>
      <c r="G473" s="65"/>
      <c r="H473" s="65"/>
      <c r="I473" s="65"/>
      <c r="J473" s="36"/>
      <c r="K473" s="36"/>
      <c r="L473" s="36">
        <v>4</v>
      </c>
      <c r="M473" s="36" t="s">
        <v>474</v>
      </c>
      <c r="N473" s="36" t="s">
        <v>352</v>
      </c>
      <c r="O473" s="36">
        <v>176</v>
      </c>
      <c r="P473" s="65">
        <v>4.4605164216622601E-3</v>
      </c>
      <c r="Q473" s="36">
        <v>1000</v>
      </c>
      <c r="R473" s="36"/>
      <c r="S473" s="36"/>
      <c r="T473" s="36"/>
      <c r="U473" s="36"/>
      <c r="V473" s="36"/>
      <c r="W473" s="36"/>
      <c r="X473" s="36"/>
      <c r="Y473" s="36"/>
      <c r="Z473" s="36"/>
    </row>
    <row r="474" spans="1:26" ht="14">
      <c r="A474" s="35">
        <v>41851</v>
      </c>
      <c r="B474" s="72" t="s">
        <v>154</v>
      </c>
      <c r="C474" s="165">
        <v>2014</v>
      </c>
      <c r="D474" s="76">
        <v>8</v>
      </c>
      <c r="E474" s="36" t="s">
        <v>351</v>
      </c>
      <c r="F474" s="36"/>
      <c r="G474" s="36"/>
      <c r="H474" s="36"/>
      <c r="I474" s="36"/>
      <c r="J474" s="36"/>
      <c r="K474" s="36"/>
      <c r="L474" s="36">
        <v>4</v>
      </c>
      <c r="M474" s="36" t="s">
        <v>474</v>
      </c>
      <c r="N474" s="36" t="s">
        <v>352</v>
      </c>
      <c r="O474" s="36">
        <v>5</v>
      </c>
      <c r="P474" s="65">
        <v>2.8661445349934325E-2</v>
      </c>
      <c r="Q474" s="36">
        <v>1000</v>
      </c>
      <c r="R474" s="36"/>
      <c r="S474" s="36"/>
      <c r="T474" s="36"/>
      <c r="U474" s="36"/>
      <c r="V474" s="36"/>
      <c r="W474" s="36"/>
      <c r="X474" s="36"/>
      <c r="Y474" s="36"/>
      <c r="Z474" s="36"/>
    </row>
    <row r="475" spans="1:26" ht="14">
      <c r="A475" s="35">
        <v>41542</v>
      </c>
      <c r="B475" s="72" t="s">
        <v>157</v>
      </c>
      <c r="C475" s="165">
        <v>2013</v>
      </c>
      <c r="D475" s="65">
        <v>5</v>
      </c>
      <c r="E475" s="36" t="s">
        <v>351</v>
      </c>
      <c r="F475" s="36"/>
      <c r="G475" s="36"/>
      <c r="H475" s="36"/>
      <c r="I475" s="36"/>
      <c r="J475" s="36"/>
      <c r="K475" s="36"/>
      <c r="L475" s="36">
        <v>17</v>
      </c>
      <c r="M475" s="36" t="s">
        <v>474</v>
      </c>
      <c r="N475" s="36" t="s">
        <v>352</v>
      </c>
      <c r="O475" s="36">
        <v>41</v>
      </c>
      <c r="P475" s="65">
        <v>1.3356564869211244E-2</v>
      </c>
      <c r="Q475" s="36">
        <v>1000</v>
      </c>
      <c r="R475" s="36" t="s">
        <v>222</v>
      </c>
      <c r="S475" s="36"/>
      <c r="T475" s="36"/>
      <c r="U475" s="36"/>
      <c r="V475" s="36"/>
      <c r="W475" s="36"/>
      <c r="X475" s="36"/>
      <c r="Y475" s="36"/>
      <c r="Z475" s="36"/>
    </row>
    <row r="476" spans="1:26" ht="14">
      <c r="A476" s="72">
        <v>41480</v>
      </c>
      <c r="B476" s="72" t="s">
        <v>154</v>
      </c>
      <c r="C476" s="165">
        <v>2013</v>
      </c>
      <c r="D476" s="65">
        <v>5</v>
      </c>
      <c r="E476" s="36" t="s">
        <v>351</v>
      </c>
      <c r="F476" s="36"/>
      <c r="G476" s="36"/>
      <c r="H476" s="36"/>
      <c r="I476" s="36"/>
      <c r="J476" s="36"/>
      <c r="K476" s="36"/>
      <c r="L476" s="36">
        <v>2</v>
      </c>
      <c r="M476" s="36" t="s">
        <v>474</v>
      </c>
      <c r="N476" s="36" t="s">
        <v>352</v>
      </c>
      <c r="O476" s="36">
        <v>45</v>
      </c>
      <c r="P476" s="65">
        <v>6.2667756833241777E-4</v>
      </c>
      <c r="Q476" s="36">
        <v>1000</v>
      </c>
      <c r="R476" s="36" t="s">
        <v>222</v>
      </c>
      <c r="S476" s="36"/>
      <c r="T476" s="36"/>
      <c r="U476" s="36"/>
      <c r="V476" s="36"/>
      <c r="W476" s="36"/>
      <c r="X476" s="36"/>
      <c r="Y476" s="36"/>
      <c r="Z476" s="36"/>
    </row>
    <row r="477" spans="1:26" ht="14">
      <c r="A477" s="35">
        <v>41480</v>
      </c>
      <c r="B477" s="72" t="s">
        <v>154</v>
      </c>
      <c r="C477" s="165">
        <v>2013</v>
      </c>
      <c r="D477" s="65">
        <v>8</v>
      </c>
      <c r="E477" s="36" t="s">
        <v>351</v>
      </c>
      <c r="F477" s="36"/>
      <c r="G477" s="36"/>
      <c r="H477" s="36"/>
      <c r="I477" s="36"/>
      <c r="J477" s="36"/>
      <c r="K477" s="36"/>
      <c r="L477" s="36">
        <v>3</v>
      </c>
      <c r="M477" s="36" t="s">
        <v>474</v>
      </c>
      <c r="N477" s="36" t="s">
        <v>352</v>
      </c>
      <c r="O477" s="36">
        <v>15</v>
      </c>
      <c r="P477" s="65">
        <v>8.8956779562063824E-4</v>
      </c>
      <c r="Q477" s="36">
        <v>1000</v>
      </c>
      <c r="R477" s="36" t="s">
        <v>222</v>
      </c>
      <c r="S477" s="36"/>
      <c r="T477" s="36"/>
      <c r="U477" s="36"/>
      <c r="V477" s="36"/>
      <c r="W477" s="36"/>
      <c r="X477" s="36"/>
      <c r="Y477" s="36"/>
      <c r="Z477" s="36"/>
    </row>
    <row r="478" spans="1:26" ht="14">
      <c r="A478" s="72">
        <v>42634</v>
      </c>
      <c r="B478" s="35" t="s">
        <v>157</v>
      </c>
      <c r="C478" s="165">
        <v>2016</v>
      </c>
      <c r="D478" s="65">
        <v>8</v>
      </c>
      <c r="E478" s="36" t="s">
        <v>223</v>
      </c>
      <c r="F478" s="36" t="s">
        <v>267</v>
      </c>
      <c r="G478" s="36"/>
      <c r="H478" s="36" t="s">
        <v>273</v>
      </c>
      <c r="I478" s="36" t="s">
        <v>274</v>
      </c>
      <c r="J478" s="36" t="s">
        <v>275</v>
      </c>
      <c r="K478" s="36" t="s">
        <v>276</v>
      </c>
      <c r="L478" s="36">
        <v>47</v>
      </c>
      <c r="M478" s="36" t="s">
        <v>247</v>
      </c>
      <c r="N478" s="36" t="s">
        <v>519</v>
      </c>
      <c r="O478" s="36">
        <v>3658</v>
      </c>
      <c r="P478" s="36">
        <v>8.305716562515178E-2</v>
      </c>
      <c r="Q478" s="36">
        <v>1000</v>
      </c>
      <c r="R478" s="36"/>
      <c r="S478" s="36"/>
      <c r="T478" s="36"/>
      <c r="U478" s="36"/>
      <c r="V478" s="36"/>
      <c r="W478" s="36"/>
      <c r="X478" s="36"/>
      <c r="Y478" s="36"/>
      <c r="Z478" s="36"/>
    </row>
    <row r="479" spans="1:26" ht="14">
      <c r="A479" s="35">
        <v>42263</v>
      </c>
      <c r="B479" s="35" t="s">
        <v>157</v>
      </c>
      <c r="C479" s="165">
        <v>2015</v>
      </c>
      <c r="D479" s="36">
        <v>4</v>
      </c>
      <c r="E479" s="65" t="s">
        <v>223</v>
      </c>
      <c r="F479" s="65" t="s">
        <v>267</v>
      </c>
      <c r="G479" s="65"/>
      <c r="H479" s="65" t="s">
        <v>273</v>
      </c>
      <c r="I479" s="65" t="s">
        <v>274</v>
      </c>
      <c r="J479" s="65" t="s">
        <v>275</v>
      </c>
      <c r="K479" s="36" t="s">
        <v>276</v>
      </c>
      <c r="L479" s="36">
        <v>5</v>
      </c>
      <c r="M479" s="36" t="s">
        <v>247</v>
      </c>
      <c r="N479" s="36" t="s">
        <v>519</v>
      </c>
      <c r="O479" s="36">
        <v>36</v>
      </c>
      <c r="P479" s="65">
        <v>2.4185646989606159E-2</v>
      </c>
      <c r="Q479" s="65">
        <v>1000</v>
      </c>
      <c r="R479" s="65"/>
      <c r="S479" s="65"/>
      <c r="T479" s="65"/>
      <c r="U479" s="36"/>
      <c r="V479" s="36"/>
      <c r="W479" s="36"/>
      <c r="X479" s="36"/>
      <c r="Y479" s="36"/>
      <c r="Z479" s="36"/>
    </row>
    <row r="480" spans="1:26" ht="14">
      <c r="A480" s="35">
        <v>41912</v>
      </c>
      <c r="B480" s="35" t="s">
        <v>157</v>
      </c>
      <c r="C480" s="165">
        <v>2014</v>
      </c>
      <c r="D480" s="76">
        <v>2</v>
      </c>
      <c r="E480" s="36" t="s">
        <v>223</v>
      </c>
      <c r="F480" s="36" t="s">
        <v>267</v>
      </c>
      <c r="G480" s="36"/>
      <c r="H480" s="36" t="s">
        <v>273</v>
      </c>
      <c r="I480" s="36" t="s">
        <v>274</v>
      </c>
      <c r="J480" s="36" t="s">
        <v>275</v>
      </c>
      <c r="K480" s="36" t="s">
        <v>276</v>
      </c>
      <c r="L480" s="36">
        <v>33</v>
      </c>
      <c r="M480" s="36" t="s">
        <v>247</v>
      </c>
      <c r="N480" s="36" t="s">
        <v>519</v>
      </c>
      <c r="O480" s="36">
        <v>97</v>
      </c>
      <c r="P480" s="36">
        <v>4.109775525520909E-2</v>
      </c>
      <c r="Q480" s="36">
        <v>1000</v>
      </c>
      <c r="R480" s="36" t="s">
        <v>580</v>
      </c>
      <c r="S480" s="36"/>
      <c r="T480" s="36"/>
      <c r="U480" s="36"/>
      <c r="V480" s="36"/>
      <c r="W480" s="36"/>
      <c r="X480" s="36"/>
      <c r="Y480" s="36"/>
      <c r="Z480" s="36"/>
    </row>
    <row r="481" spans="1:26" ht="14">
      <c r="A481" s="35">
        <v>41851</v>
      </c>
      <c r="B481" s="35" t="s">
        <v>154</v>
      </c>
      <c r="C481" s="165">
        <v>2014</v>
      </c>
      <c r="D481" s="36">
        <v>4</v>
      </c>
      <c r="E481" s="36" t="s">
        <v>223</v>
      </c>
      <c r="F481" s="36" t="s">
        <v>267</v>
      </c>
      <c r="G481" s="36"/>
      <c r="H481" s="36" t="s">
        <v>273</v>
      </c>
      <c r="I481" s="36" t="s">
        <v>274</v>
      </c>
      <c r="J481" s="36" t="s">
        <v>275</v>
      </c>
      <c r="K481" s="36" t="s">
        <v>276</v>
      </c>
      <c r="L481" s="36">
        <v>1</v>
      </c>
      <c r="M481" s="36" t="s">
        <v>247</v>
      </c>
      <c r="N481" s="36" t="s">
        <v>519</v>
      </c>
      <c r="O481" s="36">
        <v>678</v>
      </c>
      <c r="P481" s="65">
        <v>3.869073028809334E-3</v>
      </c>
      <c r="Q481" s="36">
        <v>1000</v>
      </c>
      <c r="R481" s="36" t="s">
        <v>222</v>
      </c>
      <c r="S481" s="36"/>
      <c r="T481" s="36"/>
      <c r="U481" s="36"/>
      <c r="V481" s="36"/>
      <c r="W481" s="36"/>
      <c r="X481" s="36"/>
      <c r="Y481" s="36"/>
      <c r="Z481" s="36"/>
    </row>
    <row r="482" spans="1:26" ht="14">
      <c r="A482" s="13">
        <v>43019</v>
      </c>
      <c r="B482" s="72" t="s">
        <v>159</v>
      </c>
      <c r="C482" s="165">
        <v>2017</v>
      </c>
      <c r="D482" s="65">
        <v>4</v>
      </c>
      <c r="E482" s="36" t="s">
        <v>223</v>
      </c>
      <c r="F482" s="36" t="s">
        <v>267</v>
      </c>
      <c r="G482" s="36"/>
      <c r="H482" s="36" t="s">
        <v>273</v>
      </c>
      <c r="I482" s="36" t="s">
        <v>274</v>
      </c>
      <c r="J482" s="36" t="s">
        <v>275</v>
      </c>
      <c r="K482" s="36" t="s">
        <v>276</v>
      </c>
      <c r="L482" s="36">
        <v>17</v>
      </c>
      <c r="M482" s="36" t="s">
        <v>247</v>
      </c>
      <c r="N482" s="36" t="s">
        <v>275</v>
      </c>
      <c r="O482" s="3">
        <v>214</v>
      </c>
      <c r="P482" s="36">
        <v>0.10715262038948235</v>
      </c>
      <c r="Q482" s="36">
        <v>1000</v>
      </c>
      <c r="R482" s="3"/>
      <c r="S482" s="3"/>
      <c r="T482" s="36"/>
      <c r="U482" s="36"/>
      <c r="V482" s="36"/>
      <c r="W482" s="36"/>
      <c r="X482" s="36"/>
      <c r="Y482" s="36"/>
      <c r="Z482" s="36"/>
    </row>
    <row r="483" spans="1:26" ht="14">
      <c r="A483" s="13">
        <v>42928</v>
      </c>
      <c r="B483" s="72" t="s">
        <v>154</v>
      </c>
      <c r="C483" s="165">
        <v>2017</v>
      </c>
      <c r="D483" s="65">
        <v>4</v>
      </c>
      <c r="E483" s="36" t="s">
        <v>223</v>
      </c>
      <c r="F483" s="36" t="s">
        <v>267</v>
      </c>
      <c r="G483" s="36"/>
      <c r="H483" s="36" t="s">
        <v>273</v>
      </c>
      <c r="I483" s="36" t="s">
        <v>274</v>
      </c>
      <c r="J483" s="36" t="s">
        <v>275</v>
      </c>
      <c r="K483" s="36" t="s">
        <v>276</v>
      </c>
      <c r="L483" s="36">
        <v>4</v>
      </c>
      <c r="M483" s="36" t="s">
        <v>247</v>
      </c>
      <c r="N483" s="36" t="s">
        <v>275</v>
      </c>
      <c r="O483" s="3">
        <v>92</v>
      </c>
      <c r="P483" s="36">
        <v>1.7440471826839176E-2</v>
      </c>
      <c r="Q483" s="36">
        <v>1000</v>
      </c>
      <c r="R483" s="3"/>
      <c r="S483" s="3"/>
      <c r="T483" s="36"/>
      <c r="U483" s="36"/>
      <c r="V483" s="36"/>
      <c r="W483" s="36"/>
      <c r="X483" s="36"/>
      <c r="Y483" s="36"/>
      <c r="Z483" s="36"/>
    </row>
    <row r="484" spans="1:26" ht="14">
      <c r="A484" s="13">
        <v>42928</v>
      </c>
      <c r="B484" s="72" t="s">
        <v>154</v>
      </c>
      <c r="C484" s="165">
        <v>2017</v>
      </c>
      <c r="D484" s="65">
        <v>8</v>
      </c>
      <c r="E484" s="36" t="s">
        <v>223</v>
      </c>
      <c r="F484" s="36" t="s">
        <v>267</v>
      </c>
      <c r="G484" s="36"/>
      <c r="H484" s="36" t="s">
        <v>273</v>
      </c>
      <c r="I484" s="36" t="s">
        <v>274</v>
      </c>
      <c r="J484" s="36" t="s">
        <v>275</v>
      </c>
      <c r="K484" s="36" t="s">
        <v>276</v>
      </c>
      <c r="L484" s="36">
        <v>9</v>
      </c>
      <c r="M484" s="36" t="s">
        <v>247</v>
      </c>
      <c r="N484" s="36" t="s">
        <v>275</v>
      </c>
      <c r="O484" s="3">
        <v>26</v>
      </c>
      <c r="P484" s="36">
        <v>1.3124138599151576E-2</v>
      </c>
      <c r="Q484" s="36">
        <v>1000</v>
      </c>
      <c r="R484" s="3"/>
      <c r="S484" s="3"/>
      <c r="T484" s="36"/>
      <c r="U484" s="36"/>
      <c r="V484" s="36"/>
      <c r="W484" s="36"/>
      <c r="X484" s="36"/>
      <c r="Y484" s="36"/>
      <c r="Z484" s="36"/>
    </row>
    <row r="485" spans="1:26" ht="14">
      <c r="A485" s="13">
        <v>42867</v>
      </c>
      <c r="B485" s="72" t="s">
        <v>144</v>
      </c>
      <c r="C485" s="165">
        <v>2017</v>
      </c>
      <c r="D485" s="65">
        <v>4</v>
      </c>
      <c r="E485" s="36" t="s">
        <v>223</v>
      </c>
      <c r="F485" s="36" t="s">
        <v>267</v>
      </c>
      <c r="G485" s="36"/>
      <c r="H485" s="36" t="s">
        <v>273</v>
      </c>
      <c r="I485" s="36" t="s">
        <v>274</v>
      </c>
      <c r="J485" s="36" t="s">
        <v>275</v>
      </c>
      <c r="K485" s="36" t="s">
        <v>276</v>
      </c>
      <c r="L485" s="36">
        <v>2</v>
      </c>
      <c r="M485" s="36" t="s">
        <v>247</v>
      </c>
      <c r="N485" s="36" t="s">
        <v>275</v>
      </c>
      <c r="O485" s="3">
        <v>664</v>
      </c>
      <c r="P485" s="36">
        <v>5.0180085831790181E-3</v>
      </c>
      <c r="Q485" s="36">
        <v>1000</v>
      </c>
      <c r="R485" s="3"/>
      <c r="S485" s="3"/>
      <c r="T485" s="36"/>
      <c r="U485" s="36"/>
      <c r="V485" s="36"/>
      <c r="W485" s="36"/>
      <c r="X485" s="36"/>
      <c r="Y485" s="36"/>
      <c r="Z485" s="36"/>
    </row>
    <row r="486" spans="1:26" ht="14">
      <c r="A486" s="13">
        <v>42867</v>
      </c>
      <c r="B486" s="72" t="s">
        <v>144</v>
      </c>
      <c r="C486" s="165">
        <v>2017</v>
      </c>
      <c r="D486" s="65">
        <v>5</v>
      </c>
      <c r="E486" s="65" t="s">
        <v>223</v>
      </c>
      <c r="F486" s="65" t="s">
        <v>267</v>
      </c>
      <c r="G486" s="65"/>
      <c r="H486" s="65" t="s">
        <v>273</v>
      </c>
      <c r="I486" s="65" t="s">
        <v>274</v>
      </c>
      <c r="J486" s="65" t="s">
        <v>275</v>
      </c>
      <c r="K486" s="36" t="s">
        <v>276</v>
      </c>
      <c r="L486" s="36">
        <v>8</v>
      </c>
      <c r="M486" s="36" t="s">
        <v>247</v>
      </c>
      <c r="N486" s="36" t="s">
        <v>275</v>
      </c>
      <c r="O486" s="3">
        <v>16</v>
      </c>
      <c r="P486" s="36">
        <v>1.622723268292333E-2</v>
      </c>
      <c r="Q486" s="65">
        <v>1000</v>
      </c>
      <c r="R486" s="51"/>
      <c r="S486" s="51"/>
      <c r="T486" s="65"/>
      <c r="U486" s="36"/>
      <c r="V486" s="36"/>
      <c r="W486" s="36"/>
      <c r="X486" s="36"/>
      <c r="Y486" s="36"/>
      <c r="Z486" s="36"/>
    </row>
    <row r="487" spans="1:26" ht="14">
      <c r="A487" s="13">
        <v>42867</v>
      </c>
      <c r="B487" s="72" t="s">
        <v>144</v>
      </c>
      <c r="C487" s="165">
        <v>2017</v>
      </c>
      <c r="D487" s="65">
        <v>8</v>
      </c>
      <c r="E487" s="36" t="s">
        <v>223</v>
      </c>
      <c r="F487" s="36" t="s">
        <v>267</v>
      </c>
      <c r="G487" s="36"/>
      <c r="H487" s="36" t="s">
        <v>273</v>
      </c>
      <c r="I487" s="36" t="s">
        <v>274</v>
      </c>
      <c r="J487" s="36" t="s">
        <v>275</v>
      </c>
      <c r="K487" s="36" t="s">
        <v>276</v>
      </c>
      <c r="L487" s="36">
        <v>11</v>
      </c>
      <c r="M487" s="36" t="s">
        <v>247</v>
      </c>
      <c r="N487" s="36" t="s">
        <v>275</v>
      </c>
      <c r="O487" s="3">
        <v>42</v>
      </c>
      <c r="P487" s="36">
        <v>4.4970412106917171E-2</v>
      </c>
      <c r="Q487" s="36">
        <v>1000</v>
      </c>
      <c r="R487" s="3"/>
      <c r="S487" s="3"/>
      <c r="T487" s="36"/>
      <c r="U487" s="36"/>
      <c r="V487" s="36"/>
      <c r="W487" s="36"/>
      <c r="X487" s="36"/>
      <c r="Y487" s="36"/>
      <c r="Z487" s="36"/>
    </row>
    <row r="488" spans="1:26" ht="14">
      <c r="A488" s="35">
        <v>42634</v>
      </c>
      <c r="B488" s="72" t="s">
        <v>157</v>
      </c>
      <c r="C488" s="165">
        <v>2016</v>
      </c>
      <c r="D488" s="65">
        <v>2</v>
      </c>
      <c r="E488" s="36" t="s">
        <v>223</v>
      </c>
      <c r="F488" s="36" t="s">
        <v>267</v>
      </c>
      <c r="G488" s="36"/>
      <c r="H488" s="36" t="s">
        <v>273</v>
      </c>
      <c r="I488" s="36" t="s">
        <v>274</v>
      </c>
      <c r="J488" s="36" t="s">
        <v>275</v>
      </c>
      <c r="K488" s="36" t="s">
        <v>276</v>
      </c>
      <c r="L488" s="36">
        <v>2</v>
      </c>
      <c r="M488" s="36" t="s">
        <v>247</v>
      </c>
      <c r="N488" s="36" t="s">
        <v>275</v>
      </c>
      <c r="O488" s="36">
        <v>19</v>
      </c>
      <c r="P488" s="36">
        <v>1.4250136439935398E-3</v>
      </c>
      <c r="Q488" s="36">
        <v>1000</v>
      </c>
      <c r="R488" s="36"/>
      <c r="S488" s="36"/>
      <c r="T488" s="36"/>
      <c r="U488" s="36"/>
      <c r="V488" s="36"/>
      <c r="W488" s="36"/>
      <c r="X488" s="36"/>
      <c r="Y488" s="36"/>
      <c r="Z488" s="36"/>
    </row>
    <row r="489" spans="1:26" ht="14">
      <c r="A489" s="35">
        <v>42634</v>
      </c>
      <c r="B489" s="72" t="s">
        <v>157</v>
      </c>
      <c r="C489" s="165">
        <v>2016</v>
      </c>
      <c r="D489" s="65">
        <v>4</v>
      </c>
      <c r="E489" s="36" t="s">
        <v>223</v>
      </c>
      <c r="F489" s="36" t="s">
        <v>267</v>
      </c>
      <c r="G489" s="36"/>
      <c r="H489" s="36" t="s">
        <v>273</v>
      </c>
      <c r="I489" s="36" t="s">
        <v>274</v>
      </c>
      <c r="J489" s="36" t="s">
        <v>275</v>
      </c>
      <c r="K489" s="36" t="s">
        <v>276</v>
      </c>
      <c r="L489" s="36">
        <v>4</v>
      </c>
      <c r="M489" s="36" t="s">
        <v>247</v>
      </c>
      <c r="N489" s="36" t="s">
        <v>275</v>
      </c>
      <c r="O489" s="36">
        <v>127</v>
      </c>
      <c r="P489" s="65">
        <v>8.1103611601757702E-3</v>
      </c>
      <c r="Q489" s="36">
        <v>1000</v>
      </c>
      <c r="R489" s="36"/>
      <c r="S489" s="36"/>
      <c r="T489" s="36"/>
      <c r="U489" s="36"/>
      <c r="V489" s="36"/>
      <c r="W489" s="36"/>
      <c r="X489" s="36"/>
      <c r="Y489" s="36"/>
      <c r="Z489" s="36"/>
    </row>
    <row r="490" spans="1:26" ht="14">
      <c r="A490" s="35">
        <v>42634</v>
      </c>
      <c r="B490" s="35" t="s">
        <v>157</v>
      </c>
      <c r="C490" s="165">
        <v>2016</v>
      </c>
      <c r="D490" s="65">
        <v>5</v>
      </c>
      <c r="E490" s="36" t="s">
        <v>223</v>
      </c>
      <c r="F490" s="36" t="s">
        <v>267</v>
      </c>
      <c r="G490" s="36"/>
      <c r="H490" s="36" t="s">
        <v>273</v>
      </c>
      <c r="I490" s="36" t="s">
        <v>274</v>
      </c>
      <c r="J490" s="36" t="s">
        <v>275</v>
      </c>
      <c r="K490" s="36" t="s">
        <v>276</v>
      </c>
      <c r="L490" s="36">
        <v>2</v>
      </c>
      <c r="M490" s="36" t="s">
        <v>247</v>
      </c>
      <c r="N490" s="36" t="s">
        <v>275</v>
      </c>
      <c r="O490" s="36">
        <v>93</v>
      </c>
      <c r="P490" s="36">
        <v>1.8826283242126115E-3</v>
      </c>
      <c r="Q490" s="36">
        <v>1000</v>
      </c>
      <c r="R490" s="36"/>
      <c r="S490" s="36"/>
      <c r="T490" s="36"/>
      <c r="U490" s="36"/>
      <c r="V490" s="36"/>
      <c r="W490" s="36"/>
      <c r="X490" s="36"/>
      <c r="Y490" s="36"/>
      <c r="Z490" s="36"/>
    </row>
    <row r="491" spans="1:26" ht="14">
      <c r="A491" s="35">
        <v>42571</v>
      </c>
      <c r="B491" s="35" t="s">
        <v>154</v>
      </c>
      <c r="C491" s="165">
        <v>2016</v>
      </c>
      <c r="D491" s="36">
        <v>4</v>
      </c>
      <c r="E491" s="36" t="s">
        <v>223</v>
      </c>
      <c r="F491" s="36" t="s">
        <v>267</v>
      </c>
      <c r="G491" s="36"/>
      <c r="H491" s="36" t="s">
        <v>273</v>
      </c>
      <c r="I491" s="36" t="s">
        <v>274</v>
      </c>
      <c r="J491" s="36" t="s">
        <v>275</v>
      </c>
      <c r="K491" s="36" t="s">
        <v>276</v>
      </c>
      <c r="L491" s="36">
        <v>2</v>
      </c>
      <c r="M491" s="36" t="s">
        <v>247</v>
      </c>
      <c r="N491" s="36" t="s">
        <v>275</v>
      </c>
      <c r="O491" s="36">
        <v>13</v>
      </c>
      <c r="P491" s="36">
        <v>6.024998683537789E-3</v>
      </c>
      <c r="Q491" s="65">
        <v>1000</v>
      </c>
      <c r="R491" s="65"/>
      <c r="S491" s="65"/>
      <c r="T491" s="166"/>
      <c r="U491" s="36"/>
      <c r="V491" s="36"/>
      <c r="W491" s="36"/>
      <c r="X491" s="36"/>
      <c r="Y491" s="36"/>
      <c r="Z491" s="36"/>
    </row>
    <row r="492" spans="1:26" ht="14">
      <c r="A492" s="35">
        <v>42206</v>
      </c>
      <c r="B492" s="72" t="s">
        <v>154</v>
      </c>
      <c r="C492" s="165">
        <v>2015</v>
      </c>
      <c r="D492" s="36">
        <v>4</v>
      </c>
      <c r="E492" s="65" t="s">
        <v>223</v>
      </c>
      <c r="F492" s="65" t="s">
        <v>267</v>
      </c>
      <c r="G492" s="65"/>
      <c r="H492" s="65" t="s">
        <v>273</v>
      </c>
      <c r="I492" s="65" t="s">
        <v>274</v>
      </c>
      <c r="J492" s="36" t="s">
        <v>275</v>
      </c>
      <c r="K492" s="36" t="s">
        <v>276</v>
      </c>
      <c r="L492" s="36">
        <v>2</v>
      </c>
      <c r="M492" s="36" t="s">
        <v>247</v>
      </c>
      <c r="N492" s="36" t="s">
        <v>275</v>
      </c>
      <c r="O492" s="36">
        <v>249</v>
      </c>
      <c r="P492" s="36">
        <v>1.076543986220237E-2</v>
      </c>
      <c r="Q492" s="36">
        <v>1000</v>
      </c>
      <c r="R492" s="36" t="s">
        <v>550</v>
      </c>
      <c r="S492" s="36"/>
      <c r="T492" s="36"/>
      <c r="U492" s="36"/>
      <c r="V492" s="36"/>
      <c r="W492" s="36"/>
      <c r="X492" s="36"/>
      <c r="Y492" s="36"/>
      <c r="Z492" s="36"/>
    </row>
    <row r="493" spans="1:26" ht="14">
      <c r="A493" s="72">
        <v>42206</v>
      </c>
      <c r="B493" s="35" t="s">
        <v>154</v>
      </c>
      <c r="C493" s="165">
        <v>2015</v>
      </c>
      <c r="D493" s="36">
        <v>5</v>
      </c>
      <c r="E493" s="65" t="s">
        <v>223</v>
      </c>
      <c r="F493" s="36" t="s">
        <v>267</v>
      </c>
      <c r="G493" s="36"/>
      <c r="H493" s="65" t="s">
        <v>273</v>
      </c>
      <c r="I493" s="65" t="s">
        <v>274</v>
      </c>
      <c r="J493" s="65" t="s">
        <v>275</v>
      </c>
      <c r="K493" s="36" t="s">
        <v>276</v>
      </c>
      <c r="L493" s="36">
        <v>1</v>
      </c>
      <c r="M493" s="36" t="s">
        <v>247</v>
      </c>
      <c r="N493" s="36" t="s">
        <v>275</v>
      </c>
      <c r="O493" s="36">
        <v>12</v>
      </c>
      <c r="P493" s="65">
        <v>1.8980850355653678E-3</v>
      </c>
      <c r="Q493" s="36">
        <v>1000</v>
      </c>
      <c r="R493" s="36" t="s">
        <v>222</v>
      </c>
      <c r="S493" s="36"/>
      <c r="T493" s="36"/>
      <c r="U493" s="36"/>
      <c r="V493" s="36"/>
      <c r="W493" s="36"/>
      <c r="X493" s="36"/>
      <c r="Y493" s="36"/>
      <c r="Z493" s="36"/>
    </row>
    <row r="494" spans="1:26" ht="14">
      <c r="A494" s="35">
        <v>41912</v>
      </c>
      <c r="B494" s="35" t="s">
        <v>157</v>
      </c>
      <c r="C494" s="165">
        <v>2014</v>
      </c>
      <c r="D494" s="76">
        <v>4</v>
      </c>
      <c r="E494" s="36" t="s">
        <v>223</v>
      </c>
      <c r="F494" s="36" t="s">
        <v>267</v>
      </c>
      <c r="G494" s="36"/>
      <c r="H494" s="36" t="s">
        <v>273</v>
      </c>
      <c r="I494" s="36" t="s">
        <v>274</v>
      </c>
      <c r="J494" s="36" t="s">
        <v>275</v>
      </c>
      <c r="K494" s="36" t="s">
        <v>276</v>
      </c>
      <c r="L494" s="36">
        <v>4</v>
      </c>
      <c r="M494" s="36" t="s">
        <v>247</v>
      </c>
      <c r="N494" s="36" t="s">
        <v>275</v>
      </c>
      <c r="O494" s="36">
        <v>108</v>
      </c>
      <c r="P494" s="65">
        <v>7.4174737229370617E-3</v>
      </c>
      <c r="Q494" s="36">
        <v>1000</v>
      </c>
      <c r="R494" s="36" t="s">
        <v>580</v>
      </c>
      <c r="S494" s="36"/>
      <c r="T494" s="36"/>
      <c r="U494" s="36"/>
      <c r="V494" s="36"/>
      <c r="W494" s="36"/>
      <c r="X494" s="36"/>
      <c r="Y494" s="36"/>
      <c r="Z494" s="36"/>
    </row>
    <row r="495" spans="1:26" ht="14">
      <c r="A495" s="35">
        <v>41912</v>
      </c>
      <c r="B495" s="35" t="s">
        <v>157</v>
      </c>
      <c r="C495" s="165">
        <v>2014</v>
      </c>
      <c r="D495" s="76">
        <v>5</v>
      </c>
      <c r="E495" s="36" t="s">
        <v>223</v>
      </c>
      <c r="F495" s="36" t="s">
        <v>267</v>
      </c>
      <c r="G495" s="36"/>
      <c r="H495" s="36" t="s">
        <v>273</v>
      </c>
      <c r="I495" s="36" t="s">
        <v>274</v>
      </c>
      <c r="J495" s="36" t="s">
        <v>275</v>
      </c>
      <c r="K495" s="36" t="s">
        <v>276</v>
      </c>
      <c r="L495" s="36">
        <v>8</v>
      </c>
      <c r="M495" s="36" t="s">
        <v>247</v>
      </c>
      <c r="N495" s="36" t="s">
        <v>275</v>
      </c>
      <c r="O495" s="36">
        <v>176</v>
      </c>
      <c r="P495" s="65">
        <v>8.9210328433245202E-3</v>
      </c>
      <c r="Q495" s="36">
        <v>1000</v>
      </c>
      <c r="R495" s="36" t="s">
        <v>575</v>
      </c>
      <c r="S495" s="36"/>
      <c r="T495" s="36"/>
      <c r="U495" s="36"/>
      <c r="V495" s="36"/>
      <c r="W495" s="36"/>
      <c r="X495" s="36"/>
      <c r="Y495" s="36"/>
      <c r="Z495" s="36"/>
    </row>
    <row r="496" spans="1:26" ht="14">
      <c r="A496" s="35">
        <v>41851</v>
      </c>
      <c r="B496" s="72" t="s">
        <v>154</v>
      </c>
      <c r="C496" s="165">
        <v>2014</v>
      </c>
      <c r="D496" s="65">
        <v>2</v>
      </c>
      <c r="E496" s="36" t="s">
        <v>223</v>
      </c>
      <c r="F496" s="36" t="s">
        <v>267</v>
      </c>
      <c r="G496" s="36"/>
      <c r="H496" s="36" t="s">
        <v>273</v>
      </c>
      <c r="I496" s="36" t="s">
        <v>274</v>
      </c>
      <c r="J496" s="36" t="s">
        <v>275</v>
      </c>
      <c r="K496" s="36" t="s">
        <v>276</v>
      </c>
      <c r="L496" s="36">
        <v>1</v>
      </c>
      <c r="M496" s="36" t="s">
        <v>247</v>
      </c>
      <c r="N496" s="36" t="s">
        <v>275</v>
      </c>
      <c r="O496" s="36">
        <v>53</v>
      </c>
      <c r="P496" s="65">
        <v>2.2948158297092271E-2</v>
      </c>
      <c r="Q496" s="36">
        <v>1000</v>
      </c>
      <c r="R496" s="36"/>
      <c r="S496" s="36" t="e">
        <f>SUM(#REF!)</f>
        <v>#REF!</v>
      </c>
      <c r="T496" s="36"/>
      <c r="U496" s="36"/>
      <c r="V496" s="36"/>
      <c r="W496" s="36"/>
      <c r="X496" s="36"/>
      <c r="Y496" s="36"/>
      <c r="Z496" s="36"/>
    </row>
    <row r="497" spans="1:26" ht="14">
      <c r="A497" s="72">
        <v>41851</v>
      </c>
      <c r="B497" s="72" t="s">
        <v>154</v>
      </c>
      <c r="C497" s="165">
        <v>2014</v>
      </c>
      <c r="D497" s="36">
        <v>5</v>
      </c>
      <c r="E497" s="36" t="s">
        <v>223</v>
      </c>
      <c r="F497" s="36" t="s">
        <v>267</v>
      </c>
      <c r="G497" s="36"/>
      <c r="H497" s="36" t="s">
        <v>273</v>
      </c>
      <c r="I497" s="36" t="s">
        <v>274</v>
      </c>
      <c r="J497" s="36" t="s">
        <v>275</v>
      </c>
      <c r="K497" s="36" t="s">
        <v>276</v>
      </c>
      <c r="L497" s="36">
        <v>1</v>
      </c>
      <c r="M497" s="36" t="s">
        <v>247</v>
      </c>
      <c r="N497" s="36" t="s">
        <v>275</v>
      </c>
      <c r="O497" s="36">
        <v>138</v>
      </c>
      <c r="P497" s="65">
        <v>4.9595945992906322E-3</v>
      </c>
      <c r="Q497" s="36">
        <v>1000</v>
      </c>
      <c r="R497" s="36"/>
      <c r="S497" s="36"/>
      <c r="T497" s="36"/>
      <c r="U497" s="36"/>
      <c r="V497" s="36"/>
      <c r="W497" s="36"/>
      <c r="X497" s="36"/>
      <c r="Y497" s="36"/>
      <c r="Z497" s="36"/>
    </row>
    <row r="498" spans="1:26" ht="14">
      <c r="A498" s="35">
        <v>41761</v>
      </c>
      <c r="B498" s="72" t="s">
        <v>144</v>
      </c>
      <c r="C498" s="165">
        <v>2014</v>
      </c>
      <c r="D498" s="36">
        <v>4</v>
      </c>
      <c r="E498" s="36" t="s">
        <v>223</v>
      </c>
      <c r="F498" s="36" t="s">
        <v>267</v>
      </c>
      <c r="G498" s="36"/>
      <c r="H498" s="36" t="s">
        <v>273</v>
      </c>
      <c r="I498" s="36" t="s">
        <v>274</v>
      </c>
      <c r="J498" s="36" t="s">
        <v>275</v>
      </c>
      <c r="K498" s="36" t="s">
        <v>276</v>
      </c>
      <c r="L498" s="36">
        <v>3</v>
      </c>
      <c r="M498" s="36" t="s">
        <v>247</v>
      </c>
      <c r="N498" s="36" t="s">
        <v>275</v>
      </c>
      <c r="O498" s="36">
        <v>864</v>
      </c>
      <c r="P498" s="65">
        <v>8.2961129347611708E-3</v>
      </c>
      <c r="Q498" s="36">
        <v>1000</v>
      </c>
      <c r="R498" s="36" t="s">
        <v>545</v>
      </c>
      <c r="S498" s="36"/>
      <c r="T498" s="36"/>
      <c r="U498" s="36"/>
      <c r="V498" s="36"/>
      <c r="W498" s="36"/>
      <c r="X498" s="36"/>
      <c r="Y498" s="36"/>
      <c r="Z498" s="36"/>
    </row>
    <row r="499" spans="1:26" ht="14">
      <c r="A499" s="35">
        <v>41761</v>
      </c>
      <c r="B499" s="35" t="s">
        <v>144</v>
      </c>
      <c r="C499" s="165">
        <v>2014</v>
      </c>
      <c r="D499" s="65">
        <v>8</v>
      </c>
      <c r="E499" s="36" t="s">
        <v>223</v>
      </c>
      <c r="F499" s="36" t="s">
        <v>267</v>
      </c>
      <c r="G499" s="36"/>
      <c r="H499" s="36" t="s">
        <v>273</v>
      </c>
      <c r="I499" s="36" t="s">
        <v>274</v>
      </c>
      <c r="J499" s="36" t="s">
        <v>275</v>
      </c>
      <c r="K499" s="36" t="s">
        <v>276</v>
      </c>
      <c r="L499" s="36">
        <v>2</v>
      </c>
      <c r="M499" s="36" t="s">
        <v>247</v>
      </c>
      <c r="N499" s="36" t="s">
        <v>275</v>
      </c>
      <c r="O499" s="36">
        <v>91</v>
      </c>
      <c r="P499" s="65">
        <v>5.7429586134298471E-3</v>
      </c>
      <c r="Q499" s="65">
        <v>1000</v>
      </c>
      <c r="R499" s="65" t="s">
        <v>549</v>
      </c>
      <c r="S499" s="65"/>
      <c r="T499" s="65"/>
      <c r="U499" s="36"/>
      <c r="V499" s="36"/>
      <c r="W499" s="36"/>
      <c r="X499" s="36"/>
      <c r="Y499" s="36"/>
      <c r="Z499" s="36"/>
    </row>
    <row r="500" spans="1:26" ht="14">
      <c r="A500" s="72">
        <v>41542</v>
      </c>
      <c r="B500" s="72" t="s">
        <v>157</v>
      </c>
      <c r="C500" s="165">
        <v>2013</v>
      </c>
      <c r="D500" s="65">
        <v>4</v>
      </c>
      <c r="E500" s="36" t="s">
        <v>223</v>
      </c>
      <c r="F500" s="36" t="s">
        <v>267</v>
      </c>
      <c r="G500" s="36"/>
      <c r="H500" s="36" t="s">
        <v>273</v>
      </c>
      <c r="I500" s="36" t="s">
        <v>274</v>
      </c>
      <c r="J500" s="36" t="s">
        <v>275</v>
      </c>
      <c r="K500" s="36" t="s">
        <v>276</v>
      </c>
      <c r="L500" s="36">
        <v>6</v>
      </c>
      <c r="M500" s="36" t="s">
        <v>247</v>
      </c>
      <c r="N500" s="36" t="s">
        <v>275</v>
      </c>
      <c r="O500" s="36">
        <v>522</v>
      </c>
      <c r="P500" s="65">
        <v>1.2552738178796735E-2</v>
      </c>
      <c r="Q500" s="36">
        <v>1000</v>
      </c>
      <c r="R500" s="36"/>
      <c r="S500" s="36"/>
      <c r="T500" s="36"/>
      <c r="U500" s="36"/>
      <c r="V500" s="36"/>
      <c r="W500" s="36"/>
      <c r="X500" s="36"/>
      <c r="Y500" s="36"/>
      <c r="Z500" s="36"/>
    </row>
    <row r="501" spans="1:26" ht="14">
      <c r="A501" s="35">
        <v>41542</v>
      </c>
      <c r="B501" s="72" t="s">
        <v>157</v>
      </c>
      <c r="C501" s="165">
        <v>2013</v>
      </c>
      <c r="D501" s="65">
        <v>5</v>
      </c>
      <c r="E501" s="36" t="s">
        <v>223</v>
      </c>
      <c r="F501" s="36" t="s">
        <v>267</v>
      </c>
      <c r="G501" s="36"/>
      <c r="H501" s="36" t="s">
        <v>273</v>
      </c>
      <c r="I501" s="36" t="s">
        <v>274</v>
      </c>
      <c r="J501" s="36" t="s">
        <v>275</v>
      </c>
      <c r="K501" s="36" t="s">
        <v>276</v>
      </c>
      <c r="L501" s="36">
        <v>3</v>
      </c>
      <c r="M501" s="36" t="s">
        <v>247</v>
      </c>
      <c r="N501" s="36" t="s">
        <v>275</v>
      </c>
      <c r="O501" s="36">
        <v>41</v>
      </c>
      <c r="P501" s="65">
        <v>2.3570408592725718E-3</v>
      </c>
      <c r="Q501" s="36">
        <v>1000</v>
      </c>
      <c r="R501" s="36"/>
      <c r="S501" s="36"/>
      <c r="T501" s="36"/>
      <c r="U501" s="36"/>
      <c r="V501" s="36"/>
      <c r="W501" s="36"/>
      <c r="X501" s="36"/>
      <c r="Y501" s="36"/>
      <c r="Z501" s="36"/>
    </row>
    <row r="502" spans="1:26" ht="14">
      <c r="A502" s="72">
        <v>41480</v>
      </c>
      <c r="B502" s="35" t="s">
        <v>154</v>
      </c>
      <c r="C502" s="165">
        <v>2013</v>
      </c>
      <c r="D502" s="65">
        <v>8</v>
      </c>
      <c r="E502" s="36" t="s">
        <v>223</v>
      </c>
      <c r="F502" s="36" t="s">
        <v>267</v>
      </c>
      <c r="G502" s="36"/>
      <c r="H502" s="36" t="s">
        <v>273</v>
      </c>
      <c r="I502" s="36" t="s">
        <v>274</v>
      </c>
      <c r="J502" s="36" t="s">
        <v>275</v>
      </c>
      <c r="K502" s="36" t="s">
        <v>276</v>
      </c>
      <c r="L502" s="36">
        <v>1</v>
      </c>
      <c r="M502" s="36" t="s">
        <v>247</v>
      </c>
      <c r="N502" s="36" t="s">
        <v>275</v>
      </c>
      <c r="O502" s="36">
        <v>15</v>
      </c>
      <c r="P502" s="65">
        <v>2.9652259854021275E-4</v>
      </c>
      <c r="Q502" s="36">
        <v>1000</v>
      </c>
      <c r="R502" s="36" t="s">
        <v>222</v>
      </c>
      <c r="S502" s="36"/>
      <c r="T502" s="36"/>
      <c r="U502" s="36"/>
      <c r="V502" s="36"/>
      <c r="W502" s="36"/>
      <c r="X502" s="36"/>
      <c r="Y502" s="36"/>
      <c r="Z502" s="36"/>
    </row>
    <row r="503" spans="1:26" ht="14">
      <c r="A503" s="35">
        <v>41422</v>
      </c>
      <c r="B503" s="35" t="s">
        <v>144</v>
      </c>
      <c r="C503" s="165">
        <v>2013</v>
      </c>
      <c r="D503" s="65">
        <v>8</v>
      </c>
      <c r="E503" s="36" t="s">
        <v>223</v>
      </c>
      <c r="F503" s="36" t="s">
        <v>267</v>
      </c>
      <c r="G503" s="36"/>
      <c r="H503" s="36" t="s">
        <v>273</v>
      </c>
      <c r="I503" s="36" t="s">
        <v>274</v>
      </c>
      <c r="J503" s="36" t="s">
        <v>275</v>
      </c>
      <c r="K503" s="36" t="s">
        <v>276</v>
      </c>
      <c r="L503" s="36">
        <v>2</v>
      </c>
      <c r="M503" s="36" t="s">
        <v>247</v>
      </c>
      <c r="N503" s="36" t="s">
        <v>275</v>
      </c>
      <c r="O503" s="36">
        <v>19</v>
      </c>
      <c r="P503" s="36">
        <v>2.6761553975573511E-3</v>
      </c>
      <c r="Q503" s="36">
        <v>1000</v>
      </c>
      <c r="R503" s="36"/>
      <c r="S503" s="36"/>
      <c r="T503" s="36"/>
      <c r="U503" s="36"/>
      <c r="V503" s="36"/>
      <c r="W503" s="36"/>
      <c r="X503" s="36"/>
      <c r="Y503" s="36"/>
      <c r="Z503" s="36"/>
    </row>
    <row r="504" spans="1:26" ht="14">
      <c r="A504" s="35">
        <v>41422</v>
      </c>
      <c r="B504" s="35" t="s">
        <v>144</v>
      </c>
      <c r="C504" s="165">
        <v>2013</v>
      </c>
      <c r="D504" s="65">
        <v>8</v>
      </c>
      <c r="E504" s="36" t="s">
        <v>223</v>
      </c>
      <c r="F504" s="36" t="s">
        <v>267</v>
      </c>
      <c r="G504" s="36"/>
      <c r="H504" s="36" t="s">
        <v>273</v>
      </c>
      <c r="I504" s="36" t="s">
        <v>274</v>
      </c>
      <c r="J504" s="36" t="s">
        <v>275</v>
      </c>
      <c r="K504" s="36" t="s">
        <v>276</v>
      </c>
      <c r="L504" s="36">
        <v>1</v>
      </c>
      <c r="M504" s="36" t="s">
        <v>247</v>
      </c>
      <c r="N504" s="36" t="s">
        <v>275</v>
      </c>
      <c r="O504" s="36">
        <v>19</v>
      </c>
      <c r="P504" s="65">
        <v>1.3380776987786771E-3</v>
      </c>
      <c r="Q504" s="36">
        <v>1000</v>
      </c>
      <c r="R504" s="36" t="s">
        <v>277</v>
      </c>
      <c r="S504" s="36"/>
      <c r="T504" s="36"/>
      <c r="U504" s="36"/>
      <c r="V504" s="36"/>
      <c r="W504" s="36"/>
      <c r="X504" s="36"/>
      <c r="Y504" s="36"/>
      <c r="Z504" s="36"/>
    </row>
    <row r="505" spans="1:26" ht="14">
      <c r="A505" s="35">
        <v>43019</v>
      </c>
      <c r="B505" s="35" t="s">
        <v>159</v>
      </c>
      <c r="C505" s="165">
        <v>2017</v>
      </c>
      <c r="D505" s="65">
        <v>2</v>
      </c>
      <c r="E505" s="36" t="s">
        <v>223</v>
      </c>
      <c r="F505" s="36" t="s">
        <v>267</v>
      </c>
      <c r="G505" s="36"/>
      <c r="H505" s="36" t="s">
        <v>273</v>
      </c>
      <c r="I505" s="36"/>
      <c r="J505" s="38"/>
      <c r="K505" s="36"/>
      <c r="L505" s="36">
        <v>1</v>
      </c>
      <c r="M505" s="36" t="s">
        <v>508</v>
      </c>
      <c r="N505" s="36" t="s">
        <v>494</v>
      </c>
      <c r="O505" s="36">
        <v>317</v>
      </c>
      <c r="P505" s="36">
        <v>3.3686107348343502E-3</v>
      </c>
      <c r="Q505" s="36">
        <v>1000</v>
      </c>
      <c r="R505" s="36" t="s">
        <v>338</v>
      </c>
      <c r="S505" s="36"/>
      <c r="T505" s="36"/>
      <c r="U505" s="36"/>
      <c r="V505" s="36"/>
      <c r="W505" s="36"/>
      <c r="X505" s="36"/>
      <c r="Y505" s="36"/>
      <c r="Z505" s="36"/>
    </row>
    <row r="506" spans="1:26" ht="14">
      <c r="A506" s="72">
        <v>42634</v>
      </c>
      <c r="B506" s="72" t="s">
        <v>157</v>
      </c>
      <c r="C506" s="165">
        <v>2016</v>
      </c>
      <c r="D506" s="65">
        <v>4</v>
      </c>
      <c r="E506" s="65" t="s">
        <v>223</v>
      </c>
      <c r="F506" s="65" t="s">
        <v>267</v>
      </c>
      <c r="G506" s="65"/>
      <c r="H506" s="65" t="s">
        <v>273</v>
      </c>
      <c r="I506" s="65"/>
      <c r="J506" s="38"/>
      <c r="K506" s="36"/>
      <c r="L506" s="36">
        <v>1</v>
      </c>
      <c r="M506" s="36" t="s">
        <v>508</v>
      </c>
      <c r="N506" s="36" t="s">
        <v>494</v>
      </c>
      <c r="O506" s="36">
        <v>127</v>
      </c>
      <c r="P506" s="65">
        <v>2.0275902900439425E-3</v>
      </c>
      <c r="Q506" s="36">
        <v>1000</v>
      </c>
      <c r="R506" s="53" t="s">
        <v>711</v>
      </c>
      <c r="S506" s="36"/>
      <c r="T506" s="36"/>
      <c r="U506" s="36"/>
      <c r="V506" s="36"/>
      <c r="W506" s="36"/>
      <c r="X506" s="36"/>
      <c r="Y506" s="36"/>
      <c r="Z506" s="36"/>
    </row>
    <row r="507" spans="1:26" ht="14">
      <c r="A507" s="72">
        <v>42634</v>
      </c>
      <c r="B507" s="35" t="s">
        <v>157</v>
      </c>
      <c r="C507" s="165">
        <v>2016</v>
      </c>
      <c r="D507" s="65">
        <v>8</v>
      </c>
      <c r="E507" s="36" t="s">
        <v>223</v>
      </c>
      <c r="F507" s="36" t="s">
        <v>267</v>
      </c>
      <c r="G507" s="36"/>
      <c r="H507" s="36" t="s">
        <v>273</v>
      </c>
      <c r="I507" s="36"/>
      <c r="J507" s="38"/>
      <c r="K507" s="36"/>
      <c r="L507" s="36">
        <v>2</v>
      </c>
      <c r="M507" s="36" t="s">
        <v>508</v>
      </c>
      <c r="N507" s="36" t="s">
        <v>494</v>
      </c>
      <c r="O507" s="36">
        <v>3658</v>
      </c>
      <c r="P507" s="36">
        <v>3.5343474734107145E-3</v>
      </c>
      <c r="Q507" s="36">
        <v>1000</v>
      </c>
      <c r="R507" s="53" t="s">
        <v>711</v>
      </c>
      <c r="S507" s="36"/>
      <c r="T507" s="36"/>
      <c r="U507" s="36"/>
      <c r="V507" s="36"/>
      <c r="W507" s="36"/>
      <c r="X507" s="36"/>
      <c r="Y507" s="36"/>
      <c r="Z507" s="36"/>
    </row>
    <row r="508" spans="1:26" ht="14">
      <c r="A508" s="35">
        <v>41912</v>
      </c>
      <c r="B508" s="35" t="s">
        <v>157</v>
      </c>
      <c r="C508" s="165">
        <v>2014</v>
      </c>
      <c r="D508" s="76">
        <v>8</v>
      </c>
      <c r="E508" s="36" t="s">
        <v>223</v>
      </c>
      <c r="F508" s="36" t="s">
        <v>267</v>
      </c>
      <c r="G508" s="36"/>
      <c r="H508" s="36" t="s">
        <v>273</v>
      </c>
      <c r="I508" s="36"/>
      <c r="J508" s="36"/>
      <c r="K508" s="36"/>
      <c r="L508" s="36">
        <v>1</v>
      </c>
      <c r="M508" s="36" t="s">
        <v>508</v>
      </c>
      <c r="N508" s="36" t="s">
        <v>494</v>
      </c>
      <c r="O508" s="36">
        <v>12</v>
      </c>
      <c r="P508" s="36">
        <v>2.7963235095595728E-3</v>
      </c>
      <c r="Q508" s="36">
        <v>1000</v>
      </c>
      <c r="R508" s="36"/>
      <c r="S508" s="36"/>
      <c r="T508" s="36"/>
      <c r="U508" s="36"/>
      <c r="V508" s="36"/>
      <c r="W508" s="36"/>
      <c r="X508" s="36"/>
      <c r="Y508" s="36"/>
      <c r="Z508" s="36"/>
    </row>
    <row r="509" spans="1:26" ht="14">
      <c r="A509" s="35">
        <v>42634</v>
      </c>
      <c r="B509" s="72" t="s">
        <v>157</v>
      </c>
      <c r="C509" s="165">
        <v>2016</v>
      </c>
      <c r="D509" s="65">
        <v>2</v>
      </c>
      <c r="E509" s="65" t="s">
        <v>223</v>
      </c>
      <c r="F509" s="65" t="s">
        <v>267</v>
      </c>
      <c r="G509" s="65"/>
      <c r="H509" s="65" t="s">
        <v>273</v>
      </c>
      <c r="I509" s="65"/>
      <c r="J509" s="36"/>
      <c r="K509" s="36"/>
      <c r="L509" s="36">
        <v>12</v>
      </c>
      <c r="M509" s="36" t="s">
        <v>508</v>
      </c>
      <c r="N509" s="36" t="s">
        <v>494</v>
      </c>
      <c r="O509" s="36">
        <v>19</v>
      </c>
      <c r="P509" s="36">
        <v>8.5500818639612387E-3</v>
      </c>
      <c r="Q509" s="36">
        <v>1000</v>
      </c>
      <c r="R509" s="36"/>
      <c r="S509" s="36"/>
      <c r="T509" s="36" t="s">
        <v>614</v>
      </c>
      <c r="U509" s="36"/>
      <c r="V509" s="36"/>
      <c r="W509" s="36"/>
      <c r="X509" s="36"/>
      <c r="Y509" s="36"/>
      <c r="Z509" s="36"/>
    </row>
    <row r="510" spans="1:26" ht="14">
      <c r="A510" s="35">
        <v>42634</v>
      </c>
      <c r="B510" s="72" t="s">
        <v>157</v>
      </c>
      <c r="C510" s="165">
        <v>2016</v>
      </c>
      <c r="D510" s="65">
        <v>5</v>
      </c>
      <c r="E510" s="36" t="s">
        <v>223</v>
      </c>
      <c r="F510" s="36" t="s">
        <v>267</v>
      </c>
      <c r="G510" s="36"/>
      <c r="H510" s="36" t="s">
        <v>273</v>
      </c>
      <c r="I510" s="36"/>
      <c r="J510" s="36"/>
      <c r="K510" s="36"/>
      <c r="L510" s="36">
        <v>1</v>
      </c>
      <c r="M510" s="36" t="s">
        <v>508</v>
      </c>
      <c r="N510" s="36" t="s">
        <v>494</v>
      </c>
      <c r="O510" s="36">
        <v>93</v>
      </c>
      <c r="P510" s="36">
        <v>9.4131416210630576E-4</v>
      </c>
      <c r="Q510" s="36">
        <v>1000</v>
      </c>
      <c r="R510" s="36"/>
      <c r="S510" s="36"/>
      <c r="T510" s="36"/>
      <c r="U510" s="36"/>
      <c r="V510" s="36"/>
      <c r="W510" s="36"/>
      <c r="X510" s="36"/>
      <c r="Y510" s="36"/>
      <c r="Z510" s="36"/>
    </row>
    <row r="511" spans="1:26" ht="14">
      <c r="A511" s="35">
        <v>42515</v>
      </c>
      <c r="B511" s="35" t="s">
        <v>144</v>
      </c>
      <c r="C511" s="165">
        <v>2016</v>
      </c>
      <c r="D511" s="76">
        <v>5</v>
      </c>
      <c r="E511" s="36" t="s">
        <v>223</v>
      </c>
      <c r="F511" s="36" t="s">
        <v>267</v>
      </c>
      <c r="G511" s="36"/>
      <c r="H511" s="36" t="s">
        <v>273</v>
      </c>
      <c r="I511" s="36"/>
      <c r="J511" s="36" t="s">
        <v>558</v>
      </c>
      <c r="K511" s="36" t="s">
        <v>559</v>
      </c>
      <c r="L511" s="36">
        <v>1</v>
      </c>
      <c r="M511" s="36" t="s">
        <v>544</v>
      </c>
      <c r="N511" s="36" t="s">
        <v>494</v>
      </c>
      <c r="O511" s="36">
        <v>17</v>
      </c>
      <c r="P511" s="36">
        <v>2.8364782844532204E-3</v>
      </c>
      <c r="Q511" s="36">
        <v>1000</v>
      </c>
      <c r="R511" s="36"/>
      <c r="S511" s="36"/>
      <c r="T511" s="36"/>
      <c r="U511" s="36"/>
      <c r="V511" s="36"/>
      <c r="W511" s="36"/>
      <c r="X511" s="36"/>
      <c r="Y511" s="36"/>
      <c r="Z511" s="36"/>
    </row>
    <row r="512" spans="1:26" ht="14">
      <c r="A512" s="169">
        <v>42515</v>
      </c>
      <c r="B512" s="169" t="s">
        <v>144</v>
      </c>
      <c r="C512" s="179">
        <v>2016</v>
      </c>
      <c r="D512" s="172">
        <v>8</v>
      </c>
      <c r="E512" s="171" t="s">
        <v>223</v>
      </c>
      <c r="F512" s="171" t="s">
        <v>267</v>
      </c>
      <c r="G512" s="171"/>
      <c r="H512" s="171" t="s">
        <v>273</v>
      </c>
      <c r="I512" s="171"/>
      <c r="J512" s="171"/>
      <c r="K512" s="171"/>
      <c r="L512" s="171">
        <v>1</v>
      </c>
      <c r="M512" s="171" t="s">
        <v>508</v>
      </c>
      <c r="N512" s="171" t="s">
        <v>494</v>
      </c>
      <c r="O512" s="171">
        <v>6</v>
      </c>
      <c r="P512" s="170">
        <v>2.0284637464513654E-3</v>
      </c>
      <c r="Q512" s="171">
        <v>1000</v>
      </c>
      <c r="R512" s="171"/>
      <c r="S512" s="171"/>
      <c r="T512" s="36"/>
      <c r="U512" s="36"/>
      <c r="V512" s="36"/>
      <c r="W512" s="36"/>
      <c r="X512" s="36"/>
      <c r="Y512" s="36"/>
      <c r="Z512" s="36"/>
    </row>
    <row r="513" spans="1:26" ht="14">
      <c r="A513" s="35">
        <v>42263</v>
      </c>
      <c r="B513" s="35" t="s">
        <v>157</v>
      </c>
      <c r="C513" s="165">
        <v>2015</v>
      </c>
      <c r="D513" s="65">
        <v>2</v>
      </c>
      <c r="E513" s="36" t="s">
        <v>223</v>
      </c>
      <c r="F513" s="36" t="s">
        <v>267</v>
      </c>
      <c r="G513" s="36"/>
      <c r="H513" s="36" t="s">
        <v>273</v>
      </c>
      <c r="I513" s="36"/>
      <c r="J513" s="36" t="s">
        <v>558</v>
      </c>
      <c r="K513" s="36" t="s">
        <v>559</v>
      </c>
      <c r="L513" s="36">
        <v>1</v>
      </c>
      <c r="M513" s="36" t="s">
        <v>544</v>
      </c>
      <c r="N513" s="36" t="s">
        <v>494</v>
      </c>
      <c r="O513" s="36">
        <v>3</v>
      </c>
      <c r="P513" s="36">
        <v>4.640099043964987E-3</v>
      </c>
      <c r="Q513" s="36">
        <v>1000</v>
      </c>
      <c r="R513" s="36"/>
      <c r="S513" s="36"/>
      <c r="T513" s="36"/>
      <c r="U513" s="36"/>
      <c r="V513" s="36"/>
      <c r="W513" s="36"/>
      <c r="X513" s="36"/>
      <c r="Y513" s="36"/>
      <c r="Z513" s="36"/>
    </row>
    <row r="514" spans="1:26" ht="14">
      <c r="A514" s="35">
        <v>42206</v>
      </c>
      <c r="B514" s="72" t="s">
        <v>154</v>
      </c>
      <c r="C514" s="165">
        <v>2015</v>
      </c>
      <c r="D514" s="76">
        <v>2</v>
      </c>
      <c r="E514" s="36" t="s">
        <v>223</v>
      </c>
      <c r="F514" s="36" t="s">
        <v>267</v>
      </c>
      <c r="G514" s="36"/>
      <c r="H514" s="36" t="s">
        <v>273</v>
      </c>
      <c r="I514" s="36"/>
      <c r="J514" s="36" t="s">
        <v>558</v>
      </c>
      <c r="K514" s="36" t="s">
        <v>559</v>
      </c>
      <c r="L514" s="36">
        <v>1</v>
      </c>
      <c r="M514" s="36" t="s">
        <v>247</v>
      </c>
      <c r="N514" s="36" t="s">
        <v>494</v>
      </c>
      <c r="O514" s="36">
        <v>3</v>
      </c>
      <c r="P514" s="36">
        <v>1.0984943130251956E-2</v>
      </c>
      <c r="Q514" s="36">
        <v>1000</v>
      </c>
      <c r="R514" s="36"/>
      <c r="S514" s="36"/>
      <c r="T514" s="36"/>
      <c r="U514" s="36"/>
      <c r="V514" s="36"/>
      <c r="W514" s="36"/>
      <c r="X514" s="36"/>
      <c r="Y514" s="36"/>
      <c r="Z514" s="36"/>
    </row>
    <row r="515" spans="1:26" ht="14">
      <c r="A515" s="35">
        <v>41912</v>
      </c>
      <c r="B515" s="35" t="s">
        <v>157</v>
      </c>
      <c r="C515" s="165">
        <v>2014</v>
      </c>
      <c r="D515" s="76">
        <v>8</v>
      </c>
      <c r="E515" s="36" t="s">
        <v>223</v>
      </c>
      <c r="F515" s="36" t="s">
        <v>267</v>
      </c>
      <c r="G515" s="36"/>
      <c r="H515" s="36" t="s">
        <v>273</v>
      </c>
      <c r="I515" s="36"/>
      <c r="J515" s="36" t="s">
        <v>558</v>
      </c>
      <c r="K515" s="36" t="s">
        <v>559</v>
      </c>
      <c r="L515" s="36">
        <v>1</v>
      </c>
      <c r="M515" s="36" t="s">
        <v>544</v>
      </c>
      <c r="N515" s="36" t="s">
        <v>494</v>
      </c>
      <c r="O515" s="36">
        <v>12</v>
      </c>
      <c r="P515" s="36">
        <v>2.7963235095595689E-3</v>
      </c>
      <c r="Q515" s="36">
        <v>1000</v>
      </c>
      <c r="R515" s="36" t="s">
        <v>573</v>
      </c>
      <c r="S515" s="36"/>
      <c r="T515" s="36"/>
      <c r="U515" s="36"/>
      <c r="V515" s="36"/>
      <c r="W515" s="36"/>
      <c r="X515" s="36"/>
      <c r="Y515" s="36"/>
      <c r="Z515" s="36"/>
    </row>
    <row r="516" spans="1:26" ht="14">
      <c r="A516" s="35">
        <v>41851</v>
      </c>
      <c r="B516" s="35" t="s">
        <v>154</v>
      </c>
      <c r="C516" s="165">
        <v>2014</v>
      </c>
      <c r="D516" s="36">
        <v>4</v>
      </c>
      <c r="E516" s="36" t="s">
        <v>223</v>
      </c>
      <c r="F516" s="36" t="s">
        <v>267</v>
      </c>
      <c r="G516" s="36"/>
      <c r="H516" s="36" t="s">
        <v>273</v>
      </c>
      <c r="I516" s="36"/>
      <c r="J516" s="36"/>
      <c r="K516" s="36"/>
      <c r="L516" s="36">
        <v>1</v>
      </c>
      <c r="M516" s="36" t="s">
        <v>508</v>
      </c>
      <c r="N516" s="36" t="s">
        <v>494</v>
      </c>
      <c r="O516" s="36">
        <v>678</v>
      </c>
      <c r="P516" s="65">
        <v>3.8690730288093336E-3</v>
      </c>
      <c r="Q516" s="36">
        <v>1000</v>
      </c>
      <c r="R516" s="36"/>
      <c r="S516" s="36"/>
      <c r="T516" s="36"/>
      <c r="U516" s="36"/>
      <c r="V516" s="36"/>
      <c r="W516" s="36"/>
      <c r="X516" s="36"/>
      <c r="Y516" s="36"/>
      <c r="Z516" s="36"/>
    </row>
    <row r="517" spans="1:26" ht="14">
      <c r="A517" s="72">
        <v>41851</v>
      </c>
      <c r="B517" s="35" t="s">
        <v>154</v>
      </c>
      <c r="C517" s="165">
        <v>2014</v>
      </c>
      <c r="D517" s="36">
        <v>5</v>
      </c>
      <c r="E517" s="65" t="s">
        <v>223</v>
      </c>
      <c r="F517" s="65" t="s">
        <v>267</v>
      </c>
      <c r="G517" s="65"/>
      <c r="H517" s="65" t="s">
        <v>273</v>
      </c>
      <c r="I517" s="65"/>
      <c r="J517" s="36"/>
      <c r="K517" s="36"/>
      <c r="L517" s="36">
        <v>1</v>
      </c>
      <c r="M517" s="36" t="s">
        <v>508</v>
      </c>
      <c r="N517" s="36" t="s">
        <v>494</v>
      </c>
      <c r="O517" s="36">
        <v>138</v>
      </c>
      <c r="P517" s="65">
        <v>4.9595945992906322E-3</v>
      </c>
      <c r="Q517" s="36">
        <v>1000</v>
      </c>
      <c r="R517" s="36"/>
      <c r="S517" s="36"/>
      <c r="T517" s="36"/>
      <c r="U517" s="36"/>
      <c r="V517" s="36"/>
      <c r="W517" s="36"/>
      <c r="X517" s="36"/>
      <c r="Y517" s="36"/>
      <c r="Z517" s="36"/>
    </row>
    <row r="518" spans="1:26" ht="14">
      <c r="A518" s="13">
        <v>42867</v>
      </c>
      <c r="B518" s="72" t="s">
        <v>144</v>
      </c>
      <c r="C518" s="165">
        <v>2017</v>
      </c>
      <c r="D518" s="65">
        <v>4</v>
      </c>
      <c r="E518" s="36" t="s">
        <v>223</v>
      </c>
      <c r="F518" s="36" t="s">
        <v>224</v>
      </c>
      <c r="G518" s="36" t="s">
        <v>225</v>
      </c>
      <c r="H518" s="36" t="s">
        <v>243</v>
      </c>
      <c r="I518" s="36"/>
      <c r="J518" s="36" t="s">
        <v>507</v>
      </c>
      <c r="K518" s="36"/>
      <c r="L518" s="36">
        <v>1</v>
      </c>
      <c r="M518" s="3" t="s">
        <v>229</v>
      </c>
      <c r="N518" s="3" t="s">
        <v>673</v>
      </c>
      <c r="O518" s="3">
        <v>225</v>
      </c>
      <c r="P518" s="36">
        <v>0.43704009400170857</v>
      </c>
      <c r="Q518" s="3"/>
      <c r="R518" s="3"/>
      <c r="S518" s="3"/>
      <c r="T518" s="36"/>
      <c r="U518" s="36"/>
      <c r="V518" s="36"/>
      <c r="W518" s="36"/>
      <c r="X518" s="36"/>
      <c r="Y518" s="36"/>
      <c r="Z518" s="36"/>
    </row>
    <row r="519" spans="1:26" ht="14">
      <c r="A519" s="35">
        <v>41761</v>
      </c>
      <c r="B519" s="72" t="s">
        <v>144</v>
      </c>
      <c r="C519" s="165">
        <v>2014</v>
      </c>
      <c r="D519" s="65">
        <v>2</v>
      </c>
      <c r="E519" s="36" t="s">
        <v>223</v>
      </c>
      <c r="F519" s="36" t="s">
        <v>224</v>
      </c>
      <c r="G519" s="36" t="s">
        <v>225</v>
      </c>
      <c r="H519" s="36" t="s">
        <v>243</v>
      </c>
      <c r="I519" s="36"/>
      <c r="J519" s="36" t="s">
        <v>507</v>
      </c>
      <c r="K519" s="36"/>
      <c r="L519" s="36">
        <v>4</v>
      </c>
      <c r="M519" s="36" t="s">
        <v>229</v>
      </c>
      <c r="N519" s="3" t="s">
        <v>673</v>
      </c>
      <c r="O519" s="36">
        <v>29</v>
      </c>
      <c r="P519" s="36">
        <v>13.706424161517747</v>
      </c>
      <c r="Q519" s="65">
        <v>250</v>
      </c>
      <c r="R519" s="65"/>
      <c r="S519" s="65"/>
      <c r="T519" s="65"/>
      <c r="U519" s="36"/>
      <c r="V519" s="36"/>
      <c r="W519" s="36"/>
      <c r="X519" s="36"/>
      <c r="Y519" s="36"/>
      <c r="Z519" s="36"/>
    </row>
    <row r="520" spans="1:26" ht="14">
      <c r="A520" s="13">
        <v>41761</v>
      </c>
      <c r="B520" s="72" t="s">
        <v>144</v>
      </c>
      <c r="C520" s="165">
        <v>2014</v>
      </c>
      <c r="D520" s="36">
        <v>4</v>
      </c>
      <c r="E520" s="36" t="s">
        <v>223</v>
      </c>
      <c r="F520" s="36" t="s">
        <v>224</v>
      </c>
      <c r="G520" s="36" t="s">
        <v>225</v>
      </c>
      <c r="H520" s="36" t="s">
        <v>243</v>
      </c>
      <c r="I520" s="36"/>
      <c r="J520" s="36" t="s">
        <v>507</v>
      </c>
      <c r="K520" s="36"/>
      <c r="L520" s="36">
        <v>5</v>
      </c>
      <c r="M520" s="3" t="s">
        <v>229</v>
      </c>
      <c r="N520" s="3" t="s">
        <v>673</v>
      </c>
      <c r="O520" s="3">
        <v>256</v>
      </c>
      <c r="P520" s="36">
        <v>1.9064593647419705</v>
      </c>
      <c r="Q520" s="3">
        <v>250</v>
      </c>
      <c r="R520" s="3"/>
      <c r="S520" s="3"/>
      <c r="T520" s="36"/>
      <c r="U520" s="36"/>
      <c r="V520" s="36"/>
      <c r="W520" s="36"/>
      <c r="X520" s="36"/>
      <c r="Y520" s="36"/>
      <c r="Z520" s="36"/>
    </row>
    <row r="521" spans="1:26" ht="14">
      <c r="A521" s="71">
        <v>43019</v>
      </c>
      <c r="B521" s="72" t="s">
        <v>159</v>
      </c>
      <c r="C521" s="165">
        <v>2017</v>
      </c>
      <c r="D521" s="65">
        <v>5</v>
      </c>
      <c r="E521" s="36" t="s">
        <v>223</v>
      </c>
      <c r="F521" s="36" t="s">
        <v>317</v>
      </c>
      <c r="G521" s="36" t="s">
        <v>314</v>
      </c>
      <c r="H521" s="36" t="s">
        <v>346</v>
      </c>
      <c r="I521" s="3"/>
      <c r="J521" s="36" t="s">
        <v>316</v>
      </c>
      <c r="K521" s="3"/>
      <c r="L521" s="3">
        <v>1</v>
      </c>
      <c r="M521" s="3" t="s">
        <v>229</v>
      </c>
      <c r="N521" s="36" t="s">
        <v>482</v>
      </c>
      <c r="O521" s="3">
        <v>255</v>
      </c>
      <c r="P521" s="36">
        <v>0.39206991221522669</v>
      </c>
      <c r="Q521" s="3">
        <v>250</v>
      </c>
      <c r="R521" s="3"/>
      <c r="S521" s="3"/>
      <c r="T521" s="36"/>
      <c r="U521" s="36"/>
      <c r="V521" s="36"/>
      <c r="W521" s="36"/>
      <c r="X521" s="36"/>
      <c r="Y521" s="36"/>
      <c r="Z521" s="36"/>
    </row>
    <row r="522" spans="1:26" ht="14">
      <c r="A522" s="13">
        <v>43019</v>
      </c>
      <c r="B522" s="35" t="s">
        <v>159</v>
      </c>
      <c r="C522" s="165">
        <v>2017</v>
      </c>
      <c r="D522" s="65">
        <v>8</v>
      </c>
      <c r="E522" s="36" t="s">
        <v>223</v>
      </c>
      <c r="F522" s="36" t="s">
        <v>317</v>
      </c>
      <c r="G522" s="36" t="s">
        <v>314</v>
      </c>
      <c r="H522" s="36" t="s">
        <v>346</v>
      </c>
      <c r="I522" s="3"/>
      <c r="J522" s="36" t="s">
        <v>316</v>
      </c>
      <c r="K522" s="3"/>
      <c r="L522" s="3">
        <v>7</v>
      </c>
      <c r="M522" s="3" t="s">
        <v>229</v>
      </c>
      <c r="N522" s="36" t="s">
        <v>482</v>
      </c>
      <c r="O522" s="3">
        <v>288</v>
      </c>
      <c r="P522" s="36">
        <v>2.3352733684651921</v>
      </c>
      <c r="Q522" s="3">
        <v>250</v>
      </c>
      <c r="R522" s="3"/>
      <c r="S522" s="3"/>
      <c r="T522" s="36"/>
      <c r="U522" s="36"/>
      <c r="V522" s="36"/>
      <c r="W522" s="36"/>
      <c r="X522" s="36"/>
      <c r="Y522" s="36"/>
      <c r="Z522" s="36"/>
    </row>
    <row r="523" spans="1:26" ht="14">
      <c r="A523" s="72">
        <v>42928</v>
      </c>
      <c r="B523" s="72" t="s">
        <v>154</v>
      </c>
      <c r="C523" s="165">
        <v>2017</v>
      </c>
      <c r="D523" s="65">
        <v>5</v>
      </c>
      <c r="E523" s="36" t="s">
        <v>223</v>
      </c>
      <c r="F523" s="36" t="s">
        <v>317</v>
      </c>
      <c r="G523" s="36" t="s">
        <v>314</v>
      </c>
      <c r="H523" s="36" t="s">
        <v>346</v>
      </c>
      <c r="I523" s="36"/>
      <c r="J523" s="36" t="s">
        <v>316</v>
      </c>
      <c r="K523" s="36"/>
      <c r="L523" s="36">
        <v>14</v>
      </c>
      <c r="M523" s="36" t="s">
        <v>229</v>
      </c>
      <c r="N523" s="36" t="s">
        <v>482</v>
      </c>
      <c r="O523" s="36">
        <v>385</v>
      </c>
      <c r="P523" s="36">
        <v>3.6347701119007056</v>
      </c>
      <c r="Q523" s="65">
        <v>250</v>
      </c>
      <c r="R523" s="65"/>
      <c r="S523" s="65"/>
      <c r="T523" s="65"/>
      <c r="U523" s="36"/>
      <c r="V523" s="36"/>
      <c r="W523" s="36"/>
      <c r="X523" s="36"/>
      <c r="Y523" s="36"/>
      <c r="Z523" s="36"/>
    </row>
    <row r="524" spans="1:26" ht="14">
      <c r="A524" s="13">
        <v>42928</v>
      </c>
      <c r="B524" s="72" t="s">
        <v>154</v>
      </c>
      <c r="C524" s="165">
        <v>2017</v>
      </c>
      <c r="D524" s="65">
        <v>8</v>
      </c>
      <c r="E524" s="65" t="s">
        <v>223</v>
      </c>
      <c r="F524" s="65" t="s">
        <v>317</v>
      </c>
      <c r="G524" s="65" t="s">
        <v>314</v>
      </c>
      <c r="H524" s="65" t="s">
        <v>346</v>
      </c>
      <c r="I524" s="51"/>
      <c r="J524" s="36" t="s">
        <v>316</v>
      </c>
      <c r="K524" s="3"/>
      <c r="L524" s="3">
        <v>1</v>
      </c>
      <c r="M524" s="3" t="s">
        <v>229</v>
      </c>
      <c r="N524" s="36" t="s">
        <v>482</v>
      </c>
      <c r="O524" s="3">
        <v>319</v>
      </c>
      <c r="P524" s="36">
        <v>0.31336077060133105</v>
      </c>
      <c r="Q524" s="36">
        <v>250</v>
      </c>
      <c r="R524" s="3"/>
      <c r="S524" s="3"/>
      <c r="T524" s="36"/>
      <c r="U524" s="36"/>
      <c r="V524" s="36"/>
      <c r="W524" s="36"/>
      <c r="X524" s="36"/>
      <c r="Y524" s="36"/>
      <c r="Z524" s="36"/>
    </row>
    <row r="525" spans="1:26" ht="14">
      <c r="A525" s="13">
        <v>42263</v>
      </c>
      <c r="B525" s="35" t="s">
        <v>157</v>
      </c>
      <c r="C525" s="165">
        <v>2015</v>
      </c>
      <c r="D525" s="65">
        <v>2</v>
      </c>
      <c r="E525" s="3" t="s">
        <v>223</v>
      </c>
      <c r="F525" s="3" t="s">
        <v>317</v>
      </c>
      <c r="G525" s="3" t="s">
        <v>314</v>
      </c>
      <c r="H525" s="3" t="s">
        <v>346</v>
      </c>
      <c r="I525" s="3" t="s">
        <v>315</v>
      </c>
      <c r="J525" s="3" t="s">
        <v>347</v>
      </c>
      <c r="K525" s="3" t="s">
        <v>480</v>
      </c>
      <c r="L525" s="3">
        <v>1</v>
      </c>
      <c r="M525" s="3" t="s">
        <v>247</v>
      </c>
      <c r="N525" s="36" t="s">
        <v>482</v>
      </c>
      <c r="O525" s="3">
        <v>203</v>
      </c>
      <c r="P525" s="36">
        <v>0.49254226454614836</v>
      </c>
      <c r="Q525" s="36">
        <v>250</v>
      </c>
      <c r="R525" s="3"/>
      <c r="S525" s="3"/>
      <c r="T525" s="36"/>
      <c r="U525" s="36"/>
      <c r="V525" s="36"/>
      <c r="W525" s="36"/>
      <c r="X525" s="36"/>
      <c r="Y525" s="36"/>
      <c r="Z525" s="36"/>
    </row>
    <row r="526" spans="1:26" ht="14">
      <c r="A526" s="35">
        <v>43019</v>
      </c>
      <c r="B526" s="35" t="s">
        <v>159</v>
      </c>
      <c r="C526" s="165">
        <v>2017</v>
      </c>
      <c r="D526" s="65">
        <v>2</v>
      </c>
      <c r="E526" s="36" t="s">
        <v>223</v>
      </c>
      <c r="F526" s="36" t="s">
        <v>317</v>
      </c>
      <c r="G526" s="36" t="s">
        <v>314</v>
      </c>
      <c r="H526" s="36" t="s">
        <v>346</v>
      </c>
      <c r="I526" s="36" t="s">
        <v>315</v>
      </c>
      <c r="J526" s="36" t="s">
        <v>347</v>
      </c>
      <c r="K526" s="36"/>
      <c r="L526" s="36">
        <v>1</v>
      </c>
      <c r="M526" s="36" t="s">
        <v>229</v>
      </c>
      <c r="N526" s="36" t="s">
        <v>345</v>
      </c>
      <c r="O526" s="36">
        <v>150</v>
      </c>
      <c r="P526" s="36">
        <v>0.65954766931371678</v>
      </c>
      <c r="Q526" s="36">
        <v>250</v>
      </c>
      <c r="R526" s="36"/>
      <c r="S526" s="36"/>
      <c r="T526" s="36"/>
      <c r="U526" s="36"/>
      <c r="V526" s="36"/>
      <c r="W526" s="36"/>
      <c r="X526" s="36"/>
      <c r="Y526" s="36"/>
      <c r="Z526" s="36"/>
    </row>
    <row r="527" spans="1:26" ht="14">
      <c r="A527" s="13">
        <v>43019</v>
      </c>
      <c r="B527" s="72" t="s">
        <v>159</v>
      </c>
      <c r="C527" s="165">
        <v>2017</v>
      </c>
      <c r="D527" s="65">
        <v>5</v>
      </c>
      <c r="E527" s="36" t="s">
        <v>223</v>
      </c>
      <c r="F527" s="36" t="s">
        <v>317</v>
      </c>
      <c r="G527" s="36" t="s">
        <v>314</v>
      </c>
      <c r="H527" s="36" t="s">
        <v>346</v>
      </c>
      <c r="I527" s="65" t="s">
        <v>315</v>
      </c>
      <c r="J527" s="65" t="s">
        <v>660</v>
      </c>
      <c r="K527" s="36"/>
      <c r="L527" s="3">
        <v>18</v>
      </c>
      <c r="M527" s="3" t="s">
        <v>229</v>
      </c>
      <c r="N527" s="36" t="s">
        <v>345</v>
      </c>
      <c r="O527" s="3">
        <v>255</v>
      </c>
      <c r="P527" s="36">
        <v>7.0572584198740795</v>
      </c>
      <c r="Q527" s="3">
        <v>250</v>
      </c>
      <c r="R527" s="3"/>
      <c r="S527" s="3"/>
      <c r="T527" s="36"/>
      <c r="U527" s="36"/>
      <c r="V527" s="36"/>
      <c r="W527" s="36"/>
      <c r="X527" s="36"/>
      <c r="Y527" s="36"/>
      <c r="Z527" s="36"/>
    </row>
    <row r="528" spans="1:26" ht="14">
      <c r="A528" s="13">
        <v>43019</v>
      </c>
      <c r="B528" s="35" t="s">
        <v>159</v>
      </c>
      <c r="C528" s="165">
        <v>2017</v>
      </c>
      <c r="D528" s="65">
        <v>8</v>
      </c>
      <c r="E528" s="36" t="s">
        <v>223</v>
      </c>
      <c r="F528" s="36" t="s">
        <v>317</v>
      </c>
      <c r="G528" s="36" t="s">
        <v>314</v>
      </c>
      <c r="H528" s="36" t="s">
        <v>346</v>
      </c>
      <c r="I528" s="36" t="s">
        <v>315</v>
      </c>
      <c r="J528" s="36" t="s">
        <v>660</v>
      </c>
      <c r="K528" s="36"/>
      <c r="L528" s="3">
        <v>10</v>
      </c>
      <c r="M528" s="3" t="s">
        <v>229</v>
      </c>
      <c r="N528" s="36" t="s">
        <v>345</v>
      </c>
      <c r="O528" s="3">
        <v>288</v>
      </c>
      <c r="P528" s="36">
        <v>3.3361048120931311</v>
      </c>
      <c r="Q528" s="3">
        <v>250</v>
      </c>
      <c r="R528" s="3"/>
      <c r="S528" s="3"/>
      <c r="T528" s="36"/>
      <c r="U528" s="36"/>
      <c r="V528" s="36"/>
      <c r="W528" s="36"/>
      <c r="X528" s="36"/>
      <c r="Y528" s="36"/>
      <c r="Z528" s="36"/>
    </row>
    <row r="529" spans="1:26" ht="14">
      <c r="A529" s="13">
        <v>42928</v>
      </c>
      <c r="B529" s="72" t="s">
        <v>154</v>
      </c>
      <c r="C529" s="165">
        <v>2017</v>
      </c>
      <c r="D529" s="65">
        <v>4</v>
      </c>
      <c r="E529" s="36" t="s">
        <v>223</v>
      </c>
      <c r="F529" s="36" t="s">
        <v>317</v>
      </c>
      <c r="G529" s="36" t="s">
        <v>314</v>
      </c>
      <c r="H529" s="36" t="s">
        <v>346</v>
      </c>
      <c r="I529" s="36" t="s">
        <v>315</v>
      </c>
      <c r="J529" s="36" t="s">
        <v>347</v>
      </c>
      <c r="K529" s="36"/>
      <c r="L529" s="3">
        <v>2</v>
      </c>
      <c r="M529" s="3" t="s">
        <v>229</v>
      </c>
      <c r="N529" s="36" t="s">
        <v>345</v>
      </c>
      <c r="O529" s="3">
        <v>225</v>
      </c>
      <c r="P529" s="36">
        <v>0.88532328131540106</v>
      </c>
      <c r="Q529" s="36">
        <v>250</v>
      </c>
      <c r="R529" s="3"/>
      <c r="S529" s="3"/>
      <c r="T529" s="36"/>
      <c r="U529" s="36"/>
      <c r="V529" s="36"/>
      <c r="W529" s="36"/>
      <c r="X529" s="36"/>
      <c r="Y529" s="36"/>
      <c r="Z529" s="36"/>
    </row>
    <row r="530" spans="1:26" ht="14">
      <c r="A530" s="72">
        <v>42928</v>
      </c>
      <c r="B530" s="35" t="s">
        <v>154</v>
      </c>
      <c r="C530" s="165">
        <v>2017</v>
      </c>
      <c r="D530" s="65">
        <v>5</v>
      </c>
      <c r="E530" s="65" t="s">
        <v>223</v>
      </c>
      <c r="F530" s="65" t="s">
        <v>317</v>
      </c>
      <c r="G530" s="65" t="s">
        <v>314</v>
      </c>
      <c r="H530" s="65" t="s">
        <v>346</v>
      </c>
      <c r="I530" s="65" t="s">
        <v>315</v>
      </c>
      <c r="J530" s="36" t="s">
        <v>655</v>
      </c>
      <c r="K530" s="36"/>
      <c r="L530" s="65">
        <v>19</v>
      </c>
      <c r="M530" s="65" t="s">
        <v>229</v>
      </c>
      <c r="N530" s="65" t="s">
        <v>345</v>
      </c>
      <c r="O530" s="36">
        <v>385</v>
      </c>
      <c r="P530" s="36">
        <v>4.9329022947223864</v>
      </c>
      <c r="Q530" s="65">
        <v>250</v>
      </c>
      <c r="R530" s="65" t="s">
        <v>654</v>
      </c>
      <c r="S530" s="65"/>
      <c r="T530" s="65"/>
      <c r="U530" s="36"/>
      <c r="V530" s="36"/>
      <c r="W530" s="36"/>
      <c r="X530" s="36"/>
      <c r="Y530" s="36"/>
      <c r="Z530" s="36"/>
    </row>
    <row r="531" spans="1:26" ht="14">
      <c r="A531" s="13">
        <v>42928</v>
      </c>
      <c r="B531" s="72" t="s">
        <v>154</v>
      </c>
      <c r="C531" s="165">
        <v>2017</v>
      </c>
      <c r="D531" s="65">
        <v>8</v>
      </c>
      <c r="E531" s="36" t="s">
        <v>223</v>
      </c>
      <c r="F531" s="36" t="s">
        <v>317</v>
      </c>
      <c r="G531" s="36" t="s">
        <v>314</v>
      </c>
      <c r="H531" s="36" t="s">
        <v>346</v>
      </c>
      <c r="I531" s="36" t="s">
        <v>315</v>
      </c>
      <c r="J531" s="36" t="s">
        <v>365</v>
      </c>
      <c r="K531" s="36"/>
      <c r="L531" s="3">
        <v>5</v>
      </c>
      <c r="M531" s="3" t="s">
        <v>229</v>
      </c>
      <c r="N531" s="36" t="s">
        <v>345</v>
      </c>
      <c r="O531" s="3">
        <v>319</v>
      </c>
      <c r="P531" s="36">
        <v>1.5668038530066548</v>
      </c>
      <c r="Q531" s="36">
        <v>250</v>
      </c>
      <c r="R531" s="3"/>
      <c r="S531" s="3"/>
      <c r="T531" s="36"/>
      <c r="U531" s="36"/>
      <c r="V531" s="36"/>
      <c r="W531" s="36"/>
      <c r="X531" s="36"/>
      <c r="Y531" s="36"/>
      <c r="Z531" s="36"/>
    </row>
    <row r="532" spans="1:26" ht="14">
      <c r="A532" s="13">
        <v>42867</v>
      </c>
      <c r="B532" s="35" t="s">
        <v>144</v>
      </c>
      <c r="C532" s="165">
        <v>2017</v>
      </c>
      <c r="D532" s="65">
        <v>2</v>
      </c>
      <c r="E532" s="3" t="s">
        <v>223</v>
      </c>
      <c r="F532" s="3" t="s">
        <v>310</v>
      </c>
      <c r="G532" s="3" t="s">
        <v>314</v>
      </c>
      <c r="H532" s="3" t="s">
        <v>311</v>
      </c>
      <c r="I532" s="3" t="s">
        <v>312</v>
      </c>
      <c r="J532" s="3" t="s">
        <v>313</v>
      </c>
      <c r="K532" s="3"/>
      <c r="L532" s="3">
        <v>3</v>
      </c>
      <c r="M532" s="3" t="s">
        <v>229</v>
      </c>
      <c r="N532" s="3" t="s">
        <v>345</v>
      </c>
      <c r="O532" s="3">
        <v>216</v>
      </c>
      <c r="P532" s="36">
        <v>1.3888888888888888</v>
      </c>
      <c r="Q532" s="3"/>
      <c r="R532" s="3"/>
      <c r="S532" s="3"/>
      <c r="T532" s="36"/>
      <c r="U532" s="36"/>
      <c r="V532" s="36"/>
      <c r="W532" s="36"/>
      <c r="X532" s="36"/>
      <c r="Y532" s="36"/>
      <c r="Z532" s="36"/>
    </row>
    <row r="533" spans="1:26" ht="14">
      <c r="A533" s="13">
        <v>42634</v>
      </c>
      <c r="B533" s="72" t="s">
        <v>157</v>
      </c>
      <c r="C533" s="165">
        <v>2016</v>
      </c>
      <c r="D533" s="65">
        <v>5</v>
      </c>
      <c r="E533" s="36" t="s">
        <v>223</v>
      </c>
      <c r="F533" s="36" t="s">
        <v>317</v>
      </c>
      <c r="G533" s="36" t="s">
        <v>314</v>
      </c>
      <c r="H533" s="36" t="s">
        <v>346</v>
      </c>
      <c r="I533" s="36" t="s">
        <v>315</v>
      </c>
      <c r="J533" s="36" t="s">
        <v>347</v>
      </c>
      <c r="K533" s="36" t="s">
        <v>348</v>
      </c>
      <c r="L533" s="3">
        <v>1</v>
      </c>
      <c r="M533" s="3" t="s">
        <v>247</v>
      </c>
      <c r="N533" s="36" t="s">
        <v>345</v>
      </c>
      <c r="O533" s="3">
        <v>203</v>
      </c>
      <c r="P533" s="36">
        <v>0.49217959498977393</v>
      </c>
      <c r="Q533" s="3">
        <v>250</v>
      </c>
      <c r="R533" s="3"/>
      <c r="S533" s="3"/>
      <c r="T533" s="36"/>
      <c r="U533" s="36"/>
      <c r="V533" s="36"/>
      <c r="W533" s="36"/>
      <c r="X533" s="36"/>
      <c r="Y533" s="36"/>
      <c r="Z533" s="36"/>
    </row>
    <row r="534" spans="1:26" ht="14">
      <c r="A534" s="35">
        <v>42571</v>
      </c>
      <c r="B534" s="35" t="s">
        <v>154</v>
      </c>
      <c r="C534" s="165">
        <v>2016</v>
      </c>
      <c r="D534" s="65">
        <v>2</v>
      </c>
      <c r="E534" s="36" t="s">
        <v>223</v>
      </c>
      <c r="F534" s="36" t="s">
        <v>310</v>
      </c>
      <c r="G534" s="36" t="s">
        <v>314</v>
      </c>
      <c r="H534" s="36" t="s">
        <v>311</v>
      </c>
      <c r="I534" s="65" t="s">
        <v>315</v>
      </c>
      <c r="J534" s="65" t="s">
        <v>316</v>
      </c>
      <c r="K534" s="36"/>
      <c r="L534" s="36">
        <v>2</v>
      </c>
      <c r="M534" s="36" t="s">
        <v>229</v>
      </c>
      <c r="N534" s="36" t="s">
        <v>345</v>
      </c>
      <c r="O534" s="36">
        <v>179</v>
      </c>
      <c r="P534" s="36">
        <v>1.1172083964634181</v>
      </c>
      <c r="Q534" s="51">
        <v>250</v>
      </c>
      <c r="R534" s="51"/>
      <c r="S534" s="51"/>
      <c r="T534" s="65"/>
      <c r="U534" s="36"/>
      <c r="V534" s="36"/>
      <c r="W534" s="36"/>
      <c r="X534" s="36"/>
      <c r="Y534" s="36"/>
      <c r="Z534" s="36"/>
    </row>
    <row r="535" spans="1:26" ht="14">
      <c r="A535" s="35">
        <v>42571</v>
      </c>
      <c r="B535" s="35" t="s">
        <v>154</v>
      </c>
      <c r="C535" s="165">
        <v>2016</v>
      </c>
      <c r="D535" s="65">
        <v>8</v>
      </c>
      <c r="E535" s="51" t="s">
        <v>223</v>
      </c>
      <c r="F535" s="51" t="s">
        <v>317</v>
      </c>
      <c r="G535" s="51" t="s">
        <v>314</v>
      </c>
      <c r="H535" s="51" t="s">
        <v>346</v>
      </c>
      <c r="I535" s="51" t="s">
        <v>315</v>
      </c>
      <c r="J535" s="51" t="s">
        <v>347</v>
      </c>
      <c r="K535" s="3"/>
      <c r="L535" s="36">
        <v>1</v>
      </c>
      <c r="M535" s="36" t="s">
        <v>229</v>
      </c>
      <c r="N535" s="36" t="s">
        <v>345</v>
      </c>
      <c r="O535" s="3">
        <v>237</v>
      </c>
      <c r="P535" s="36">
        <v>0.42188226519275773</v>
      </c>
      <c r="Q535" s="51">
        <v>250</v>
      </c>
      <c r="R535" s="51"/>
      <c r="S535" s="51"/>
      <c r="T535" s="65"/>
      <c r="U535" s="36"/>
      <c r="V535" s="36"/>
      <c r="W535" s="36"/>
      <c r="X535" s="36"/>
      <c r="Y535" s="36"/>
      <c r="Z535" s="36"/>
    </row>
    <row r="536" spans="1:26" ht="14">
      <c r="A536" s="13">
        <v>42515</v>
      </c>
      <c r="B536" s="35" t="s">
        <v>144</v>
      </c>
      <c r="C536" s="165">
        <v>2016</v>
      </c>
      <c r="D536" s="51">
        <v>2</v>
      </c>
      <c r="E536" s="51" t="s">
        <v>223</v>
      </c>
      <c r="F536" s="51" t="s">
        <v>317</v>
      </c>
      <c r="G536" s="51" t="s">
        <v>314</v>
      </c>
      <c r="H536" s="51" t="s">
        <v>346</v>
      </c>
      <c r="I536" s="51" t="s">
        <v>315</v>
      </c>
      <c r="J536" s="3" t="s">
        <v>365</v>
      </c>
      <c r="K536" s="3" t="s">
        <v>366</v>
      </c>
      <c r="L536" s="3">
        <v>1</v>
      </c>
      <c r="M536" s="3" t="s">
        <v>247</v>
      </c>
      <c r="N536" s="3" t="s">
        <v>345</v>
      </c>
      <c r="O536" s="36">
        <v>194</v>
      </c>
      <c r="P536" s="65">
        <v>0.51520576504797122</v>
      </c>
      <c r="Q536" s="65">
        <v>250</v>
      </c>
      <c r="R536" s="51" t="s">
        <v>367</v>
      </c>
      <c r="S536" s="51"/>
      <c r="T536" s="65"/>
      <c r="U536" s="36"/>
      <c r="V536" s="36"/>
      <c r="W536" s="36"/>
      <c r="X536" s="36"/>
      <c r="Y536" s="36"/>
      <c r="Z536" s="36"/>
    </row>
    <row r="537" spans="1:26" ht="14">
      <c r="A537" s="13">
        <v>42515</v>
      </c>
      <c r="B537" s="35" t="s">
        <v>144</v>
      </c>
      <c r="C537" s="165">
        <v>2016</v>
      </c>
      <c r="D537" s="3">
        <v>4</v>
      </c>
      <c r="E537" s="3" t="s">
        <v>223</v>
      </c>
      <c r="F537" s="3" t="s">
        <v>317</v>
      </c>
      <c r="G537" s="3" t="s">
        <v>314</v>
      </c>
      <c r="H537" s="3" t="s">
        <v>346</v>
      </c>
      <c r="I537" s="3" t="s">
        <v>315</v>
      </c>
      <c r="J537" s="3" t="s">
        <v>365</v>
      </c>
      <c r="K537" s="3" t="s">
        <v>366</v>
      </c>
      <c r="L537" s="3">
        <v>1</v>
      </c>
      <c r="M537" s="3" t="s">
        <v>247</v>
      </c>
      <c r="N537" s="3" t="s">
        <v>345</v>
      </c>
      <c r="O537" s="3">
        <v>217</v>
      </c>
      <c r="P537" s="36">
        <v>0.46046454311968915</v>
      </c>
      <c r="Q537" s="3">
        <v>250</v>
      </c>
      <c r="R537" s="3"/>
      <c r="S537" s="3"/>
      <c r="T537" s="36"/>
      <c r="U537" s="36"/>
      <c r="V537" s="36"/>
      <c r="W537" s="36"/>
      <c r="X537" s="36"/>
      <c r="Y537" s="36"/>
      <c r="Z537" s="36"/>
    </row>
    <row r="538" spans="1:26" ht="14">
      <c r="A538" s="13">
        <v>42515</v>
      </c>
      <c r="B538" s="35" t="s">
        <v>144</v>
      </c>
      <c r="C538" s="165">
        <v>2016</v>
      </c>
      <c r="D538" s="3">
        <v>4</v>
      </c>
      <c r="E538" s="3" t="s">
        <v>223</v>
      </c>
      <c r="F538" s="3" t="s">
        <v>317</v>
      </c>
      <c r="G538" s="3" t="s">
        <v>314</v>
      </c>
      <c r="H538" s="3" t="s">
        <v>346</v>
      </c>
      <c r="I538" s="3" t="s">
        <v>315</v>
      </c>
      <c r="J538" s="3" t="s">
        <v>347</v>
      </c>
      <c r="K538" s="3"/>
      <c r="L538" s="3">
        <v>2</v>
      </c>
      <c r="M538" s="3" t="s">
        <v>229</v>
      </c>
      <c r="N538" s="3" t="s">
        <v>345</v>
      </c>
      <c r="O538" s="3">
        <v>217</v>
      </c>
      <c r="P538" s="36">
        <v>0.9209290862393783</v>
      </c>
      <c r="Q538" s="3">
        <v>250</v>
      </c>
      <c r="R538" s="3"/>
      <c r="S538" s="3"/>
      <c r="T538" s="36"/>
      <c r="U538" s="36"/>
      <c r="V538" s="36"/>
      <c r="W538" s="36"/>
      <c r="X538" s="36"/>
      <c r="Y538" s="36"/>
      <c r="Z538" s="36"/>
    </row>
    <row r="539" spans="1:26" ht="14">
      <c r="A539" s="13">
        <v>42515</v>
      </c>
      <c r="B539" s="35" t="s">
        <v>144</v>
      </c>
      <c r="C539" s="165">
        <v>2016</v>
      </c>
      <c r="D539" s="3">
        <v>5</v>
      </c>
      <c r="E539" s="3" t="s">
        <v>223</v>
      </c>
      <c r="F539" s="3" t="s">
        <v>317</v>
      </c>
      <c r="G539" s="3" t="s">
        <v>314</v>
      </c>
      <c r="H539" s="3" t="s">
        <v>346</v>
      </c>
      <c r="I539" s="3" t="s">
        <v>315</v>
      </c>
      <c r="J539" s="3" t="s">
        <v>347</v>
      </c>
      <c r="K539" s="3" t="s">
        <v>348</v>
      </c>
      <c r="L539" s="3">
        <v>2</v>
      </c>
      <c r="M539" s="3" t="s">
        <v>247</v>
      </c>
      <c r="N539" s="3" t="s">
        <v>345</v>
      </c>
      <c r="O539" s="3">
        <v>214</v>
      </c>
      <c r="P539" s="65">
        <v>0.93412878382396536</v>
      </c>
      <c r="Q539" s="36">
        <v>250</v>
      </c>
      <c r="R539" s="3"/>
      <c r="S539" s="3"/>
      <c r="T539" s="36"/>
      <c r="U539" s="36"/>
      <c r="V539" s="36"/>
      <c r="W539" s="36"/>
      <c r="X539" s="36"/>
      <c r="Y539" s="36"/>
      <c r="Z539" s="36"/>
    </row>
    <row r="540" spans="1:26" ht="14">
      <c r="A540" s="169">
        <v>42515</v>
      </c>
      <c r="B540" s="169" t="s">
        <v>144</v>
      </c>
      <c r="C540" s="179">
        <v>2016</v>
      </c>
      <c r="D540" s="170">
        <v>8</v>
      </c>
      <c r="E540" s="172" t="s">
        <v>223</v>
      </c>
      <c r="F540" s="172" t="s">
        <v>317</v>
      </c>
      <c r="G540" s="172" t="s">
        <v>314</v>
      </c>
      <c r="H540" s="172" t="s">
        <v>346</v>
      </c>
      <c r="I540" s="172" t="s">
        <v>315</v>
      </c>
      <c r="J540" s="171" t="s">
        <v>365</v>
      </c>
      <c r="K540" s="171" t="s">
        <v>366</v>
      </c>
      <c r="L540" s="171">
        <v>23</v>
      </c>
      <c r="M540" s="171" t="s">
        <v>247</v>
      </c>
      <c r="N540" s="171" t="s">
        <v>345</v>
      </c>
      <c r="O540" s="171">
        <v>252</v>
      </c>
      <c r="P540" s="171">
        <v>9.1258733015991655</v>
      </c>
      <c r="Q540" s="171">
        <v>250</v>
      </c>
      <c r="R540" s="171"/>
      <c r="S540" s="171"/>
      <c r="T540" s="36"/>
      <c r="U540" s="36"/>
      <c r="V540" s="36"/>
      <c r="W540" s="36"/>
      <c r="X540" s="36"/>
      <c r="Y540" s="36"/>
      <c r="Z540" s="36"/>
    </row>
    <row r="541" spans="1:26" ht="14">
      <c r="A541" s="169">
        <v>42515</v>
      </c>
      <c r="B541" s="169" t="s">
        <v>144</v>
      </c>
      <c r="C541" s="179">
        <v>2016</v>
      </c>
      <c r="D541" s="170">
        <v>8</v>
      </c>
      <c r="E541" s="170" t="s">
        <v>223</v>
      </c>
      <c r="F541" s="170" t="s">
        <v>317</v>
      </c>
      <c r="G541" s="170" t="s">
        <v>314</v>
      </c>
      <c r="H541" s="170" t="s">
        <v>346</v>
      </c>
      <c r="I541" s="170" t="s">
        <v>315</v>
      </c>
      <c r="J541" s="171" t="s">
        <v>347</v>
      </c>
      <c r="K541" s="171" t="s">
        <v>348</v>
      </c>
      <c r="L541" s="171">
        <v>2</v>
      </c>
      <c r="M541" s="171" t="s">
        <v>247</v>
      </c>
      <c r="N541" s="171" t="s">
        <v>345</v>
      </c>
      <c r="O541" s="171">
        <v>252</v>
      </c>
      <c r="P541" s="171">
        <v>0.79355420013905775</v>
      </c>
      <c r="Q541" s="171">
        <v>250</v>
      </c>
      <c r="R541" s="171"/>
      <c r="S541" s="171"/>
      <c r="T541" s="36"/>
      <c r="U541" s="36"/>
      <c r="V541" s="36"/>
      <c r="W541" s="36"/>
      <c r="X541" s="36"/>
      <c r="Y541" s="36"/>
      <c r="Z541" s="36"/>
    </row>
    <row r="542" spans="1:26" ht="14">
      <c r="A542" s="169">
        <v>42515</v>
      </c>
      <c r="B542" s="169" t="s">
        <v>144</v>
      </c>
      <c r="C542" s="179">
        <v>2016</v>
      </c>
      <c r="D542" s="170">
        <v>8</v>
      </c>
      <c r="E542" s="170" t="s">
        <v>223</v>
      </c>
      <c r="F542" s="170" t="s">
        <v>317</v>
      </c>
      <c r="G542" s="170" t="s">
        <v>314</v>
      </c>
      <c r="H542" s="170" t="s">
        <v>346</v>
      </c>
      <c r="I542" s="170" t="s">
        <v>315</v>
      </c>
      <c r="J542" s="171" t="s">
        <v>347</v>
      </c>
      <c r="K542" s="171" t="s">
        <v>368</v>
      </c>
      <c r="L542" s="171">
        <v>11</v>
      </c>
      <c r="M542" s="171" t="s">
        <v>247</v>
      </c>
      <c r="N542" s="171" t="s">
        <v>345</v>
      </c>
      <c r="O542" s="171">
        <v>249</v>
      </c>
      <c r="P542" s="171">
        <v>4.4171330176415031</v>
      </c>
      <c r="Q542" s="171">
        <v>250</v>
      </c>
      <c r="R542" s="171"/>
      <c r="S542" s="171"/>
      <c r="T542" s="36"/>
      <c r="U542" s="36"/>
      <c r="V542" s="36"/>
      <c r="W542" s="36"/>
      <c r="X542" s="36"/>
      <c r="Y542" s="36"/>
      <c r="Z542" s="36"/>
    </row>
    <row r="543" spans="1:26" ht="14">
      <c r="A543" s="13">
        <v>42263</v>
      </c>
      <c r="B543" s="35" t="s">
        <v>157</v>
      </c>
      <c r="C543" s="165">
        <v>2015</v>
      </c>
      <c r="D543" s="36">
        <v>5</v>
      </c>
      <c r="E543" s="51" t="s">
        <v>223</v>
      </c>
      <c r="F543" s="51" t="s">
        <v>317</v>
      </c>
      <c r="G543" s="51" t="s">
        <v>314</v>
      </c>
      <c r="H543" s="51" t="s">
        <v>346</v>
      </c>
      <c r="I543" s="51" t="s">
        <v>315</v>
      </c>
      <c r="J543" s="3" t="s">
        <v>347</v>
      </c>
      <c r="K543" s="3" t="s">
        <v>480</v>
      </c>
      <c r="L543" s="36">
        <v>1</v>
      </c>
      <c r="M543" s="36" t="s">
        <v>247</v>
      </c>
      <c r="N543" s="3" t="s">
        <v>345</v>
      </c>
      <c r="O543" s="3">
        <v>222</v>
      </c>
      <c r="P543" s="36">
        <v>0.45032312577471006</v>
      </c>
      <c r="Q543" s="36">
        <v>250</v>
      </c>
      <c r="R543" s="3"/>
      <c r="S543" s="3"/>
      <c r="T543" s="36"/>
      <c r="U543" s="36"/>
      <c r="V543" s="36"/>
      <c r="W543" s="36"/>
      <c r="X543" s="36"/>
      <c r="Y543" s="36"/>
      <c r="Z543" s="36"/>
    </row>
    <row r="544" spans="1:26" ht="14">
      <c r="A544" s="13">
        <v>42263</v>
      </c>
      <c r="B544" s="35" t="s">
        <v>157</v>
      </c>
      <c r="C544" s="165">
        <v>2015</v>
      </c>
      <c r="D544" s="36">
        <v>5</v>
      </c>
      <c r="E544" s="65" t="s">
        <v>223</v>
      </c>
      <c r="F544" s="36" t="s">
        <v>310</v>
      </c>
      <c r="G544" s="36" t="s">
        <v>314</v>
      </c>
      <c r="H544" s="65" t="s">
        <v>311</v>
      </c>
      <c r="I544" s="65" t="s">
        <v>315</v>
      </c>
      <c r="J544" s="65" t="s">
        <v>316</v>
      </c>
      <c r="K544" s="36" t="s">
        <v>484</v>
      </c>
      <c r="L544" s="36">
        <v>6</v>
      </c>
      <c r="M544" s="36" t="s">
        <v>247</v>
      </c>
      <c r="N544" s="3" t="s">
        <v>345</v>
      </c>
      <c r="O544" s="3">
        <v>222</v>
      </c>
      <c r="P544" s="36">
        <v>2.7019387546482601</v>
      </c>
      <c r="Q544" s="3">
        <v>250</v>
      </c>
      <c r="R544" s="3"/>
      <c r="S544" s="3"/>
      <c r="T544" s="36"/>
      <c r="U544" s="36"/>
      <c r="V544" s="36"/>
      <c r="W544" s="36"/>
      <c r="X544" s="36"/>
      <c r="Y544" s="36"/>
      <c r="Z544" s="36"/>
    </row>
    <row r="545" spans="1:26" ht="14">
      <c r="A545" s="13">
        <v>42263</v>
      </c>
      <c r="B545" s="72" t="s">
        <v>157</v>
      </c>
      <c r="C545" s="165">
        <v>2015</v>
      </c>
      <c r="D545" s="65">
        <v>8</v>
      </c>
      <c r="E545" s="52" t="s">
        <v>223</v>
      </c>
      <c r="F545" s="52" t="s">
        <v>317</v>
      </c>
      <c r="G545" s="52" t="s">
        <v>314</v>
      </c>
      <c r="H545" s="52" t="s">
        <v>346</v>
      </c>
      <c r="I545" s="52" t="s">
        <v>315</v>
      </c>
      <c r="J545" s="51" t="s">
        <v>365</v>
      </c>
      <c r="K545" s="3" t="s">
        <v>366</v>
      </c>
      <c r="L545" s="3">
        <v>1</v>
      </c>
      <c r="M545" s="36" t="s">
        <v>247</v>
      </c>
      <c r="N545" s="3" t="s">
        <v>345</v>
      </c>
      <c r="O545" s="3">
        <v>244</v>
      </c>
      <c r="P545" s="36">
        <v>0.4098360655737705</v>
      </c>
      <c r="Q545" s="36">
        <v>250</v>
      </c>
      <c r="R545" s="3"/>
      <c r="S545" s="3"/>
      <c r="T545" s="36"/>
      <c r="U545" s="36"/>
      <c r="V545" s="36"/>
      <c r="W545" s="36"/>
      <c r="X545" s="36"/>
      <c r="Y545" s="36"/>
      <c r="Z545" s="36"/>
    </row>
    <row r="546" spans="1:26" ht="14">
      <c r="A546" s="71">
        <v>42206</v>
      </c>
      <c r="B546" s="72" t="s">
        <v>154</v>
      </c>
      <c r="C546" s="165">
        <v>2015</v>
      </c>
      <c r="D546" s="36">
        <v>5</v>
      </c>
      <c r="E546" s="3" t="s">
        <v>223</v>
      </c>
      <c r="F546" s="3" t="s">
        <v>317</v>
      </c>
      <c r="G546" s="3" t="s">
        <v>314</v>
      </c>
      <c r="H546" s="3" t="s">
        <v>346</v>
      </c>
      <c r="I546" s="3" t="s">
        <v>315</v>
      </c>
      <c r="J546" s="3" t="s">
        <v>347</v>
      </c>
      <c r="K546" s="3"/>
      <c r="L546" s="3">
        <v>1</v>
      </c>
      <c r="M546" s="3" t="s">
        <v>229</v>
      </c>
      <c r="N546" s="36" t="s">
        <v>345</v>
      </c>
      <c r="O546" s="3">
        <v>251</v>
      </c>
      <c r="P546" s="65">
        <v>0.3983156294006901</v>
      </c>
      <c r="Q546" s="36">
        <v>250</v>
      </c>
      <c r="R546" s="3"/>
      <c r="S546" s="3"/>
      <c r="T546" s="36"/>
      <c r="U546" s="36"/>
      <c r="V546" s="36"/>
      <c r="W546" s="36"/>
      <c r="X546" s="36"/>
      <c r="Y546" s="36"/>
      <c r="Z546" s="36"/>
    </row>
    <row r="547" spans="1:26" ht="14">
      <c r="A547" s="71">
        <v>42206</v>
      </c>
      <c r="B547" s="72" t="s">
        <v>154</v>
      </c>
      <c r="C547" s="165">
        <v>2015</v>
      </c>
      <c r="D547" s="36">
        <v>5</v>
      </c>
      <c r="E547" s="65" t="s">
        <v>223</v>
      </c>
      <c r="F547" s="65" t="s">
        <v>310</v>
      </c>
      <c r="G547" s="65" t="s">
        <v>314</v>
      </c>
      <c r="H547" s="65" t="s">
        <v>311</v>
      </c>
      <c r="I547" s="65" t="s">
        <v>315</v>
      </c>
      <c r="J547" s="36" t="s">
        <v>316</v>
      </c>
      <c r="K547" s="3"/>
      <c r="L547" s="3">
        <v>3</v>
      </c>
      <c r="M547" s="3" t="s">
        <v>229</v>
      </c>
      <c r="N547" s="36" t="s">
        <v>345</v>
      </c>
      <c r="O547" s="3">
        <v>251</v>
      </c>
      <c r="P547" s="65">
        <v>1.1949468882020704</v>
      </c>
      <c r="Q547" s="3">
        <v>250</v>
      </c>
      <c r="R547" s="3"/>
      <c r="S547" s="3"/>
      <c r="T547" s="36"/>
      <c r="U547" s="36"/>
      <c r="V547" s="36"/>
      <c r="W547" s="36"/>
      <c r="X547" s="36"/>
      <c r="Y547" s="36"/>
      <c r="Z547" s="36"/>
    </row>
    <row r="548" spans="1:26" ht="14">
      <c r="A548" s="71">
        <v>42206</v>
      </c>
      <c r="B548" s="72" t="s">
        <v>154</v>
      </c>
      <c r="C548" s="165">
        <v>2015</v>
      </c>
      <c r="D548" s="65">
        <v>8</v>
      </c>
      <c r="E548" s="3" t="s">
        <v>223</v>
      </c>
      <c r="F548" s="3" t="s">
        <v>317</v>
      </c>
      <c r="G548" s="3" t="s">
        <v>314</v>
      </c>
      <c r="H548" s="3" t="s">
        <v>346</v>
      </c>
      <c r="I548" s="3" t="s">
        <v>315</v>
      </c>
      <c r="J548" s="3" t="s">
        <v>347</v>
      </c>
      <c r="K548" s="3"/>
      <c r="L548" s="3">
        <v>10</v>
      </c>
      <c r="M548" s="3" t="s">
        <v>229</v>
      </c>
      <c r="N548" s="36" t="s">
        <v>345</v>
      </c>
      <c r="O548" s="3">
        <v>199</v>
      </c>
      <c r="P548" s="65">
        <v>5.0207624713163339</v>
      </c>
      <c r="Q548" s="3">
        <v>250</v>
      </c>
      <c r="R548" s="3" t="s">
        <v>478</v>
      </c>
      <c r="S548" s="3"/>
      <c r="T548" s="36"/>
      <c r="U548" s="36"/>
      <c r="V548" s="36"/>
      <c r="W548" s="36"/>
      <c r="X548" s="36"/>
      <c r="Y548" s="36"/>
      <c r="Z548" s="36"/>
    </row>
    <row r="549" spans="1:26" ht="14">
      <c r="A549" s="71">
        <v>42206</v>
      </c>
      <c r="B549" s="72" t="s">
        <v>154</v>
      </c>
      <c r="C549" s="165">
        <v>2015</v>
      </c>
      <c r="D549" s="65">
        <v>8</v>
      </c>
      <c r="E549" s="65" t="s">
        <v>223</v>
      </c>
      <c r="F549" s="65" t="s">
        <v>310</v>
      </c>
      <c r="G549" s="65" t="s">
        <v>314</v>
      </c>
      <c r="H549" s="65" t="s">
        <v>311</v>
      </c>
      <c r="I549" s="65" t="s">
        <v>315</v>
      </c>
      <c r="J549" s="36" t="s">
        <v>316</v>
      </c>
      <c r="K549" s="3"/>
      <c r="L549" s="3">
        <v>5</v>
      </c>
      <c r="M549" s="3" t="s">
        <v>229</v>
      </c>
      <c r="N549" s="36" t="s">
        <v>345</v>
      </c>
      <c r="O549" s="3">
        <v>199</v>
      </c>
      <c r="P549" s="65">
        <v>2.510381235658167</v>
      </c>
      <c r="Q549" s="36">
        <v>250</v>
      </c>
      <c r="R549" s="3"/>
      <c r="S549" s="3"/>
      <c r="T549" s="36"/>
      <c r="U549" s="36"/>
      <c r="V549" s="36"/>
      <c r="W549" s="36"/>
      <c r="X549" s="36"/>
      <c r="Y549" s="36"/>
      <c r="Z549" s="36"/>
    </row>
    <row r="550" spans="1:26" ht="14">
      <c r="A550" s="71">
        <v>42144</v>
      </c>
      <c r="B550" s="72" t="s">
        <v>144</v>
      </c>
      <c r="C550" s="165">
        <v>2015</v>
      </c>
      <c r="D550" s="65">
        <v>2</v>
      </c>
      <c r="E550" s="3" t="s">
        <v>223</v>
      </c>
      <c r="F550" s="3" t="s">
        <v>310</v>
      </c>
      <c r="G550" s="3" t="s">
        <v>314</v>
      </c>
      <c r="H550" s="3" t="s">
        <v>311</v>
      </c>
      <c r="I550" s="3" t="s">
        <v>315</v>
      </c>
      <c r="J550" s="3" t="s">
        <v>347</v>
      </c>
      <c r="K550" s="3"/>
      <c r="L550" s="3">
        <v>1</v>
      </c>
      <c r="M550" s="36" t="s">
        <v>229</v>
      </c>
      <c r="N550" s="3" t="s">
        <v>345</v>
      </c>
      <c r="O550" s="3">
        <v>333</v>
      </c>
      <c r="P550" s="65">
        <v>0.30022231204405447</v>
      </c>
      <c r="Q550" s="3">
        <v>250</v>
      </c>
      <c r="R550" s="3"/>
      <c r="S550" s="3"/>
      <c r="T550" s="36"/>
      <c r="U550" s="36"/>
      <c r="V550" s="36"/>
      <c r="W550" s="36"/>
      <c r="X550" s="36"/>
      <c r="Y550" s="36"/>
      <c r="Z550" s="36"/>
    </row>
    <row r="551" spans="1:26" ht="14">
      <c r="A551" s="35">
        <v>42144</v>
      </c>
      <c r="B551" s="72" t="s">
        <v>144</v>
      </c>
      <c r="C551" s="165">
        <v>2015</v>
      </c>
      <c r="D551" s="36">
        <v>4</v>
      </c>
      <c r="E551" s="65" t="s">
        <v>223</v>
      </c>
      <c r="F551" s="65" t="s">
        <v>310</v>
      </c>
      <c r="G551" s="65" t="s">
        <v>314</v>
      </c>
      <c r="H551" s="65" t="s">
        <v>311</v>
      </c>
      <c r="I551" s="65" t="s">
        <v>315</v>
      </c>
      <c r="J551" s="65" t="s">
        <v>316</v>
      </c>
      <c r="K551" s="36"/>
      <c r="L551" s="36">
        <v>1</v>
      </c>
      <c r="M551" s="36" t="s">
        <v>229</v>
      </c>
      <c r="N551" s="36" t="s">
        <v>345</v>
      </c>
      <c r="O551" s="36">
        <v>229</v>
      </c>
      <c r="P551" s="65">
        <v>0.43629167816834835</v>
      </c>
      <c r="Q551" s="65">
        <v>250</v>
      </c>
      <c r="R551" s="65"/>
      <c r="S551" s="65"/>
      <c r="T551" s="65"/>
      <c r="U551" s="36"/>
      <c r="V551" s="36"/>
      <c r="W551" s="36"/>
      <c r="X551" s="36"/>
      <c r="Y551" s="36"/>
      <c r="Z551" s="36"/>
    </row>
    <row r="552" spans="1:26" ht="14">
      <c r="A552" s="72">
        <v>42144</v>
      </c>
      <c r="B552" s="72" t="s">
        <v>144</v>
      </c>
      <c r="C552" s="165">
        <v>2015</v>
      </c>
      <c r="D552" s="36">
        <v>5</v>
      </c>
      <c r="E552" s="36" t="s">
        <v>223</v>
      </c>
      <c r="F552" s="36" t="s">
        <v>310</v>
      </c>
      <c r="G552" s="36" t="s">
        <v>314</v>
      </c>
      <c r="H552" s="36" t="s">
        <v>311</v>
      </c>
      <c r="I552" s="36" t="s">
        <v>315</v>
      </c>
      <c r="J552" s="36" t="s">
        <v>347</v>
      </c>
      <c r="K552" s="36"/>
      <c r="L552" s="36">
        <v>1</v>
      </c>
      <c r="M552" s="36" t="s">
        <v>229</v>
      </c>
      <c r="N552" s="36" t="s">
        <v>345</v>
      </c>
      <c r="O552" s="36">
        <v>327</v>
      </c>
      <c r="P552" s="65">
        <v>0.3056978920604308</v>
      </c>
      <c r="Q552" s="36">
        <v>250</v>
      </c>
      <c r="R552" s="36"/>
      <c r="S552" s="36"/>
      <c r="T552" s="36"/>
      <c r="U552" s="36"/>
      <c r="V552" s="36"/>
      <c r="W552" s="36"/>
      <c r="X552" s="36"/>
      <c r="Y552" s="36"/>
      <c r="Z552" s="36"/>
    </row>
    <row r="553" spans="1:26" ht="14">
      <c r="A553" s="13">
        <v>41912</v>
      </c>
      <c r="B553" s="35" t="s">
        <v>157</v>
      </c>
      <c r="C553" s="165">
        <v>2014</v>
      </c>
      <c r="D553" s="36">
        <v>5</v>
      </c>
      <c r="E553" s="51" t="s">
        <v>223</v>
      </c>
      <c r="F553" s="51" t="s">
        <v>310</v>
      </c>
      <c r="G553" s="51" t="s">
        <v>314</v>
      </c>
      <c r="H553" s="51" t="s">
        <v>311</v>
      </c>
      <c r="I553" s="51" t="s">
        <v>315</v>
      </c>
      <c r="J553" s="3" t="s">
        <v>316</v>
      </c>
      <c r="K553" s="3"/>
      <c r="L553" s="3">
        <v>1</v>
      </c>
      <c r="M553" s="36" t="s">
        <v>229</v>
      </c>
      <c r="N553" s="3" t="s">
        <v>345</v>
      </c>
      <c r="O553" s="3">
        <v>216</v>
      </c>
      <c r="P553" s="65">
        <v>0.46205433924743899</v>
      </c>
      <c r="Q553" s="3">
        <v>250</v>
      </c>
      <c r="R553" s="3"/>
      <c r="S553" s="3"/>
      <c r="T553" s="36"/>
      <c r="U553" s="36"/>
      <c r="V553" s="36"/>
      <c r="W553" s="36"/>
      <c r="X553" s="36"/>
      <c r="Y553" s="36"/>
      <c r="Z553" s="36"/>
    </row>
    <row r="554" spans="1:26" ht="14">
      <c r="A554" s="13">
        <v>41912</v>
      </c>
      <c r="B554" s="35" t="s">
        <v>157</v>
      </c>
      <c r="C554" s="165">
        <v>2014</v>
      </c>
      <c r="D554" s="36">
        <v>5</v>
      </c>
      <c r="E554" s="51" t="s">
        <v>223</v>
      </c>
      <c r="F554" s="51" t="s">
        <v>310</v>
      </c>
      <c r="G554" s="51" t="s">
        <v>314</v>
      </c>
      <c r="H554" s="51" t="s">
        <v>311</v>
      </c>
      <c r="I554" s="51" t="s">
        <v>315</v>
      </c>
      <c r="J554" s="3" t="s">
        <v>347</v>
      </c>
      <c r="K554" s="3"/>
      <c r="L554" s="3">
        <v>3</v>
      </c>
      <c r="M554" s="36" t="s">
        <v>229</v>
      </c>
      <c r="N554" s="3" t="s">
        <v>345</v>
      </c>
      <c r="O554" s="3">
        <v>216</v>
      </c>
      <c r="P554" s="65">
        <v>1.3861630177423172</v>
      </c>
      <c r="Q554" s="36">
        <v>250</v>
      </c>
      <c r="R554" s="3"/>
      <c r="S554" s="3"/>
      <c r="T554" s="36"/>
      <c r="U554" s="36"/>
      <c r="V554" s="36"/>
      <c r="W554" s="36"/>
      <c r="X554" s="36"/>
      <c r="Y554" s="36"/>
      <c r="Z554" s="36"/>
    </row>
    <row r="555" spans="1:26" ht="14">
      <c r="A555" s="13">
        <v>41912</v>
      </c>
      <c r="B555" s="35" t="s">
        <v>157</v>
      </c>
      <c r="C555" s="165">
        <v>2014</v>
      </c>
      <c r="D555" s="65">
        <v>8</v>
      </c>
      <c r="E555" s="51" t="s">
        <v>223</v>
      </c>
      <c r="F555" s="51" t="s">
        <v>310</v>
      </c>
      <c r="G555" s="51" t="s">
        <v>314</v>
      </c>
      <c r="H555" s="51" t="s">
        <v>311</v>
      </c>
      <c r="I555" s="51" t="s">
        <v>315</v>
      </c>
      <c r="J555" s="51" t="s">
        <v>316</v>
      </c>
      <c r="K555" s="3"/>
      <c r="L555" s="3">
        <v>7</v>
      </c>
      <c r="M555" s="36" t="s">
        <v>229</v>
      </c>
      <c r="N555" s="3" t="s">
        <v>345</v>
      </c>
      <c r="O555" s="3">
        <v>217</v>
      </c>
      <c r="P555" s="65">
        <v>3.2247240038027556</v>
      </c>
      <c r="Q555" s="3">
        <v>250</v>
      </c>
      <c r="R555" s="3" t="s">
        <v>495</v>
      </c>
      <c r="S555" s="3"/>
      <c r="T555" s="36"/>
      <c r="U555" s="36"/>
      <c r="V555" s="36"/>
      <c r="W555" s="36"/>
      <c r="X555" s="36"/>
      <c r="Y555" s="36"/>
      <c r="Z555" s="36"/>
    </row>
    <row r="556" spans="1:26" ht="14">
      <c r="A556" s="13">
        <v>41912</v>
      </c>
      <c r="B556" s="35" t="s">
        <v>157</v>
      </c>
      <c r="C556" s="165">
        <v>2014</v>
      </c>
      <c r="D556" s="65">
        <v>8</v>
      </c>
      <c r="E556" s="51" t="s">
        <v>223</v>
      </c>
      <c r="F556" s="51" t="s">
        <v>310</v>
      </c>
      <c r="G556" s="51" t="s">
        <v>314</v>
      </c>
      <c r="H556" s="51" t="s">
        <v>311</v>
      </c>
      <c r="I556" s="51" t="s">
        <v>315</v>
      </c>
      <c r="J556" s="3" t="s">
        <v>347</v>
      </c>
      <c r="K556" s="3"/>
      <c r="L556" s="3">
        <v>2</v>
      </c>
      <c r="M556" s="36" t="s">
        <v>229</v>
      </c>
      <c r="N556" s="3" t="s">
        <v>345</v>
      </c>
      <c r="O556" s="3">
        <v>217</v>
      </c>
      <c r="P556" s="65">
        <v>0.92134971537221577</v>
      </c>
      <c r="Q556" s="36">
        <v>250</v>
      </c>
      <c r="R556" s="3"/>
      <c r="S556" s="3"/>
      <c r="T556" s="36"/>
      <c r="U556" s="36"/>
      <c r="V556" s="36"/>
      <c r="W556" s="36"/>
      <c r="X556" s="36"/>
      <c r="Y556" s="36"/>
      <c r="Z556" s="36"/>
    </row>
    <row r="557" spans="1:26" ht="14">
      <c r="A557" s="71">
        <v>41542</v>
      </c>
      <c r="B557" s="64" t="s">
        <v>157</v>
      </c>
      <c r="C557" s="165">
        <v>2013</v>
      </c>
      <c r="D557" s="51">
        <v>2</v>
      </c>
      <c r="E557" s="3" t="s">
        <v>223</v>
      </c>
      <c r="F557" s="3" t="s">
        <v>310</v>
      </c>
      <c r="G557" s="3" t="s">
        <v>314</v>
      </c>
      <c r="H557" s="3" t="s">
        <v>311</v>
      </c>
      <c r="I557" s="3" t="s">
        <v>315</v>
      </c>
      <c r="J557" s="3" t="s">
        <v>347</v>
      </c>
      <c r="K557" s="3" t="s">
        <v>348</v>
      </c>
      <c r="L557" s="3">
        <v>1</v>
      </c>
      <c r="M557" s="3" t="s">
        <v>247</v>
      </c>
      <c r="N557" s="3" t="s">
        <v>345</v>
      </c>
      <c r="O557" s="3">
        <v>110</v>
      </c>
      <c r="P557" s="65">
        <v>0.90090212217539389</v>
      </c>
      <c r="Q557" s="3">
        <v>250</v>
      </c>
      <c r="R557" s="3"/>
      <c r="S557" s="3"/>
      <c r="T557" s="36"/>
      <c r="U557" s="36"/>
      <c r="V557" s="36"/>
      <c r="W557" s="36"/>
      <c r="X557" s="36"/>
      <c r="Y557" s="36"/>
      <c r="Z557" s="36"/>
    </row>
    <row r="558" spans="1:26" ht="14">
      <c r="A558" s="71">
        <v>41542</v>
      </c>
      <c r="B558" s="72" t="s">
        <v>157</v>
      </c>
      <c r="C558" s="165">
        <v>2013</v>
      </c>
      <c r="D558" s="51">
        <v>4</v>
      </c>
      <c r="E558" s="51" t="s">
        <v>223</v>
      </c>
      <c r="F558" s="51" t="s">
        <v>310</v>
      </c>
      <c r="G558" s="51" t="s">
        <v>314</v>
      </c>
      <c r="H558" s="51" t="s">
        <v>311</v>
      </c>
      <c r="I558" s="51" t="s">
        <v>315</v>
      </c>
      <c r="J558" s="3" t="s">
        <v>316</v>
      </c>
      <c r="K558" s="3"/>
      <c r="L558" s="3">
        <v>1</v>
      </c>
      <c r="M558" s="3" t="s">
        <v>229</v>
      </c>
      <c r="N558" s="3" t="s">
        <v>345</v>
      </c>
      <c r="O558" s="3">
        <v>159</v>
      </c>
      <c r="P558" s="65">
        <v>0.62206233822921186</v>
      </c>
      <c r="Q558" s="3">
        <v>250</v>
      </c>
      <c r="R558" s="3"/>
      <c r="S558" s="3"/>
      <c r="T558" s="36"/>
      <c r="U558" s="36"/>
      <c r="V558" s="36"/>
      <c r="W558" s="36"/>
      <c r="X558" s="36"/>
      <c r="Y558" s="36"/>
      <c r="Z558" s="36"/>
    </row>
    <row r="559" spans="1:26" ht="14">
      <c r="A559" s="71">
        <v>41542</v>
      </c>
      <c r="B559" s="64" t="s">
        <v>157</v>
      </c>
      <c r="C559" s="165">
        <v>2013</v>
      </c>
      <c r="D559" s="51">
        <v>5</v>
      </c>
      <c r="E559" s="3" t="s">
        <v>223</v>
      </c>
      <c r="F559" s="3" t="s">
        <v>310</v>
      </c>
      <c r="G559" s="3" t="s">
        <v>314</v>
      </c>
      <c r="H559" s="3" t="s">
        <v>311</v>
      </c>
      <c r="I559" s="3" t="s">
        <v>315</v>
      </c>
      <c r="J559" s="3" t="s">
        <v>347</v>
      </c>
      <c r="K559" s="3" t="s">
        <v>348</v>
      </c>
      <c r="L559" s="3">
        <v>1</v>
      </c>
      <c r="M559" s="3" t="s">
        <v>247</v>
      </c>
      <c r="N559" s="3" t="s">
        <v>345</v>
      </c>
      <c r="O559" s="3">
        <v>206</v>
      </c>
      <c r="P559" s="65">
        <v>0.48528051994299326</v>
      </c>
      <c r="Q559" s="3">
        <v>250</v>
      </c>
      <c r="R559" s="3"/>
      <c r="S559" s="3"/>
      <c r="T559" s="36"/>
      <c r="U559" s="36"/>
      <c r="V559" s="36"/>
      <c r="W559" s="36"/>
      <c r="X559" s="36"/>
      <c r="Y559" s="36"/>
      <c r="Z559" s="36"/>
    </row>
    <row r="560" spans="1:26" ht="14">
      <c r="A560" s="13">
        <v>41480</v>
      </c>
      <c r="B560" s="72" t="s">
        <v>154</v>
      </c>
      <c r="C560" s="165">
        <v>2013</v>
      </c>
      <c r="D560" s="51">
        <v>4</v>
      </c>
      <c r="E560" s="51" t="s">
        <v>223</v>
      </c>
      <c r="F560" s="51" t="s">
        <v>317</v>
      </c>
      <c r="G560" s="51" t="s">
        <v>314</v>
      </c>
      <c r="H560" s="51" t="s">
        <v>346</v>
      </c>
      <c r="I560" s="51" t="s">
        <v>315</v>
      </c>
      <c r="J560" s="3" t="s">
        <v>347</v>
      </c>
      <c r="K560" s="3" t="s">
        <v>348</v>
      </c>
      <c r="L560" s="3">
        <v>1</v>
      </c>
      <c r="M560" s="3" t="s">
        <v>247</v>
      </c>
      <c r="N560" s="3" t="s">
        <v>345</v>
      </c>
      <c r="O560" s="3">
        <v>124</v>
      </c>
      <c r="P560" s="36">
        <v>0.80423522173133577</v>
      </c>
      <c r="Q560" s="3">
        <v>250</v>
      </c>
      <c r="R560" s="3"/>
      <c r="S560" s="3"/>
      <c r="T560" s="36"/>
      <c r="U560" s="36"/>
      <c r="V560" s="36"/>
      <c r="W560" s="36"/>
      <c r="X560" s="36"/>
      <c r="Y560" s="36"/>
      <c r="Z560" s="36"/>
    </row>
    <row r="561" spans="1:26" ht="14">
      <c r="A561" s="13">
        <v>41480</v>
      </c>
      <c r="B561" s="64" t="s">
        <v>154</v>
      </c>
      <c r="C561" s="165">
        <v>2013</v>
      </c>
      <c r="D561" s="51">
        <v>5</v>
      </c>
      <c r="E561" s="51" t="s">
        <v>223</v>
      </c>
      <c r="F561" s="51" t="s">
        <v>317</v>
      </c>
      <c r="G561" s="51" t="s">
        <v>314</v>
      </c>
      <c r="H561" s="51" t="s">
        <v>346</v>
      </c>
      <c r="I561" s="51" t="s">
        <v>315</v>
      </c>
      <c r="J561" s="3" t="s">
        <v>347</v>
      </c>
      <c r="K561" s="3" t="s">
        <v>348</v>
      </c>
      <c r="L561" s="3">
        <v>1</v>
      </c>
      <c r="M561" s="3" t="s">
        <v>247</v>
      </c>
      <c r="N561" s="3" t="s">
        <v>345</v>
      </c>
      <c r="O561" s="3">
        <v>155</v>
      </c>
      <c r="P561" s="65">
        <v>0.64507032099814654</v>
      </c>
      <c r="Q561" s="3">
        <v>250</v>
      </c>
      <c r="R561" s="3"/>
      <c r="S561" s="3"/>
      <c r="T561" s="36"/>
      <c r="U561" s="36"/>
      <c r="V561" s="36"/>
      <c r="W561" s="36"/>
      <c r="X561" s="36"/>
      <c r="Y561" s="36"/>
      <c r="Z561" s="36"/>
    </row>
    <row r="562" spans="1:26" ht="14">
      <c r="A562" s="13">
        <v>41480</v>
      </c>
      <c r="B562" s="35" t="s">
        <v>154</v>
      </c>
      <c r="C562" s="165">
        <v>2013</v>
      </c>
      <c r="D562" s="51">
        <v>8</v>
      </c>
      <c r="E562" s="3" t="s">
        <v>223</v>
      </c>
      <c r="F562" s="3" t="s">
        <v>310</v>
      </c>
      <c r="G562" s="3" t="s">
        <v>314</v>
      </c>
      <c r="H562" s="3" t="s">
        <v>311</v>
      </c>
      <c r="I562" s="3" t="s">
        <v>315</v>
      </c>
      <c r="J562" s="3" t="s">
        <v>343</v>
      </c>
      <c r="K562" s="3" t="s">
        <v>344</v>
      </c>
      <c r="L562" s="3">
        <v>3</v>
      </c>
      <c r="M562" s="3" t="s">
        <v>247</v>
      </c>
      <c r="N562" s="3" t="s">
        <v>345</v>
      </c>
      <c r="O562" s="3">
        <v>251</v>
      </c>
      <c r="P562" s="65">
        <v>1.1951659620839281</v>
      </c>
      <c r="Q562" s="3">
        <v>250</v>
      </c>
      <c r="R562" s="3"/>
      <c r="S562" s="3"/>
      <c r="T562" s="36"/>
      <c r="U562" s="36"/>
      <c r="V562" s="36"/>
      <c r="W562" s="36"/>
      <c r="X562" s="36"/>
      <c r="Y562" s="36"/>
      <c r="Z562" s="36"/>
    </row>
    <row r="563" spans="1:26" ht="14">
      <c r="A563" s="13">
        <v>41480</v>
      </c>
      <c r="B563" s="64" t="s">
        <v>154</v>
      </c>
      <c r="C563" s="165">
        <v>2013</v>
      </c>
      <c r="D563" s="51">
        <v>8</v>
      </c>
      <c r="E563" s="51" t="s">
        <v>223</v>
      </c>
      <c r="F563" s="51" t="s">
        <v>310</v>
      </c>
      <c r="G563" s="51" t="s">
        <v>314</v>
      </c>
      <c r="H563" s="51" t="s">
        <v>311</v>
      </c>
      <c r="I563" s="51" t="s">
        <v>315</v>
      </c>
      <c r="J563" s="3" t="s">
        <v>316</v>
      </c>
      <c r="K563" s="3" t="s">
        <v>342</v>
      </c>
      <c r="L563" s="3">
        <v>4</v>
      </c>
      <c r="M563" s="3" t="s">
        <v>247</v>
      </c>
      <c r="N563" s="3" t="s">
        <v>345</v>
      </c>
      <c r="O563" s="3">
        <v>251</v>
      </c>
      <c r="P563" s="65">
        <v>1.5935546161119041</v>
      </c>
      <c r="Q563" s="3">
        <v>250</v>
      </c>
      <c r="R563" s="3"/>
      <c r="S563" s="3"/>
      <c r="T563" s="36"/>
      <c r="U563" s="36"/>
      <c r="V563" s="36"/>
      <c r="W563" s="36"/>
      <c r="X563" s="36"/>
      <c r="Y563" s="36"/>
      <c r="Z563" s="36"/>
    </row>
    <row r="564" spans="1:26" ht="14">
      <c r="A564" s="72">
        <v>41422</v>
      </c>
      <c r="B564" s="72" t="s">
        <v>144</v>
      </c>
      <c r="C564" s="165">
        <v>2013</v>
      </c>
      <c r="D564" s="65">
        <v>2</v>
      </c>
      <c r="E564" s="36" t="s">
        <v>223</v>
      </c>
      <c r="F564" s="36" t="s">
        <v>317</v>
      </c>
      <c r="G564" s="36"/>
      <c r="H564" s="36" t="s">
        <v>311</v>
      </c>
      <c r="I564" s="36" t="s">
        <v>318</v>
      </c>
      <c r="J564" s="36" t="s">
        <v>319</v>
      </c>
      <c r="K564" s="36"/>
      <c r="L564" s="36">
        <v>11</v>
      </c>
      <c r="M564" s="36" t="s">
        <v>229</v>
      </c>
      <c r="N564" s="36" t="s">
        <v>345</v>
      </c>
      <c r="O564" s="36">
        <v>40</v>
      </c>
      <c r="P564" s="36">
        <v>27.48701915219327</v>
      </c>
      <c r="Q564" s="36">
        <v>250</v>
      </c>
      <c r="R564" s="36" t="s">
        <v>271</v>
      </c>
      <c r="S564" s="36"/>
      <c r="T564" s="36"/>
      <c r="U564" s="36"/>
      <c r="V564" s="36"/>
      <c r="W564" s="36"/>
      <c r="X564" s="36"/>
      <c r="Y564" s="36"/>
      <c r="Z564" s="36"/>
    </row>
    <row r="565" spans="1:26" ht="14">
      <c r="A565" s="71">
        <v>41422</v>
      </c>
      <c r="B565" s="64" t="s">
        <v>144</v>
      </c>
      <c r="C565" s="165">
        <v>2013</v>
      </c>
      <c r="D565" s="51">
        <v>2</v>
      </c>
      <c r="E565" s="3" t="s">
        <v>223</v>
      </c>
      <c r="F565" s="3" t="s">
        <v>310</v>
      </c>
      <c r="G565" s="3"/>
      <c r="H565" s="3" t="s">
        <v>311</v>
      </c>
      <c r="I565" s="3" t="s">
        <v>312</v>
      </c>
      <c r="J565" s="3" t="s">
        <v>313</v>
      </c>
      <c r="K565" s="3"/>
      <c r="L565" s="3">
        <v>2</v>
      </c>
      <c r="M565" s="3" t="s">
        <v>229</v>
      </c>
      <c r="N565" s="3" t="s">
        <v>345</v>
      </c>
      <c r="O565" s="3">
        <v>40</v>
      </c>
      <c r="P565" s="65">
        <v>4.997639845853322</v>
      </c>
      <c r="Q565" s="3">
        <v>250</v>
      </c>
      <c r="R565" s="3"/>
      <c r="S565" s="3"/>
      <c r="T565" s="36"/>
      <c r="U565" s="36"/>
      <c r="V565" s="36"/>
      <c r="W565" s="36"/>
      <c r="X565" s="36"/>
      <c r="Y565" s="36"/>
      <c r="Z565" s="36"/>
    </row>
    <row r="566" spans="1:26" ht="14">
      <c r="A566" s="13">
        <v>41422</v>
      </c>
      <c r="B566" s="72" t="s">
        <v>144</v>
      </c>
      <c r="C566" s="165">
        <v>2013</v>
      </c>
      <c r="D566" s="51">
        <v>4</v>
      </c>
      <c r="E566" s="3" t="s">
        <v>223</v>
      </c>
      <c r="F566" s="3" t="s">
        <v>310</v>
      </c>
      <c r="G566" s="3" t="s">
        <v>314</v>
      </c>
      <c r="H566" s="3" t="s">
        <v>311</v>
      </c>
      <c r="I566" s="3" t="s">
        <v>312</v>
      </c>
      <c r="J566" s="3" t="s">
        <v>313</v>
      </c>
      <c r="K566" s="3"/>
      <c r="L566" s="3">
        <v>4</v>
      </c>
      <c r="M566" s="3" t="s">
        <v>229</v>
      </c>
      <c r="N566" s="3" t="s">
        <v>345</v>
      </c>
      <c r="O566" s="3">
        <v>106</v>
      </c>
      <c r="P566" s="65">
        <v>3.7680184894974786</v>
      </c>
      <c r="Q566" s="3">
        <v>250</v>
      </c>
      <c r="R566" s="3"/>
      <c r="S566" s="3"/>
      <c r="T566" s="36"/>
      <c r="U566" s="36"/>
      <c r="V566" s="36"/>
      <c r="W566" s="36"/>
      <c r="X566" s="36"/>
      <c r="Y566" s="36"/>
      <c r="Z566" s="36"/>
    </row>
    <row r="567" spans="1:26" ht="14">
      <c r="A567" s="13">
        <v>41422</v>
      </c>
      <c r="B567" s="64" t="s">
        <v>144</v>
      </c>
      <c r="C567" s="165">
        <v>2013</v>
      </c>
      <c r="D567" s="51">
        <v>4</v>
      </c>
      <c r="E567" s="3" t="s">
        <v>223</v>
      </c>
      <c r="F567" s="3" t="s">
        <v>310</v>
      </c>
      <c r="G567" s="3" t="s">
        <v>314</v>
      </c>
      <c r="H567" s="3" t="s">
        <v>311</v>
      </c>
      <c r="I567" s="3" t="s">
        <v>315</v>
      </c>
      <c r="J567" s="3" t="s">
        <v>316</v>
      </c>
      <c r="K567" s="3"/>
      <c r="L567" s="3">
        <v>3</v>
      </c>
      <c r="M567" s="3" t="s">
        <v>229</v>
      </c>
      <c r="N567" s="3" t="s">
        <v>345</v>
      </c>
      <c r="O567" s="3">
        <v>106</v>
      </c>
      <c r="P567" s="65">
        <v>2.8260138671231094</v>
      </c>
      <c r="Q567" s="3">
        <v>250</v>
      </c>
      <c r="R567" s="3"/>
      <c r="S567" s="3"/>
      <c r="T567" s="36"/>
      <c r="U567" s="36"/>
      <c r="V567" s="36"/>
      <c r="W567" s="36"/>
      <c r="X567" s="36"/>
      <c r="Y567" s="36"/>
      <c r="Z567" s="36"/>
    </row>
    <row r="568" spans="1:26" ht="14">
      <c r="A568" s="72">
        <v>42206</v>
      </c>
      <c r="B568" s="72" t="s">
        <v>154</v>
      </c>
      <c r="C568" s="165">
        <v>2015</v>
      </c>
      <c r="D568" s="65">
        <v>2</v>
      </c>
      <c r="E568" s="36" t="s">
        <v>223</v>
      </c>
      <c r="F568" s="36" t="s">
        <v>224</v>
      </c>
      <c r="G568" s="36" t="s">
        <v>225</v>
      </c>
      <c r="H568" s="36" t="s">
        <v>226</v>
      </c>
      <c r="I568" s="36" t="s">
        <v>235</v>
      </c>
      <c r="J568" s="36" t="s">
        <v>236</v>
      </c>
      <c r="K568" s="36"/>
      <c r="L568" s="36">
        <v>1</v>
      </c>
      <c r="M568" s="36" t="s">
        <v>229</v>
      </c>
      <c r="N568" s="36" t="s">
        <v>238</v>
      </c>
      <c r="O568" s="36">
        <v>337</v>
      </c>
      <c r="P568" s="36">
        <v>0.29663811623326186</v>
      </c>
      <c r="Q568" s="36">
        <v>250</v>
      </c>
      <c r="R568" s="36"/>
      <c r="S568" s="36"/>
      <c r="T568" s="36"/>
      <c r="U568" s="36"/>
      <c r="V568" s="36"/>
      <c r="W568" s="36"/>
      <c r="X568" s="36"/>
      <c r="Y568" s="36"/>
      <c r="Z568" s="36"/>
    </row>
    <row r="569" spans="1:26" ht="14">
      <c r="A569" s="13">
        <v>41542</v>
      </c>
      <c r="B569" s="64" t="s">
        <v>157</v>
      </c>
      <c r="C569" s="165">
        <v>2013</v>
      </c>
      <c r="D569" s="51">
        <v>4</v>
      </c>
      <c r="E569" s="3" t="s">
        <v>223</v>
      </c>
      <c r="F569" s="3" t="s">
        <v>224</v>
      </c>
      <c r="G569" s="3" t="s">
        <v>225</v>
      </c>
      <c r="H569" s="3" t="s">
        <v>226</v>
      </c>
      <c r="I569" s="3" t="s">
        <v>235</v>
      </c>
      <c r="J569" s="3" t="s">
        <v>236</v>
      </c>
      <c r="K569" s="3" t="s">
        <v>237</v>
      </c>
      <c r="L569" s="3">
        <v>7</v>
      </c>
      <c r="M569" s="3" t="s">
        <v>247</v>
      </c>
      <c r="N569" s="3" t="s">
        <v>238</v>
      </c>
      <c r="O569" s="3">
        <v>159</v>
      </c>
      <c r="P569" s="36">
        <v>4.3544363676044817</v>
      </c>
      <c r="Q569" s="3">
        <v>250</v>
      </c>
      <c r="R569" s="3"/>
      <c r="S569" s="3"/>
      <c r="T569" s="36"/>
      <c r="U569" s="36"/>
      <c r="V569" s="36"/>
      <c r="W569" s="36"/>
      <c r="X569" s="36"/>
      <c r="Y569" s="36"/>
      <c r="Z569" s="36"/>
    </row>
    <row r="570" spans="1:26" ht="14">
      <c r="A570" s="71">
        <v>41542</v>
      </c>
      <c r="B570" s="72" t="s">
        <v>157</v>
      </c>
      <c r="C570" s="165">
        <v>2013</v>
      </c>
      <c r="D570" s="51">
        <v>5</v>
      </c>
      <c r="E570" s="51" t="s">
        <v>223</v>
      </c>
      <c r="F570" s="51" t="s">
        <v>224</v>
      </c>
      <c r="G570" s="51" t="s">
        <v>225</v>
      </c>
      <c r="H570" s="51" t="s">
        <v>226</v>
      </c>
      <c r="I570" s="51" t="s">
        <v>235</v>
      </c>
      <c r="J570" s="51" t="s">
        <v>236</v>
      </c>
      <c r="K570" s="3" t="s">
        <v>237</v>
      </c>
      <c r="L570" s="3">
        <v>8</v>
      </c>
      <c r="M570" s="3" t="s">
        <v>247</v>
      </c>
      <c r="N570" s="3" t="s">
        <v>238</v>
      </c>
      <c r="O570" s="3">
        <v>206</v>
      </c>
      <c r="P570" s="36">
        <v>3.8822441595439461</v>
      </c>
      <c r="Q570" s="3">
        <v>250</v>
      </c>
      <c r="R570" s="3"/>
      <c r="S570" s="3"/>
      <c r="T570" s="36"/>
      <c r="U570" s="36"/>
      <c r="V570" s="36"/>
      <c r="W570" s="36"/>
      <c r="X570" s="36"/>
      <c r="Y570" s="36"/>
      <c r="Z570" s="36"/>
    </row>
    <row r="571" spans="1:26" ht="14">
      <c r="A571" s="71">
        <v>41542</v>
      </c>
      <c r="B571" s="64" t="s">
        <v>157</v>
      </c>
      <c r="C571" s="165">
        <v>2013</v>
      </c>
      <c r="D571" s="51">
        <v>8</v>
      </c>
      <c r="E571" s="3" t="s">
        <v>223</v>
      </c>
      <c r="F571" s="3" t="s">
        <v>224</v>
      </c>
      <c r="G571" s="3" t="s">
        <v>225</v>
      </c>
      <c r="H571" s="3" t="s">
        <v>226</v>
      </c>
      <c r="I571" s="3" t="s">
        <v>235</v>
      </c>
      <c r="J571" s="3" t="s">
        <v>236</v>
      </c>
      <c r="K571" s="3" t="s">
        <v>237</v>
      </c>
      <c r="L571" s="3">
        <v>15</v>
      </c>
      <c r="M571" s="3" t="s">
        <v>247</v>
      </c>
      <c r="N571" s="3" t="s">
        <v>238</v>
      </c>
      <c r="O571" s="3">
        <v>183</v>
      </c>
      <c r="P571" s="36">
        <v>8.1964724715821102</v>
      </c>
      <c r="Q571" s="3">
        <v>250</v>
      </c>
      <c r="R571" s="3"/>
      <c r="S571" s="3"/>
      <c r="T571" s="36"/>
      <c r="U571" s="36"/>
      <c r="V571" s="36"/>
      <c r="W571" s="36"/>
      <c r="X571" s="36"/>
      <c r="Y571" s="36"/>
      <c r="Z571" s="36"/>
    </row>
    <row r="572" spans="1:26" ht="14">
      <c r="A572" s="13">
        <v>41480</v>
      </c>
      <c r="B572" s="72" t="s">
        <v>154</v>
      </c>
      <c r="C572" s="165">
        <v>2013</v>
      </c>
      <c r="D572" s="51">
        <v>8</v>
      </c>
      <c r="E572" s="51" t="s">
        <v>223</v>
      </c>
      <c r="F572" s="51" t="s">
        <v>224</v>
      </c>
      <c r="G572" s="51" t="s">
        <v>225</v>
      </c>
      <c r="H572" s="51" t="s">
        <v>226</v>
      </c>
      <c r="I572" s="51" t="s">
        <v>235</v>
      </c>
      <c r="J572" s="3" t="s">
        <v>236</v>
      </c>
      <c r="K572" s="3" t="s">
        <v>237</v>
      </c>
      <c r="L572" s="3">
        <v>3</v>
      </c>
      <c r="M572" s="3" t="s">
        <v>247</v>
      </c>
      <c r="N572" s="3" t="s">
        <v>238</v>
      </c>
      <c r="O572" s="3">
        <v>251</v>
      </c>
      <c r="P572" s="65">
        <v>1.1951659620839281</v>
      </c>
      <c r="Q572" s="3">
        <v>250</v>
      </c>
      <c r="R572" s="3"/>
      <c r="S572" s="3"/>
      <c r="T572" s="36"/>
      <c r="U572" s="36"/>
      <c r="V572" s="36"/>
      <c r="W572" s="36"/>
      <c r="X572" s="36"/>
      <c r="Y572" s="36"/>
      <c r="Z572" s="36"/>
    </row>
    <row r="573" spans="1:26" ht="14">
      <c r="A573" s="13">
        <v>41422</v>
      </c>
      <c r="B573" s="64" t="s">
        <v>144</v>
      </c>
      <c r="C573" s="165">
        <v>2013</v>
      </c>
      <c r="D573" s="51">
        <v>4</v>
      </c>
      <c r="E573" s="3" t="s">
        <v>223</v>
      </c>
      <c r="F573" s="3" t="s">
        <v>224</v>
      </c>
      <c r="G573" s="3" t="s">
        <v>225</v>
      </c>
      <c r="H573" s="3" t="s">
        <v>226</v>
      </c>
      <c r="I573" s="3" t="s">
        <v>235</v>
      </c>
      <c r="J573" s="3" t="s">
        <v>236</v>
      </c>
      <c r="K573" s="3" t="s">
        <v>237</v>
      </c>
      <c r="L573" s="3">
        <v>1</v>
      </c>
      <c r="M573" s="3" t="s">
        <v>247</v>
      </c>
      <c r="N573" s="3" t="s">
        <v>238</v>
      </c>
      <c r="O573" s="3">
        <v>106</v>
      </c>
      <c r="P573" s="65">
        <v>0.94200462237436966</v>
      </c>
      <c r="Q573" s="3">
        <v>250</v>
      </c>
      <c r="R573" s="3"/>
      <c r="S573" s="3"/>
      <c r="T573" s="36"/>
      <c r="U573" s="36"/>
      <c r="V573" s="36"/>
      <c r="W573" s="36"/>
      <c r="X573" s="36"/>
      <c r="Y573" s="36"/>
      <c r="Z573" s="36"/>
    </row>
    <row r="574" spans="1:26" ht="14">
      <c r="A574" s="71">
        <v>41422</v>
      </c>
      <c r="B574" s="35" t="s">
        <v>144</v>
      </c>
      <c r="C574" s="165">
        <v>2013</v>
      </c>
      <c r="D574" s="51">
        <v>5</v>
      </c>
      <c r="E574" s="3" t="s">
        <v>223</v>
      </c>
      <c r="F574" s="3" t="s">
        <v>224</v>
      </c>
      <c r="G574" s="3" t="s">
        <v>225</v>
      </c>
      <c r="H574" s="3" t="s">
        <v>226</v>
      </c>
      <c r="I574" s="3" t="s">
        <v>235</v>
      </c>
      <c r="J574" s="3" t="s">
        <v>236</v>
      </c>
      <c r="K574" s="3" t="s">
        <v>237</v>
      </c>
      <c r="L574" s="3">
        <v>7</v>
      </c>
      <c r="M574" s="3" t="s">
        <v>247</v>
      </c>
      <c r="N574" s="3" t="s">
        <v>238</v>
      </c>
      <c r="O574" s="3">
        <v>120</v>
      </c>
      <c r="P574" s="36">
        <v>5.8333333333333321</v>
      </c>
      <c r="Q574" s="3">
        <v>250</v>
      </c>
      <c r="R574" s="3"/>
      <c r="S574" s="3"/>
      <c r="T574" s="36"/>
      <c r="U574" s="36"/>
      <c r="V574" s="36"/>
      <c r="W574" s="36"/>
      <c r="X574" s="36"/>
      <c r="Y574" s="36"/>
      <c r="Z574" s="36"/>
    </row>
    <row r="575" spans="1:26" ht="14">
      <c r="A575" s="13">
        <v>41422</v>
      </c>
      <c r="B575" s="64" t="s">
        <v>144</v>
      </c>
      <c r="C575" s="165">
        <v>2013</v>
      </c>
      <c r="D575" s="51">
        <v>8</v>
      </c>
      <c r="E575" s="3" t="s">
        <v>223</v>
      </c>
      <c r="F575" s="3" t="s">
        <v>224</v>
      </c>
      <c r="G575" s="3" t="s">
        <v>225</v>
      </c>
      <c r="H575" s="3" t="s">
        <v>226</v>
      </c>
      <c r="I575" s="3" t="s">
        <v>235</v>
      </c>
      <c r="J575" s="3" t="s">
        <v>236</v>
      </c>
      <c r="K575" s="3" t="s">
        <v>237</v>
      </c>
      <c r="L575" s="3">
        <v>4</v>
      </c>
      <c r="M575" s="3" t="s">
        <v>247</v>
      </c>
      <c r="N575" s="3" t="s">
        <v>238</v>
      </c>
      <c r="O575" s="3">
        <v>89</v>
      </c>
      <c r="P575" s="36">
        <v>4.4932393943246405</v>
      </c>
      <c r="Q575" s="3">
        <v>250</v>
      </c>
      <c r="R575" s="3"/>
      <c r="S575" s="3"/>
      <c r="T575" s="36"/>
      <c r="U575" s="36"/>
      <c r="V575" s="36"/>
      <c r="W575" s="36"/>
      <c r="X575" s="36"/>
      <c r="Y575" s="36"/>
      <c r="Z575" s="36"/>
    </row>
    <row r="576" spans="1:26" ht="14">
      <c r="A576" s="13">
        <v>43019</v>
      </c>
      <c r="B576" s="72" t="s">
        <v>159</v>
      </c>
      <c r="C576" s="165">
        <v>2017</v>
      </c>
      <c r="D576" s="65">
        <v>4</v>
      </c>
      <c r="E576" s="3" t="s">
        <v>223</v>
      </c>
      <c r="F576" s="3" t="s">
        <v>224</v>
      </c>
      <c r="G576" s="3" t="s">
        <v>225</v>
      </c>
      <c r="H576" s="3" t="s">
        <v>226</v>
      </c>
      <c r="I576" s="51" t="s">
        <v>235</v>
      </c>
      <c r="J576" s="51" t="s">
        <v>236</v>
      </c>
      <c r="K576" s="3"/>
      <c r="L576" s="36">
        <v>7</v>
      </c>
      <c r="M576" s="3" t="s">
        <v>229</v>
      </c>
      <c r="N576" s="36" t="s">
        <v>236</v>
      </c>
      <c r="O576" s="3">
        <v>248</v>
      </c>
      <c r="P576" s="36">
        <v>2.7845079161898845</v>
      </c>
      <c r="Q576" s="65">
        <v>250</v>
      </c>
      <c r="R576" s="51"/>
      <c r="S576" s="51"/>
      <c r="T576" s="65"/>
      <c r="U576" s="36"/>
      <c r="V576" s="36"/>
      <c r="W576" s="36"/>
      <c r="X576" s="36"/>
      <c r="Y576" s="36"/>
      <c r="Z576" s="36"/>
    </row>
    <row r="577" spans="1:26" ht="14">
      <c r="A577" s="13">
        <v>43019</v>
      </c>
      <c r="B577" s="64" t="s">
        <v>159</v>
      </c>
      <c r="C577" s="165">
        <v>2017</v>
      </c>
      <c r="D577" s="65">
        <v>5</v>
      </c>
      <c r="E577" s="3" t="s">
        <v>223</v>
      </c>
      <c r="F577" s="3" t="s">
        <v>224</v>
      </c>
      <c r="G577" s="3" t="s">
        <v>225</v>
      </c>
      <c r="H577" s="3" t="s">
        <v>226</v>
      </c>
      <c r="I577" s="51" t="s">
        <v>235</v>
      </c>
      <c r="J577" s="51" t="s">
        <v>236</v>
      </c>
      <c r="K577" s="3"/>
      <c r="L577" s="36">
        <v>2</v>
      </c>
      <c r="M577" s="3" t="s">
        <v>229</v>
      </c>
      <c r="N577" s="36" t="s">
        <v>236</v>
      </c>
      <c r="O577" s="3">
        <v>255</v>
      </c>
      <c r="P577" s="36">
        <v>0.78413982443045338</v>
      </c>
      <c r="Q577" s="51">
        <v>250</v>
      </c>
      <c r="R577" s="51"/>
      <c r="S577" s="51"/>
      <c r="T577" s="65"/>
      <c r="U577" s="36"/>
      <c r="V577" s="36"/>
      <c r="W577" s="36"/>
      <c r="X577" s="36"/>
      <c r="Y577" s="36"/>
      <c r="Z577" s="36"/>
    </row>
    <row r="578" spans="1:26" ht="14">
      <c r="A578" s="13">
        <v>43019</v>
      </c>
      <c r="B578" s="35" t="s">
        <v>159</v>
      </c>
      <c r="C578" s="165">
        <v>2017</v>
      </c>
      <c r="D578" s="65">
        <v>8</v>
      </c>
      <c r="E578" s="3" t="s">
        <v>223</v>
      </c>
      <c r="F578" s="3" t="s">
        <v>224</v>
      </c>
      <c r="G578" s="3" t="s">
        <v>225</v>
      </c>
      <c r="H578" s="3" t="s">
        <v>226</v>
      </c>
      <c r="I578" s="3" t="s">
        <v>235</v>
      </c>
      <c r="J578" s="3" t="s">
        <v>236</v>
      </c>
      <c r="K578" s="3"/>
      <c r="L578" s="36">
        <v>17</v>
      </c>
      <c r="M578" s="3" t="s">
        <v>229</v>
      </c>
      <c r="N578" s="36" t="s">
        <v>236</v>
      </c>
      <c r="O578" s="3">
        <v>288</v>
      </c>
      <c r="P578" s="36">
        <v>5.6713781805583228</v>
      </c>
      <c r="Q578" s="51">
        <v>250</v>
      </c>
      <c r="R578" s="51"/>
      <c r="S578" s="51"/>
      <c r="T578" s="65"/>
      <c r="U578" s="36"/>
      <c r="V578" s="36"/>
      <c r="W578" s="36"/>
      <c r="X578" s="36"/>
      <c r="Y578" s="36"/>
      <c r="Z578" s="36"/>
    </row>
    <row r="579" spans="1:26" ht="14">
      <c r="A579" s="13">
        <v>42928</v>
      </c>
      <c r="B579" s="64" t="s">
        <v>154</v>
      </c>
      <c r="C579" s="165">
        <v>2017</v>
      </c>
      <c r="D579" s="65">
        <v>2</v>
      </c>
      <c r="E579" s="3" t="s">
        <v>223</v>
      </c>
      <c r="F579" s="3" t="s">
        <v>224</v>
      </c>
      <c r="G579" s="3" t="s">
        <v>225</v>
      </c>
      <c r="H579" s="3" t="s">
        <v>226</v>
      </c>
      <c r="I579" s="51" t="s">
        <v>235</v>
      </c>
      <c r="J579" s="51" t="s">
        <v>236</v>
      </c>
      <c r="K579" s="3"/>
      <c r="L579" s="36">
        <v>1</v>
      </c>
      <c r="M579" s="3" t="s">
        <v>229</v>
      </c>
      <c r="N579" s="36" t="s">
        <v>236</v>
      </c>
      <c r="O579" s="3">
        <v>656</v>
      </c>
      <c r="P579" s="36">
        <v>0.15228432618094218</v>
      </c>
      <c r="Q579" s="65">
        <v>250</v>
      </c>
      <c r="R579" s="51"/>
      <c r="S579" s="51"/>
      <c r="T579" s="65"/>
      <c r="U579" s="36"/>
      <c r="V579" s="36"/>
      <c r="W579" s="36"/>
      <c r="X579" s="36"/>
      <c r="Y579" s="36"/>
      <c r="Z579" s="36"/>
    </row>
    <row r="580" spans="1:26" ht="14">
      <c r="A580" s="13">
        <v>42928</v>
      </c>
      <c r="B580" s="72" t="s">
        <v>154</v>
      </c>
      <c r="C580" s="165">
        <v>2017</v>
      </c>
      <c r="D580" s="65">
        <v>4</v>
      </c>
      <c r="E580" s="3" t="s">
        <v>223</v>
      </c>
      <c r="F580" s="3" t="s">
        <v>224</v>
      </c>
      <c r="G580" s="3" t="s">
        <v>225</v>
      </c>
      <c r="H580" s="3" t="s">
        <v>226</v>
      </c>
      <c r="I580" s="3" t="s">
        <v>235</v>
      </c>
      <c r="J580" s="3" t="s">
        <v>236</v>
      </c>
      <c r="K580" s="3"/>
      <c r="L580" s="36">
        <v>9</v>
      </c>
      <c r="M580" s="3" t="s">
        <v>229</v>
      </c>
      <c r="N580" s="36" t="s">
        <v>236</v>
      </c>
      <c r="O580" s="3">
        <v>225</v>
      </c>
      <c r="P580" s="36">
        <v>3.9839547659193042</v>
      </c>
      <c r="Q580" s="65">
        <v>250</v>
      </c>
      <c r="R580" s="51"/>
      <c r="S580" s="51"/>
      <c r="T580" s="65"/>
      <c r="U580" s="36"/>
      <c r="V580" s="36"/>
      <c r="W580" s="36"/>
      <c r="X580" s="36"/>
      <c r="Y580" s="36"/>
      <c r="Z580" s="36"/>
    </row>
    <row r="581" spans="1:26" ht="14">
      <c r="A581" s="35">
        <v>42928</v>
      </c>
      <c r="B581" s="64" t="s">
        <v>154</v>
      </c>
      <c r="C581" s="165">
        <v>2017</v>
      </c>
      <c r="D581" s="65">
        <v>5</v>
      </c>
      <c r="E581" s="36" t="s">
        <v>223</v>
      </c>
      <c r="F581" s="36" t="s">
        <v>224</v>
      </c>
      <c r="G581" s="36" t="s">
        <v>225</v>
      </c>
      <c r="H581" s="36" t="s">
        <v>226</v>
      </c>
      <c r="I581" s="36" t="s">
        <v>235</v>
      </c>
      <c r="J581" s="36" t="s">
        <v>236</v>
      </c>
      <c r="K581" s="36"/>
      <c r="L581" s="36">
        <v>8</v>
      </c>
      <c r="M581" s="36" t="s">
        <v>229</v>
      </c>
      <c r="N581" s="36" t="s">
        <v>236</v>
      </c>
      <c r="O581" s="36">
        <v>385</v>
      </c>
      <c r="P581" s="36">
        <v>2.077011492514687</v>
      </c>
      <c r="Q581" s="65">
        <v>250</v>
      </c>
      <c r="R581" s="65"/>
      <c r="S581" s="65"/>
      <c r="T581" s="65"/>
      <c r="U581" s="36"/>
      <c r="V581" s="36"/>
      <c r="W581" s="36"/>
      <c r="X581" s="36"/>
      <c r="Y581" s="36"/>
      <c r="Z581" s="36"/>
    </row>
    <row r="582" spans="1:26" ht="14">
      <c r="A582" s="13">
        <v>42928</v>
      </c>
      <c r="B582" s="35" t="s">
        <v>154</v>
      </c>
      <c r="C582" s="165">
        <v>2017</v>
      </c>
      <c r="D582" s="65">
        <v>8</v>
      </c>
      <c r="E582" s="3" t="s">
        <v>223</v>
      </c>
      <c r="F582" s="3" t="s">
        <v>224</v>
      </c>
      <c r="G582" s="3" t="s">
        <v>225</v>
      </c>
      <c r="H582" s="3" t="s">
        <v>226</v>
      </c>
      <c r="I582" s="51" t="s">
        <v>235</v>
      </c>
      <c r="J582" s="51" t="s">
        <v>236</v>
      </c>
      <c r="K582" s="3"/>
      <c r="L582" s="36">
        <v>14</v>
      </c>
      <c r="M582" s="3" t="s">
        <v>229</v>
      </c>
      <c r="N582" s="36" t="s">
        <v>236</v>
      </c>
      <c r="O582" s="3">
        <v>319</v>
      </c>
      <c r="P582" s="36">
        <v>4.3870507884186347</v>
      </c>
      <c r="Q582" s="65">
        <v>250</v>
      </c>
      <c r="R582" s="51"/>
      <c r="S582" s="51"/>
      <c r="T582" s="65"/>
      <c r="U582" s="36"/>
      <c r="V582" s="36"/>
      <c r="W582" s="36"/>
      <c r="X582" s="36"/>
      <c r="Y582" s="36"/>
      <c r="Z582" s="36"/>
    </row>
    <row r="583" spans="1:26" ht="14">
      <c r="A583" s="13">
        <v>42867</v>
      </c>
      <c r="B583" s="64" t="s">
        <v>144</v>
      </c>
      <c r="C583" s="165">
        <v>2017</v>
      </c>
      <c r="D583" s="65">
        <v>8</v>
      </c>
      <c r="E583" s="3" t="s">
        <v>223</v>
      </c>
      <c r="F583" s="3" t="s">
        <v>224</v>
      </c>
      <c r="G583" s="3" t="s">
        <v>225</v>
      </c>
      <c r="H583" s="3" t="s">
        <v>226</v>
      </c>
      <c r="I583" s="51" t="s">
        <v>235</v>
      </c>
      <c r="J583" s="51" t="s">
        <v>236</v>
      </c>
      <c r="K583" s="3"/>
      <c r="L583" s="36">
        <v>2</v>
      </c>
      <c r="M583" s="3" t="s">
        <v>229</v>
      </c>
      <c r="N583" s="36" t="s">
        <v>236</v>
      </c>
      <c r="O583" s="3">
        <v>268</v>
      </c>
      <c r="P583" s="36">
        <v>0.74498727455326275</v>
      </c>
      <c r="Q583" s="51"/>
      <c r="R583" s="51"/>
      <c r="S583" s="51"/>
      <c r="T583" s="65"/>
      <c r="U583" s="36"/>
      <c r="V583" s="36"/>
      <c r="W583" s="36"/>
      <c r="X583" s="36"/>
      <c r="Y583" s="36"/>
      <c r="Z583" s="36"/>
    </row>
    <row r="584" spans="1:26" ht="14">
      <c r="A584" s="35">
        <v>42634</v>
      </c>
      <c r="B584" s="72" t="s">
        <v>157</v>
      </c>
      <c r="C584" s="165">
        <v>2016</v>
      </c>
      <c r="D584" s="65">
        <v>4</v>
      </c>
      <c r="E584" s="65" t="s">
        <v>223</v>
      </c>
      <c r="F584" s="65" t="s">
        <v>224</v>
      </c>
      <c r="G584" s="65" t="s">
        <v>225</v>
      </c>
      <c r="H584" s="65" t="s">
        <v>226</v>
      </c>
      <c r="I584" s="65" t="s">
        <v>235</v>
      </c>
      <c r="J584" s="36" t="s">
        <v>236</v>
      </c>
      <c r="K584" s="36"/>
      <c r="L584" s="65">
        <v>1</v>
      </c>
      <c r="M584" s="65" t="s">
        <v>229</v>
      </c>
      <c r="N584" s="65" t="s">
        <v>236</v>
      </c>
      <c r="O584" s="36">
        <v>156</v>
      </c>
      <c r="P584" s="76">
        <v>0.63937497457156689</v>
      </c>
      <c r="Q584" s="65">
        <v>250</v>
      </c>
      <c r="R584" s="65"/>
      <c r="S584" s="65"/>
      <c r="T584" s="65"/>
      <c r="U584" s="36"/>
      <c r="V584" s="36"/>
      <c r="W584" s="36"/>
      <c r="X584" s="36"/>
      <c r="Y584" s="36"/>
      <c r="Z584" s="36"/>
    </row>
    <row r="585" spans="1:26" ht="14">
      <c r="A585" s="13">
        <v>42634</v>
      </c>
      <c r="B585" s="64" t="s">
        <v>157</v>
      </c>
      <c r="C585" s="165">
        <v>2016</v>
      </c>
      <c r="D585" s="65">
        <v>5</v>
      </c>
      <c r="E585" s="36" t="s">
        <v>223</v>
      </c>
      <c r="F585" s="36" t="s">
        <v>224</v>
      </c>
      <c r="G585" s="36" t="s">
        <v>225</v>
      </c>
      <c r="H585" s="36" t="s">
        <v>226</v>
      </c>
      <c r="I585" s="36" t="s">
        <v>235</v>
      </c>
      <c r="J585" s="36" t="s">
        <v>236</v>
      </c>
      <c r="K585" s="36"/>
      <c r="L585" s="3">
        <v>3</v>
      </c>
      <c r="M585" s="3" t="s">
        <v>229</v>
      </c>
      <c r="N585" s="36" t="s">
        <v>236</v>
      </c>
      <c r="O585" s="3">
        <v>203</v>
      </c>
      <c r="P585" s="36">
        <v>1.4765387849693219</v>
      </c>
      <c r="Q585" s="65">
        <v>250</v>
      </c>
      <c r="R585" s="51"/>
      <c r="S585" s="51"/>
      <c r="T585" s="65"/>
      <c r="U585" s="36"/>
      <c r="V585" s="36"/>
      <c r="W585" s="36"/>
      <c r="X585" s="36"/>
      <c r="Y585" s="36"/>
      <c r="Z585" s="36"/>
    </row>
    <row r="586" spans="1:26" ht="14">
      <c r="A586" s="72">
        <v>42634</v>
      </c>
      <c r="B586" s="72" t="s">
        <v>157</v>
      </c>
      <c r="C586" s="165">
        <v>2016</v>
      </c>
      <c r="D586" s="65">
        <v>8</v>
      </c>
      <c r="E586" s="36" t="s">
        <v>223</v>
      </c>
      <c r="F586" s="36" t="s">
        <v>224</v>
      </c>
      <c r="G586" s="36" t="s">
        <v>225</v>
      </c>
      <c r="H586" s="36" t="s">
        <v>226</v>
      </c>
      <c r="I586" s="65" t="s">
        <v>235</v>
      </c>
      <c r="J586" s="65" t="s">
        <v>236</v>
      </c>
      <c r="K586" s="36"/>
      <c r="L586" s="36">
        <v>22</v>
      </c>
      <c r="M586" s="3" t="s">
        <v>229</v>
      </c>
      <c r="N586" s="36" t="s">
        <v>236</v>
      </c>
      <c r="O586" s="36">
        <v>294</v>
      </c>
      <c r="P586" s="36">
        <v>6.9992684570234696</v>
      </c>
      <c r="Q586" s="65">
        <v>250</v>
      </c>
      <c r="R586" s="65"/>
      <c r="S586" s="65"/>
      <c r="T586" s="65"/>
      <c r="U586" s="36"/>
      <c r="V586" s="36"/>
      <c r="W586" s="36"/>
      <c r="X586" s="36"/>
      <c r="Y586" s="36"/>
      <c r="Z586" s="36"/>
    </row>
    <row r="587" spans="1:26" ht="14">
      <c r="A587" s="72">
        <v>42571</v>
      </c>
      <c r="B587" s="64" t="s">
        <v>154</v>
      </c>
      <c r="C587" s="165">
        <v>2016</v>
      </c>
      <c r="D587" s="65">
        <v>4</v>
      </c>
      <c r="E587" s="51" t="s">
        <v>223</v>
      </c>
      <c r="F587" s="51" t="s">
        <v>224</v>
      </c>
      <c r="G587" s="51" t="s">
        <v>225</v>
      </c>
      <c r="H587" s="51" t="s">
        <v>226</v>
      </c>
      <c r="I587" s="51" t="s">
        <v>235</v>
      </c>
      <c r="J587" s="3" t="s">
        <v>236</v>
      </c>
      <c r="K587" s="3"/>
      <c r="L587" s="65">
        <v>1</v>
      </c>
      <c r="M587" s="51" t="s">
        <v>229</v>
      </c>
      <c r="N587" s="65" t="s">
        <v>236</v>
      </c>
      <c r="O587" s="3">
        <v>223</v>
      </c>
      <c r="P587" s="36">
        <v>0.44825487671998654</v>
      </c>
      <c r="Q587" s="51">
        <v>250</v>
      </c>
      <c r="R587" s="51"/>
      <c r="S587" s="51"/>
      <c r="T587" s="166"/>
      <c r="U587" s="36"/>
      <c r="V587" s="36"/>
      <c r="W587" s="36"/>
      <c r="X587" s="36"/>
      <c r="Y587" s="36"/>
      <c r="Z587" s="36"/>
    </row>
    <row r="588" spans="1:26" ht="14">
      <c r="A588" s="72">
        <v>42571</v>
      </c>
      <c r="B588" s="35" t="s">
        <v>154</v>
      </c>
      <c r="C588" s="165">
        <v>2016</v>
      </c>
      <c r="D588" s="65">
        <v>5</v>
      </c>
      <c r="E588" s="3" t="s">
        <v>223</v>
      </c>
      <c r="F588" s="3" t="s">
        <v>224</v>
      </c>
      <c r="G588" s="3" t="s">
        <v>225</v>
      </c>
      <c r="H588" s="3" t="s">
        <v>226</v>
      </c>
      <c r="I588" s="51" t="s">
        <v>235</v>
      </c>
      <c r="J588" s="51" t="s">
        <v>236</v>
      </c>
      <c r="K588" s="3"/>
      <c r="L588" s="36">
        <v>6</v>
      </c>
      <c r="M588" s="3" t="s">
        <v>229</v>
      </c>
      <c r="N588" s="36" t="s">
        <v>236</v>
      </c>
      <c r="O588" s="3">
        <v>211</v>
      </c>
      <c r="P588" s="65">
        <v>2.8433311070736287</v>
      </c>
      <c r="Q588" s="65">
        <v>250</v>
      </c>
      <c r="R588" s="51"/>
      <c r="S588" s="51"/>
      <c r="T588" s="65"/>
      <c r="U588" s="36"/>
      <c r="V588" s="36"/>
      <c r="W588" s="36"/>
      <c r="X588" s="36"/>
      <c r="Y588" s="36"/>
      <c r="Z588" s="36"/>
    </row>
    <row r="589" spans="1:26" ht="14">
      <c r="A589" s="72">
        <v>42571</v>
      </c>
      <c r="B589" s="64" t="s">
        <v>154</v>
      </c>
      <c r="C589" s="165">
        <v>2016</v>
      </c>
      <c r="D589" s="65">
        <v>8</v>
      </c>
      <c r="E589" s="3" t="s">
        <v>223</v>
      </c>
      <c r="F589" s="3" t="s">
        <v>224</v>
      </c>
      <c r="G589" s="3" t="s">
        <v>225</v>
      </c>
      <c r="H589" s="3" t="s">
        <v>226</v>
      </c>
      <c r="I589" s="51" t="s">
        <v>235</v>
      </c>
      <c r="J589" s="51" t="s">
        <v>236</v>
      </c>
      <c r="K589" s="3"/>
      <c r="L589" s="36">
        <v>8</v>
      </c>
      <c r="M589" s="3" t="s">
        <v>229</v>
      </c>
      <c r="N589" s="36" t="s">
        <v>236</v>
      </c>
      <c r="O589" s="3">
        <v>237</v>
      </c>
      <c r="P589" s="36">
        <v>3.3750581215420619</v>
      </c>
      <c r="Q589" s="65">
        <v>250</v>
      </c>
      <c r="R589" s="51"/>
      <c r="S589" s="51"/>
      <c r="T589" s="65"/>
      <c r="U589" s="36"/>
      <c r="V589" s="36"/>
      <c r="W589" s="36"/>
      <c r="X589" s="36"/>
      <c r="Y589" s="36"/>
      <c r="Z589" s="36"/>
    </row>
    <row r="590" spans="1:26" ht="14">
      <c r="A590" s="71">
        <v>42515</v>
      </c>
      <c r="B590" s="35" t="s">
        <v>144</v>
      </c>
      <c r="C590" s="165">
        <v>2016</v>
      </c>
      <c r="D590" s="3">
        <v>4</v>
      </c>
      <c r="E590" s="3" t="s">
        <v>223</v>
      </c>
      <c r="F590" s="3" t="s">
        <v>224</v>
      </c>
      <c r="G590" s="3" t="s">
        <v>225</v>
      </c>
      <c r="H590" s="3" t="s">
        <v>226</v>
      </c>
      <c r="I590" s="3" t="s">
        <v>235</v>
      </c>
      <c r="J590" s="3" t="s">
        <v>236</v>
      </c>
      <c r="K590" s="3"/>
      <c r="L590" s="3">
        <v>2</v>
      </c>
      <c r="M590" s="3" t="s">
        <v>229</v>
      </c>
      <c r="N590" s="3" t="s">
        <v>236</v>
      </c>
      <c r="O590" s="3">
        <v>217</v>
      </c>
      <c r="P590" s="36">
        <v>0.9209290862393783</v>
      </c>
      <c r="Q590" s="3">
        <v>250</v>
      </c>
      <c r="R590" s="3"/>
      <c r="S590" s="3"/>
      <c r="T590" s="36"/>
      <c r="U590" s="36"/>
      <c r="V590" s="36"/>
      <c r="W590" s="36"/>
      <c r="X590" s="36"/>
      <c r="Y590" s="36"/>
      <c r="Z590" s="36"/>
    </row>
    <row r="591" spans="1:26" ht="14">
      <c r="A591" s="173">
        <v>42515</v>
      </c>
      <c r="B591" s="178" t="s">
        <v>144</v>
      </c>
      <c r="C591" s="179">
        <v>2016</v>
      </c>
      <c r="D591" s="170">
        <v>8</v>
      </c>
      <c r="E591" s="171" t="s">
        <v>223</v>
      </c>
      <c r="F591" s="171" t="s">
        <v>224</v>
      </c>
      <c r="G591" s="171" t="s">
        <v>225</v>
      </c>
      <c r="H591" s="171" t="s">
        <v>226</v>
      </c>
      <c r="I591" s="171" t="s">
        <v>235</v>
      </c>
      <c r="J591" s="171" t="s">
        <v>236</v>
      </c>
      <c r="K591" s="171"/>
      <c r="L591" s="171">
        <v>2</v>
      </c>
      <c r="M591" s="171" t="s">
        <v>229</v>
      </c>
      <c r="N591" s="171" t="s">
        <v>236</v>
      </c>
      <c r="O591" s="171">
        <v>252</v>
      </c>
      <c r="P591" s="171">
        <v>0.79355420013905775</v>
      </c>
      <c r="Q591" s="171">
        <v>250</v>
      </c>
      <c r="R591" s="171"/>
      <c r="S591" s="171"/>
      <c r="T591" s="36"/>
      <c r="U591" s="36"/>
      <c r="V591" s="36"/>
      <c r="W591" s="36"/>
      <c r="X591" s="36"/>
      <c r="Y591" s="36"/>
      <c r="Z591" s="36"/>
    </row>
    <row r="592" spans="1:26" ht="14">
      <c r="A592" s="13">
        <v>42263</v>
      </c>
      <c r="B592" s="35" t="s">
        <v>157</v>
      </c>
      <c r="C592" s="165">
        <v>2015</v>
      </c>
      <c r="D592" s="36">
        <v>4</v>
      </c>
      <c r="E592" s="51" t="s">
        <v>223</v>
      </c>
      <c r="F592" s="51" t="s">
        <v>224</v>
      </c>
      <c r="G592" s="51" t="s">
        <v>225</v>
      </c>
      <c r="H592" s="51" t="s">
        <v>226</v>
      </c>
      <c r="I592" s="51" t="s">
        <v>235</v>
      </c>
      <c r="J592" s="51" t="s">
        <v>236</v>
      </c>
      <c r="K592" s="3"/>
      <c r="L592" s="3">
        <v>12</v>
      </c>
      <c r="M592" s="3" t="s">
        <v>229</v>
      </c>
      <c r="N592" s="36" t="s">
        <v>236</v>
      </c>
      <c r="O592" s="3">
        <v>161</v>
      </c>
      <c r="P592" s="65">
        <v>7.4404370192552678</v>
      </c>
      <c r="Q592" s="51">
        <v>250</v>
      </c>
      <c r="R592" s="51"/>
      <c r="S592" s="51"/>
      <c r="T592" s="65"/>
      <c r="U592" s="36"/>
      <c r="V592" s="36"/>
      <c r="W592" s="36"/>
      <c r="X592" s="36"/>
      <c r="Y592" s="36"/>
      <c r="Z592" s="36"/>
    </row>
    <row r="593" spans="1:26" ht="14">
      <c r="A593" s="13">
        <v>42263</v>
      </c>
      <c r="B593" s="64" t="s">
        <v>157</v>
      </c>
      <c r="C593" s="165">
        <v>2015</v>
      </c>
      <c r="D593" s="36">
        <v>5</v>
      </c>
      <c r="E593" s="51" t="s">
        <v>223</v>
      </c>
      <c r="F593" s="51" t="s">
        <v>224</v>
      </c>
      <c r="G593" s="51" t="s">
        <v>225</v>
      </c>
      <c r="H593" s="51" t="s">
        <v>226</v>
      </c>
      <c r="I593" s="51" t="s">
        <v>235</v>
      </c>
      <c r="J593" s="3" t="s">
        <v>236</v>
      </c>
      <c r="K593" s="3"/>
      <c r="L593" s="36">
        <v>6</v>
      </c>
      <c r="M593" s="3" t="s">
        <v>229</v>
      </c>
      <c r="N593" s="3" t="s">
        <v>236</v>
      </c>
      <c r="O593" s="3">
        <v>222</v>
      </c>
      <c r="P593" s="36">
        <v>2.7019387546482601</v>
      </c>
      <c r="Q593" s="3">
        <v>250</v>
      </c>
      <c r="R593" s="3"/>
      <c r="S593" s="3"/>
      <c r="T593" s="36"/>
      <c r="U593" s="36"/>
      <c r="V593" s="36"/>
      <c r="W593" s="36"/>
      <c r="X593" s="36"/>
      <c r="Y593" s="36"/>
      <c r="Z593" s="36"/>
    </row>
    <row r="594" spans="1:26" ht="14">
      <c r="A594" s="13">
        <v>42263</v>
      </c>
      <c r="B594" s="72" t="s">
        <v>157</v>
      </c>
      <c r="C594" s="165">
        <v>2015</v>
      </c>
      <c r="D594" s="65">
        <v>8</v>
      </c>
      <c r="E594" s="3" t="s">
        <v>223</v>
      </c>
      <c r="F594" s="3" t="s">
        <v>224</v>
      </c>
      <c r="G594" s="3" t="s">
        <v>225</v>
      </c>
      <c r="H594" s="3" t="s">
        <v>226</v>
      </c>
      <c r="I594" s="3" t="s">
        <v>235</v>
      </c>
      <c r="J594" s="3" t="s">
        <v>236</v>
      </c>
      <c r="K594" s="3"/>
      <c r="L594" s="3">
        <v>20</v>
      </c>
      <c r="M594" s="3" t="s">
        <v>229</v>
      </c>
      <c r="N594" s="3" t="s">
        <v>236</v>
      </c>
      <c r="O594" s="3">
        <v>244</v>
      </c>
      <c r="P594" s="36">
        <v>8.1967213114754092</v>
      </c>
      <c r="Q594" s="36">
        <v>250</v>
      </c>
      <c r="R594" s="3"/>
      <c r="S594" s="3"/>
      <c r="T594" s="36"/>
      <c r="U594" s="36"/>
      <c r="V594" s="36"/>
      <c r="W594" s="36"/>
      <c r="X594" s="36"/>
      <c r="Y594" s="36"/>
      <c r="Z594" s="36"/>
    </row>
    <row r="595" spans="1:26" ht="14">
      <c r="A595" s="13">
        <v>42206</v>
      </c>
      <c r="B595" s="64" t="s">
        <v>154</v>
      </c>
      <c r="C595" s="165">
        <v>2015</v>
      </c>
      <c r="D595" s="36">
        <v>4</v>
      </c>
      <c r="E595" s="51" t="s">
        <v>223</v>
      </c>
      <c r="F595" s="51" t="s">
        <v>224</v>
      </c>
      <c r="G595" s="51" t="s">
        <v>225</v>
      </c>
      <c r="H595" s="51" t="s">
        <v>226</v>
      </c>
      <c r="I595" s="51" t="s">
        <v>235</v>
      </c>
      <c r="J595" s="51" t="s">
        <v>236</v>
      </c>
      <c r="K595" s="3"/>
      <c r="L595" s="3">
        <v>38</v>
      </c>
      <c r="M595" s="3" t="s">
        <v>229</v>
      </c>
      <c r="N595" s="36" t="s">
        <v>236</v>
      </c>
      <c r="O595" s="3">
        <v>273</v>
      </c>
      <c r="P595" s="65">
        <v>13.732852395648059</v>
      </c>
      <c r="Q595" s="51">
        <v>250</v>
      </c>
      <c r="R595" s="51"/>
      <c r="S595" s="51"/>
      <c r="T595" s="65"/>
      <c r="U595" s="36"/>
      <c r="V595" s="36"/>
      <c r="W595" s="36"/>
      <c r="X595" s="36"/>
      <c r="Y595" s="36"/>
      <c r="Z595" s="36"/>
    </row>
    <row r="596" spans="1:26" ht="14">
      <c r="A596" s="71">
        <v>42206</v>
      </c>
      <c r="B596" s="72" t="s">
        <v>154</v>
      </c>
      <c r="C596" s="165">
        <v>2015</v>
      </c>
      <c r="D596" s="36">
        <v>5</v>
      </c>
      <c r="E596" s="51" t="s">
        <v>223</v>
      </c>
      <c r="F596" s="51" t="s">
        <v>224</v>
      </c>
      <c r="G596" s="51" t="s">
        <v>225</v>
      </c>
      <c r="H596" s="51" t="s">
        <v>226</v>
      </c>
      <c r="I596" s="51" t="s">
        <v>235</v>
      </c>
      <c r="J596" s="3" t="s">
        <v>236</v>
      </c>
      <c r="K596" s="3"/>
      <c r="L596" s="3">
        <v>2</v>
      </c>
      <c r="M596" s="3" t="s">
        <v>229</v>
      </c>
      <c r="N596" s="36" t="s">
        <v>236</v>
      </c>
      <c r="O596" s="3">
        <v>251</v>
      </c>
      <c r="P596" s="65">
        <v>0.79663125880138019</v>
      </c>
      <c r="Q596" s="36">
        <v>250</v>
      </c>
      <c r="R596" s="3"/>
      <c r="S596" s="3"/>
      <c r="T596" s="36"/>
      <c r="U596" s="36"/>
      <c r="V596" s="36"/>
      <c r="W596" s="36"/>
      <c r="X596" s="36"/>
      <c r="Y596" s="36"/>
      <c r="Z596" s="36"/>
    </row>
    <row r="597" spans="1:26" ht="14">
      <c r="A597" s="71">
        <v>42206</v>
      </c>
      <c r="B597" s="64" t="s">
        <v>154</v>
      </c>
      <c r="C597" s="165">
        <v>2015</v>
      </c>
      <c r="D597" s="65">
        <v>8</v>
      </c>
      <c r="E597" s="3" t="s">
        <v>223</v>
      </c>
      <c r="F597" s="3" t="s">
        <v>224</v>
      </c>
      <c r="G597" s="3" t="s">
        <v>225</v>
      </c>
      <c r="H597" s="3" t="s">
        <v>226</v>
      </c>
      <c r="I597" s="3" t="s">
        <v>235</v>
      </c>
      <c r="J597" s="3" t="s">
        <v>236</v>
      </c>
      <c r="K597" s="3"/>
      <c r="L597" s="3">
        <v>2</v>
      </c>
      <c r="M597" s="3" t="s">
        <v>229</v>
      </c>
      <c r="N597" s="36" t="s">
        <v>236</v>
      </c>
      <c r="O597" s="3">
        <v>199</v>
      </c>
      <c r="P597" s="65">
        <v>1.0041524942632667</v>
      </c>
      <c r="Q597" s="3">
        <v>250</v>
      </c>
      <c r="R597" s="3"/>
      <c r="S597" s="3"/>
      <c r="T597" s="36"/>
      <c r="U597" s="36"/>
      <c r="V597" s="36"/>
      <c r="W597" s="36"/>
      <c r="X597" s="36"/>
      <c r="Y597" s="36"/>
      <c r="Z597" s="36"/>
    </row>
    <row r="598" spans="1:26" ht="14">
      <c r="A598" s="63">
        <v>41912</v>
      </c>
      <c r="B598" s="72" t="s">
        <v>157</v>
      </c>
      <c r="C598" s="165">
        <v>2014</v>
      </c>
      <c r="D598" s="65">
        <v>2</v>
      </c>
      <c r="E598" s="51" t="s">
        <v>223</v>
      </c>
      <c r="F598" s="51" t="s">
        <v>224</v>
      </c>
      <c r="G598" s="51" t="s">
        <v>225</v>
      </c>
      <c r="H598" s="51" t="s">
        <v>226</v>
      </c>
      <c r="I598" s="51" t="s">
        <v>235</v>
      </c>
      <c r="J598" s="3" t="s">
        <v>236</v>
      </c>
      <c r="K598" s="3"/>
      <c r="L598" s="3">
        <v>3</v>
      </c>
      <c r="M598" s="3" t="s">
        <v>229</v>
      </c>
      <c r="N598" s="3" t="s">
        <v>236</v>
      </c>
      <c r="O598" s="3">
        <v>232</v>
      </c>
      <c r="P598" s="36">
        <v>1.2915413470768977</v>
      </c>
      <c r="Q598" s="36">
        <v>250</v>
      </c>
      <c r="R598" s="3" t="s">
        <v>497</v>
      </c>
      <c r="S598" s="3"/>
      <c r="T598" s="36"/>
      <c r="U598" s="36"/>
      <c r="V598" s="36"/>
      <c r="W598" s="36"/>
      <c r="X598" s="36"/>
      <c r="Y598" s="36"/>
      <c r="Z598" s="36"/>
    </row>
    <row r="599" spans="1:26" ht="14">
      <c r="A599" s="13">
        <v>41912</v>
      </c>
      <c r="B599" s="35" t="s">
        <v>157</v>
      </c>
      <c r="C599" s="165">
        <v>2014</v>
      </c>
      <c r="D599" s="36">
        <v>4</v>
      </c>
      <c r="E599" s="51" t="s">
        <v>223</v>
      </c>
      <c r="F599" s="51" t="s">
        <v>224</v>
      </c>
      <c r="G599" s="51" t="s">
        <v>225</v>
      </c>
      <c r="H599" s="51" t="s">
        <v>226</v>
      </c>
      <c r="I599" s="51" t="s">
        <v>235</v>
      </c>
      <c r="J599" s="3" t="s">
        <v>236</v>
      </c>
      <c r="K599" s="3"/>
      <c r="L599" s="3">
        <v>41</v>
      </c>
      <c r="M599" s="3" t="s">
        <v>229</v>
      </c>
      <c r="N599" s="3" t="s">
        <v>236</v>
      </c>
      <c r="O599" s="3">
        <v>237</v>
      </c>
      <c r="P599" s="65">
        <v>17.264931884340555</v>
      </c>
      <c r="Q599" s="3">
        <v>250</v>
      </c>
      <c r="R599" s="3"/>
      <c r="S599" s="3"/>
      <c r="T599" s="36"/>
      <c r="U599" s="36"/>
      <c r="V599" s="36"/>
      <c r="W599" s="36"/>
      <c r="X599" s="36"/>
      <c r="Y599" s="36"/>
      <c r="Z599" s="36"/>
    </row>
    <row r="600" spans="1:26" ht="14">
      <c r="A600" s="13">
        <v>41912</v>
      </c>
      <c r="B600" s="35" t="s">
        <v>157</v>
      </c>
      <c r="C600" s="165">
        <v>2014</v>
      </c>
      <c r="D600" s="36">
        <v>5</v>
      </c>
      <c r="E600" s="51" t="s">
        <v>223</v>
      </c>
      <c r="F600" s="51" t="s">
        <v>224</v>
      </c>
      <c r="G600" s="51" t="s">
        <v>225</v>
      </c>
      <c r="H600" s="51" t="s">
        <v>226</v>
      </c>
      <c r="I600" s="51" t="s">
        <v>235</v>
      </c>
      <c r="J600" s="3" t="s">
        <v>236</v>
      </c>
      <c r="K600" s="3"/>
      <c r="L600" s="3">
        <v>16</v>
      </c>
      <c r="M600" s="3" t="s">
        <v>229</v>
      </c>
      <c r="N600" s="3" t="s">
        <v>236</v>
      </c>
      <c r="O600" s="3">
        <v>216</v>
      </c>
      <c r="P600" s="36">
        <v>7.3928694279590239</v>
      </c>
      <c r="Q600" s="3">
        <v>250</v>
      </c>
      <c r="R600" s="3"/>
      <c r="S600" s="3"/>
      <c r="T600" s="36"/>
      <c r="U600" s="36"/>
      <c r="V600" s="36"/>
      <c r="W600" s="36"/>
      <c r="X600" s="36"/>
      <c r="Y600" s="36"/>
      <c r="Z600" s="36"/>
    </row>
    <row r="601" spans="1:26" ht="14">
      <c r="A601" s="13">
        <v>41912</v>
      </c>
      <c r="B601" s="35" t="s">
        <v>157</v>
      </c>
      <c r="C601" s="165">
        <v>2014</v>
      </c>
      <c r="D601" s="65">
        <v>8</v>
      </c>
      <c r="E601" s="51" t="s">
        <v>223</v>
      </c>
      <c r="F601" s="51" t="s">
        <v>224</v>
      </c>
      <c r="G601" s="51" t="s">
        <v>225</v>
      </c>
      <c r="H601" s="51" t="s">
        <v>226</v>
      </c>
      <c r="I601" s="51" t="s">
        <v>235</v>
      </c>
      <c r="J601" s="3" t="s">
        <v>236</v>
      </c>
      <c r="K601" s="3"/>
      <c r="L601" s="3">
        <v>20</v>
      </c>
      <c r="M601" s="3" t="s">
        <v>229</v>
      </c>
      <c r="N601" s="3" t="s">
        <v>236</v>
      </c>
      <c r="O601" s="3">
        <v>217</v>
      </c>
      <c r="P601" s="36">
        <v>9.2134971537221588</v>
      </c>
      <c r="Q601" s="36">
        <v>250</v>
      </c>
      <c r="R601" s="3"/>
      <c r="S601" s="3"/>
      <c r="T601" s="36"/>
      <c r="U601" s="36"/>
      <c r="V601" s="36"/>
      <c r="W601" s="36"/>
      <c r="X601" s="36"/>
      <c r="Y601" s="36"/>
      <c r="Z601" s="36"/>
    </row>
    <row r="602" spans="1:26" ht="14">
      <c r="A602" s="13">
        <v>41761</v>
      </c>
      <c r="B602" s="72" t="s">
        <v>144</v>
      </c>
      <c r="C602" s="165">
        <v>2014</v>
      </c>
      <c r="D602" s="36">
        <v>4</v>
      </c>
      <c r="E602" s="65" t="s">
        <v>223</v>
      </c>
      <c r="F602" s="65" t="s">
        <v>224</v>
      </c>
      <c r="G602" s="65" t="s">
        <v>225</v>
      </c>
      <c r="H602" s="65" t="s">
        <v>226</v>
      </c>
      <c r="I602" s="65" t="s">
        <v>235</v>
      </c>
      <c r="J602" s="36" t="s">
        <v>236</v>
      </c>
      <c r="K602" s="36"/>
      <c r="L602" s="36">
        <v>1</v>
      </c>
      <c r="M602" s="3" t="s">
        <v>229</v>
      </c>
      <c r="N602" s="3" t="s">
        <v>236</v>
      </c>
      <c r="O602" s="3">
        <v>256</v>
      </c>
      <c r="P602" s="36">
        <v>0.38129187294839412</v>
      </c>
      <c r="Q602" s="3">
        <v>250</v>
      </c>
      <c r="R602" s="3"/>
      <c r="S602" s="3"/>
      <c r="T602" s="36"/>
      <c r="U602" s="36"/>
      <c r="V602" s="36"/>
      <c r="W602" s="36"/>
      <c r="X602" s="36"/>
      <c r="Y602" s="36"/>
      <c r="Z602" s="36"/>
    </row>
    <row r="603" spans="1:26" ht="14">
      <c r="A603" s="84">
        <v>41761</v>
      </c>
      <c r="B603" s="35" t="s">
        <v>144</v>
      </c>
      <c r="C603" s="165">
        <v>2014</v>
      </c>
      <c r="D603" s="53">
        <v>5</v>
      </c>
      <c r="E603" s="3" t="s">
        <v>223</v>
      </c>
      <c r="F603" s="3" t="s">
        <v>224</v>
      </c>
      <c r="G603" s="3" t="s">
        <v>225</v>
      </c>
      <c r="H603" s="3" t="s">
        <v>226</v>
      </c>
      <c r="I603" s="3" t="s">
        <v>235</v>
      </c>
      <c r="J603" s="3" t="s">
        <v>236</v>
      </c>
      <c r="K603" s="3"/>
      <c r="L603" s="3">
        <v>1</v>
      </c>
      <c r="M603" s="3" t="s">
        <v>229</v>
      </c>
      <c r="N603" s="3" t="s">
        <v>236</v>
      </c>
      <c r="O603" s="3">
        <v>300</v>
      </c>
      <c r="P603" s="65">
        <v>0.33263927147670036</v>
      </c>
      <c r="Q603" s="3">
        <v>250</v>
      </c>
      <c r="R603" s="3"/>
      <c r="S603" s="3"/>
      <c r="T603" s="36"/>
      <c r="U603" s="36"/>
      <c r="V603" s="36"/>
      <c r="W603" s="36"/>
      <c r="X603" s="36"/>
      <c r="Y603" s="36"/>
      <c r="Z603" s="36"/>
    </row>
    <row r="604" spans="1:26" ht="14">
      <c r="A604" s="84">
        <v>43019</v>
      </c>
      <c r="B604" s="72" t="s">
        <v>159</v>
      </c>
      <c r="C604" s="165">
        <v>2017</v>
      </c>
      <c r="D604" s="53">
        <v>4</v>
      </c>
      <c r="E604" s="36" t="s">
        <v>223</v>
      </c>
      <c r="F604" s="36" t="s">
        <v>224</v>
      </c>
      <c r="G604" s="36" t="s">
        <v>225</v>
      </c>
      <c r="H604" s="36" t="s">
        <v>555</v>
      </c>
      <c r="I604" s="36" t="s">
        <v>556</v>
      </c>
      <c r="J604" s="36" t="s">
        <v>557</v>
      </c>
      <c r="K604" s="36"/>
      <c r="L604" s="36">
        <v>1</v>
      </c>
      <c r="M604" s="36" t="s">
        <v>229</v>
      </c>
      <c r="N604" s="36" t="s">
        <v>557</v>
      </c>
      <c r="O604" s="3">
        <v>214</v>
      </c>
      <c r="P604" s="36">
        <v>6.303095317028373E-3</v>
      </c>
      <c r="Q604" s="36">
        <v>1000</v>
      </c>
      <c r="R604" s="3"/>
      <c r="S604" s="3"/>
      <c r="T604" s="36"/>
      <c r="U604" s="36"/>
      <c r="V604" s="36"/>
      <c r="W604" s="36"/>
      <c r="X604" s="36"/>
      <c r="Y604" s="36"/>
      <c r="Z604" s="36"/>
    </row>
    <row r="605" spans="1:26" ht="14">
      <c r="A605" s="35">
        <v>42571</v>
      </c>
      <c r="B605" s="72" t="s">
        <v>154</v>
      </c>
      <c r="C605" s="165">
        <v>2016</v>
      </c>
      <c r="D605" s="53">
        <v>8</v>
      </c>
      <c r="E605" s="65" t="s">
        <v>223</v>
      </c>
      <c r="F605" s="65" t="s">
        <v>224</v>
      </c>
      <c r="G605" s="65" t="s">
        <v>225</v>
      </c>
      <c r="H605" s="65" t="s">
        <v>555</v>
      </c>
      <c r="I605" s="65" t="s">
        <v>556</v>
      </c>
      <c r="J605" s="36" t="s">
        <v>557</v>
      </c>
      <c r="K605" s="36"/>
      <c r="L605" s="36">
        <v>1</v>
      </c>
      <c r="M605" s="36" t="s">
        <v>229</v>
      </c>
      <c r="N605" s="36" t="s">
        <v>557</v>
      </c>
      <c r="O605" s="36">
        <v>3</v>
      </c>
      <c r="P605" s="36">
        <v>4.6343831054653072E-3</v>
      </c>
      <c r="Q605" s="65">
        <v>1000</v>
      </c>
      <c r="R605" s="65"/>
      <c r="S605" s="65"/>
      <c r="T605" s="65"/>
      <c r="U605" s="36"/>
      <c r="V605" s="36"/>
      <c r="W605" s="36"/>
      <c r="X605" s="36"/>
      <c r="Y605" s="36"/>
      <c r="Z605" s="36"/>
    </row>
    <row r="606" spans="1:26" ht="14">
      <c r="A606" s="13">
        <v>41761</v>
      </c>
      <c r="B606" s="35" t="s">
        <v>144</v>
      </c>
      <c r="C606" s="165">
        <v>2014</v>
      </c>
      <c r="D606" s="53">
        <v>5</v>
      </c>
      <c r="E606" s="51" t="s">
        <v>223</v>
      </c>
      <c r="F606" s="51" t="s">
        <v>224</v>
      </c>
      <c r="G606" s="51" t="s">
        <v>225</v>
      </c>
      <c r="H606" s="51" t="s">
        <v>226</v>
      </c>
      <c r="I606" s="51" t="s">
        <v>232</v>
      </c>
      <c r="J606" s="3" t="s">
        <v>233</v>
      </c>
      <c r="K606" s="3"/>
      <c r="L606" s="3">
        <v>1</v>
      </c>
      <c r="M606" s="3" t="s">
        <v>229</v>
      </c>
      <c r="N606" s="3" t="s">
        <v>506</v>
      </c>
      <c r="O606" s="3">
        <v>300</v>
      </c>
      <c r="P606" s="65">
        <v>0.33263927147670036</v>
      </c>
      <c r="Q606" s="36">
        <v>250</v>
      </c>
      <c r="R606" s="3"/>
      <c r="S606" s="3"/>
      <c r="T606" s="36"/>
      <c r="U606" s="36"/>
      <c r="V606" s="36"/>
      <c r="W606" s="36"/>
      <c r="X606" s="36"/>
      <c r="Y606" s="36"/>
      <c r="Z606" s="36"/>
    </row>
    <row r="607" spans="1:26" ht="14">
      <c r="A607" s="13">
        <v>42928</v>
      </c>
      <c r="B607" s="72" t="s">
        <v>154</v>
      </c>
      <c r="C607" s="165">
        <v>2017</v>
      </c>
      <c r="D607" s="53">
        <v>4</v>
      </c>
      <c r="E607" s="3" t="s">
        <v>223</v>
      </c>
      <c r="F607" s="3" t="s">
        <v>224</v>
      </c>
      <c r="G607" s="3" t="s">
        <v>225</v>
      </c>
      <c r="H607" s="3" t="s">
        <v>226</v>
      </c>
      <c r="I607" s="3" t="s">
        <v>232</v>
      </c>
      <c r="J607" s="3" t="s">
        <v>233</v>
      </c>
      <c r="K607" s="3"/>
      <c r="L607" s="3">
        <v>2</v>
      </c>
      <c r="M607" s="3" t="s">
        <v>229</v>
      </c>
      <c r="N607" s="3" t="s">
        <v>233</v>
      </c>
      <c r="O607" s="3">
        <v>225</v>
      </c>
      <c r="P607" s="36">
        <v>0.88532328131540106</v>
      </c>
      <c r="Q607" s="36">
        <v>250</v>
      </c>
      <c r="R607" s="3"/>
      <c r="S607" s="3"/>
      <c r="T607" s="36"/>
      <c r="U607" s="36"/>
      <c r="V607" s="36"/>
      <c r="W607" s="36"/>
      <c r="X607" s="36"/>
      <c r="Y607" s="36"/>
      <c r="Z607" s="36"/>
    </row>
    <row r="608" spans="1:26" ht="14">
      <c r="A608" s="13">
        <v>42867</v>
      </c>
      <c r="B608" s="72" t="s">
        <v>144</v>
      </c>
      <c r="C608" s="165">
        <v>2017</v>
      </c>
      <c r="D608" s="53">
        <v>4</v>
      </c>
      <c r="E608" s="3" t="s">
        <v>223</v>
      </c>
      <c r="F608" s="3" t="s">
        <v>224</v>
      </c>
      <c r="G608" s="3" t="s">
        <v>225</v>
      </c>
      <c r="H608" s="3" t="s">
        <v>226</v>
      </c>
      <c r="I608" s="3" t="s">
        <v>232</v>
      </c>
      <c r="J608" s="3" t="s">
        <v>233</v>
      </c>
      <c r="K608" s="3" t="s">
        <v>234</v>
      </c>
      <c r="L608" s="3">
        <v>1</v>
      </c>
      <c r="M608" s="3" t="s">
        <v>247</v>
      </c>
      <c r="N608" s="3" t="s">
        <v>233</v>
      </c>
      <c r="O608" s="3">
        <v>225</v>
      </c>
      <c r="P608" s="36">
        <v>0.43704009400170857</v>
      </c>
      <c r="Q608" s="3"/>
      <c r="R608" s="3"/>
      <c r="S608" s="3"/>
      <c r="T608" s="36"/>
      <c r="U608" s="36"/>
      <c r="V608" s="36"/>
      <c r="W608" s="36"/>
      <c r="X608" s="36"/>
      <c r="Y608" s="36"/>
      <c r="Z608" s="36"/>
    </row>
    <row r="609" spans="1:26" ht="14">
      <c r="A609" s="13">
        <v>42515</v>
      </c>
      <c r="B609" s="35" t="s">
        <v>144</v>
      </c>
      <c r="C609" s="165">
        <v>2016</v>
      </c>
      <c r="D609" s="34">
        <v>4</v>
      </c>
      <c r="E609" s="3" t="s">
        <v>223</v>
      </c>
      <c r="F609" s="3" t="s">
        <v>224</v>
      </c>
      <c r="G609" s="3" t="s">
        <v>225</v>
      </c>
      <c r="H609" s="3" t="s">
        <v>226</v>
      </c>
      <c r="I609" s="3" t="s">
        <v>232</v>
      </c>
      <c r="J609" s="3" t="s">
        <v>233</v>
      </c>
      <c r="K609" s="3" t="s">
        <v>234</v>
      </c>
      <c r="L609" s="3">
        <v>1</v>
      </c>
      <c r="M609" s="3" t="s">
        <v>247</v>
      </c>
      <c r="N609" s="3" t="s">
        <v>233</v>
      </c>
      <c r="O609" s="3">
        <v>217</v>
      </c>
      <c r="P609" s="36">
        <v>0.46046454311968915</v>
      </c>
      <c r="Q609" s="36">
        <v>250</v>
      </c>
      <c r="R609" s="3"/>
      <c r="S609" s="3"/>
      <c r="T609" s="36"/>
      <c r="U609" s="36"/>
      <c r="V609" s="36"/>
      <c r="W609" s="36"/>
      <c r="X609" s="36"/>
      <c r="Y609" s="36"/>
      <c r="Z609" s="36"/>
    </row>
    <row r="610" spans="1:26" ht="14">
      <c r="A610" s="35">
        <v>42206</v>
      </c>
      <c r="B610" s="72" t="s">
        <v>154</v>
      </c>
      <c r="C610" s="165">
        <v>2015</v>
      </c>
      <c r="D610" s="53">
        <v>4</v>
      </c>
      <c r="E610" s="65" t="s">
        <v>223</v>
      </c>
      <c r="F610" s="65" t="s">
        <v>224</v>
      </c>
      <c r="G610" s="65" t="s">
        <v>225</v>
      </c>
      <c r="H610" s="65" t="s">
        <v>226</v>
      </c>
      <c r="I610" s="65" t="s">
        <v>232</v>
      </c>
      <c r="J610" s="36" t="s">
        <v>233</v>
      </c>
      <c r="K610" s="36"/>
      <c r="L610" s="36">
        <v>1</v>
      </c>
      <c r="M610" s="36" t="s">
        <v>229</v>
      </c>
      <c r="N610" s="36" t="s">
        <v>233</v>
      </c>
      <c r="O610" s="36">
        <v>273</v>
      </c>
      <c r="P610" s="65">
        <v>0.36139085251705416</v>
      </c>
      <c r="Q610" s="65">
        <v>250</v>
      </c>
      <c r="R610" s="65" t="s">
        <v>475</v>
      </c>
      <c r="S610" s="65"/>
      <c r="T610" s="65"/>
      <c r="U610" s="36"/>
      <c r="V610" s="36"/>
      <c r="W610" s="36"/>
      <c r="X610" s="36"/>
      <c r="Y610" s="36"/>
      <c r="Z610" s="36"/>
    </row>
    <row r="611" spans="1:26" ht="14">
      <c r="A611" s="13">
        <v>42206</v>
      </c>
      <c r="B611" s="72" t="s">
        <v>154</v>
      </c>
      <c r="C611" s="165">
        <v>2015</v>
      </c>
      <c r="D611" s="53">
        <v>5</v>
      </c>
      <c r="E611" s="51" t="s">
        <v>223</v>
      </c>
      <c r="F611" s="51" t="s">
        <v>224</v>
      </c>
      <c r="G611" s="51" t="s">
        <v>225</v>
      </c>
      <c r="H611" s="51" t="s">
        <v>226</v>
      </c>
      <c r="I611" s="51" t="s">
        <v>232</v>
      </c>
      <c r="J611" s="3" t="s">
        <v>233</v>
      </c>
      <c r="K611" s="3"/>
      <c r="L611" s="3">
        <v>1</v>
      </c>
      <c r="M611" s="3" t="s">
        <v>229</v>
      </c>
      <c r="N611" s="36" t="s">
        <v>233</v>
      </c>
      <c r="O611" s="3">
        <v>251</v>
      </c>
      <c r="P611" s="65">
        <v>0.3983156294006901</v>
      </c>
      <c r="Q611" s="36">
        <v>250</v>
      </c>
      <c r="R611" s="3"/>
      <c r="S611" s="3"/>
      <c r="T611" s="36"/>
      <c r="U611" s="36"/>
      <c r="V611" s="36"/>
      <c r="W611" s="36"/>
      <c r="X611" s="36"/>
      <c r="Y611" s="36"/>
      <c r="Z611" s="36"/>
    </row>
    <row r="612" spans="1:26" ht="14">
      <c r="A612" s="35">
        <v>42144</v>
      </c>
      <c r="B612" s="72" t="s">
        <v>144</v>
      </c>
      <c r="C612" s="165">
        <v>2015</v>
      </c>
      <c r="D612" s="53">
        <v>4</v>
      </c>
      <c r="E612" s="36" t="s">
        <v>223</v>
      </c>
      <c r="F612" s="36" t="s">
        <v>224</v>
      </c>
      <c r="G612" s="36" t="s">
        <v>225</v>
      </c>
      <c r="H612" s="36" t="s">
        <v>226</v>
      </c>
      <c r="I612" s="65" t="s">
        <v>232</v>
      </c>
      <c r="J612" s="65" t="s">
        <v>233</v>
      </c>
      <c r="K612" s="36"/>
      <c r="L612" s="36">
        <v>1</v>
      </c>
      <c r="M612" s="36" t="s">
        <v>229</v>
      </c>
      <c r="N612" s="36" t="s">
        <v>233</v>
      </c>
      <c r="O612" s="36">
        <v>229</v>
      </c>
      <c r="P612" s="65">
        <v>0.43629167816834835</v>
      </c>
      <c r="Q612" s="65">
        <v>250</v>
      </c>
      <c r="R612" s="65"/>
      <c r="S612" s="65"/>
      <c r="T612" s="65"/>
      <c r="U612" s="36"/>
      <c r="V612" s="36"/>
      <c r="W612" s="36"/>
      <c r="X612" s="36"/>
      <c r="Y612" s="36"/>
      <c r="Z612" s="36"/>
    </row>
    <row r="613" spans="1:26" ht="14">
      <c r="A613" s="13">
        <v>41912</v>
      </c>
      <c r="B613" s="35" t="s">
        <v>157</v>
      </c>
      <c r="C613" s="165">
        <v>2014</v>
      </c>
      <c r="D613" s="53">
        <v>4</v>
      </c>
      <c r="E613" s="3" t="s">
        <v>223</v>
      </c>
      <c r="F613" s="3" t="s">
        <v>224</v>
      </c>
      <c r="G613" s="3" t="s">
        <v>225</v>
      </c>
      <c r="H613" s="3" t="s">
        <v>226</v>
      </c>
      <c r="I613" s="3" t="s">
        <v>232</v>
      </c>
      <c r="J613" s="3" t="s">
        <v>233</v>
      </c>
      <c r="K613" s="3"/>
      <c r="L613" s="3">
        <v>1</v>
      </c>
      <c r="M613" s="3" t="s">
        <v>229</v>
      </c>
      <c r="N613" s="3" t="s">
        <v>233</v>
      </c>
      <c r="O613" s="3">
        <v>237</v>
      </c>
      <c r="P613" s="65">
        <v>0.42109589961806221</v>
      </c>
      <c r="Q613" s="3">
        <v>250</v>
      </c>
      <c r="R613" s="3"/>
      <c r="S613" s="3"/>
      <c r="T613" s="36"/>
      <c r="U613" s="36"/>
      <c r="V613" s="36"/>
      <c r="W613" s="36"/>
      <c r="X613" s="36"/>
      <c r="Y613" s="36"/>
      <c r="Z613" s="36"/>
    </row>
    <row r="614" spans="1:26" ht="14">
      <c r="A614" s="13">
        <v>41480</v>
      </c>
      <c r="B614" s="35" t="s">
        <v>154</v>
      </c>
      <c r="C614" s="165">
        <v>2013</v>
      </c>
      <c r="D614" s="34">
        <v>4</v>
      </c>
      <c r="E614" s="3" t="s">
        <v>223</v>
      </c>
      <c r="F614" s="3" t="s">
        <v>224</v>
      </c>
      <c r="G614" s="3" t="s">
        <v>225</v>
      </c>
      <c r="H614" s="3" t="s">
        <v>226</v>
      </c>
      <c r="I614" s="3" t="s">
        <v>232</v>
      </c>
      <c r="J614" s="3" t="s">
        <v>233</v>
      </c>
      <c r="K614" s="3" t="s">
        <v>234</v>
      </c>
      <c r="L614" s="3">
        <v>4</v>
      </c>
      <c r="M614" s="3" t="s">
        <v>247</v>
      </c>
      <c r="N614" s="3" t="s">
        <v>233</v>
      </c>
      <c r="O614" s="3">
        <v>124</v>
      </c>
      <c r="P614" s="36">
        <v>3.2169408869253431</v>
      </c>
      <c r="Q614" s="3">
        <v>250</v>
      </c>
      <c r="R614" s="3"/>
      <c r="S614" s="3"/>
      <c r="T614" s="36"/>
      <c r="U614" s="36"/>
      <c r="V614" s="36"/>
      <c r="W614" s="36"/>
      <c r="X614" s="36"/>
      <c r="Y614" s="36"/>
      <c r="Z614" s="36"/>
    </row>
    <row r="615" spans="1:26" ht="14">
      <c r="A615" s="13">
        <v>41422</v>
      </c>
      <c r="B615" s="35" t="s">
        <v>144</v>
      </c>
      <c r="C615" s="165">
        <v>2013</v>
      </c>
      <c r="D615" s="34">
        <v>8</v>
      </c>
      <c r="E615" s="3" t="s">
        <v>223</v>
      </c>
      <c r="F615" s="3" t="s">
        <v>224</v>
      </c>
      <c r="G615" s="3" t="s">
        <v>225</v>
      </c>
      <c r="H615" s="3" t="s">
        <v>226</v>
      </c>
      <c r="I615" s="3" t="s">
        <v>232</v>
      </c>
      <c r="J615" s="3" t="s">
        <v>233</v>
      </c>
      <c r="K615" s="3" t="s">
        <v>234</v>
      </c>
      <c r="L615" s="3">
        <v>1</v>
      </c>
      <c r="M615" s="3" t="s">
        <v>247</v>
      </c>
      <c r="N615" s="3" t="s">
        <v>233</v>
      </c>
      <c r="O615" s="3">
        <v>89</v>
      </c>
      <c r="P615" s="36">
        <v>1.1233098485811601</v>
      </c>
      <c r="Q615" s="3">
        <v>250</v>
      </c>
      <c r="R615" s="3"/>
      <c r="S615" s="3"/>
      <c r="T615" s="36"/>
      <c r="U615" s="36"/>
      <c r="V615" s="36"/>
      <c r="W615" s="36"/>
      <c r="X615" s="36"/>
      <c r="Y615" s="36"/>
      <c r="Z615" s="36"/>
    </row>
    <row r="616" spans="1:26" ht="14">
      <c r="A616" s="35">
        <v>42571</v>
      </c>
      <c r="B616" s="35" t="s">
        <v>154</v>
      </c>
      <c r="C616" s="165">
        <v>2016</v>
      </c>
      <c r="D616" s="53">
        <v>4</v>
      </c>
      <c r="E616" s="36" t="s">
        <v>223</v>
      </c>
      <c r="F616" s="36" t="s">
        <v>224</v>
      </c>
      <c r="G616" s="36" t="s">
        <v>225</v>
      </c>
      <c r="H616" s="36" t="s">
        <v>226</v>
      </c>
      <c r="I616" s="3"/>
      <c r="J616" s="3"/>
      <c r="K616" s="3"/>
      <c r="L616" s="36">
        <v>1</v>
      </c>
      <c r="M616" s="3" t="s">
        <v>508</v>
      </c>
      <c r="N616" s="36" t="s">
        <v>600</v>
      </c>
      <c r="O616" s="3">
        <v>223</v>
      </c>
      <c r="P616" s="36">
        <v>0.44825487671998654</v>
      </c>
      <c r="Q616" s="65">
        <v>250</v>
      </c>
      <c r="R616" s="51"/>
      <c r="S616" s="51"/>
      <c r="T616" s="166"/>
      <c r="U616" s="36"/>
      <c r="V616" s="36"/>
      <c r="W616" s="36"/>
      <c r="X616" s="36"/>
      <c r="Y616" s="36"/>
      <c r="Z616" s="36"/>
    </row>
    <row r="617" spans="1:26" ht="14">
      <c r="A617" s="13">
        <v>41480</v>
      </c>
      <c r="B617" s="35" t="s">
        <v>154</v>
      </c>
      <c r="C617" s="165">
        <v>2013</v>
      </c>
      <c r="D617" s="34">
        <v>4</v>
      </c>
      <c r="E617" s="3" t="s">
        <v>223</v>
      </c>
      <c r="F617" s="3" t="s">
        <v>224</v>
      </c>
      <c r="G617" s="3" t="s">
        <v>225</v>
      </c>
      <c r="H617" s="3" t="s">
        <v>226</v>
      </c>
      <c r="I617" s="3"/>
      <c r="J617" s="3"/>
      <c r="K617" s="3"/>
      <c r="L617" s="3">
        <v>2</v>
      </c>
      <c r="M617" s="3" t="s">
        <v>508</v>
      </c>
      <c r="N617" s="36" t="s">
        <v>600</v>
      </c>
      <c r="O617" s="3">
        <v>124</v>
      </c>
      <c r="P617" s="36">
        <v>1.6084704434626715</v>
      </c>
      <c r="Q617" s="3">
        <v>250</v>
      </c>
      <c r="R617" s="3" t="s">
        <v>309</v>
      </c>
      <c r="S617" s="3"/>
      <c r="T617" s="36"/>
      <c r="U617" s="36"/>
      <c r="V617" s="36"/>
      <c r="W617" s="36"/>
      <c r="X617" s="36"/>
      <c r="Y617" s="36"/>
      <c r="Z617" s="36"/>
    </row>
    <row r="618" spans="1:26" ht="14">
      <c r="A618" s="13">
        <v>41480</v>
      </c>
      <c r="B618" s="72" t="s">
        <v>154</v>
      </c>
      <c r="C618" s="165">
        <v>2013</v>
      </c>
      <c r="D618" s="34">
        <v>4</v>
      </c>
      <c r="E618" s="3" t="s">
        <v>223</v>
      </c>
      <c r="F618" s="3" t="s">
        <v>224</v>
      </c>
      <c r="G618" s="3" t="s">
        <v>225</v>
      </c>
      <c r="H618" s="3" t="s">
        <v>226</v>
      </c>
      <c r="I618" s="3"/>
      <c r="J618" s="3"/>
      <c r="K618" s="3"/>
      <c r="L618" s="3">
        <v>1</v>
      </c>
      <c r="M618" s="3" t="s">
        <v>508</v>
      </c>
      <c r="N618" s="36" t="s">
        <v>600</v>
      </c>
      <c r="O618" s="3">
        <v>124</v>
      </c>
      <c r="P618" s="65">
        <v>0.80423522173133577</v>
      </c>
      <c r="Q618" s="3">
        <v>250</v>
      </c>
      <c r="R618" s="3" t="s">
        <v>331</v>
      </c>
      <c r="S618" s="3"/>
      <c r="T618" s="36"/>
      <c r="U618" s="36"/>
      <c r="V618" s="36"/>
      <c r="W618" s="36"/>
      <c r="X618" s="36"/>
      <c r="Y618" s="36"/>
      <c r="Z618" s="36"/>
    </row>
    <row r="619" spans="1:26" ht="14">
      <c r="A619" s="13">
        <v>41480</v>
      </c>
      <c r="B619" s="35" t="s">
        <v>154</v>
      </c>
      <c r="C619" s="165">
        <v>2013</v>
      </c>
      <c r="D619" s="34">
        <v>8</v>
      </c>
      <c r="E619" s="51" t="s">
        <v>223</v>
      </c>
      <c r="F619" s="51" t="s">
        <v>224</v>
      </c>
      <c r="G619" s="51" t="s">
        <v>225</v>
      </c>
      <c r="H619" s="51" t="s">
        <v>226</v>
      </c>
      <c r="I619" s="51"/>
      <c r="J619" s="3"/>
      <c r="K619" s="3"/>
      <c r="L619" s="3">
        <v>4</v>
      </c>
      <c r="M619" s="3" t="s">
        <v>508</v>
      </c>
      <c r="N619" s="36" t="s">
        <v>600</v>
      </c>
      <c r="O619" s="3">
        <v>251</v>
      </c>
      <c r="P619" s="65">
        <v>1.5935546161119041</v>
      </c>
      <c r="Q619" s="3">
        <v>250</v>
      </c>
      <c r="R619" s="3" t="s">
        <v>332</v>
      </c>
      <c r="S619" s="3"/>
      <c r="T619" s="36"/>
      <c r="U619" s="36"/>
      <c r="V619" s="36"/>
      <c r="W619" s="36"/>
      <c r="X619" s="36"/>
      <c r="Y619" s="36"/>
      <c r="Z619" s="36"/>
    </row>
    <row r="620" spans="1:26" ht="14">
      <c r="A620" s="13">
        <v>41422</v>
      </c>
      <c r="B620" s="72" t="s">
        <v>144</v>
      </c>
      <c r="C620" s="165">
        <v>2013</v>
      </c>
      <c r="D620" s="34">
        <v>4</v>
      </c>
      <c r="E620" s="3" t="s">
        <v>223</v>
      </c>
      <c r="F620" s="3" t="s">
        <v>224</v>
      </c>
      <c r="G620" s="3" t="s">
        <v>225</v>
      </c>
      <c r="H620" s="3" t="s">
        <v>226</v>
      </c>
      <c r="I620" s="3"/>
      <c r="J620" s="3"/>
      <c r="K620" s="3"/>
      <c r="L620" s="3">
        <v>11</v>
      </c>
      <c r="M620" s="3" t="s">
        <v>508</v>
      </c>
      <c r="N620" s="36" t="s">
        <v>600</v>
      </c>
      <c r="O620" s="3">
        <v>106</v>
      </c>
      <c r="P620" s="65">
        <v>10.362050846118066</v>
      </c>
      <c r="Q620" s="3">
        <v>250</v>
      </c>
      <c r="R620" s="3" t="s">
        <v>265</v>
      </c>
      <c r="S620" s="3"/>
      <c r="T620" s="36"/>
      <c r="U620" s="36"/>
      <c r="V620" s="36"/>
      <c r="W620" s="36"/>
      <c r="X620" s="36"/>
      <c r="Y620" s="36"/>
      <c r="Z620" s="36"/>
    </row>
    <row r="621" spans="1:26" ht="14">
      <c r="A621" s="71">
        <v>41422</v>
      </c>
      <c r="B621" s="35" t="s">
        <v>144</v>
      </c>
      <c r="C621" s="165">
        <v>2013</v>
      </c>
      <c r="D621" s="34">
        <v>5</v>
      </c>
      <c r="E621" s="3" t="s">
        <v>223</v>
      </c>
      <c r="F621" s="3" t="s">
        <v>224</v>
      </c>
      <c r="G621" s="3" t="s">
        <v>225</v>
      </c>
      <c r="H621" s="3" t="s">
        <v>226</v>
      </c>
      <c r="I621" s="3"/>
      <c r="J621" s="3"/>
      <c r="K621" s="3"/>
      <c r="L621" s="3">
        <v>3</v>
      </c>
      <c r="M621" s="3" t="s">
        <v>508</v>
      </c>
      <c r="N621" s="36" t="s">
        <v>600</v>
      </c>
      <c r="O621" s="3">
        <v>120</v>
      </c>
      <c r="P621" s="36">
        <v>2.5000000000000004</v>
      </c>
      <c r="Q621" s="3">
        <v>250</v>
      </c>
      <c r="R621" s="3" t="s">
        <v>222</v>
      </c>
      <c r="S621" s="3"/>
      <c r="T621" s="36"/>
      <c r="U621" s="36"/>
      <c r="V621" s="36"/>
      <c r="W621" s="36"/>
      <c r="X621" s="36"/>
      <c r="Y621" s="36"/>
      <c r="Z621" s="36"/>
    </row>
    <row r="622" spans="1:26" ht="14">
      <c r="A622" s="13">
        <v>41422</v>
      </c>
      <c r="B622" s="35" t="s">
        <v>144</v>
      </c>
      <c r="C622" s="165">
        <v>2013</v>
      </c>
      <c r="D622" s="34">
        <v>8</v>
      </c>
      <c r="E622" s="3" t="s">
        <v>223</v>
      </c>
      <c r="F622" s="3" t="s">
        <v>224</v>
      </c>
      <c r="G622" s="3" t="s">
        <v>225</v>
      </c>
      <c r="H622" s="3" t="s">
        <v>226</v>
      </c>
      <c r="I622" s="3"/>
      <c r="J622" s="3"/>
      <c r="K622" s="3"/>
      <c r="L622" s="3">
        <v>7</v>
      </c>
      <c r="M622" s="3" t="s">
        <v>508</v>
      </c>
      <c r="N622" s="36" t="s">
        <v>600</v>
      </c>
      <c r="O622" s="3">
        <v>89</v>
      </c>
      <c r="P622" s="65">
        <v>7.8631689400681202</v>
      </c>
      <c r="Q622" s="3">
        <v>250</v>
      </c>
      <c r="R622" s="3" t="s">
        <v>266</v>
      </c>
      <c r="S622" s="3"/>
      <c r="T622" s="36"/>
      <c r="U622" s="36"/>
      <c r="V622" s="36"/>
      <c r="W622" s="36"/>
      <c r="X622" s="36"/>
      <c r="Y622" s="36"/>
      <c r="Z622" s="36"/>
    </row>
    <row r="623" spans="1:26" ht="14">
      <c r="A623" s="13">
        <v>43019</v>
      </c>
      <c r="B623" s="72" t="s">
        <v>159</v>
      </c>
      <c r="C623" s="165">
        <v>2017</v>
      </c>
      <c r="D623" s="53">
        <v>5</v>
      </c>
      <c r="E623" s="3" t="s">
        <v>295</v>
      </c>
      <c r="F623" s="3" t="s">
        <v>296</v>
      </c>
      <c r="G623" s="3"/>
      <c r="H623" s="3" t="s">
        <v>297</v>
      </c>
      <c r="I623" s="3" t="s">
        <v>298</v>
      </c>
      <c r="J623" s="3" t="s">
        <v>299</v>
      </c>
      <c r="K623" s="3"/>
      <c r="L623" s="3">
        <v>17</v>
      </c>
      <c r="M623" s="3" t="s">
        <v>229</v>
      </c>
      <c r="N623" s="3" t="s">
        <v>479</v>
      </c>
      <c r="O623" s="3">
        <v>255</v>
      </c>
      <c r="P623" s="36">
        <v>6.6651885076588533</v>
      </c>
      <c r="Q623" s="3">
        <v>250</v>
      </c>
      <c r="R623" s="3"/>
      <c r="S623" s="3"/>
      <c r="T623" s="36"/>
      <c r="U623" s="36"/>
      <c r="V623" s="36"/>
      <c r="W623" s="36"/>
      <c r="X623" s="36"/>
      <c r="Y623" s="36"/>
      <c r="Z623" s="36"/>
    </row>
    <row r="624" spans="1:26" ht="14">
      <c r="A624" s="13">
        <v>43019</v>
      </c>
      <c r="B624" s="35" t="s">
        <v>159</v>
      </c>
      <c r="C624" s="165">
        <v>2017</v>
      </c>
      <c r="D624" s="53">
        <v>8</v>
      </c>
      <c r="E624" s="3" t="s">
        <v>295</v>
      </c>
      <c r="F624" s="3" t="s">
        <v>296</v>
      </c>
      <c r="G624" s="3"/>
      <c r="H624" s="3" t="s">
        <v>297</v>
      </c>
      <c r="I624" s="3" t="s">
        <v>298</v>
      </c>
      <c r="J624" s="3" t="s">
        <v>299</v>
      </c>
      <c r="K624" s="3"/>
      <c r="L624" s="3">
        <v>7</v>
      </c>
      <c r="M624" s="3" t="s">
        <v>229</v>
      </c>
      <c r="N624" s="3" t="s">
        <v>479</v>
      </c>
      <c r="O624" s="3">
        <v>288</v>
      </c>
      <c r="P624" s="36">
        <v>2.3352733684651921</v>
      </c>
      <c r="Q624" s="3">
        <v>250</v>
      </c>
      <c r="R624" s="3"/>
      <c r="S624" s="3"/>
      <c r="T624" s="36"/>
      <c r="U624" s="36"/>
      <c r="V624" s="36"/>
      <c r="W624" s="36"/>
      <c r="X624" s="36"/>
      <c r="Y624" s="36"/>
      <c r="Z624" s="36"/>
    </row>
    <row r="625" spans="1:26" ht="14">
      <c r="A625" s="13">
        <v>42928</v>
      </c>
      <c r="B625" s="72" t="s">
        <v>154</v>
      </c>
      <c r="C625" s="165">
        <v>2017</v>
      </c>
      <c r="D625" s="53">
        <v>8</v>
      </c>
      <c r="E625" s="3" t="s">
        <v>295</v>
      </c>
      <c r="F625" s="3" t="s">
        <v>296</v>
      </c>
      <c r="G625" s="3"/>
      <c r="H625" s="3" t="s">
        <v>297</v>
      </c>
      <c r="I625" s="3" t="s">
        <v>298</v>
      </c>
      <c r="J625" s="3" t="s">
        <v>299</v>
      </c>
      <c r="K625" s="3"/>
      <c r="L625" s="3">
        <v>1</v>
      </c>
      <c r="M625" s="3" t="s">
        <v>229</v>
      </c>
      <c r="N625" s="3" t="s">
        <v>479</v>
      </c>
      <c r="O625" s="3">
        <v>319</v>
      </c>
      <c r="P625" s="36">
        <v>0.31336077060133105</v>
      </c>
      <c r="Q625" s="36">
        <v>250</v>
      </c>
      <c r="R625" s="3"/>
      <c r="S625" s="3"/>
      <c r="T625" s="36"/>
      <c r="U625" s="36"/>
      <c r="V625" s="36"/>
      <c r="W625" s="36"/>
      <c r="X625" s="36"/>
      <c r="Y625" s="36"/>
      <c r="Z625" s="36"/>
    </row>
    <row r="626" spans="1:26" ht="14">
      <c r="A626" s="35">
        <v>42263</v>
      </c>
      <c r="B626" s="35" t="s">
        <v>157</v>
      </c>
      <c r="C626" s="165">
        <v>2015</v>
      </c>
      <c r="D626" s="53">
        <v>5</v>
      </c>
      <c r="E626" s="65" t="s">
        <v>295</v>
      </c>
      <c r="F626" s="36" t="s">
        <v>296</v>
      </c>
      <c r="G626" s="36"/>
      <c r="H626" s="65" t="s">
        <v>297</v>
      </c>
      <c r="I626" s="65" t="s">
        <v>298</v>
      </c>
      <c r="J626" s="65" t="s">
        <v>299</v>
      </c>
      <c r="K626" s="36"/>
      <c r="L626" s="36">
        <v>2</v>
      </c>
      <c r="M626" s="36" t="s">
        <v>229</v>
      </c>
      <c r="N626" s="36" t="s">
        <v>479</v>
      </c>
      <c r="O626" s="36">
        <v>222</v>
      </c>
      <c r="P626" s="36">
        <v>0.90064625154942013</v>
      </c>
      <c r="Q626" s="36">
        <v>250</v>
      </c>
      <c r="R626" s="36"/>
      <c r="S626" s="36"/>
      <c r="T626" s="36"/>
      <c r="U626" s="36"/>
      <c r="V626" s="36"/>
      <c r="W626" s="36"/>
      <c r="X626" s="36"/>
      <c r="Y626" s="36"/>
      <c r="Z626" s="36"/>
    </row>
    <row r="627" spans="1:26" ht="14">
      <c r="A627" s="71">
        <v>41542</v>
      </c>
      <c r="B627" s="72" t="s">
        <v>157</v>
      </c>
      <c r="C627" s="165">
        <v>2013</v>
      </c>
      <c r="D627" s="34">
        <v>2</v>
      </c>
      <c r="E627" s="3" t="s">
        <v>295</v>
      </c>
      <c r="F627" s="3" t="s">
        <v>296</v>
      </c>
      <c r="G627" s="3"/>
      <c r="H627" s="3" t="s">
        <v>297</v>
      </c>
      <c r="I627" s="3" t="s">
        <v>298</v>
      </c>
      <c r="J627" s="3" t="s">
        <v>299</v>
      </c>
      <c r="K627" s="3"/>
      <c r="L627" s="3">
        <v>1</v>
      </c>
      <c r="M627" s="3" t="s">
        <v>229</v>
      </c>
      <c r="N627" s="3" t="s">
        <v>479</v>
      </c>
      <c r="O627" s="3">
        <v>110</v>
      </c>
      <c r="P627" s="36">
        <v>0.90090212217539389</v>
      </c>
      <c r="Q627" s="3">
        <v>250</v>
      </c>
      <c r="R627" s="3" t="s">
        <v>222</v>
      </c>
      <c r="S627" s="3"/>
      <c r="T627" s="36"/>
      <c r="U627" s="36"/>
      <c r="V627" s="36"/>
      <c r="W627" s="36"/>
      <c r="X627" s="36"/>
      <c r="Y627" s="36"/>
      <c r="Z627" s="36"/>
    </row>
    <row r="628" spans="1:26" ht="14">
      <c r="A628" s="71">
        <v>41542</v>
      </c>
      <c r="B628" s="72" t="s">
        <v>157</v>
      </c>
      <c r="C628" s="165">
        <v>2013</v>
      </c>
      <c r="D628" s="34">
        <v>4</v>
      </c>
      <c r="E628" s="3" t="s">
        <v>295</v>
      </c>
      <c r="F628" s="3" t="s">
        <v>296</v>
      </c>
      <c r="G628" s="3"/>
      <c r="H628" s="3" t="s">
        <v>297</v>
      </c>
      <c r="I628" s="3" t="s">
        <v>298</v>
      </c>
      <c r="J628" s="3" t="s">
        <v>299</v>
      </c>
      <c r="K628" s="3"/>
      <c r="L628" s="3">
        <v>3</v>
      </c>
      <c r="M628" s="3" t="s">
        <v>229</v>
      </c>
      <c r="N628" s="3" t="s">
        <v>479</v>
      </c>
      <c r="O628" s="3">
        <v>159</v>
      </c>
      <c r="P628" s="36">
        <v>1.8661870146876351</v>
      </c>
      <c r="Q628" s="3">
        <v>250</v>
      </c>
      <c r="R628" s="3" t="s">
        <v>222</v>
      </c>
      <c r="S628" s="3"/>
      <c r="T628" s="36"/>
      <c r="U628" s="36"/>
      <c r="V628" s="36"/>
      <c r="W628" s="36"/>
      <c r="X628" s="36"/>
      <c r="Y628" s="36"/>
      <c r="Z628" s="36"/>
    </row>
    <row r="629" spans="1:26" ht="14">
      <c r="A629" s="71">
        <v>41542</v>
      </c>
      <c r="B629" s="72" t="s">
        <v>157</v>
      </c>
      <c r="C629" s="165">
        <v>2013</v>
      </c>
      <c r="D629" s="34">
        <v>5</v>
      </c>
      <c r="E629" s="51" t="s">
        <v>295</v>
      </c>
      <c r="F629" s="3" t="s">
        <v>296</v>
      </c>
      <c r="G629" s="3"/>
      <c r="H629" s="51" t="s">
        <v>297</v>
      </c>
      <c r="I629" s="51" t="s">
        <v>298</v>
      </c>
      <c r="J629" s="51" t="s">
        <v>299</v>
      </c>
      <c r="K629" s="3"/>
      <c r="L629" s="3">
        <v>6</v>
      </c>
      <c r="M629" s="3" t="s">
        <v>229</v>
      </c>
      <c r="N629" s="3" t="s">
        <v>479</v>
      </c>
      <c r="O629" s="3">
        <v>206</v>
      </c>
      <c r="P629" s="36">
        <v>2.9116831196579596</v>
      </c>
      <c r="Q629" s="3">
        <v>250</v>
      </c>
      <c r="R629" s="3"/>
      <c r="S629" s="3"/>
      <c r="T629" s="36"/>
      <c r="U629" s="36"/>
      <c r="V629" s="36"/>
      <c r="W629" s="36"/>
      <c r="X629" s="36"/>
      <c r="Y629" s="36"/>
      <c r="Z629" s="36"/>
    </row>
    <row r="630" spans="1:26" ht="14">
      <c r="A630" s="13">
        <v>41542</v>
      </c>
      <c r="B630" s="72" t="s">
        <v>157</v>
      </c>
      <c r="C630" s="165">
        <v>2013</v>
      </c>
      <c r="D630" s="34">
        <v>8</v>
      </c>
      <c r="E630" s="3" t="s">
        <v>295</v>
      </c>
      <c r="F630" s="3" t="s">
        <v>296</v>
      </c>
      <c r="G630" s="3"/>
      <c r="H630" s="3" t="s">
        <v>297</v>
      </c>
      <c r="I630" s="3" t="s">
        <v>298</v>
      </c>
      <c r="J630" s="3" t="s">
        <v>299</v>
      </c>
      <c r="K630" s="3"/>
      <c r="L630" s="3">
        <v>7</v>
      </c>
      <c r="M630" s="3" t="s">
        <v>229</v>
      </c>
      <c r="N630" s="3" t="s">
        <v>479</v>
      </c>
      <c r="O630" s="3">
        <v>183</v>
      </c>
      <c r="P630" s="36">
        <v>3.8250204867383184</v>
      </c>
      <c r="Q630" s="3">
        <v>250</v>
      </c>
      <c r="R630" s="3" t="s">
        <v>222</v>
      </c>
      <c r="S630" s="3"/>
      <c r="T630" s="36"/>
      <c r="U630" s="36"/>
      <c r="V630" s="36"/>
      <c r="W630" s="36"/>
      <c r="X630" s="36"/>
      <c r="Y630" s="36"/>
      <c r="Z630" s="36"/>
    </row>
    <row r="631" spans="1:26" ht="14">
      <c r="A631" s="13">
        <v>41422</v>
      </c>
      <c r="B631" s="72" t="s">
        <v>144</v>
      </c>
      <c r="C631" s="165">
        <v>2013</v>
      </c>
      <c r="D631" s="34">
        <v>4</v>
      </c>
      <c r="E631" s="3" t="s">
        <v>295</v>
      </c>
      <c r="F631" s="3" t="s">
        <v>296</v>
      </c>
      <c r="G631" s="3"/>
      <c r="H631" s="3" t="s">
        <v>297</v>
      </c>
      <c r="I631" s="3" t="s">
        <v>298</v>
      </c>
      <c r="J631" s="3" t="s">
        <v>299</v>
      </c>
      <c r="K631" s="3"/>
      <c r="L631" s="3">
        <v>1</v>
      </c>
      <c r="M631" s="3" t="s">
        <v>229</v>
      </c>
      <c r="N631" s="3" t="s">
        <v>479</v>
      </c>
      <c r="O631" s="3">
        <v>106</v>
      </c>
      <c r="P631" s="65">
        <v>0.94200462237436966</v>
      </c>
      <c r="Q631" s="3">
        <v>250</v>
      </c>
      <c r="R631" s="3" t="s">
        <v>222</v>
      </c>
      <c r="S631" s="3"/>
      <c r="T631" s="36"/>
      <c r="U631" s="36"/>
      <c r="V631" s="36"/>
      <c r="W631" s="36"/>
      <c r="X631" s="36"/>
      <c r="Y631" s="36"/>
      <c r="Z631" s="36"/>
    </row>
    <row r="632" spans="1:26" ht="14">
      <c r="A632" s="72">
        <v>42571</v>
      </c>
      <c r="B632" s="35" t="s">
        <v>154</v>
      </c>
      <c r="C632" s="165">
        <v>2016</v>
      </c>
      <c r="D632" s="53">
        <v>8</v>
      </c>
      <c r="E632" s="76" t="s">
        <v>295</v>
      </c>
      <c r="F632" s="38" t="s">
        <v>296</v>
      </c>
      <c r="G632" s="38"/>
      <c r="H632" s="76" t="s">
        <v>297</v>
      </c>
      <c r="I632" s="76" t="s">
        <v>298</v>
      </c>
      <c r="J632" s="76" t="s">
        <v>299</v>
      </c>
      <c r="K632" s="36"/>
      <c r="L632" s="36">
        <v>1</v>
      </c>
      <c r="M632" s="36" t="s">
        <v>229</v>
      </c>
      <c r="N632" s="36" t="s">
        <v>369</v>
      </c>
      <c r="O632" s="36">
        <v>237</v>
      </c>
      <c r="P632" s="36">
        <v>0.42188226519275773</v>
      </c>
      <c r="Q632" s="36">
        <v>250</v>
      </c>
      <c r="R632" s="36"/>
      <c r="S632" s="36"/>
      <c r="T632" s="36"/>
      <c r="U632" s="36"/>
      <c r="V632" s="36"/>
      <c r="W632" s="36"/>
      <c r="X632" s="36"/>
      <c r="Y632" s="36"/>
      <c r="Z632" s="36"/>
    </row>
    <row r="633" spans="1:26" ht="14">
      <c r="A633" s="13">
        <v>42206</v>
      </c>
      <c r="B633" s="72" t="s">
        <v>154</v>
      </c>
      <c r="C633" s="165">
        <v>2015</v>
      </c>
      <c r="D633" s="53">
        <v>8</v>
      </c>
      <c r="E633" s="76" t="s">
        <v>295</v>
      </c>
      <c r="F633" s="38" t="s">
        <v>296</v>
      </c>
      <c r="G633" s="38"/>
      <c r="H633" s="76" t="s">
        <v>297</v>
      </c>
      <c r="I633" s="76" t="s">
        <v>298</v>
      </c>
      <c r="J633" s="76" t="s">
        <v>299</v>
      </c>
      <c r="K633" s="36"/>
      <c r="L633" s="36">
        <v>9</v>
      </c>
      <c r="M633" s="36" t="s">
        <v>229</v>
      </c>
      <c r="N633" s="36" t="s">
        <v>369</v>
      </c>
      <c r="O633" s="3">
        <v>199</v>
      </c>
      <c r="P633" s="65">
        <v>4.5186862241847008</v>
      </c>
      <c r="Q633" s="3">
        <v>250</v>
      </c>
      <c r="R633" s="32"/>
      <c r="S633" s="32"/>
      <c r="T633" s="36"/>
      <c r="U633" s="36"/>
      <c r="V633" s="36"/>
      <c r="W633" s="36"/>
      <c r="X633" s="36"/>
      <c r="Y633" s="36"/>
      <c r="Z633" s="36"/>
    </row>
    <row r="634" spans="1:26" ht="14">
      <c r="A634" s="35">
        <v>42634</v>
      </c>
      <c r="B634" s="72" t="s">
        <v>157</v>
      </c>
      <c r="C634" s="165">
        <v>2016</v>
      </c>
      <c r="D634" s="53">
        <v>5</v>
      </c>
      <c r="E634" s="36" t="s">
        <v>514</v>
      </c>
      <c r="F634" s="82" t="s">
        <v>515</v>
      </c>
      <c r="G634" s="36"/>
      <c r="H634" s="36"/>
      <c r="I634" s="36"/>
      <c r="J634" s="36"/>
      <c r="K634" s="36"/>
      <c r="L634" s="36">
        <v>1</v>
      </c>
      <c r="M634" s="36" t="s">
        <v>221</v>
      </c>
      <c r="N634" s="36" t="s">
        <v>516</v>
      </c>
      <c r="O634" s="36">
        <v>93</v>
      </c>
      <c r="P634" s="36">
        <v>9.4131416210630576E-4</v>
      </c>
      <c r="Q634" s="36">
        <v>1000</v>
      </c>
      <c r="R634" s="36"/>
      <c r="S634" s="36"/>
      <c r="T634" s="36"/>
      <c r="U634" s="36"/>
      <c r="V634" s="36"/>
      <c r="W634" s="36"/>
      <c r="X634" s="36"/>
      <c r="Y634" s="36"/>
      <c r="Z634" s="36"/>
    </row>
    <row r="635" spans="1:26" ht="14">
      <c r="A635" s="72">
        <v>42634</v>
      </c>
      <c r="B635" s="72" t="s">
        <v>157</v>
      </c>
      <c r="C635" s="165">
        <v>2016</v>
      </c>
      <c r="D635" s="53">
        <v>4</v>
      </c>
      <c r="E635" s="36" t="s">
        <v>300</v>
      </c>
      <c r="F635" s="36" t="s">
        <v>320</v>
      </c>
      <c r="G635" s="36"/>
      <c r="H635" s="36"/>
      <c r="I635" s="36"/>
      <c r="J635" s="36"/>
      <c r="K635" s="36"/>
      <c r="L635" s="36">
        <v>2</v>
      </c>
      <c r="M635" s="36" t="s">
        <v>221</v>
      </c>
      <c r="N635" s="36" t="s">
        <v>512</v>
      </c>
      <c r="O635" s="36">
        <v>127</v>
      </c>
      <c r="P635" s="65">
        <v>4.0551805800878851E-3</v>
      </c>
      <c r="Q635" s="36">
        <v>1000</v>
      </c>
      <c r="R635" s="36"/>
      <c r="S635" s="36"/>
      <c r="T635" s="36"/>
      <c r="U635" s="36"/>
      <c r="V635" s="36"/>
      <c r="W635" s="36"/>
      <c r="X635" s="36"/>
      <c r="Y635" s="36"/>
      <c r="Z635" s="36"/>
    </row>
    <row r="636" spans="1:26" ht="14">
      <c r="A636" s="35">
        <v>42634</v>
      </c>
      <c r="B636" s="72" t="s">
        <v>157</v>
      </c>
      <c r="C636" s="165">
        <v>2016</v>
      </c>
      <c r="D636" s="53">
        <v>5</v>
      </c>
      <c r="E636" s="36" t="s">
        <v>300</v>
      </c>
      <c r="F636" s="36" t="s">
        <v>320</v>
      </c>
      <c r="G636" s="36"/>
      <c r="H636" s="36"/>
      <c r="I636" s="36"/>
      <c r="J636" s="36"/>
      <c r="K636" s="36"/>
      <c r="L636" s="36">
        <v>38</v>
      </c>
      <c r="M636" s="36" t="s">
        <v>221</v>
      </c>
      <c r="N636" s="36" t="s">
        <v>512</v>
      </c>
      <c r="O636" s="36">
        <v>93</v>
      </c>
      <c r="P636" s="36">
        <v>3.5769938160039622E-2</v>
      </c>
      <c r="Q636" s="36">
        <v>1000</v>
      </c>
      <c r="R636" s="36"/>
      <c r="S636" s="36"/>
      <c r="T636" s="36"/>
      <c r="U636" s="36"/>
      <c r="V636" s="36"/>
      <c r="W636" s="36"/>
      <c r="X636" s="36"/>
      <c r="Y636" s="36"/>
      <c r="Z636" s="36"/>
    </row>
    <row r="637" spans="1:26" ht="14">
      <c r="A637" s="13">
        <v>43019</v>
      </c>
      <c r="B637" s="72" t="s">
        <v>159</v>
      </c>
      <c r="C637" s="165">
        <v>2017</v>
      </c>
      <c r="D637" s="53">
        <v>5</v>
      </c>
      <c r="E637" s="65" t="s">
        <v>300</v>
      </c>
      <c r="F637" s="65" t="s">
        <v>320</v>
      </c>
      <c r="G637" s="65"/>
      <c r="H637" s="65"/>
      <c r="I637" s="65"/>
      <c r="J637" s="36"/>
      <c r="K637" s="36"/>
      <c r="L637" s="36">
        <v>1</v>
      </c>
      <c r="M637" s="36" t="s">
        <v>221</v>
      </c>
      <c r="N637" s="36" t="s">
        <v>322</v>
      </c>
      <c r="O637" s="3">
        <v>255</v>
      </c>
      <c r="P637" s="36">
        <v>0.39206991221522669</v>
      </c>
      <c r="Q637" s="3">
        <v>250</v>
      </c>
      <c r="R637" s="3"/>
      <c r="S637" s="3"/>
      <c r="T637" s="36"/>
      <c r="U637" s="36"/>
      <c r="V637" s="36"/>
      <c r="W637" s="36"/>
      <c r="X637" s="36"/>
      <c r="Y637" s="36"/>
      <c r="Z637" s="36"/>
    </row>
    <row r="638" spans="1:26" ht="14">
      <c r="A638" s="35">
        <v>42634</v>
      </c>
      <c r="B638" s="72" t="s">
        <v>157</v>
      </c>
      <c r="C638" s="165">
        <v>2016</v>
      </c>
      <c r="D638" s="53">
        <v>8</v>
      </c>
      <c r="E638" s="65" t="s">
        <v>300</v>
      </c>
      <c r="F638" s="65" t="s">
        <v>320</v>
      </c>
      <c r="G638" s="65"/>
      <c r="H638" s="65"/>
      <c r="I638" s="65"/>
      <c r="J638" s="36"/>
      <c r="K638" s="36"/>
      <c r="L638" s="36">
        <v>3</v>
      </c>
      <c r="M638" s="36" t="s">
        <v>221</v>
      </c>
      <c r="N638" s="36" t="s">
        <v>322</v>
      </c>
      <c r="O638" s="36">
        <v>3658</v>
      </c>
      <c r="P638" s="36">
        <v>5.3015212101160721E-3</v>
      </c>
      <c r="Q638" s="36">
        <v>1000</v>
      </c>
      <c r="R638" s="36"/>
      <c r="S638" s="36"/>
      <c r="T638" s="36"/>
      <c r="U638" s="36"/>
      <c r="V638" s="36"/>
      <c r="W638" s="36"/>
      <c r="X638" s="36"/>
      <c r="Y638" s="36"/>
      <c r="Z638" s="36"/>
    </row>
    <row r="639" spans="1:26" ht="14">
      <c r="A639" s="72">
        <v>42571</v>
      </c>
      <c r="B639" s="72" t="s">
        <v>154</v>
      </c>
      <c r="C639" s="165">
        <v>2016</v>
      </c>
      <c r="D639" s="53">
        <v>8</v>
      </c>
      <c r="E639" s="36" t="s">
        <v>300</v>
      </c>
      <c r="F639" s="36" t="s">
        <v>320</v>
      </c>
      <c r="G639" s="36"/>
      <c r="H639" s="36"/>
      <c r="I639" s="36"/>
      <c r="J639" s="36"/>
      <c r="K639" s="36"/>
      <c r="L639" s="36">
        <v>3</v>
      </c>
      <c r="M639" s="36" t="s">
        <v>221</v>
      </c>
      <c r="N639" s="36" t="s">
        <v>322</v>
      </c>
      <c r="O639" s="36">
        <v>237</v>
      </c>
      <c r="P639" s="36">
        <v>1.2656467955782735</v>
      </c>
      <c r="Q639" s="36">
        <v>250</v>
      </c>
      <c r="R639" s="36"/>
      <c r="S639" s="36"/>
      <c r="T639" s="36"/>
      <c r="U639" s="36"/>
      <c r="V639" s="36"/>
      <c r="W639" s="36"/>
      <c r="X639" s="36"/>
      <c r="Y639" s="36"/>
      <c r="Z639" s="36"/>
    </row>
    <row r="640" spans="1:26" ht="14">
      <c r="A640" s="35">
        <v>42206</v>
      </c>
      <c r="B640" s="72" t="s">
        <v>154</v>
      </c>
      <c r="C640" s="165">
        <v>2015</v>
      </c>
      <c r="D640" s="53">
        <v>8</v>
      </c>
      <c r="E640" s="65" t="s">
        <v>300</v>
      </c>
      <c r="F640" s="65" t="s">
        <v>320</v>
      </c>
      <c r="G640" s="65"/>
      <c r="H640" s="65"/>
      <c r="I640" s="65"/>
      <c r="J640" s="36"/>
      <c r="K640" s="36"/>
      <c r="L640" s="36">
        <v>1</v>
      </c>
      <c r="M640" s="36" t="s">
        <v>221</v>
      </c>
      <c r="N640" s="36" t="s">
        <v>322</v>
      </c>
      <c r="O640" s="36">
        <v>7</v>
      </c>
      <c r="P640" s="36">
        <v>1.2403831543563807E-2</v>
      </c>
      <c r="Q640" s="36">
        <v>1000</v>
      </c>
      <c r="R640" s="36"/>
      <c r="S640" s="36"/>
      <c r="T640" s="36"/>
      <c r="U640" s="36"/>
      <c r="V640" s="36"/>
      <c r="W640" s="36"/>
      <c r="X640" s="36"/>
      <c r="Y640" s="36"/>
      <c r="Z640" s="36"/>
    </row>
    <row r="641" spans="1:26" ht="14">
      <c r="A641" s="72">
        <v>41480</v>
      </c>
      <c r="B641" s="72" t="s">
        <v>154</v>
      </c>
      <c r="C641" s="165">
        <v>2013</v>
      </c>
      <c r="D641" s="53">
        <v>4</v>
      </c>
      <c r="E641" s="53" t="s">
        <v>300</v>
      </c>
      <c r="F641" s="65" t="s">
        <v>320</v>
      </c>
      <c r="G641" s="65"/>
      <c r="H641" s="53"/>
      <c r="I641" s="53"/>
      <c r="J641" s="53"/>
      <c r="K641" s="53"/>
      <c r="L641" s="53">
        <v>9</v>
      </c>
      <c r="M641" s="53" t="s">
        <v>221</v>
      </c>
      <c r="N641" s="53" t="s">
        <v>322</v>
      </c>
      <c r="O641" s="36">
        <v>124</v>
      </c>
      <c r="P641" s="65">
        <v>7.238116995582021</v>
      </c>
      <c r="Q641" s="36">
        <v>250</v>
      </c>
      <c r="R641" s="36" t="s">
        <v>222</v>
      </c>
      <c r="S641" s="36"/>
      <c r="T641" s="36"/>
      <c r="U641" s="36"/>
      <c r="V641" s="36"/>
      <c r="W641" s="36"/>
      <c r="X641" s="36"/>
      <c r="Y641" s="36"/>
      <c r="Z641" s="36"/>
    </row>
    <row r="642" spans="1:26" ht="14">
      <c r="A642" s="35">
        <v>41480</v>
      </c>
      <c r="B642" s="72" t="s">
        <v>154</v>
      </c>
      <c r="C642" s="165">
        <v>2013</v>
      </c>
      <c r="D642" s="53">
        <v>5</v>
      </c>
      <c r="E642" s="36" t="s">
        <v>300</v>
      </c>
      <c r="F642" s="36" t="s">
        <v>320</v>
      </c>
      <c r="G642" s="36"/>
      <c r="H642" s="36"/>
      <c r="I642" s="36"/>
      <c r="J642" s="36"/>
      <c r="K642" s="36"/>
      <c r="L642" s="36">
        <v>8</v>
      </c>
      <c r="M642" s="36" t="s">
        <v>221</v>
      </c>
      <c r="N642" s="36" t="s">
        <v>322</v>
      </c>
      <c r="O642" s="3">
        <v>155</v>
      </c>
      <c r="P642" s="36">
        <v>5.1605625679851723</v>
      </c>
      <c r="Q642" s="36">
        <v>250</v>
      </c>
      <c r="R642" s="36" t="s">
        <v>222</v>
      </c>
      <c r="S642" s="36"/>
      <c r="T642" s="36"/>
      <c r="U642" s="36"/>
      <c r="V642" s="36"/>
      <c r="W642" s="36"/>
      <c r="X642" s="36"/>
      <c r="Y642" s="36"/>
      <c r="Z642" s="36"/>
    </row>
    <row r="643" spans="1:26" ht="14">
      <c r="A643" s="72">
        <v>41422</v>
      </c>
      <c r="B643" s="72" t="s">
        <v>144</v>
      </c>
      <c r="C643" s="165">
        <v>2013</v>
      </c>
      <c r="D643" s="53">
        <v>2</v>
      </c>
      <c r="E643" s="36" t="s">
        <v>300</v>
      </c>
      <c r="F643" s="36" t="s">
        <v>320</v>
      </c>
      <c r="G643" s="36"/>
      <c r="H643" s="36"/>
      <c r="I643" s="36"/>
      <c r="J643" s="36" t="s">
        <v>321</v>
      </c>
      <c r="K643" s="36"/>
      <c r="L643" s="36">
        <v>2</v>
      </c>
      <c r="M643" s="36" t="s">
        <v>221</v>
      </c>
      <c r="N643" s="36" t="s">
        <v>322</v>
      </c>
      <c r="O643" s="36">
        <v>40</v>
      </c>
      <c r="P643" s="36">
        <v>4.997639845853322</v>
      </c>
      <c r="Q643" s="36">
        <v>250</v>
      </c>
      <c r="R643" s="36" t="s">
        <v>222</v>
      </c>
      <c r="S643" s="36"/>
      <c r="T643" s="36"/>
      <c r="U643" s="36"/>
      <c r="V643" s="36"/>
      <c r="W643" s="36"/>
      <c r="X643" s="36"/>
      <c r="Y643" s="36"/>
      <c r="Z643" s="36"/>
    </row>
    <row r="644" spans="1:26" ht="14">
      <c r="A644" s="72">
        <v>41422</v>
      </c>
      <c r="B644" s="72" t="s">
        <v>144</v>
      </c>
      <c r="C644" s="165">
        <v>2013</v>
      </c>
      <c r="D644" s="53">
        <v>4</v>
      </c>
      <c r="E644" s="65" t="s">
        <v>300</v>
      </c>
      <c r="F644" s="65" t="s">
        <v>320</v>
      </c>
      <c r="G644" s="65"/>
      <c r="H644" s="65"/>
      <c r="I644" s="65"/>
      <c r="J644" s="36"/>
      <c r="K644" s="36"/>
      <c r="L644" s="36">
        <v>1</v>
      </c>
      <c r="M644" s="36" t="s">
        <v>221</v>
      </c>
      <c r="N644" s="36" t="s">
        <v>322</v>
      </c>
      <c r="O644" s="3">
        <v>106</v>
      </c>
      <c r="P644" s="65">
        <v>0.94200462237436966</v>
      </c>
      <c r="Q644" s="36">
        <v>250</v>
      </c>
      <c r="R644" s="36" t="s">
        <v>222</v>
      </c>
      <c r="S644" s="36"/>
      <c r="T644" s="36"/>
      <c r="U644" s="36"/>
      <c r="V644" s="36"/>
      <c r="W644" s="36"/>
      <c r="X644" s="36"/>
      <c r="Y644" s="36"/>
      <c r="Z644" s="36"/>
    </row>
    <row r="645" spans="1:26" ht="14">
      <c r="A645" s="72">
        <v>41422</v>
      </c>
      <c r="B645" s="72" t="s">
        <v>144</v>
      </c>
      <c r="C645" s="165">
        <v>2013</v>
      </c>
      <c r="D645" s="65">
        <v>5</v>
      </c>
      <c r="E645" s="36" t="s">
        <v>300</v>
      </c>
      <c r="F645" s="36" t="s">
        <v>320</v>
      </c>
      <c r="G645" s="36"/>
      <c r="H645" s="36"/>
      <c r="I645" s="36"/>
      <c r="J645" s="36"/>
      <c r="K645" s="36"/>
      <c r="L645" s="36">
        <v>2</v>
      </c>
      <c r="M645" s="36" t="s">
        <v>221</v>
      </c>
      <c r="N645" s="36" t="s">
        <v>322</v>
      </c>
      <c r="O645" s="3">
        <v>120</v>
      </c>
      <c r="P645" s="36">
        <v>1.6666666666666667</v>
      </c>
      <c r="Q645" s="36">
        <v>250</v>
      </c>
      <c r="R645" s="36" t="s">
        <v>222</v>
      </c>
      <c r="S645" s="36"/>
      <c r="T645" s="36"/>
      <c r="U645" s="36"/>
      <c r="V645" s="36"/>
      <c r="W645" s="36"/>
      <c r="X645" s="36"/>
      <c r="Y645" s="36"/>
      <c r="Z645" s="36"/>
    </row>
    <row r="646" spans="1:26" ht="14">
      <c r="A646" s="35">
        <v>41422</v>
      </c>
      <c r="B646" s="72" t="s">
        <v>144</v>
      </c>
      <c r="C646" s="165">
        <v>2013</v>
      </c>
      <c r="D646" s="65">
        <v>8</v>
      </c>
      <c r="E646" s="65" t="s">
        <v>300</v>
      </c>
      <c r="F646" s="65" t="s">
        <v>320</v>
      </c>
      <c r="G646" s="65"/>
      <c r="H646" s="65"/>
      <c r="I646" s="65"/>
      <c r="J646" s="36"/>
      <c r="K646" s="36"/>
      <c r="L646" s="36">
        <v>1</v>
      </c>
      <c r="M646" s="36" t="s">
        <v>221</v>
      </c>
      <c r="N646" s="36" t="s">
        <v>322</v>
      </c>
      <c r="O646" s="3">
        <v>89</v>
      </c>
      <c r="P646" s="36">
        <v>1.1233098485811601</v>
      </c>
      <c r="Q646" s="36">
        <v>250</v>
      </c>
      <c r="R646" s="36" t="s">
        <v>222</v>
      </c>
      <c r="S646" s="36"/>
      <c r="T646" s="36"/>
      <c r="U646" s="36"/>
      <c r="V646" s="36"/>
      <c r="W646" s="36"/>
      <c r="X646" s="36"/>
      <c r="Y646" s="36"/>
      <c r="Z646" s="36"/>
    </row>
    <row r="647" spans="1:26" ht="14">
      <c r="A647" s="13">
        <v>43019</v>
      </c>
      <c r="B647" s="72" t="s">
        <v>159</v>
      </c>
      <c r="C647" s="165">
        <v>2017</v>
      </c>
      <c r="D647" s="53">
        <v>4</v>
      </c>
      <c r="E647" s="36" t="s">
        <v>223</v>
      </c>
      <c r="F647" s="36" t="s">
        <v>303</v>
      </c>
      <c r="G647" s="36" t="s">
        <v>304</v>
      </c>
      <c r="H647" s="36" t="s">
        <v>305</v>
      </c>
      <c r="I647" s="36" t="s">
        <v>306</v>
      </c>
      <c r="J647" s="36" t="s">
        <v>307</v>
      </c>
      <c r="K647" s="36"/>
      <c r="L647" s="36">
        <v>3</v>
      </c>
      <c r="M647" s="3" t="s">
        <v>229</v>
      </c>
      <c r="N647" s="3" t="s">
        <v>307</v>
      </c>
      <c r="O647" s="3">
        <v>248</v>
      </c>
      <c r="P647" s="36">
        <v>1.1933605355099508</v>
      </c>
      <c r="Q647" s="36">
        <v>250</v>
      </c>
      <c r="R647" s="3" t="s">
        <v>659</v>
      </c>
      <c r="S647" s="3"/>
      <c r="T647" s="36"/>
      <c r="U647" s="36"/>
      <c r="V647" s="36"/>
      <c r="W647" s="36"/>
      <c r="X647" s="36"/>
      <c r="Y647" s="36"/>
      <c r="Z647" s="36"/>
    </row>
    <row r="648" spans="1:26" ht="14">
      <c r="A648" s="13">
        <v>43019</v>
      </c>
      <c r="B648" s="72" t="s">
        <v>159</v>
      </c>
      <c r="C648" s="165">
        <v>2017</v>
      </c>
      <c r="D648" s="53">
        <v>5</v>
      </c>
      <c r="E648" s="36" t="s">
        <v>223</v>
      </c>
      <c r="F648" s="36" t="s">
        <v>303</v>
      </c>
      <c r="G648" s="36" t="s">
        <v>304</v>
      </c>
      <c r="H648" s="36" t="s">
        <v>305</v>
      </c>
      <c r="I648" s="36" t="s">
        <v>306</v>
      </c>
      <c r="J648" s="36" t="s">
        <v>307</v>
      </c>
      <c r="K648" s="36"/>
      <c r="L648" s="36">
        <v>3</v>
      </c>
      <c r="M648" s="3" t="s">
        <v>229</v>
      </c>
      <c r="N648" s="3" t="s">
        <v>307</v>
      </c>
      <c r="O648" s="3">
        <v>255</v>
      </c>
      <c r="P648" s="36">
        <v>1.1762097366456801</v>
      </c>
      <c r="Q648" s="3">
        <v>250</v>
      </c>
      <c r="R648" s="3" t="s">
        <v>308</v>
      </c>
      <c r="S648" s="3"/>
      <c r="T648" s="36"/>
      <c r="U648" s="36"/>
      <c r="V648" s="36"/>
      <c r="W648" s="36"/>
      <c r="X648" s="36"/>
      <c r="Y648" s="36"/>
      <c r="Z648" s="36"/>
    </row>
    <row r="649" spans="1:26" ht="14">
      <c r="A649" s="13">
        <v>43019</v>
      </c>
      <c r="B649" s="72" t="s">
        <v>159</v>
      </c>
      <c r="C649" s="165">
        <v>2017</v>
      </c>
      <c r="D649" s="53">
        <v>5</v>
      </c>
      <c r="E649" s="65" t="s">
        <v>223</v>
      </c>
      <c r="F649" s="65" t="s">
        <v>303</v>
      </c>
      <c r="G649" s="65" t="s">
        <v>304</v>
      </c>
      <c r="H649" s="65" t="s">
        <v>305</v>
      </c>
      <c r="I649" s="65" t="s">
        <v>306</v>
      </c>
      <c r="J649" s="36" t="s">
        <v>307</v>
      </c>
      <c r="K649" s="36"/>
      <c r="L649" s="36">
        <v>2</v>
      </c>
      <c r="M649" s="3" t="s">
        <v>229</v>
      </c>
      <c r="N649" s="3" t="s">
        <v>307</v>
      </c>
      <c r="O649" s="3">
        <v>255</v>
      </c>
      <c r="P649" s="36">
        <v>0.78413982443045338</v>
      </c>
      <c r="Q649" s="3">
        <v>250</v>
      </c>
      <c r="R649" s="3" t="s">
        <v>309</v>
      </c>
      <c r="S649" s="3"/>
      <c r="T649" s="36"/>
      <c r="U649" s="36"/>
      <c r="V649" s="36"/>
      <c r="W649" s="36"/>
      <c r="X649" s="36"/>
      <c r="Y649" s="36"/>
      <c r="Z649" s="36"/>
    </row>
    <row r="650" spans="1:26" ht="14">
      <c r="A650" s="13">
        <v>43019</v>
      </c>
      <c r="B650" s="72" t="s">
        <v>159</v>
      </c>
      <c r="C650" s="165">
        <v>2017</v>
      </c>
      <c r="D650" s="65">
        <v>8</v>
      </c>
      <c r="E650" s="36" t="s">
        <v>223</v>
      </c>
      <c r="F650" s="36" t="s">
        <v>303</v>
      </c>
      <c r="G650" s="36" t="s">
        <v>304</v>
      </c>
      <c r="H650" s="36" t="s">
        <v>305</v>
      </c>
      <c r="I650" s="36" t="s">
        <v>306</v>
      </c>
      <c r="J650" s="36" t="s">
        <v>307</v>
      </c>
      <c r="K650" s="36"/>
      <c r="L650" s="36">
        <v>1</v>
      </c>
      <c r="M650" s="3" t="s">
        <v>229</v>
      </c>
      <c r="N650" s="3" t="s">
        <v>307</v>
      </c>
      <c r="O650" s="3">
        <v>288</v>
      </c>
      <c r="P650" s="36">
        <v>0.33361048120931314</v>
      </c>
      <c r="Q650" s="3">
        <v>250</v>
      </c>
      <c r="R650" s="3" t="s">
        <v>308</v>
      </c>
      <c r="S650" s="3"/>
      <c r="T650" s="36"/>
      <c r="U650" s="36"/>
      <c r="V650" s="36"/>
      <c r="W650" s="36"/>
      <c r="X650" s="36"/>
      <c r="Y650" s="36"/>
      <c r="Z650" s="36"/>
    </row>
    <row r="651" spans="1:26" ht="14">
      <c r="A651" s="13">
        <v>42928</v>
      </c>
      <c r="B651" s="72" t="s">
        <v>154</v>
      </c>
      <c r="C651" s="165">
        <v>2017</v>
      </c>
      <c r="D651" s="65">
        <v>2</v>
      </c>
      <c r="E651" s="36" t="s">
        <v>223</v>
      </c>
      <c r="F651" s="36" t="s">
        <v>303</v>
      </c>
      <c r="G651" s="36" t="s">
        <v>304</v>
      </c>
      <c r="H651" s="36" t="s">
        <v>305</v>
      </c>
      <c r="I651" s="36" t="s">
        <v>306</v>
      </c>
      <c r="J651" s="36" t="s">
        <v>307</v>
      </c>
      <c r="K651" s="36"/>
      <c r="L651" s="36">
        <v>1</v>
      </c>
      <c r="M651" s="3" t="s">
        <v>229</v>
      </c>
      <c r="N651" s="3" t="s">
        <v>307</v>
      </c>
      <c r="O651" s="3">
        <v>656</v>
      </c>
      <c r="P651" s="36">
        <v>0.1522843261809422</v>
      </c>
      <c r="Q651" s="36">
        <v>250</v>
      </c>
      <c r="R651" s="3" t="s">
        <v>309</v>
      </c>
      <c r="S651" s="3"/>
      <c r="T651" s="36"/>
      <c r="U651" s="36"/>
      <c r="V651" s="36"/>
      <c r="W651" s="36"/>
      <c r="X651" s="36"/>
      <c r="Y651" s="36"/>
      <c r="Z651" s="36"/>
    </row>
    <row r="652" spans="1:26" ht="14">
      <c r="A652" s="13">
        <v>42928</v>
      </c>
      <c r="B652" s="72" t="s">
        <v>154</v>
      </c>
      <c r="C652" s="165">
        <v>2017</v>
      </c>
      <c r="D652" s="53">
        <v>2</v>
      </c>
      <c r="E652" s="65" t="s">
        <v>223</v>
      </c>
      <c r="F652" s="65" t="s">
        <v>303</v>
      </c>
      <c r="G652" s="65" t="s">
        <v>304</v>
      </c>
      <c r="H652" s="65" t="s">
        <v>305</v>
      </c>
      <c r="I652" s="65" t="s">
        <v>306</v>
      </c>
      <c r="J652" s="36" t="s">
        <v>307</v>
      </c>
      <c r="K652" s="36"/>
      <c r="L652" s="36">
        <v>8</v>
      </c>
      <c r="M652" s="3" t="s">
        <v>229</v>
      </c>
      <c r="N652" s="3" t="s">
        <v>307</v>
      </c>
      <c r="O652" s="3">
        <v>656</v>
      </c>
      <c r="P652" s="36">
        <v>1.2182746094475376</v>
      </c>
      <c r="Q652" s="36">
        <v>250</v>
      </c>
      <c r="R652" s="3" t="s">
        <v>308</v>
      </c>
      <c r="S652" s="3"/>
      <c r="T652" s="36"/>
      <c r="U652" s="36"/>
      <c r="V652" s="36"/>
      <c r="W652" s="36"/>
      <c r="X652" s="36"/>
      <c r="Y652" s="36"/>
      <c r="Z652" s="36"/>
    </row>
    <row r="653" spans="1:26" ht="14">
      <c r="A653" s="13">
        <v>42928</v>
      </c>
      <c r="B653" s="72" t="s">
        <v>154</v>
      </c>
      <c r="C653" s="165">
        <v>2017</v>
      </c>
      <c r="D653" s="53">
        <v>4</v>
      </c>
      <c r="E653" s="36" t="s">
        <v>223</v>
      </c>
      <c r="F653" s="36" t="s">
        <v>303</v>
      </c>
      <c r="G653" s="36" t="s">
        <v>304</v>
      </c>
      <c r="H653" s="36" t="s">
        <v>305</v>
      </c>
      <c r="I653" s="36" t="s">
        <v>306</v>
      </c>
      <c r="J653" s="36" t="s">
        <v>307</v>
      </c>
      <c r="K653" s="36"/>
      <c r="L653" s="36">
        <v>16</v>
      </c>
      <c r="M653" s="3" t="s">
        <v>229</v>
      </c>
      <c r="N653" s="3" t="s">
        <v>307</v>
      </c>
      <c r="O653" s="3">
        <v>225</v>
      </c>
      <c r="P653" s="36">
        <v>7.0825862505232084</v>
      </c>
      <c r="Q653" s="36">
        <v>250</v>
      </c>
      <c r="R653" s="3" t="s">
        <v>308</v>
      </c>
      <c r="S653" s="3"/>
      <c r="T653" s="36"/>
      <c r="U653" s="36"/>
      <c r="V653" s="36"/>
      <c r="W653" s="36"/>
      <c r="X653" s="36"/>
      <c r="Y653" s="36"/>
      <c r="Z653" s="36"/>
    </row>
    <row r="654" spans="1:26" ht="14">
      <c r="A654" s="13">
        <v>42928</v>
      </c>
      <c r="B654" s="72" t="s">
        <v>154</v>
      </c>
      <c r="C654" s="165">
        <v>2017</v>
      </c>
      <c r="D654" s="53">
        <v>4</v>
      </c>
      <c r="E654" s="36" t="s">
        <v>223</v>
      </c>
      <c r="F654" s="36" t="s">
        <v>303</v>
      </c>
      <c r="G654" s="36" t="s">
        <v>304</v>
      </c>
      <c r="H654" s="36" t="s">
        <v>305</v>
      </c>
      <c r="I654" s="36" t="s">
        <v>306</v>
      </c>
      <c r="J654" s="36" t="s">
        <v>307</v>
      </c>
      <c r="K654" s="36"/>
      <c r="L654" s="36">
        <v>2</v>
      </c>
      <c r="M654" s="3" t="s">
        <v>229</v>
      </c>
      <c r="N654" s="3" t="s">
        <v>307</v>
      </c>
      <c r="O654" s="3">
        <v>225</v>
      </c>
      <c r="P654" s="36">
        <v>0.88532328131540106</v>
      </c>
      <c r="Q654" s="36">
        <v>250</v>
      </c>
      <c r="R654" s="3" t="s">
        <v>309</v>
      </c>
      <c r="S654" s="3"/>
      <c r="T654" s="36"/>
      <c r="U654" s="36"/>
      <c r="V654" s="36"/>
      <c r="W654" s="36"/>
      <c r="X654" s="36"/>
      <c r="Y654" s="36"/>
      <c r="Z654" s="36"/>
    </row>
    <row r="655" spans="1:26" ht="14">
      <c r="A655" s="72">
        <v>42928</v>
      </c>
      <c r="B655" s="72" t="s">
        <v>154</v>
      </c>
      <c r="C655" s="165">
        <v>2017</v>
      </c>
      <c r="D655" s="53">
        <v>5</v>
      </c>
      <c r="E655" s="36" t="s">
        <v>223</v>
      </c>
      <c r="F655" s="36" t="s">
        <v>303</v>
      </c>
      <c r="G655" s="36" t="s">
        <v>304</v>
      </c>
      <c r="H655" s="36" t="s">
        <v>305</v>
      </c>
      <c r="I655" s="36" t="s">
        <v>306</v>
      </c>
      <c r="J655" s="36" t="s">
        <v>307</v>
      </c>
      <c r="K655" s="36"/>
      <c r="L655" s="36">
        <v>5</v>
      </c>
      <c r="M655" s="36" t="s">
        <v>229</v>
      </c>
      <c r="N655" s="36" t="s">
        <v>307</v>
      </c>
      <c r="O655" s="36">
        <v>385</v>
      </c>
      <c r="P655" s="36">
        <v>1.2981321828216807</v>
      </c>
      <c r="Q655" s="36">
        <v>250</v>
      </c>
      <c r="R655" s="36" t="s">
        <v>309</v>
      </c>
      <c r="S655" s="36"/>
      <c r="T655" s="36"/>
      <c r="U655" s="36"/>
      <c r="V655" s="36"/>
      <c r="W655" s="36"/>
      <c r="X655" s="36"/>
      <c r="Y655" s="36"/>
      <c r="Z655" s="36"/>
    </row>
    <row r="656" spans="1:26" ht="14">
      <c r="A656" s="72">
        <v>42928</v>
      </c>
      <c r="B656" s="72" t="s">
        <v>154</v>
      </c>
      <c r="C656" s="165">
        <v>2017</v>
      </c>
      <c r="D656" s="53">
        <v>5</v>
      </c>
      <c r="E656" s="36" t="s">
        <v>223</v>
      </c>
      <c r="F656" s="36" t="s">
        <v>303</v>
      </c>
      <c r="G656" s="36" t="s">
        <v>304</v>
      </c>
      <c r="H656" s="36" t="s">
        <v>305</v>
      </c>
      <c r="I656" s="36" t="s">
        <v>306</v>
      </c>
      <c r="J656" s="36" t="s">
        <v>307</v>
      </c>
      <c r="K656" s="36"/>
      <c r="L656" s="36">
        <v>82</v>
      </c>
      <c r="M656" s="36" t="s">
        <v>229</v>
      </c>
      <c r="N656" s="36" t="s">
        <v>307</v>
      </c>
      <c r="O656" s="36">
        <v>385</v>
      </c>
      <c r="P656" s="36">
        <v>21.289367798275556</v>
      </c>
      <c r="Q656" s="65">
        <v>250</v>
      </c>
      <c r="R656" s="65" t="s">
        <v>308</v>
      </c>
      <c r="S656" s="65"/>
      <c r="T656" s="65"/>
      <c r="U656" s="36"/>
      <c r="V656" s="36"/>
      <c r="W656" s="36"/>
      <c r="X656" s="36"/>
      <c r="Y656" s="36"/>
      <c r="Z656" s="36"/>
    </row>
    <row r="657" spans="1:26" ht="14">
      <c r="A657" s="13">
        <v>42928</v>
      </c>
      <c r="B657" s="72" t="s">
        <v>154</v>
      </c>
      <c r="C657" s="165">
        <v>2017</v>
      </c>
      <c r="D657" s="53">
        <v>8</v>
      </c>
      <c r="E657" s="36" t="s">
        <v>223</v>
      </c>
      <c r="F657" s="36" t="s">
        <v>303</v>
      </c>
      <c r="G657" s="36" t="s">
        <v>304</v>
      </c>
      <c r="H657" s="36" t="s">
        <v>305</v>
      </c>
      <c r="I657" s="36" t="s">
        <v>306</v>
      </c>
      <c r="J657" s="36" t="s">
        <v>307</v>
      </c>
      <c r="K657" s="36"/>
      <c r="L657" s="36">
        <v>102</v>
      </c>
      <c r="M657" s="3" t="s">
        <v>229</v>
      </c>
      <c r="N657" s="3" t="s">
        <v>307</v>
      </c>
      <c r="O657" s="3">
        <v>319</v>
      </c>
      <c r="P657" s="36">
        <v>31.962798601335766</v>
      </c>
      <c r="Q657" s="36">
        <v>250</v>
      </c>
      <c r="R657" s="3" t="s">
        <v>308</v>
      </c>
      <c r="S657" s="3"/>
      <c r="T657" s="36"/>
      <c r="U657" s="36"/>
      <c r="V657" s="36"/>
      <c r="W657" s="36"/>
      <c r="X657" s="36"/>
      <c r="Y657" s="36"/>
      <c r="Z657" s="36"/>
    </row>
    <row r="658" spans="1:26" ht="14">
      <c r="A658" s="13">
        <v>42928</v>
      </c>
      <c r="B658" s="72" t="s">
        <v>154</v>
      </c>
      <c r="C658" s="165">
        <v>2017</v>
      </c>
      <c r="D658" s="53">
        <v>8</v>
      </c>
      <c r="E658" s="36" t="s">
        <v>223</v>
      </c>
      <c r="F658" s="36" t="s">
        <v>303</v>
      </c>
      <c r="G658" s="36" t="s">
        <v>304</v>
      </c>
      <c r="H658" s="36" t="s">
        <v>305</v>
      </c>
      <c r="I658" s="36" t="s">
        <v>306</v>
      </c>
      <c r="J658" s="36" t="s">
        <v>307</v>
      </c>
      <c r="K658" s="36"/>
      <c r="L658" s="36">
        <v>2</v>
      </c>
      <c r="M658" s="3" t="s">
        <v>229</v>
      </c>
      <c r="N658" s="3" t="s">
        <v>307</v>
      </c>
      <c r="O658" s="3">
        <v>319</v>
      </c>
      <c r="P658" s="36">
        <v>0.6267215412026621</v>
      </c>
      <c r="Q658" s="36">
        <v>250</v>
      </c>
      <c r="R658" s="3" t="s">
        <v>309</v>
      </c>
      <c r="S658" s="3"/>
      <c r="T658" s="36"/>
      <c r="U658" s="36"/>
      <c r="V658" s="36"/>
      <c r="W658" s="36"/>
      <c r="X658" s="36"/>
      <c r="Y658" s="36"/>
      <c r="Z658" s="36"/>
    </row>
    <row r="659" spans="1:26" ht="14">
      <c r="A659" s="13">
        <v>42867</v>
      </c>
      <c r="B659" s="72" t="s">
        <v>144</v>
      </c>
      <c r="C659" s="165">
        <v>2017</v>
      </c>
      <c r="D659" s="53">
        <v>8</v>
      </c>
      <c r="E659" s="36" t="s">
        <v>223</v>
      </c>
      <c r="F659" s="36" t="s">
        <v>303</v>
      </c>
      <c r="G659" s="36" t="s">
        <v>304</v>
      </c>
      <c r="H659" s="36" t="s">
        <v>305</v>
      </c>
      <c r="I659" s="36" t="s">
        <v>306</v>
      </c>
      <c r="J659" s="36" t="s">
        <v>307</v>
      </c>
      <c r="K659" s="36"/>
      <c r="L659" s="36">
        <v>1</v>
      </c>
      <c r="M659" s="3" t="s">
        <v>229</v>
      </c>
      <c r="N659" s="3" t="s">
        <v>307</v>
      </c>
      <c r="O659" s="3">
        <v>268</v>
      </c>
      <c r="P659" s="36">
        <v>0.37249363727663137</v>
      </c>
      <c r="Q659" s="3"/>
      <c r="R659" s="3"/>
      <c r="S659" s="3"/>
      <c r="T659" s="36"/>
      <c r="U659" s="36"/>
      <c r="V659" s="36"/>
      <c r="W659" s="36"/>
      <c r="X659" s="36"/>
      <c r="Y659" s="36"/>
      <c r="Z659" s="36"/>
    </row>
    <row r="660" spans="1:26" ht="14">
      <c r="A660" s="72">
        <v>42634</v>
      </c>
      <c r="B660" s="72" t="s">
        <v>157</v>
      </c>
      <c r="C660" s="165">
        <v>2016</v>
      </c>
      <c r="D660" s="53">
        <v>8</v>
      </c>
      <c r="E660" s="36" t="s">
        <v>223</v>
      </c>
      <c r="F660" s="36" t="s">
        <v>303</v>
      </c>
      <c r="G660" s="36" t="s">
        <v>304</v>
      </c>
      <c r="H660" s="36" t="s">
        <v>305</v>
      </c>
      <c r="I660" s="36" t="s">
        <v>306</v>
      </c>
      <c r="J660" s="36" t="s">
        <v>307</v>
      </c>
      <c r="K660" s="36"/>
      <c r="L660" s="36">
        <v>1</v>
      </c>
      <c r="M660" s="3" t="s">
        <v>229</v>
      </c>
      <c r="N660" s="3" t="s">
        <v>307</v>
      </c>
      <c r="O660" s="36">
        <v>294</v>
      </c>
      <c r="P660" s="36">
        <v>0.31814856622833948</v>
      </c>
      <c r="Q660" s="36">
        <v>250</v>
      </c>
      <c r="R660" s="36" t="s">
        <v>308</v>
      </c>
      <c r="S660" s="36"/>
      <c r="T660" s="36"/>
      <c r="U660" s="36"/>
      <c r="V660" s="36"/>
      <c r="W660" s="36"/>
      <c r="X660" s="36"/>
      <c r="Y660" s="36"/>
      <c r="Z660" s="36"/>
    </row>
    <row r="661" spans="1:26" ht="14">
      <c r="A661" s="72">
        <v>42571</v>
      </c>
      <c r="B661" s="72" t="s">
        <v>154</v>
      </c>
      <c r="C661" s="165">
        <v>2016</v>
      </c>
      <c r="D661" s="53">
        <v>8</v>
      </c>
      <c r="E661" s="51" t="s">
        <v>223</v>
      </c>
      <c r="F661" s="3" t="s">
        <v>303</v>
      </c>
      <c r="G661" s="3" t="s">
        <v>304</v>
      </c>
      <c r="H661" s="51" t="s">
        <v>305</v>
      </c>
      <c r="I661" s="51" t="s">
        <v>306</v>
      </c>
      <c r="J661" s="51" t="s">
        <v>307</v>
      </c>
      <c r="K661" s="51"/>
      <c r="L661" s="65">
        <v>1</v>
      </c>
      <c r="M661" s="51" t="s">
        <v>229</v>
      </c>
      <c r="N661" s="51" t="s">
        <v>307</v>
      </c>
      <c r="O661" s="3">
        <v>237</v>
      </c>
      <c r="P661" s="36">
        <v>0.42188226519275773</v>
      </c>
      <c r="Q661" s="36">
        <v>250</v>
      </c>
      <c r="R661" s="36" t="s">
        <v>620</v>
      </c>
      <c r="S661" s="3"/>
      <c r="T661" s="36"/>
      <c r="U661" s="36"/>
      <c r="V661" s="36"/>
      <c r="W661" s="36"/>
      <c r="X661" s="36"/>
      <c r="Y661" s="36"/>
      <c r="Z661" s="36"/>
    </row>
    <row r="662" spans="1:26" ht="14">
      <c r="A662" s="13">
        <v>42515</v>
      </c>
      <c r="B662" s="72" t="s">
        <v>144</v>
      </c>
      <c r="C662" s="165">
        <v>2016</v>
      </c>
      <c r="D662" s="34">
        <v>2</v>
      </c>
      <c r="E662" s="51" t="s">
        <v>223</v>
      </c>
      <c r="F662" s="51" t="s">
        <v>303</v>
      </c>
      <c r="G662" s="51" t="s">
        <v>304</v>
      </c>
      <c r="H662" s="51" t="s">
        <v>305</v>
      </c>
      <c r="I662" s="51" t="s">
        <v>306</v>
      </c>
      <c r="J662" s="3" t="s">
        <v>307</v>
      </c>
      <c r="K662" s="3"/>
      <c r="L662" s="51">
        <v>1</v>
      </c>
      <c r="M662" s="51" t="s">
        <v>229</v>
      </c>
      <c r="N662" s="51" t="s">
        <v>307</v>
      </c>
      <c r="O662" s="3">
        <v>194</v>
      </c>
      <c r="P662" s="65">
        <v>0.51520576504797122</v>
      </c>
      <c r="Q662" s="51">
        <v>250</v>
      </c>
      <c r="R662" s="65" t="s">
        <v>620</v>
      </c>
      <c r="S662" s="51"/>
      <c r="T662" s="65"/>
      <c r="U662" s="36"/>
      <c r="V662" s="36"/>
      <c r="W662" s="36"/>
      <c r="X662" s="36"/>
      <c r="Y662" s="36"/>
      <c r="Z662" s="36"/>
    </row>
    <row r="663" spans="1:26" ht="14">
      <c r="A663" s="13">
        <v>42515</v>
      </c>
      <c r="B663" s="72" t="s">
        <v>144</v>
      </c>
      <c r="C663" s="165">
        <v>2016</v>
      </c>
      <c r="D663" s="34">
        <v>4</v>
      </c>
      <c r="E663" s="3" t="s">
        <v>223</v>
      </c>
      <c r="F663" s="3" t="s">
        <v>303</v>
      </c>
      <c r="G663" s="3" t="s">
        <v>304</v>
      </c>
      <c r="H663" s="3" t="s">
        <v>305</v>
      </c>
      <c r="I663" s="3" t="s">
        <v>306</v>
      </c>
      <c r="J663" s="3" t="s">
        <v>307</v>
      </c>
      <c r="K663" s="3"/>
      <c r="L663" s="3">
        <v>1</v>
      </c>
      <c r="M663" s="3" t="s">
        <v>229</v>
      </c>
      <c r="N663" s="3" t="s">
        <v>307</v>
      </c>
      <c r="O663" s="3">
        <v>217</v>
      </c>
      <c r="P663" s="36">
        <v>0.46046454311968915</v>
      </c>
      <c r="Q663" s="36">
        <v>250</v>
      </c>
      <c r="R663" s="36" t="s">
        <v>308</v>
      </c>
      <c r="S663" s="3"/>
      <c r="T663" s="36"/>
      <c r="U663" s="36"/>
      <c r="V663" s="36"/>
      <c r="W663" s="36"/>
      <c r="X663" s="36"/>
      <c r="Y663" s="36"/>
      <c r="Z663" s="36"/>
    </row>
    <row r="664" spans="1:26" ht="14">
      <c r="A664" s="71">
        <v>42515</v>
      </c>
      <c r="B664" s="72" t="s">
        <v>144</v>
      </c>
      <c r="C664" s="165">
        <v>2016</v>
      </c>
      <c r="D664" s="34">
        <v>4</v>
      </c>
      <c r="E664" s="51" t="s">
        <v>223</v>
      </c>
      <c r="F664" s="51" t="s">
        <v>303</v>
      </c>
      <c r="G664" s="51" t="s">
        <v>304</v>
      </c>
      <c r="H664" s="51" t="s">
        <v>305</v>
      </c>
      <c r="I664" s="51" t="s">
        <v>306</v>
      </c>
      <c r="J664" s="3" t="s">
        <v>307</v>
      </c>
      <c r="K664" s="3"/>
      <c r="L664" s="3">
        <v>2</v>
      </c>
      <c r="M664" s="3" t="s">
        <v>229</v>
      </c>
      <c r="N664" s="3" t="s">
        <v>307</v>
      </c>
      <c r="O664" s="3">
        <v>217</v>
      </c>
      <c r="P664" s="36">
        <v>0.9209290862393783</v>
      </c>
      <c r="Q664" s="3">
        <v>250</v>
      </c>
      <c r="R664" s="36" t="s">
        <v>620</v>
      </c>
      <c r="S664" s="3"/>
      <c r="T664" s="36"/>
      <c r="U664" s="36"/>
      <c r="V664" s="36"/>
      <c r="W664" s="36"/>
      <c r="X664" s="36"/>
      <c r="Y664" s="36"/>
      <c r="Z664" s="36"/>
    </row>
    <row r="665" spans="1:26" ht="14">
      <c r="A665" s="13">
        <v>42515</v>
      </c>
      <c r="B665" s="72" t="s">
        <v>144</v>
      </c>
      <c r="C665" s="165">
        <v>2016</v>
      </c>
      <c r="D665" s="34">
        <v>5</v>
      </c>
      <c r="E665" s="51" t="s">
        <v>223</v>
      </c>
      <c r="F665" s="51" t="s">
        <v>303</v>
      </c>
      <c r="G665" s="51" t="s">
        <v>304</v>
      </c>
      <c r="H665" s="51" t="s">
        <v>305</v>
      </c>
      <c r="I665" s="51" t="s">
        <v>306</v>
      </c>
      <c r="J665" s="3" t="s">
        <v>307</v>
      </c>
      <c r="K665" s="3"/>
      <c r="L665" s="3">
        <v>9</v>
      </c>
      <c r="M665" s="3" t="s">
        <v>229</v>
      </c>
      <c r="N665" s="3" t="s">
        <v>307</v>
      </c>
      <c r="O665" s="3">
        <v>214</v>
      </c>
      <c r="P665" s="65">
        <v>4.203579527207844</v>
      </c>
      <c r="Q665" s="3">
        <v>250</v>
      </c>
      <c r="R665" s="36" t="s">
        <v>620</v>
      </c>
      <c r="S665" s="3"/>
      <c r="T665" s="36"/>
      <c r="U665" s="36"/>
      <c r="V665" s="36"/>
      <c r="W665" s="36"/>
      <c r="X665" s="36"/>
      <c r="Y665" s="36"/>
      <c r="Z665" s="36"/>
    </row>
    <row r="666" spans="1:26" ht="14">
      <c r="A666" s="169">
        <v>42515</v>
      </c>
      <c r="B666" s="173" t="s">
        <v>144</v>
      </c>
      <c r="C666" s="179">
        <v>2016</v>
      </c>
      <c r="D666" s="177">
        <v>8</v>
      </c>
      <c r="E666" s="171" t="s">
        <v>223</v>
      </c>
      <c r="F666" s="171" t="s">
        <v>303</v>
      </c>
      <c r="G666" s="171" t="s">
        <v>304</v>
      </c>
      <c r="H666" s="171" t="s">
        <v>305</v>
      </c>
      <c r="I666" s="171" t="s">
        <v>306</v>
      </c>
      <c r="J666" s="171" t="s">
        <v>307</v>
      </c>
      <c r="K666" s="171"/>
      <c r="L666" s="171">
        <v>9</v>
      </c>
      <c r="M666" s="171" t="s">
        <v>229</v>
      </c>
      <c r="N666" s="171" t="s">
        <v>307</v>
      </c>
      <c r="O666" s="171">
        <v>252</v>
      </c>
      <c r="P666" s="171">
        <v>3.5709939006257603</v>
      </c>
      <c r="Q666" s="171">
        <v>250</v>
      </c>
      <c r="R666" s="171" t="s">
        <v>620</v>
      </c>
      <c r="S666" s="171"/>
      <c r="T666" s="36"/>
      <c r="U666" s="36"/>
      <c r="V666" s="36"/>
      <c r="W666" s="36"/>
      <c r="X666" s="36"/>
      <c r="Y666" s="36"/>
      <c r="Z666" s="36"/>
    </row>
    <row r="667" spans="1:26" ht="14">
      <c r="A667" s="13">
        <v>42263</v>
      </c>
      <c r="B667" s="72" t="s">
        <v>157</v>
      </c>
      <c r="C667" s="165">
        <v>2015</v>
      </c>
      <c r="D667" s="53">
        <v>4</v>
      </c>
      <c r="E667" s="51" t="s">
        <v>223</v>
      </c>
      <c r="F667" s="3" t="s">
        <v>303</v>
      </c>
      <c r="G667" s="3" t="s">
        <v>304</v>
      </c>
      <c r="H667" s="51" t="s">
        <v>305</v>
      </c>
      <c r="I667" s="51" t="s">
        <v>306</v>
      </c>
      <c r="J667" s="51" t="s">
        <v>307</v>
      </c>
      <c r="K667" s="3"/>
      <c r="L667" s="51">
        <v>7</v>
      </c>
      <c r="M667" s="51" t="s">
        <v>229</v>
      </c>
      <c r="N667" s="51" t="s">
        <v>307</v>
      </c>
      <c r="O667" s="3">
        <v>161</v>
      </c>
      <c r="P667" s="65">
        <v>4.340254927898906</v>
      </c>
      <c r="Q667" s="65">
        <v>250</v>
      </c>
      <c r="R667" s="65" t="s">
        <v>308</v>
      </c>
      <c r="S667" s="51"/>
      <c r="T667" s="65"/>
      <c r="U667" s="36"/>
      <c r="V667" s="36"/>
      <c r="W667" s="36"/>
      <c r="X667" s="36"/>
      <c r="Y667" s="36"/>
      <c r="Z667" s="36"/>
    </row>
    <row r="668" spans="1:26" ht="14">
      <c r="A668" s="13">
        <v>42263</v>
      </c>
      <c r="B668" s="72" t="s">
        <v>157</v>
      </c>
      <c r="C668" s="165">
        <v>2015</v>
      </c>
      <c r="D668" s="53">
        <v>5</v>
      </c>
      <c r="E668" s="3" t="s">
        <v>223</v>
      </c>
      <c r="F668" s="3" t="s">
        <v>303</v>
      </c>
      <c r="G668" s="3" t="s">
        <v>304</v>
      </c>
      <c r="H668" s="3" t="s">
        <v>305</v>
      </c>
      <c r="I668" s="3" t="s">
        <v>306</v>
      </c>
      <c r="J668" s="3" t="s">
        <v>307</v>
      </c>
      <c r="K668" s="3"/>
      <c r="L668" s="36">
        <v>10</v>
      </c>
      <c r="M668" s="3" t="s">
        <v>229</v>
      </c>
      <c r="N668" s="3" t="s">
        <v>307</v>
      </c>
      <c r="O668" s="3">
        <v>222</v>
      </c>
      <c r="P668" s="36">
        <v>4.5032312577470996</v>
      </c>
      <c r="Q668" s="36">
        <v>250</v>
      </c>
      <c r="R668" s="36" t="s">
        <v>308</v>
      </c>
      <c r="S668" s="3"/>
      <c r="T668" s="36"/>
      <c r="U668" s="36"/>
      <c r="V668" s="36"/>
      <c r="W668" s="36"/>
      <c r="X668" s="36"/>
      <c r="Y668" s="36"/>
      <c r="Z668" s="36"/>
    </row>
    <row r="669" spans="1:26" ht="14">
      <c r="A669" s="13">
        <v>42263</v>
      </c>
      <c r="B669" s="72" t="s">
        <v>157</v>
      </c>
      <c r="C669" s="165">
        <v>2015</v>
      </c>
      <c r="D669" s="53">
        <v>5</v>
      </c>
      <c r="E669" s="3" t="s">
        <v>223</v>
      </c>
      <c r="F669" s="3" t="s">
        <v>303</v>
      </c>
      <c r="G669" s="3" t="s">
        <v>304</v>
      </c>
      <c r="H669" s="3" t="s">
        <v>305</v>
      </c>
      <c r="I669" s="3" t="s">
        <v>306</v>
      </c>
      <c r="J669" s="3" t="s">
        <v>307</v>
      </c>
      <c r="K669" s="3"/>
      <c r="L669" s="36">
        <v>7</v>
      </c>
      <c r="M669" s="3" t="s">
        <v>229</v>
      </c>
      <c r="N669" s="3" t="s">
        <v>307</v>
      </c>
      <c r="O669" s="3">
        <v>222</v>
      </c>
      <c r="P669" s="36">
        <v>3.1522618804229698</v>
      </c>
      <c r="Q669" s="3">
        <v>250</v>
      </c>
      <c r="R669" s="36" t="s">
        <v>620</v>
      </c>
      <c r="S669" s="3"/>
      <c r="T669" s="36"/>
      <c r="U669" s="36"/>
      <c r="V669" s="36"/>
      <c r="W669" s="36"/>
      <c r="X669" s="36"/>
      <c r="Y669" s="36"/>
      <c r="Z669" s="36"/>
    </row>
    <row r="670" spans="1:26" ht="14">
      <c r="A670" s="13">
        <v>42263</v>
      </c>
      <c r="B670" s="72" t="s">
        <v>157</v>
      </c>
      <c r="C670" s="165">
        <v>2015</v>
      </c>
      <c r="D670" s="53">
        <v>8</v>
      </c>
      <c r="E670" s="3" t="s">
        <v>223</v>
      </c>
      <c r="F670" s="3" t="s">
        <v>303</v>
      </c>
      <c r="G670" s="3" t="s">
        <v>304</v>
      </c>
      <c r="H670" s="3" t="s">
        <v>305</v>
      </c>
      <c r="I670" s="3" t="s">
        <v>306</v>
      </c>
      <c r="J670" s="3" t="s">
        <v>307</v>
      </c>
      <c r="K670" s="3"/>
      <c r="L670" s="3">
        <v>6</v>
      </c>
      <c r="M670" s="3" t="s">
        <v>229</v>
      </c>
      <c r="N670" s="3" t="s">
        <v>307</v>
      </c>
      <c r="O670" s="3">
        <v>244</v>
      </c>
      <c r="P670" s="36">
        <v>2.459016393442623</v>
      </c>
      <c r="Q670" s="3">
        <v>250</v>
      </c>
      <c r="R670" s="36" t="s">
        <v>308</v>
      </c>
      <c r="S670" s="3"/>
      <c r="T670" s="36"/>
      <c r="U670" s="36"/>
      <c r="V670" s="36"/>
      <c r="W670" s="36"/>
      <c r="X670" s="36"/>
      <c r="Y670" s="36"/>
      <c r="Z670" s="36"/>
    </row>
    <row r="671" spans="1:26" ht="14">
      <c r="A671" s="13">
        <v>42263</v>
      </c>
      <c r="B671" s="72" t="s">
        <v>157</v>
      </c>
      <c r="C671" s="165">
        <v>2015</v>
      </c>
      <c r="D671" s="53">
        <v>8</v>
      </c>
      <c r="E671" s="3" t="s">
        <v>223</v>
      </c>
      <c r="F671" s="3" t="s">
        <v>303</v>
      </c>
      <c r="G671" s="3" t="s">
        <v>304</v>
      </c>
      <c r="H671" s="3" t="s">
        <v>305</v>
      </c>
      <c r="I671" s="3" t="s">
        <v>306</v>
      </c>
      <c r="J671" s="3" t="s">
        <v>307</v>
      </c>
      <c r="K671" s="3"/>
      <c r="L671" s="3">
        <v>2</v>
      </c>
      <c r="M671" s="3" t="s">
        <v>229</v>
      </c>
      <c r="N671" s="3" t="s">
        <v>307</v>
      </c>
      <c r="O671" s="3">
        <v>244</v>
      </c>
      <c r="P671" s="36">
        <v>0.81967213114754101</v>
      </c>
      <c r="Q671" s="36">
        <v>250</v>
      </c>
      <c r="R671" s="36" t="s">
        <v>620</v>
      </c>
      <c r="S671" s="3"/>
      <c r="T671" s="36"/>
      <c r="U671" s="36"/>
      <c r="V671" s="36"/>
      <c r="W671" s="36"/>
      <c r="X671" s="36"/>
      <c r="Y671" s="36"/>
      <c r="Z671" s="36"/>
    </row>
    <row r="672" spans="1:26" ht="14">
      <c r="A672" s="35">
        <v>42206</v>
      </c>
      <c r="B672" s="72" t="s">
        <v>154</v>
      </c>
      <c r="C672" s="165">
        <v>2015</v>
      </c>
      <c r="D672" s="53">
        <v>2</v>
      </c>
      <c r="E672" s="36" t="s">
        <v>223</v>
      </c>
      <c r="F672" s="36" t="s">
        <v>303</v>
      </c>
      <c r="G672" s="36" t="s">
        <v>304</v>
      </c>
      <c r="H672" s="36" t="s">
        <v>305</v>
      </c>
      <c r="I672" s="36" t="s">
        <v>306</v>
      </c>
      <c r="J672" s="36" t="s">
        <v>307</v>
      </c>
      <c r="K672" s="36"/>
      <c r="L672" s="36">
        <v>21</v>
      </c>
      <c r="M672" s="36" t="s">
        <v>229</v>
      </c>
      <c r="N672" s="36" t="s">
        <v>307</v>
      </c>
      <c r="O672" s="36">
        <v>337</v>
      </c>
      <c r="P672" s="36">
        <v>6.2294004408984991</v>
      </c>
      <c r="Q672" s="36">
        <v>250</v>
      </c>
      <c r="R672" s="36" t="s">
        <v>308</v>
      </c>
      <c r="S672" s="36"/>
      <c r="T672" s="36"/>
      <c r="U672" s="36"/>
      <c r="V672" s="36"/>
      <c r="W672" s="36"/>
      <c r="X672" s="36"/>
      <c r="Y672" s="36"/>
      <c r="Z672" s="36"/>
    </row>
    <row r="673" spans="1:26" ht="14">
      <c r="A673" s="13">
        <v>42206</v>
      </c>
      <c r="B673" s="72" t="s">
        <v>154</v>
      </c>
      <c r="C673" s="165">
        <v>2015</v>
      </c>
      <c r="D673" s="53">
        <v>4</v>
      </c>
      <c r="E673" s="51" t="s">
        <v>223</v>
      </c>
      <c r="F673" s="51" t="s">
        <v>303</v>
      </c>
      <c r="G673" s="51" t="s">
        <v>304</v>
      </c>
      <c r="H673" s="51" t="s">
        <v>305</v>
      </c>
      <c r="I673" s="51" t="s">
        <v>306</v>
      </c>
      <c r="J673" s="3" t="s">
        <v>307</v>
      </c>
      <c r="K673" s="3"/>
      <c r="L673" s="51">
        <v>25</v>
      </c>
      <c r="M673" s="51" t="s">
        <v>229</v>
      </c>
      <c r="N673" s="51" t="s">
        <v>307</v>
      </c>
      <c r="O673" s="3">
        <v>273</v>
      </c>
      <c r="P673" s="65">
        <v>9.0347713129263525</v>
      </c>
      <c r="Q673" s="65">
        <v>250</v>
      </c>
      <c r="R673" s="65" t="s">
        <v>308</v>
      </c>
      <c r="S673" s="51"/>
      <c r="T673" s="65"/>
      <c r="U673" s="36"/>
      <c r="V673" s="36"/>
      <c r="W673" s="36"/>
      <c r="X673" s="36"/>
      <c r="Y673" s="36"/>
      <c r="Z673" s="36"/>
    </row>
    <row r="674" spans="1:26" ht="14">
      <c r="A674" s="13">
        <v>42206</v>
      </c>
      <c r="B674" s="72" t="s">
        <v>154</v>
      </c>
      <c r="C674" s="165">
        <v>2015</v>
      </c>
      <c r="D674" s="53">
        <v>5</v>
      </c>
      <c r="E674" s="51" t="s">
        <v>223</v>
      </c>
      <c r="F674" s="51" t="s">
        <v>303</v>
      </c>
      <c r="G674" s="51" t="s">
        <v>304</v>
      </c>
      <c r="H674" s="51" t="s">
        <v>305</v>
      </c>
      <c r="I674" s="51" t="s">
        <v>306</v>
      </c>
      <c r="J674" s="3" t="s">
        <v>307</v>
      </c>
      <c r="K674" s="3"/>
      <c r="L674" s="3">
        <v>11</v>
      </c>
      <c r="M674" s="3" t="s">
        <v>229</v>
      </c>
      <c r="N674" s="3" t="s">
        <v>307</v>
      </c>
      <c r="O674" s="3">
        <v>251</v>
      </c>
      <c r="P674" s="65">
        <v>4.3814719234075916</v>
      </c>
      <c r="Q674" s="3">
        <v>250</v>
      </c>
      <c r="R674" s="36" t="s">
        <v>308</v>
      </c>
      <c r="S674" s="3"/>
      <c r="T674" s="36"/>
      <c r="U674" s="36"/>
      <c r="V674" s="36"/>
      <c r="W674" s="36"/>
      <c r="X674" s="36"/>
      <c r="Y674" s="36"/>
      <c r="Z674" s="36"/>
    </row>
    <row r="675" spans="1:26" ht="14">
      <c r="A675" s="13">
        <v>42206</v>
      </c>
      <c r="B675" s="72" t="s">
        <v>154</v>
      </c>
      <c r="C675" s="165">
        <v>2015</v>
      </c>
      <c r="D675" s="53">
        <v>5</v>
      </c>
      <c r="E675" s="3" t="s">
        <v>223</v>
      </c>
      <c r="F675" s="3" t="s">
        <v>303</v>
      </c>
      <c r="G675" s="3" t="s">
        <v>304</v>
      </c>
      <c r="H675" s="3" t="s">
        <v>305</v>
      </c>
      <c r="I675" s="3" t="s">
        <v>306</v>
      </c>
      <c r="J675" s="3" t="s">
        <v>307</v>
      </c>
      <c r="K675" s="3"/>
      <c r="L675" s="3">
        <v>1</v>
      </c>
      <c r="M675" s="3" t="s">
        <v>229</v>
      </c>
      <c r="N675" s="3" t="s">
        <v>307</v>
      </c>
      <c r="O675" s="3">
        <v>251</v>
      </c>
      <c r="P675" s="65">
        <v>0.3983156294006901</v>
      </c>
      <c r="Q675" s="36">
        <v>250</v>
      </c>
      <c r="R675" s="36" t="s">
        <v>620</v>
      </c>
      <c r="S675" s="3"/>
      <c r="T675" s="36"/>
      <c r="U675" s="36"/>
      <c r="V675" s="36"/>
      <c r="W675" s="36"/>
      <c r="X675" s="36"/>
      <c r="Y675" s="36"/>
      <c r="Z675" s="36"/>
    </row>
    <row r="676" spans="1:26" ht="14">
      <c r="A676" s="71">
        <v>42206</v>
      </c>
      <c r="B676" s="72" t="s">
        <v>154</v>
      </c>
      <c r="C676" s="165">
        <v>2015</v>
      </c>
      <c r="D676" s="53">
        <v>8</v>
      </c>
      <c r="E676" s="3" t="s">
        <v>223</v>
      </c>
      <c r="F676" s="3" t="s">
        <v>303</v>
      </c>
      <c r="G676" s="3" t="s">
        <v>304</v>
      </c>
      <c r="H676" s="3" t="s">
        <v>305</v>
      </c>
      <c r="I676" s="3" t="s">
        <v>306</v>
      </c>
      <c r="J676" s="3" t="s">
        <v>307</v>
      </c>
      <c r="K676" s="3"/>
      <c r="L676" s="3">
        <v>13</v>
      </c>
      <c r="M676" s="3" t="s">
        <v>229</v>
      </c>
      <c r="N676" s="3" t="s">
        <v>307</v>
      </c>
      <c r="O676" s="3">
        <v>199</v>
      </c>
      <c r="P676" s="65">
        <v>6.5269912127112351</v>
      </c>
      <c r="Q676" s="36">
        <v>250</v>
      </c>
      <c r="R676" s="36" t="s">
        <v>308</v>
      </c>
      <c r="S676" s="3"/>
      <c r="T676" s="36"/>
      <c r="U676" s="36"/>
      <c r="V676" s="36"/>
      <c r="W676" s="36"/>
      <c r="X676" s="36"/>
      <c r="Y676" s="36"/>
      <c r="Z676" s="36"/>
    </row>
    <row r="677" spans="1:26" ht="14">
      <c r="A677" s="13">
        <v>42206</v>
      </c>
      <c r="B677" s="72" t="s">
        <v>154</v>
      </c>
      <c r="C677" s="165">
        <v>2015</v>
      </c>
      <c r="D677" s="53">
        <v>8</v>
      </c>
      <c r="E677" s="3" t="s">
        <v>223</v>
      </c>
      <c r="F677" s="3" t="s">
        <v>303</v>
      </c>
      <c r="G677" s="3" t="s">
        <v>304</v>
      </c>
      <c r="H677" s="3" t="s">
        <v>305</v>
      </c>
      <c r="I677" s="3" t="s">
        <v>306</v>
      </c>
      <c r="J677" s="3" t="s">
        <v>307</v>
      </c>
      <c r="K677" s="3"/>
      <c r="L677" s="3">
        <v>11</v>
      </c>
      <c r="M677" s="3" t="s">
        <v>229</v>
      </c>
      <c r="N677" s="3" t="s">
        <v>307</v>
      </c>
      <c r="O677" s="3">
        <v>199</v>
      </c>
      <c r="P677" s="65">
        <v>5.5228387184479679</v>
      </c>
      <c r="Q677" s="3">
        <v>250</v>
      </c>
      <c r="R677" s="36" t="s">
        <v>620</v>
      </c>
      <c r="S677" s="3"/>
      <c r="T677" s="36"/>
      <c r="U677" s="36"/>
      <c r="V677" s="36"/>
      <c r="W677" s="36"/>
      <c r="X677" s="36"/>
      <c r="Y677" s="36"/>
      <c r="Z677" s="36"/>
    </row>
    <row r="678" spans="1:26" ht="14">
      <c r="A678" s="71">
        <v>42144</v>
      </c>
      <c r="B678" s="72" t="s">
        <v>144</v>
      </c>
      <c r="C678" s="165">
        <v>2015</v>
      </c>
      <c r="D678" s="53">
        <v>2</v>
      </c>
      <c r="E678" s="51" t="s">
        <v>223</v>
      </c>
      <c r="F678" s="51" t="s">
        <v>303</v>
      </c>
      <c r="G678" s="51" t="s">
        <v>304</v>
      </c>
      <c r="H678" s="51" t="s">
        <v>305</v>
      </c>
      <c r="I678" s="51" t="s">
        <v>306</v>
      </c>
      <c r="J678" s="3" t="s">
        <v>307</v>
      </c>
      <c r="K678" s="3"/>
      <c r="L678" s="3">
        <v>1</v>
      </c>
      <c r="M678" s="3" t="s">
        <v>229</v>
      </c>
      <c r="N678" s="3" t="s">
        <v>307</v>
      </c>
      <c r="O678" s="3">
        <v>333</v>
      </c>
      <c r="P678" s="65">
        <v>0.30022231204405447</v>
      </c>
      <c r="Q678" s="3">
        <v>250</v>
      </c>
      <c r="R678" s="36" t="s">
        <v>620</v>
      </c>
      <c r="S678" s="3"/>
      <c r="T678" s="36"/>
      <c r="U678" s="36"/>
      <c r="V678" s="36"/>
      <c r="W678" s="36"/>
      <c r="X678" s="36"/>
      <c r="Y678" s="36"/>
      <c r="Z678" s="36"/>
    </row>
    <row r="679" spans="1:26" ht="14">
      <c r="A679" s="72">
        <v>42144</v>
      </c>
      <c r="B679" s="72" t="s">
        <v>144</v>
      </c>
      <c r="C679" s="165">
        <v>2015</v>
      </c>
      <c r="D679" s="53">
        <v>5</v>
      </c>
      <c r="E679" s="65" t="s">
        <v>223</v>
      </c>
      <c r="F679" s="65" t="s">
        <v>303</v>
      </c>
      <c r="G679" s="65" t="s">
        <v>304</v>
      </c>
      <c r="H679" s="65" t="s">
        <v>305</v>
      </c>
      <c r="I679" s="65" t="s">
        <v>306</v>
      </c>
      <c r="J679" s="36" t="s">
        <v>307</v>
      </c>
      <c r="K679" s="36"/>
      <c r="L679" s="36">
        <v>3</v>
      </c>
      <c r="M679" s="36" t="s">
        <v>229</v>
      </c>
      <c r="N679" s="36" t="s">
        <v>307</v>
      </c>
      <c r="O679" s="36">
        <v>327</v>
      </c>
      <c r="P679" s="36">
        <v>0.91709367618129267</v>
      </c>
      <c r="Q679" s="36">
        <v>250</v>
      </c>
      <c r="R679" s="36" t="s">
        <v>620</v>
      </c>
      <c r="S679" s="36"/>
      <c r="T679" s="36"/>
      <c r="U679" s="36"/>
      <c r="V679" s="36"/>
      <c r="W679" s="36"/>
      <c r="X679" s="36"/>
      <c r="Y679" s="36"/>
      <c r="Z679" s="36"/>
    </row>
    <row r="680" spans="1:26" ht="14">
      <c r="A680" s="13">
        <v>41912</v>
      </c>
      <c r="B680" s="72" t="s">
        <v>157</v>
      </c>
      <c r="C680" s="165">
        <v>2014</v>
      </c>
      <c r="D680" s="53">
        <v>4</v>
      </c>
      <c r="E680" s="3" t="s">
        <v>223</v>
      </c>
      <c r="F680" s="3" t="s">
        <v>303</v>
      </c>
      <c r="G680" s="3" t="s">
        <v>304</v>
      </c>
      <c r="H680" s="3" t="s">
        <v>305</v>
      </c>
      <c r="I680" s="3" t="s">
        <v>306</v>
      </c>
      <c r="J680" s="3" t="s">
        <v>307</v>
      </c>
      <c r="K680" s="3"/>
      <c r="L680" s="3">
        <v>10</v>
      </c>
      <c r="M680" s="3" t="s">
        <v>229</v>
      </c>
      <c r="N680" s="3" t="s">
        <v>307</v>
      </c>
      <c r="O680" s="3">
        <v>237</v>
      </c>
      <c r="P680" s="65">
        <v>4.2109589961806231</v>
      </c>
      <c r="Q680" s="3">
        <v>250</v>
      </c>
      <c r="R680" s="36" t="s">
        <v>308</v>
      </c>
      <c r="S680" s="3"/>
      <c r="T680" s="36"/>
      <c r="U680" s="36"/>
      <c r="V680" s="36"/>
      <c r="W680" s="36"/>
      <c r="X680" s="36"/>
      <c r="Y680" s="36"/>
      <c r="Z680" s="36"/>
    </row>
    <row r="681" spans="1:26" ht="14">
      <c r="A681" s="13">
        <v>41912</v>
      </c>
      <c r="B681" s="72" t="s">
        <v>157</v>
      </c>
      <c r="C681" s="165">
        <v>2014</v>
      </c>
      <c r="D681" s="53">
        <v>5</v>
      </c>
      <c r="E681" s="51" t="s">
        <v>223</v>
      </c>
      <c r="F681" s="51" t="s">
        <v>303</v>
      </c>
      <c r="G681" s="51" t="s">
        <v>304</v>
      </c>
      <c r="H681" s="51" t="s">
        <v>305</v>
      </c>
      <c r="I681" s="51" t="s">
        <v>306</v>
      </c>
      <c r="J681" s="3" t="s">
        <v>307</v>
      </c>
      <c r="K681" s="3"/>
      <c r="L681" s="3">
        <v>25</v>
      </c>
      <c r="M681" s="3" t="s">
        <v>229</v>
      </c>
      <c r="N681" s="3" t="s">
        <v>307</v>
      </c>
      <c r="O681" s="3">
        <v>216</v>
      </c>
      <c r="P681" s="36">
        <v>11.551358481185977</v>
      </c>
      <c r="Q681" s="3">
        <v>250</v>
      </c>
      <c r="R681" s="36" t="s">
        <v>308</v>
      </c>
      <c r="S681" s="3"/>
      <c r="T681" s="36"/>
      <c r="U681" s="36"/>
      <c r="V681" s="36"/>
      <c r="W681" s="36"/>
      <c r="X681" s="36"/>
      <c r="Y681" s="36"/>
      <c r="Z681" s="36"/>
    </row>
    <row r="682" spans="1:26" ht="14">
      <c r="A682" s="13">
        <v>41912</v>
      </c>
      <c r="B682" s="72" t="s">
        <v>157</v>
      </c>
      <c r="C682" s="165">
        <v>2014</v>
      </c>
      <c r="D682" s="53">
        <v>5</v>
      </c>
      <c r="E682" s="51" t="s">
        <v>223</v>
      </c>
      <c r="F682" s="3" t="s">
        <v>303</v>
      </c>
      <c r="G682" s="3" t="s">
        <v>304</v>
      </c>
      <c r="H682" s="51" t="s">
        <v>305</v>
      </c>
      <c r="I682" s="51" t="s">
        <v>306</v>
      </c>
      <c r="J682" s="51" t="s">
        <v>307</v>
      </c>
      <c r="K682" s="3"/>
      <c r="L682" s="3">
        <v>15</v>
      </c>
      <c r="M682" s="3" t="s">
        <v>229</v>
      </c>
      <c r="N682" s="3" t="s">
        <v>307</v>
      </c>
      <c r="O682" s="3">
        <v>216</v>
      </c>
      <c r="P682" s="36">
        <v>6.9308150887115865</v>
      </c>
      <c r="Q682" s="36">
        <v>250</v>
      </c>
      <c r="R682" s="36" t="s">
        <v>620</v>
      </c>
      <c r="S682" s="3"/>
      <c r="T682" s="36"/>
      <c r="U682" s="36"/>
      <c r="V682" s="36"/>
      <c r="W682" s="36"/>
      <c r="X682" s="36"/>
      <c r="Y682" s="36"/>
      <c r="Z682" s="36"/>
    </row>
    <row r="683" spans="1:26" ht="14">
      <c r="A683" s="13">
        <v>41912</v>
      </c>
      <c r="B683" s="72" t="s">
        <v>157</v>
      </c>
      <c r="C683" s="165">
        <v>2014</v>
      </c>
      <c r="D683" s="53">
        <v>8</v>
      </c>
      <c r="E683" s="3" t="s">
        <v>223</v>
      </c>
      <c r="F683" s="3" t="s">
        <v>303</v>
      </c>
      <c r="G683" s="3" t="s">
        <v>304</v>
      </c>
      <c r="H683" s="3" t="s">
        <v>305</v>
      </c>
      <c r="I683" s="3" t="s">
        <v>306</v>
      </c>
      <c r="J683" s="3" t="s">
        <v>307</v>
      </c>
      <c r="K683" s="3"/>
      <c r="L683" s="3">
        <v>3</v>
      </c>
      <c r="M683" s="3" t="s">
        <v>229</v>
      </c>
      <c r="N683" s="3" t="s">
        <v>307</v>
      </c>
      <c r="O683" s="3">
        <v>217</v>
      </c>
      <c r="P683" s="36">
        <v>1.3820245730583238</v>
      </c>
      <c r="Q683" s="36">
        <v>250</v>
      </c>
      <c r="R683" s="36" t="s">
        <v>308</v>
      </c>
      <c r="S683" s="3"/>
      <c r="T683" s="36"/>
      <c r="U683" s="36"/>
      <c r="V683" s="36"/>
      <c r="W683" s="36"/>
      <c r="X683" s="36"/>
      <c r="Y683" s="36"/>
      <c r="Z683" s="36"/>
    </row>
    <row r="684" spans="1:26" ht="14">
      <c r="A684" s="13">
        <v>41912</v>
      </c>
      <c r="B684" s="72" t="s">
        <v>157</v>
      </c>
      <c r="C684" s="165">
        <v>2014</v>
      </c>
      <c r="D684" s="53">
        <v>8</v>
      </c>
      <c r="E684" s="51" t="s">
        <v>223</v>
      </c>
      <c r="F684" s="51" t="s">
        <v>303</v>
      </c>
      <c r="G684" s="51" t="s">
        <v>304</v>
      </c>
      <c r="H684" s="51" t="s">
        <v>305</v>
      </c>
      <c r="I684" s="51" t="s">
        <v>306</v>
      </c>
      <c r="J684" s="3" t="s">
        <v>307</v>
      </c>
      <c r="K684" s="3"/>
      <c r="L684" s="3">
        <v>4</v>
      </c>
      <c r="M684" s="3" t="s">
        <v>229</v>
      </c>
      <c r="N684" s="3" t="s">
        <v>307</v>
      </c>
      <c r="O684" s="3">
        <v>217</v>
      </c>
      <c r="P684" s="36">
        <v>1.8426994307444315</v>
      </c>
      <c r="Q684" s="3">
        <v>250</v>
      </c>
      <c r="R684" s="36" t="s">
        <v>620</v>
      </c>
      <c r="S684" s="3"/>
      <c r="T684" s="36"/>
      <c r="U684" s="36"/>
      <c r="V684" s="36"/>
      <c r="W684" s="36"/>
      <c r="X684" s="36"/>
      <c r="Y684" s="36"/>
      <c r="Z684" s="36"/>
    </row>
    <row r="685" spans="1:26" ht="14">
      <c r="A685" s="35">
        <v>41851</v>
      </c>
      <c r="B685" s="72" t="s">
        <v>154</v>
      </c>
      <c r="C685" s="165">
        <v>2014</v>
      </c>
      <c r="D685" s="53">
        <v>2</v>
      </c>
      <c r="E685" s="65" t="s">
        <v>223</v>
      </c>
      <c r="F685" s="65" t="s">
        <v>303</v>
      </c>
      <c r="G685" s="65" t="s">
        <v>304</v>
      </c>
      <c r="H685" s="65" t="s">
        <v>305</v>
      </c>
      <c r="I685" s="65" t="s">
        <v>306</v>
      </c>
      <c r="J685" s="36" t="s">
        <v>307</v>
      </c>
      <c r="K685" s="36"/>
      <c r="L685" s="36">
        <v>3</v>
      </c>
      <c r="M685" s="36" t="s">
        <v>229</v>
      </c>
      <c r="N685" s="36" t="s">
        <v>307</v>
      </c>
      <c r="O685" s="36">
        <v>119</v>
      </c>
      <c r="P685" s="65">
        <v>2.4903465784097674</v>
      </c>
      <c r="Q685" s="36">
        <v>250</v>
      </c>
      <c r="R685" s="36" t="s">
        <v>308</v>
      </c>
      <c r="S685" s="36"/>
      <c r="T685" s="36"/>
      <c r="U685" s="36"/>
      <c r="V685" s="36"/>
      <c r="W685" s="36"/>
      <c r="X685" s="36"/>
      <c r="Y685" s="36"/>
      <c r="Z685" s="36"/>
    </row>
    <row r="686" spans="1:26" ht="14">
      <c r="A686" s="71">
        <v>41851</v>
      </c>
      <c r="B686" s="35" t="s">
        <v>154</v>
      </c>
      <c r="C686" s="165">
        <v>2014</v>
      </c>
      <c r="D686" s="53">
        <v>4</v>
      </c>
      <c r="E686" s="51" t="s">
        <v>223</v>
      </c>
      <c r="F686" s="51" t="s">
        <v>303</v>
      </c>
      <c r="G686" s="51" t="s">
        <v>304</v>
      </c>
      <c r="H686" s="51" t="s">
        <v>305</v>
      </c>
      <c r="I686" s="51" t="s">
        <v>306</v>
      </c>
      <c r="J686" s="3" t="s">
        <v>307</v>
      </c>
      <c r="K686" s="3"/>
      <c r="L686" s="3">
        <v>7</v>
      </c>
      <c r="M686" s="3" t="s">
        <v>229</v>
      </c>
      <c r="N686" s="3" t="s">
        <v>307</v>
      </c>
      <c r="O686" s="3">
        <v>188</v>
      </c>
      <c r="P686" s="65">
        <v>3.6257307415173989</v>
      </c>
      <c r="Q686" s="36">
        <v>250</v>
      </c>
      <c r="R686" s="36" t="s">
        <v>308</v>
      </c>
      <c r="S686" s="3"/>
      <c r="T686" s="36"/>
      <c r="U686" s="36"/>
      <c r="V686" s="36"/>
      <c r="W686" s="36"/>
      <c r="X686" s="36"/>
      <c r="Y686" s="36"/>
      <c r="Z686" s="36"/>
    </row>
    <row r="687" spans="1:26" ht="14">
      <c r="A687" s="71">
        <v>41851</v>
      </c>
      <c r="B687" s="72" t="s">
        <v>154</v>
      </c>
      <c r="C687" s="165">
        <v>2014</v>
      </c>
      <c r="D687" s="53">
        <v>5</v>
      </c>
      <c r="E687" s="3" t="s">
        <v>223</v>
      </c>
      <c r="F687" s="3" t="s">
        <v>303</v>
      </c>
      <c r="G687" s="3" t="s">
        <v>304</v>
      </c>
      <c r="H687" s="3" t="s">
        <v>305</v>
      </c>
      <c r="I687" s="3" t="s">
        <v>306</v>
      </c>
      <c r="J687" s="3" t="s">
        <v>307</v>
      </c>
      <c r="K687" s="3"/>
      <c r="L687" s="3">
        <v>4</v>
      </c>
      <c r="M687" s="3" t="s">
        <v>229</v>
      </c>
      <c r="N687" s="3" t="s">
        <v>307</v>
      </c>
      <c r="O687" s="3">
        <v>205</v>
      </c>
      <c r="P687" s="65">
        <v>1.937864896493616</v>
      </c>
      <c r="Q687" s="3">
        <v>250</v>
      </c>
      <c r="R687" s="36" t="s">
        <v>308</v>
      </c>
      <c r="S687" s="3"/>
      <c r="T687" s="36"/>
      <c r="U687" s="36"/>
      <c r="V687" s="36"/>
      <c r="W687" s="36"/>
      <c r="X687" s="36"/>
      <c r="Y687" s="36"/>
      <c r="Z687" s="36"/>
    </row>
    <row r="688" spans="1:26" ht="14">
      <c r="A688" s="13">
        <v>41851</v>
      </c>
      <c r="B688" s="72" t="s">
        <v>154</v>
      </c>
      <c r="C688" s="165">
        <v>2014</v>
      </c>
      <c r="D688" s="53">
        <v>8</v>
      </c>
      <c r="E688" s="51" t="s">
        <v>223</v>
      </c>
      <c r="F688" s="51" t="s">
        <v>303</v>
      </c>
      <c r="G688" s="51" t="s">
        <v>304</v>
      </c>
      <c r="H688" s="51" t="s">
        <v>305</v>
      </c>
      <c r="I688" s="51" t="s">
        <v>306</v>
      </c>
      <c r="J688" s="3" t="s">
        <v>307</v>
      </c>
      <c r="K688" s="3"/>
      <c r="L688" s="3">
        <v>4</v>
      </c>
      <c r="M688" s="3" t="s">
        <v>229</v>
      </c>
      <c r="N688" s="3" t="s">
        <v>307</v>
      </c>
      <c r="O688" s="3">
        <v>237</v>
      </c>
      <c r="P688" s="65">
        <v>1.6871590412373454</v>
      </c>
      <c r="Q688" s="36">
        <v>250</v>
      </c>
      <c r="R688" s="36" t="s">
        <v>308</v>
      </c>
      <c r="S688" s="3"/>
      <c r="T688" s="36"/>
      <c r="U688" s="36"/>
      <c r="V688" s="36"/>
      <c r="W688" s="36"/>
      <c r="X688" s="36"/>
      <c r="Y688" s="36"/>
      <c r="Z688" s="36"/>
    </row>
    <row r="689" spans="1:26" ht="14">
      <c r="A689" s="13">
        <v>41851</v>
      </c>
      <c r="B689" s="72" t="s">
        <v>154</v>
      </c>
      <c r="C689" s="165">
        <v>2014</v>
      </c>
      <c r="D689" s="53">
        <v>8</v>
      </c>
      <c r="E689" s="3" t="s">
        <v>223</v>
      </c>
      <c r="F689" s="3" t="s">
        <v>303</v>
      </c>
      <c r="G689" s="3" t="s">
        <v>304</v>
      </c>
      <c r="H689" s="3" t="s">
        <v>305</v>
      </c>
      <c r="I689" s="3" t="s">
        <v>306</v>
      </c>
      <c r="J689" s="3" t="s">
        <v>307</v>
      </c>
      <c r="K689" s="3"/>
      <c r="L689" s="3">
        <v>2</v>
      </c>
      <c r="M689" s="3" t="s">
        <v>229</v>
      </c>
      <c r="N689" s="3" t="s">
        <v>307</v>
      </c>
      <c r="O689" s="3">
        <v>237</v>
      </c>
      <c r="P689" s="65">
        <v>0.8435795206186727</v>
      </c>
      <c r="Q689" s="3">
        <v>250</v>
      </c>
      <c r="R689" s="36" t="s">
        <v>620</v>
      </c>
      <c r="S689" s="3"/>
      <c r="T689" s="36"/>
      <c r="U689" s="36"/>
      <c r="V689" s="36"/>
      <c r="W689" s="36"/>
      <c r="X689" s="36"/>
      <c r="Y689" s="36"/>
      <c r="Z689" s="36"/>
    </row>
    <row r="690" spans="1:26" ht="14">
      <c r="A690" s="35">
        <v>41761</v>
      </c>
      <c r="B690" s="72" t="s">
        <v>144</v>
      </c>
      <c r="C690" s="165">
        <v>2014</v>
      </c>
      <c r="D690" s="53">
        <v>2</v>
      </c>
      <c r="E690" s="51" t="s">
        <v>223</v>
      </c>
      <c r="F690" s="51" t="s">
        <v>303</v>
      </c>
      <c r="G690" s="51" t="s">
        <v>304</v>
      </c>
      <c r="H690" s="51" t="s">
        <v>305</v>
      </c>
      <c r="I690" s="51" t="s">
        <v>306</v>
      </c>
      <c r="J690" s="3" t="s">
        <v>307</v>
      </c>
      <c r="K690" s="38"/>
      <c r="L690" s="76">
        <v>1</v>
      </c>
      <c r="M690" s="76" t="s">
        <v>229</v>
      </c>
      <c r="N690" s="76" t="s">
        <v>307</v>
      </c>
      <c r="O690" s="36">
        <v>29</v>
      </c>
      <c r="P690" s="36">
        <v>3.4266060403794367</v>
      </c>
      <c r="Q690" s="65">
        <v>250</v>
      </c>
      <c r="R690" s="65"/>
      <c r="S690" s="65"/>
      <c r="T690" s="65"/>
      <c r="U690" s="36"/>
      <c r="V690" s="36"/>
      <c r="W690" s="36"/>
      <c r="X690" s="36"/>
      <c r="Y690" s="36"/>
      <c r="Z690" s="36"/>
    </row>
    <row r="691" spans="1:26" ht="14">
      <c r="A691" s="13">
        <v>41761</v>
      </c>
      <c r="B691" s="72" t="s">
        <v>144</v>
      </c>
      <c r="C691" s="165">
        <v>2014</v>
      </c>
      <c r="D691" s="53">
        <v>4</v>
      </c>
      <c r="E691" s="3" t="s">
        <v>223</v>
      </c>
      <c r="F691" s="3" t="s">
        <v>303</v>
      </c>
      <c r="G691" s="3" t="s">
        <v>304</v>
      </c>
      <c r="H691" s="3" t="s">
        <v>305</v>
      </c>
      <c r="I691" s="3" t="s">
        <v>306</v>
      </c>
      <c r="J691" s="3" t="s">
        <v>307</v>
      </c>
      <c r="K691" s="3"/>
      <c r="L691" s="3">
        <v>14</v>
      </c>
      <c r="M691" s="3" t="s">
        <v>229</v>
      </c>
      <c r="N691" s="3" t="s">
        <v>307</v>
      </c>
      <c r="O691" s="3">
        <v>256</v>
      </c>
      <c r="P691" s="36">
        <v>5.3380862212775178</v>
      </c>
      <c r="Q691" s="3">
        <v>250</v>
      </c>
      <c r="R691" s="36" t="s">
        <v>308</v>
      </c>
      <c r="S691" s="3"/>
      <c r="T691" s="36"/>
      <c r="U691" s="36"/>
      <c r="V691" s="36"/>
      <c r="W691" s="36"/>
      <c r="X691" s="36"/>
      <c r="Y691" s="36"/>
      <c r="Z691" s="36"/>
    </row>
    <row r="692" spans="1:26" ht="14">
      <c r="A692" s="71">
        <v>41761</v>
      </c>
      <c r="B692" s="72" t="s">
        <v>144</v>
      </c>
      <c r="C692" s="165">
        <v>2014</v>
      </c>
      <c r="D692" s="53">
        <v>4</v>
      </c>
      <c r="E692" s="65" t="s">
        <v>223</v>
      </c>
      <c r="F692" s="65" t="s">
        <v>303</v>
      </c>
      <c r="G692" s="65" t="s">
        <v>304</v>
      </c>
      <c r="H692" s="65" t="s">
        <v>305</v>
      </c>
      <c r="I692" s="65" t="s">
        <v>306</v>
      </c>
      <c r="J692" s="36" t="s">
        <v>307</v>
      </c>
      <c r="K692" s="36"/>
      <c r="L692" s="36">
        <v>2</v>
      </c>
      <c r="M692" s="3" t="s">
        <v>229</v>
      </c>
      <c r="N692" s="3" t="s">
        <v>307</v>
      </c>
      <c r="O692" s="3">
        <v>256</v>
      </c>
      <c r="P692" s="36">
        <v>0.76258374589678823</v>
      </c>
      <c r="Q692" s="36">
        <v>250</v>
      </c>
      <c r="R692" s="36" t="s">
        <v>620</v>
      </c>
      <c r="S692" s="3"/>
      <c r="T692" s="36"/>
      <c r="U692" s="36"/>
      <c r="V692" s="36"/>
      <c r="W692" s="36"/>
      <c r="X692" s="36"/>
      <c r="Y692" s="36"/>
      <c r="Z692" s="36"/>
    </row>
    <row r="693" spans="1:26" ht="14">
      <c r="A693" s="13">
        <v>41761</v>
      </c>
      <c r="B693" s="72" t="s">
        <v>144</v>
      </c>
      <c r="C693" s="165">
        <v>2014</v>
      </c>
      <c r="D693" s="53">
        <v>5</v>
      </c>
      <c r="E693" s="3" t="s">
        <v>223</v>
      </c>
      <c r="F693" s="3" t="s">
        <v>303</v>
      </c>
      <c r="G693" s="3" t="s">
        <v>304</v>
      </c>
      <c r="H693" s="3" t="s">
        <v>305</v>
      </c>
      <c r="I693" s="3" t="s">
        <v>306</v>
      </c>
      <c r="J693" s="3" t="s">
        <v>307</v>
      </c>
      <c r="K693" s="3"/>
      <c r="L693" s="3">
        <v>15</v>
      </c>
      <c r="M693" s="3" t="s">
        <v>229</v>
      </c>
      <c r="N693" s="3" t="s">
        <v>307</v>
      </c>
      <c r="O693" s="3">
        <v>300</v>
      </c>
      <c r="P693" s="65">
        <v>4.9895890721505065</v>
      </c>
      <c r="Q693" s="36">
        <v>250</v>
      </c>
      <c r="R693" s="36" t="s">
        <v>308</v>
      </c>
      <c r="S693" s="3"/>
      <c r="T693" s="36"/>
      <c r="U693" s="36"/>
      <c r="V693" s="36"/>
      <c r="W693" s="36"/>
      <c r="X693" s="36"/>
      <c r="Y693" s="36"/>
      <c r="Z693" s="36"/>
    </row>
    <row r="694" spans="1:26" ht="14">
      <c r="A694" s="13">
        <v>41761</v>
      </c>
      <c r="B694" s="72" t="s">
        <v>144</v>
      </c>
      <c r="C694" s="165">
        <v>2014</v>
      </c>
      <c r="D694" s="53">
        <v>5</v>
      </c>
      <c r="E694" s="3" t="s">
        <v>223</v>
      </c>
      <c r="F694" s="3" t="s">
        <v>303</v>
      </c>
      <c r="G694" s="3" t="s">
        <v>304</v>
      </c>
      <c r="H694" s="3" t="s">
        <v>305</v>
      </c>
      <c r="I694" s="3" t="s">
        <v>306</v>
      </c>
      <c r="J694" s="3" t="s">
        <v>307</v>
      </c>
      <c r="K694" s="3"/>
      <c r="L694" s="3">
        <v>2</v>
      </c>
      <c r="M694" s="3" t="s">
        <v>229</v>
      </c>
      <c r="N694" s="3" t="s">
        <v>307</v>
      </c>
      <c r="O694" s="3">
        <v>300</v>
      </c>
      <c r="P694" s="65">
        <v>0.66527854295340072</v>
      </c>
      <c r="Q694" s="3">
        <v>250</v>
      </c>
      <c r="R694" s="36" t="s">
        <v>620</v>
      </c>
      <c r="S694" s="3"/>
      <c r="T694" s="36"/>
      <c r="U694" s="36"/>
      <c r="V694" s="36"/>
      <c r="W694" s="36"/>
      <c r="X694" s="36"/>
      <c r="Y694" s="36"/>
      <c r="Z694" s="36"/>
    </row>
    <row r="695" spans="1:26" ht="14">
      <c r="A695" s="13">
        <v>41761</v>
      </c>
      <c r="B695" s="72" t="s">
        <v>144</v>
      </c>
      <c r="C695" s="165">
        <v>2014</v>
      </c>
      <c r="D695" s="53">
        <v>8</v>
      </c>
      <c r="E695" s="51" t="s">
        <v>223</v>
      </c>
      <c r="F695" s="51" t="s">
        <v>303</v>
      </c>
      <c r="G695" s="51" t="s">
        <v>304</v>
      </c>
      <c r="H695" s="51" t="s">
        <v>305</v>
      </c>
      <c r="I695" s="51" t="s">
        <v>306</v>
      </c>
      <c r="J695" s="3" t="s">
        <v>307</v>
      </c>
      <c r="K695" s="3"/>
      <c r="L695" s="3">
        <v>11</v>
      </c>
      <c r="M695" s="3" t="s">
        <v>229</v>
      </c>
      <c r="N695" s="3" t="s">
        <v>307</v>
      </c>
      <c r="O695" s="3">
        <v>129</v>
      </c>
      <c r="P695" s="36">
        <v>8.5048499939068005</v>
      </c>
      <c r="Q695" s="51">
        <v>250</v>
      </c>
      <c r="R695" s="65" t="s">
        <v>308</v>
      </c>
      <c r="S695" s="51"/>
      <c r="T695" s="65"/>
      <c r="U695" s="36"/>
      <c r="V695" s="36"/>
      <c r="W695" s="36"/>
      <c r="X695" s="36"/>
      <c r="Y695" s="36"/>
      <c r="Z695" s="36"/>
    </row>
    <row r="696" spans="1:26" ht="14">
      <c r="A696" s="13">
        <v>41761</v>
      </c>
      <c r="B696" s="72" t="s">
        <v>144</v>
      </c>
      <c r="C696" s="165">
        <v>2014</v>
      </c>
      <c r="D696" s="53">
        <v>8</v>
      </c>
      <c r="E696" s="3" t="s">
        <v>223</v>
      </c>
      <c r="F696" s="3" t="s">
        <v>303</v>
      </c>
      <c r="G696" s="3" t="s">
        <v>304</v>
      </c>
      <c r="H696" s="3" t="s">
        <v>305</v>
      </c>
      <c r="I696" s="3" t="s">
        <v>306</v>
      </c>
      <c r="J696" s="3" t="s">
        <v>307</v>
      </c>
      <c r="K696" s="3"/>
      <c r="L696" s="3">
        <v>6</v>
      </c>
      <c r="M696" s="3" t="s">
        <v>229</v>
      </c>
      <c r="N696" s="3" t="s">
        <v>307</v>
      </c>
      <c r="O696" s="3">
        <v>129</v>
      </c>
      <c r="P696" s="36">
        <v>4.6390090875855279</v>
      </c>
      <c r="Q696" s="65">
        <v>250</v>
      </c>
      <c r="R696" s="65" t="s">
        <v>620</v>
      </c>
      <c r="S696" s="51"/>
      <c r="T696" s="65"/>
      <c r="U696" s="36"/>
      <c r="V696" s="36"/>
      <c r="W696" s="36"/>
      <c r="X696" s="36"/>
      <c r="Y696" s="36"/>
      <c r="Z696" s="36"/>
    </row>
    <row r="697" spans="1:26" ht="14">
      <c r="A697" s="71">
        <v>41542</v>
      </c>
      <c r="B697" s="72" t="s">
        <v>157</v>
      </c>
      <c r="C697" s="165">
        <v>2013</v>
      </c>
      <c r="D697" s="34">
        <v>2</v>
      </c>
      <c r="E697" s="51" t="s">
        <v>223</v>
      </c>
      <c r="F697" s="3" t="s">
        <v>303</v>
      </c>
      <c r="G697" s="3" t="s">
        <v>304</v>
      </c>
      <c r="H697" s="51" t="s">
        <v>305</v>
      </c>
      <c r="I697" s="51" t="s">
        <v>306</v>
      </c>
      <c r="J697" s="51" t="s">
        <v>307</v>
      </c>
      <c r="K697" s="51"/>
      <c r="L697" s="51">
        <v>1</v>
      </c>
      <c r="M697" s="51" t="s">
        <v>229</v>
      </c>
      <c r="N697" s="51" t="s">
        <v>307</v>
      </c>
      <c r="O697" s="3">
        <v>110</v>
      </c>
      <c r="P697" s="36">
        <v>0.90090212217539389</v>
      </c>
      <c r="Q697" s="3">
        <v>250</v>
      </c>
      <c r="R697" s="3"/>
      <c r="S697" s="3"/>
      <c r="T697" s="36"/>
      <c r="U697" s="36"/>
      <c r="V697" s="36"/>
      <c r="W697" s="36"/>
      <c r="X697" s="36"/>
      <c r="Y697" s="36"/>
      <c r="Z697" s="36"/>
    </row>
    <row r="698" spans="1:26" ht="14">
      <c r="A698" s="13">
        <v>41542</v>
      </c>
      <c r="B698" s="72" t="s">
        <v>157</v>
      </c>
      <c r="C698" s="165">
        <v>2013</v>
      </c>
      <c r="D698" s="34">
        <v>4</v>
      </c>
      <c r="E698" s="3" t="s">
        <v>223</v>
      </c>
      <c r="F698" s="3" t="s">
        <v>224</v>
      </c>
      <c r="G698" s="3" t="s">
        <v>304</v>
      </c>
      <c r="H698" s="3" t="s">
        <v>329</v>
      </c>
      <c r="I698" s="3" t="s">
        <v>330</v>
      </c>
      <c r="J698" s="3" t="s">
        <v>307</v>
      </c>
      <c r="K698" s="3"/>
      <c r="L698" s="3">
        <v>10</v>
      </c>
      <c r="M698" s="3" t="s">
        <v>229</v>
      </c>
      <c r="N698" s="3" t="s">
        <v>307</v>
      </c>
      <c r="O698" s="3">
        <v>159</v>
      </c>
      <c r="P698" s="36">
        <v>6.2206233822921178</v>
      </c>
      <c r="Q698" s="3">
        <v>250</v>
      </c>
      <c r="R698" s="36" t="s">
        <v>308</v>
      </c>
      <c r="S698" s="3"/>
      <c r="T698" s="36"/>
      <c r="U698" s="36"/>
      <c r="V698" s="36"/>
      <c r="W698" s="36"/>
      <c r="X698" s="36"/>
      <c r="Y698" s="36"/>
      <c r="Z698" s="36"/>
    </row>
    <row r="699" spans="1:26" ht="14">
      <c r="A699" s="71">
        <v>41542</v>
      </c>
      <c r="B699" s="72" t="s">
        <v>157</v>
      </c>
      <c r="C699" s="165">
        <v>2013</v>
      </c>
      <c r="D699" s="34">
        <v>5</v>
      </c>
      <c r="E699" s="3" t="s">
        <v>223</v>
      </c>
      <c r="F699" s="3" t="s">
        <v>224</v>
      </c>
      <c r="G699" s="3" t="s">
        <v>304</v>
      </c>
      <c r="H699" s="3" t="s">
        <v>329</v>
      </c>
      <c r="I699" s="3" t="s">
        <v>330</v>
      </c>
      <c r="J699" s="3" t="s">
        <v>307</v>
      </c>
      <c r="K699" s="3"/>
      <c r="L699" s="3">
        <v>3</v>
      </c>
      <c r="M699" s="3" t="s">
        <v>229</v>
      </c>
      <c r="N699" s="3" t="s">
        <v>307</v>
      </c>
      <c r="O699" s="3">
        <v>206</v>
      </c>
      <c r="P699" s="36">
        <v>1.4558415598289798</v>
      </c>
      <c r="Q699" s="3">
        <v>250</v>
      </c>
      <c r="R699" s="3" t="s">
        <v>354</v>
      </c>
      <c r="S699" s="3"/>
      <c r="T699" s="36"/>
      <c r="U699" s="36"/>
      <c r="V699" s="36"/>
      <c r="W699" s="36"/>
      <c r="X699" s="36"/>
      <c r="Y699" s="36"/>
      <c r="Z699" s="36"/>
    </row>
    <row r="700" spans="1:26" ht="14">
      <c r="A700" s="71">
        <v>41542</v>
      </c>
      <c r="B700" s="72" t="s">
        <v>157</v>
      </c>
      <c r="C700" s="165">
        <v>2013</v>
      </c>
      <c r="D700" s="34">
        <v>5</v>
      </c>
      <c r="E700" s="3" t="s">
        <v>223</v>
      </c>
      <c r="F700" s="3" t="s">
        <v>224</v>
      </c>
      <c r="G700" s="3" t="s">
        <v>304</v>
      </c>
      <c r="H700" s="3" t="s">
        <v>329</v>
      </c>
      <c r="I700" s="3" t="s">
        <v>330</v>
      </c>
      <c r="J700" s="3" t="s">
        <v>307</v>
      </c>
      <c r="K700" s="3"/>
      <c r="L700" s="3">
        <v>5</v>
      </c>
      <c r="M700" s="3" t="s">
        <v>229</v>
      </c>
      <c r="N700" s="3" t="s">
        <v>307</v>
      </c>
      <c r="O700" s="3">
        <v>206</v>
      </c>
      <c r="P700" s="36">
        <v>2.4264025997149661</v>
      </c>
      <c r="Q700" s="3">
        <v>250</v>
      </c>
      <c r="R700" s="36" t="s">
        <v>308</v>
      </c>
      <c r="S700" s="3"/>
      <c r="T700" s="36"/>
      <c r="U700" s="36"/>
      <c r="V700" s="36"/>
      <c r="W700" s="36"/>
      <c r="X700" s="36"/>
      <c r="Y700" s="36"/>
      <c r="Z700" s="36"/>
    </row>
    <row r="701" spans="1:26" ht="14">
      <c r="A701" s="13">
        <v>41542</v>
      </c>
      <c r="B701" s="72" t="s">
        <v>157</v>
      </c>
      <c r="C701" s="165">
        <v>2013</v>
      </c>
      <c r="D701" s="34">
        <v>8</v>
      </c>
      <c r="E701" s="51" t="s">
        <v>223</v>
      </c>
      <c r="F701" s="51" t="s">
        <v>224</v>
      </c>
      <c r="G701" s="51" t="s">
        <v>304</v>
      </c>
      <c r="H701" s="51" t="s">
        <v>329</v>
      </c>
      <c r="I701" s="51" t="s">
        <v>330</v>
      </c>
      <c r="J701" s="51" t="s">
        <v>307</v>
      </c>
      <c r="K701" s="3"/>
      <c r="L701" s="3">
        <v>13</v>
      </c>
      <c r="M701" s="3" t="s">
        <v>229</v>
      </c>
      <c r="N701" s="3" t="s">
        <v>307</v>
      </c>
      <c r="O701" s="3">
        <v>183</v>
      </c>
      <c r="P701" s="36">
        <v>7.1036094753711616</v>
      </c>
      <c r="Q701" s="3">
        <v>250</v>
      </c>
      <c r="R701" s="36" t="s">
        <v>308</v>
      </c>
      <c r="S701" s="3"/>
      <c r="T701" s="36"/>
      <c r="U701" s="36"/>
      <c r="V701" s="36"/>
      <c r="W701" s="36"/>
      <c r="X701" s="36"/>
      <c r="Y701" s="36"/>
      <c r="Z701" s="36"/>
    </row>
    <row r="702" spans="1:26" ht="14">
      <c r="A702" s="72">
        <v>41480</v>
      </c>
      <c r="B702" s="72" t="s">
        <v>154</v>
      </c>
      <c r="C702" s="165">
        <v>2013</v>
      </c>
      <c r="D702" s="53">
        <v>2</v>
      </c>
      <c r="E702" s="65" t="s">
        <v>223</v>
      </c>
      <c r="F702" s="65" t="s">
        <v>224</v>
      </c>
      <c r="G702" s="65" t="s">
        <v>304</v>
      </c>
      <c r="H702" s="65" t="s">
        <v>329</v>
      </c>
      <c r="I702" s="65" t="s">
        <v>330</v>
      </c>
      <c r="J702" s="36" t="s">
        <v>307</v>
      </c>
      <c r="K702" s="36"/>
      <c r="L702" s="36">
        <v>2</v>
      </c>
      <c r="M702" s="36" t="s">
        <v>229</v>
      </c>
      <c r="N702" s="36" t="s">
        <v>307</v>
      </c>
      <c r="O702" s="36">
        <v>125</v>
      </c>
      <c r="P702" s="36">
        <v>1.5979812968543678</v>
      </c>
      <c r="Q702" s="36">
        <v>250</v>
      </c>
      <c r="R702" s="36" t="s">
        <v>308</v>
      </c>
      <c r="S702" s="36"/>
      <c r="T702" s="36"/>
      <c r="U702" s="36"/>
      <c r="V702" s="36"/>
      <c r="W702" s="36"/>
      <c r="X702" s="36"/>
      <c r="Y702" s="36"/>
      <c r="Z702" s="36"/>
    </row>
    <row r="703" spans="1:26" ht="14">
      <c r="A703" s="13">
        <v>41480</v>
      </c>
      <c r="B703" s="72" t="s">
        <v>154</v>
      </c>
      <c r="C703" s="165">
        <v>2013</v>
      </c>
      <c r="D703" s="34">
        <v>4</v>
      </c>
      <c r="E703" s="3" t="s">
        <v>223</v>
      </c>
      <c r="F703" s="3" t="s">
        <v>224</v>
      </c>
      <c r="G703" s="3" t="s">
        <v>304</v>
      </c>
      <c r="H703" s="3" t="s">
        <v>329</v>
      </c>
      <c r="I703" s="3" t="s">
        <v>330</v>
      </c>
      <c r="J703" s="3" t="s">
        <v>307</v>
      </c>
      <c r="K703" s="3"/>
      <c r="L703" s="3">
        <v>1</v>
      </c>
      <c r="M703" s="3" t="s">
        <v>229</v>
      </c>
      <c r="N703" s="3" t="s">
        <v>307</v>
      </c>
      <c r="O703" s="3">
        <v>124</v>
      </c>
      <c r="P703" s="65">
        <v>0.80423522173133577</v>
      </c>
      <c r="Q703" s="3">
        <v>250</v>
      </c>
      <c r="R703" s="3"/>
      <c r="S703" s="3"/>
      <c r="T703" s="36"/>
      <c r="U703" s="36"/>
      <c r="V703" s="36"/>
      <c r="W703" s="36"/>
      <c r="X703" s="36"/>
      <c r="Y703" s="36"/>
      <c r="Z703" s="36"/>
    </row>
    <row r="704" spans="1:26" ht="14">
      <c r="A704" s="13">
        <v>41480</v>
      </c>
      <c r="B704" s="72" t="s">
        <v>154</v>
      </c>
      <c r="C704" s="165">
        <v>2013</v>
      </c>
      <c r="D704" s="34">
        <v>4</v>
      </c>
      <c r="E704" s="3" t="s">
        <v>223</v>
      </c>
      <c r="F704" s="3" t="s">
        <v>224</v>
      </c>
      <c r="G704" s="3" t="s">
        <v>304</v>
      </c>
      <c r="H704" s="3" t="s">
        <v>329</v>
      </c>
      <c r="I704" s="3" t="s">
        <v>330</v>
      </c>
      <c r="J704" s="3" t="s">
        <v>307</v>
      </c>
      <c r="K704" s="3"/>
      <c r="L704" s="3">
        <v>2</v>
      </c>
      <c r="M704" s="3" t="s">
        <v>229</v>
      </c>
      <c r="N704" s="3" t="s">
        <v>307</v>
      </c>
      <c r="O704" s="3">
        <v>124</v>
      </c>
      <c r="P704" s="65">
        <v>1.6084704434626715</v>
      </c>
      <c r="Q704" s="3">
        <v>250</v>
      </c>
      <c r="R704" s="36" t="s">
        <v>308</v>
      </c>
      <c r="S704" s="3"/>
      <c r="T704" s="36"/>
      <c r="U704" s="36"/>
      <c r="V704" s="36"/>
      <c r="W704" s="36"/>
      <c r="X704" s="36"/>
      <c r="Y704" s="36"/>
      <c r="Z704" s="36"/>
    </row>
    <row r="705" spans="1:26" ht="14">
      <c r="A705" s="13">
        <v>41480</v>
      </c>
      <c r="B705" s="72" t="s">
        <v>154</v>
      </c>
      <c r="C705" s="165">
        <v>2013</v>
      </c>
      <c r="D705" s="34">
        <v>5</v>
      </c>
      <c r="E705" s="3" t="s">
        <v>223</v>
      </c>
      <c r="F705" s="3" t="s">
        <v>303</v>
      </c>
      <c r="G705" s="3" t="s">
        <v>304</v>
      </c>
      <c r="H705" s="3" t="s">
        <v>305</v>
      </c>
      <c r="I705" s="3" t="s">
        <v>306</v>
      </c>
      <c r="J705" s="3" t="s">
        <v>307</v>
      </c>
      <c r="K705" s="3"/>
      <c r="L705" s="3">
        <v>5</v>
      </c>
      <c r="M705" s="3" t="s">
        <v>229</v>
      </c>
      <c r="N705" s="3" t="s">
        <v>307</v>
      </c>
      <c r="O705" s="3">
        <v>155</v>
      </c>
      <c r="P705" s="36">
        <v>3.2253516049907325</v>
      </c>
      <c r="Q705" s="3">
        <v>250</v>
      </c>
      <c r="R705" s="36" t="s">
        <v>308</v>
      </c>
      <c r="S705" s="3"/>
      <c r="T705" s="36"/>
      <c r="U705" s="36"/>
      <c r="V705" s="36"/>
      <c r="W705" s="36"/>
      <c r="X705" s="36"/>
      <c r="Y705" s="36"/>
      <c r="Z705" s="36"/>
    </row>
    <row r="706" spans="1:26" ht="14">
      <c r="A706" s="13">
        <v>41480</v>
      </c>
      <c r="B706" s="72" t="s">
        <v>154</v>
      </c>
      <c r="C706" s="165">
        <v>2013</v>
      </c>
      <c r="D706" s="34">
        <v>8</v>
      </c>
      <c r="E706" s="3" t="s">
        <v>223</v>
      </c>
      <c r="F706" s="3" t="s">
        <v>303</v>
      </c>
      <c r="G706" s="3" t="s">
        <v>304</v>
      </c>
      <c r="H706" s="3" t="s">
        <v>305</v>
      </c>
      <c r="I706" s="3" t="s">
        <v>306</v>
      </c>
      <c r="J706" s="3" t="s">
        <v>307</v>
      </c>
      <c r="K706" s="3"/>
      <c r="L706" s="3">
        <v>2</v>
      </c>
      <c r="M706" s="3" t="s">
        <v>229</v>
      </c>
      <c r="N706" s="3" t="s">
        <v>307</v>
      </c>
      <c r="O706" s="3">
        <v>251</v>
      </c>
      <c r="P706" s="65">
        <v>0.79677730805595204</v>
      </c>
      <c r="Q706" s="3">
        <v>250</v>
      </c>
      <c r="R706" s="3" t="s">
        <v>222</v>
      </c>
      <c r="S706" s="3"/>
      <c r="T706" s="36"/>
      <c r="U706" s="36"/>
      <c r="V706" s="36"/>
      <c r="W706" s="36"/>
      <c r="X706" s="36"/>
      <c r="Y706" s="36"/>
      <c r="Z706" s="36"/>
    </row>
    <row r="707" spans="1:26" ht="14">
      <c r="A707" s="13">
        <v>41480</v>
      </c>
      <c r="B707" s="72" t="s">
        <v>154</v>
      </c>
      <c r="C707" s="165">
        <v>2013</v>
      </c>
      <c r="D707" s="34">
        <v>8</v>
      </c>
      <c r="E707" s="51" t="s">
        <v>223</v>
      </c>
      <c r="F707" s="51" t="s">
        <v>303</v>
      </c>
      <c r="G707" s="51" t="s">
        <v>304</v>
      </c>
      <c r="H707" s="51" t="s">
        <v>305</v>
      </c>
      <c r="I707" s="51" t="s">
        <v>306</v>
      </c>
      <c r="J707" s="3" t="s">
        <v>307</v>
      </c>
      <c r="K707" s="3"/>
      <c r="L707" s="3">
        <v>21</v>
      </c>
      <c r="M707" s="3" t="s">
        <v>229</v>
      </c>
      <c r="N707" s="3" t="s">
        <v>307</v>
      </c>
      <c r="O707" s="3">
        <v>251</v>
      </c>
      <c r="P707" s="65">
        <v>8.3661617345874966</v>
      </c>
      <c r="Q707" s="3">
        <v>250</v>
      </c>
      <c r="R707" s="36" t="s">
        <v>308</v>
      </c>
      <c r="S707" s="3"/>
      <c r="T707" s="36"/>
      <c r="U707" s="36"/>
      <c r="V707" s="36"/>
      <c r="W707" s="36"/>
      <c r="X707" s="36"/>
      <c r="Y707" s="36"/>
      <c r="Z707" s="36"/>
    </row>
    <row r="708" spans="1:26" ht="14">
      <c r="A708" s="35">
        <v>41422</v>
      </c>
      <c r="B708" s="72" t="s">
        <v>144</v>
      </c>
      <c r="C708" s="165">
        <v>2013</v>
      </c>
      <c r="D708" s="53">
        <v>2</v>
      </c>
      <c r="E708" s="65" t="s">
        <v>223</v>
      </c>
      <c r="F708" s="65" t="s">
        <v>303</v>
      </c>
      <c r="G708" s="65" t="s">
        <v>304</v>
      </c>
      <c r="H708" s="65" t="s">
        <v>305</v>
      </c>
      <c r="I708" s="65" t="s">
        <v>306</v>
      </c>
      <c r="J708" s="36" t="s">
        <v>307</v>
      </c>
      <c r="K708" s="36"/>
      <c r="L708" s="36">
        <v>3</v>
      </c>
      <c r="M708" s="36" t="s">
        <v>229</v>
      </c>
      <c r="N708" s="36" t="s">
        <v>307</v>
      </c>
      <c r="O708" s="36">
        <v>40</v>
      </c>
      <c r="P708" s="36">
        <v>7.4964597687799808</v>
      </c>
      <c r="Q708" s="36">
        <v>250</v>
      </c>
      <c r="R708" s="36" t="s">
        <v>308</v>
      </c>
      <c r="S708" s="36"/>
      <c r="T708" s="36"/>
      <c r="U708" s="36"/>
      <c r="V708" s="36"/>
      <c r="W708" s="36"/>
      <c r="X708" s="36"/>
      <c r="Y708" s="36"/>
      <c r="Z708" s="36"/>
    </row>
    <row r="709" spans="1:26" ht="14">
      <c r="A709" s="71">
        <v>41422</v>
      </c>
      <c r="B709" s="72" t="s">
        <v>144</v>
      </c>
      <c r="C709" s="165">
        <v>2013</v>
      </c>
      <c r="D709" s="34">
        <v>4</v>
      </c>
      <c r="E709" s="51" t="s">
        <v>223</v>
      </c>
      <c r="F709" s="51" t="s">
        <v>303</v>
      </c>
      <c r="G709" s="51" t="s">
        <v>304</v>
      </c>
      <c r="H709" s="51" t="s">
        <v>305</v>
      </c>
      <c r="I709" s="51" t="s">
        <v>306</v>
      </c>
      <c r="J709" s="51" t="s">
        <v>307</v>
      </c>
      <c r="K709" s="51"/>
      <c r="L709" s="51">
        <v>4</v>
      </c>
      <c r="M709" s="51" t="s">
        <v>229</v>
      </c>
      <c r="N709" s="51" t="s">
        <v>307</v>
      </c>
      <c r="O709" s="3">
        <v>106</v>
      </c>
      <c r="P709" s="65">
        <v>3.7680184894974786</v>
      </c>
      <c r="Q709" s="3">
        <v>250</v>
      </c>
      <c r="R709" s="36" t="s">
        <v>308</v>
      </c>
      <c r="S709" s="3"/>
      <c r="T709" s="36"/>
      <c r="U709" s="36"/>
      <c r="V709" s="36"/>
      <c r="W709" s="36"/>
      <c r="X709" s="36"/>
      <c r="Y709" s="36"/>
      <c r="Z709" s="36"/>
    </row>
    <row r="710" spans="1:26" ht="14">
      <c r="A710" s="13">
        <v>41422</v>
      </c>
      <c r="B710" s="72" t="s">
        <v>144</v>
      </c>
      <c r="C710" s="165">
        <v>2013</v>
      </c>
      <c r="D710" s="34">
        <v>5</v>
      </c>
      <c r="E710" s="34" t="s">
        <v>223</v>
      </c>
      <c r="F710" s="34" t="s">
        <v>303</v>
      </c>
      <c r="G710" s="34" t="s">
        <v>304</v>
      </c>
      <c r="H710" s="34" t="s">
        <v>305</v>
      </c>
      <c r="I710" s="34" t="s">
        <v>306</v>
      </c>
      <c r="J710" s="3" t="s">
        <v>307</v>
      </c>
      <c r="K710" s="3"/>
      <c r="L710" s="3">
        <v>12</v>
      </c>
      <c r="M710" s="3" t="s">
        <v>229</v>
      </c>
      <c r="N710" s="3" t="s">
        <v>307</v>
      </c>
      <c r="O710" s="3">
        <v>120</v>
      </c>
      <c r="P710" s="36">
        <v>10.000000000000002</v>
      </c>
      <c r="Q710" s="3">
        <v>250</v>
      </c>
      <c r="R710" s="36" t="s">
        <v>308</v>
      </c>
      <c r="S710" s="3"/>
      <c r="T710" s="36"/>
      <c r="U710" s="36"/>
      <c r="V710" s="36"/>
      <c r="W710" s="36"/>
      <c r="X710" s="36"/>
      <c r="Y710" s="36"/>
      <c r="Z710" s="36"/>
    </row>
    <row r="711" spans="1:26" ht="14">
      <c r="A711" s="13">
        <v>41422</v>
      </c>
      <c r="B711" s="35" t="s">
        <v>144</v>
      </c>
      <c r="C711" s="165">
        <v>2013</v>
      </c>
      <c r="D711" s="34">
        <v>5</v>
      </c>
      <c r="E711" s="3" t="s">
        <v>223</v>
      </c>
      <c r="F711" s="3" t="s">
        <v>303</v>
      </c>
      <c r="G711" s="3" t="s">
        <v>304</v>
      </c>
      <c r="H711" s="3" t="s">
        <v>305</v>
      </c>
      <c r="I711" s="3" t="s">
        <v>306</v>
      </c>
      <c r="J711" s="3" t="s">
        <v>307</v>
      </c>
      <c r="K711" s="3"/>
      <c r="L711" s="3">
        <v>5</v>
      </c>
      <c r="M711" s="3" t="s">
        <v>229</v>
      </c>
      <c r="N711" s="3" t="s">
        <v>307</v>
      </c>
      <c r="O711" s="3">
        <v>120</v>
      </c>
      <c r="P711" s="36">
        <v>4.1666666666666661</v>
      </c>
      <c r="Q711" s="3">
        <v>250</v>
      </c>
      <c r="R711" s="36" t="s">
        <v>620</v>
      </c>
      <c r="S711" s="3"/>
      <c r="T711" s="36"/>
      <c r="U711" s="36"/>
      <c r="V711" s="36"/>
      <c r="W711" s="36"/>
      <c r="X711" s="36"/>
      <c r="Y711" s="36"/>
      <c r="Z711" s="36"/>
    </row>
    <row r="712" spans="1:26" ht="14">
      <c r="A712" s="13">
        <v>41422</v>
      </c>
      <c r="B712" s="72" t="s">
        <v>144</v>
      </c>
      <c r="C712" s="165">
        <v>2013</v>
      </c>
      <c r="D712" s="34">
        <v>8</v>
      </c>
      <c r="E712" s="3" t="s">
        <v>223</v>
      </c>
      <c r="F712" s="3" t="s">
        <v>303</v>
      </c>
      <c r="G712" s="3" t="s">
        <v>304</v>
      </c>
      <c r="H712" s="3" t="s">
        <v>305</v>
      </c>
      <c r="I712" s="3" t="s">
        <v>306</v>
      </c>
      <c r="J712" s="3" t="s">
        <v>307</v>
      </c>
      <c r="K712" s="3"/>
      <c r="L712" s="3">
        <v>4</v>
      </c>
      <c r="M712" s="3" t="s">
        <v>229</v>
      </c>
      <c r="N712" s="3" t="s">
        <v>307</v>
      </c>
      <c r="O712" s="3">
        <v>89</v>
      </c>
      <c r="P712" s="36">
        <v>4.4932393943246405</v>
      </c>
      <c r="Q712" s="3">
        <v>250</v>
      </c>
      <c r="R712" s="36" t="s">
        <v>308</v>
      </c>
      <c r="S712" s="3"/>
      <c r="T712" s="36"/>
      <c r="U712" s="36"/>
      <c r="V712" s="36"/>
      <c r="W712" s="36"/>
      <c r="X712" s="36"/>
      <c r="Y712" s="36"/>
      <c r="Z712" s="36"/>
    </row>
    <row r="713" spans="1:26" ht="14">
      <c r="A713" s="13">
        <v>41422</v>
      </c>
      <c r="B713" s="35" t="s">
        <v>144</v>
      </c>
      <c r="C713" s="165">
        <v>2013</v>
      </c>
      <c r="D713" s="34">
        <v>8</v>
      </c>
      <c r="E713" s="3" t="s">
        <v>223</v>
      </c>
      <c r="F713" s="3" t="s">
        <v>303</v>
      </c>
      <c r="G713" s="3" t="s">
        <v>304</v>
      </c>
      <c r="H713" s="3" t="s">
        <v>305</v>
      </c>
      <c r="I713" s="3" t="s">
        <v>306</v>
      </c>
      <c r="J713" s="3" t="s">
        <v>307</v>
      </c>
      <c r="K713" s="3"/>
      <c r="L713" s="3">
        <v>2</v>
      </c>
      <c r="M713" s="3" t="s">
        <v>229</v>
      </c>
      <c r="N713" s="3" t="s">
        <v>307</v>
      </c>
      <c r="O713" s="3">
        <v>89</v>
      </c>
      <c r="P713" s="36">
        <v>2.2466196971623202</v>
      </c>
      <c r="Q713" s="3">
        <v>250</v>
      </c>
      <c r="R713" s="36" t="s">
        <v>620</v>
      </c>
      <c r="S713" s="3"/>
      <c r="T713" s="36"/>
      <c r="U713" s="36"/>
      <c r="V713" s="36"/>
      <c r="W713" s="36"/>
      <c r="X713" s="36"/>
      <c r="Y713" s="36"/>
      <c r="Z713" s="36"/>
    </row>
    <row r="714" spans="1:26" ht="14">
      <c r="A714" s="13">
        <v>43019</v>
      </c>
      <c r="B714" s="72" t="s">
        <v>159</v>
      </c>
      <c r="C714" s="165">
        <v>2017</v>
      </c>
      <c r="D714" s="53">
        <v>5</v>
      </c>
      <c r="E714" s="65" t="s">
        <v>209</v>
      </c>
      <c r="F714" s="65" t="s">
        <v>210</v>
      </c>
      <c r="G714" s="65"/>
      <c r="H714" s="65" t="s">
        <v>211</v>
      </c>
      <c r="I714" s="65" t="s">
        <v>212</v>
      </c>
      <c r="J714" s="36" t="s">
        <v>213</v>
      </c>
      <c r="K714" s="36" t="s">
        <v>214</v>
      </c>
      <c r="L714" s="36">
        <v>1</v>
      </c>
      <c r="M714" s="36" t="s">
        <v>247</v>
      </c>
      <c r="N714" s="36" t="s">
        <v>215</v>
      </c>
      <c r="O714" s="3">
        <v>3</v>
      </c>
      <c r="P714" s="36">
        <v>7.390795038988502E-3</v>
      </c>
      <c r="Q714" s="36">
        <v>1000</v>
      </c>
      <c r="R714" s="3"/>
      <c r="S714" s="3"/>
      <c r="T714" s="36"/>
      <c r="U714" s="36"/>
      <c r="V714" s="36"/>
      <c r="W714" s="36"/>
      <c r="X714" s="36"/>
      <c r="Y714" s="36"/>
      <c r="Z714" s="36"/>
    </row>
    <row r="715" spans="1:26" ht="14">
      <c r="A715" s="13">
        <v>42928</v>
      </c>
      <c r="B715" s="72" t="s">
        <v>154</v>
      </c>
      <c r="C715" s="165">
        <v>2017</v>
      </c>
      <c r="D715" s="53">
        <v>5</v>
      </c>
      <c r="E715" s="65" t="s">
        <v>209</v>
      </c>
      <c r="F715" s="65" t="s">
        <v>210</v>
      </c>
      <c r="G715" s="65"/>
      <c r="H715" s="65" t="s">
        <v>211</v>
      </c>
      <c r="I715" s="65" t="s">
        <v>212</v>
      </c>
      <c r="J715" s="36" t="s">
        <v>213</v>
      </c>
      <c r="K715" s="36" t="s">
        <v>214</v>
      </c>
      <c r="L715" s="36">
        <v>3</v>
      </c>
      <c r="M715" s="36" t="s">
        <v>247</v>
      </c>
      <c r="N715" s="36" t="s">
        <v>215</v>
      </c>
      <c r="O715" s="3">
        <v>6</v>
      </c>
      <c r="P715" s="36">
        <v>2.1910961365340861E-2</v>
      </c>
      <c r="Q715" s="36">
        <v>1000</v>
      </c>
      <c r="R715" s="3"/>
      <c r="S715" s="3"/>
      <c r="T715" s="36"/>
      <c r="U715" s="36"/>
      <c r="V715" s="36"/>
      <c r="W715" s="36"/>
      <c r="X715" s="36"/>
      <c r="Y715" s="36"/>
      <c r="Z715" s="36"/>
    </row>
    <row r="716" spans="1:26" ht="14">
      <c r="A716" s="13">
        <v>42867</v>
      </c>
      <c r="B716" s="72" t="s">
        <v>144</v>
      </c>
      <c r="C716" s="165">
        <v>2017</v>
      </c>
      <c r="D716" s="53">
        <v>5</v>
      </c>
      <c r="E716" s="65" t="s">
        <v>209</v>
      </c>
      <c r="F716" s="65" t="s">
        <v>210</v>
      </c>
      <c r="G716" s="65"/>
      <c r="H716" s="65" t="s">
        <v>211</v>
      </c>
      <c r="I716" s="65" t="s">
        <v>212</v>
      </c>
      <c r="J716" s="65" t="s">
        <v>213</v>
      </c>
      <c r="K716" s="36" t="s">
        <v>214</v>
      </c>
      <c r="L716" s="36">
        <v>2</v>
      </c>
      <c r="M716" s="36" t="s">
        <v>247</v>
      </c>
      <c r="N716" s="36" t="s">
        <v>215</v>
      </c>
      <c r="O716" s="3">
        <v>16</v>
      </c>
      <c r="P716" s="36">
        <v>4.0568081707308325E-3</v>
      </c>
      <c r="Q716" s="65">
        <v>1000</v>
      </c>
      <c r="R716" s="51"/>
      <c r="S716" s="51"/>
      <c r="T716" s="65"/>
      <c r="U716" s="36"/>
      <c r="V716" s="36"/>
      <c r="W716" s="36"/>
      <c r="X716" s="36"/>
      <c r="Y716" s="36"/>
      <c r="Z716" s="36"/>
    </row>
    <row r="717" spans="1:26" ht="14">
      <c r="A717" s="13">
        <v>42867</v>
      </c>
      <c r="B717" s="72" t="s">
        <v>144</v>
      </c>
      <c r="C717" s="165">
        <v>2017</v>
      </c>
      <c r="D717" s="53">
        <v>8</v>
      </c>
      <c r="E717" s="65" t="s">
        <v>209</v>
      </c>
      <c r="F717" s="65" t="s">
        <v>210</v>
      </c>
      <c r="G717" s="65"/>
      <c r="H717" s="65" t="s">
        <v>211</v>
      </c>
      <c r="I717" s="65" t="s">
        <v>212</v>
      </c>
      <c r="J717" s="36" t="s">
        <v>213</v>
      </c>
      <c r="K717" s="36" t="s">
        <v>214</v>
      </c>
      <c r="L717" s="36">
        <v>3</v>
      </c>
      <c r="M717" s="36" t="s">
        <v>247</v>
      </c>
      <c r="N717" s="36" t="s">
        <v>215</v>
      </c>
      <c r="O717" s="3">
        <v>42</v>
      </c>
      <c r="P717" s="36">
        <v>1.2264657847341045E-2</v>
      </c>
      <c r="Q717" s="36">
        <v>1000</v>
      </c>
      <c r="R717" s="3"/>
      <c r="S717" s="3"/>
      <c r="T717" s="36"/>
      <c r="U717" s="36"/>
      <c r="V717" s="36"/>
      <c r="W717" s="36"/>
      <c r="X717" s="36"/>
      <c r="Y717" s="36"/>
      <c r="Z717" s="36"/>
    </row>
    <row r="718" spans="1:26" ht="14">
      <c r="A718" s="35">
        <v>42634</v>
      </c>
      <c r="B718" s="72" t="s">
        <v>157</v>
      </c>
      <c r="C718" s="165">
        <v>2016</v>
      </c>
      <c r="D718" s="53">
        <v>4</v>
      </c>
      <c r="E718" s="52" t="s">
        <v>209</v>
      </c>
      <c r="F718" t="s">
        <v>210</v>
      </c>
      <c r="H718" s="52" t="s">
        <v>211</v>
      </c>
      <c r="I718" s="52" t="s">
        <v>212</v>
      </c>
      <c r="J718" s="52" t="s">
        <v>213</v>
      </c>
      <c r="K718" s="52" t="s">
        <v>214</v>
      </c>
      <c r="L718" s="52">
        <v>1</v>
      </c>
      <c r="M718" s="52" t="s">
        <v>247</v>
      </c>
      <c r="N718" s="52" t="s">
        <v>215</v>
      </c>
      <c r="O718" s="36">
        <v>156</v>
      </c>
      <c r="P718" s="76">
        <v>0.63937497457156689</v>
      </c>
      <c r="Q718" s="36">
        <v>250</v>
      </c>
      <c r="R718" s="36"/>
      <c r="S718" s="36"/>
      <c r="T718" s="36"/>
      <c r="U718" s="36"/>
      <c r="V718" s="36"/>
      <c r="W718" s="36"/>
      <c r="X718" s="36"/>
      <c r="Y718" s="36"/>
      <c r="Z718" s="36"/>
    </row>
    <row r="719" spans="1:26" ht="14">
      <c r="A719" s="35">
        <v>42634</v>
      </c>
      <c r="B719" s="72" t="s">
        <v>157</v>
      </c>
      <c r="C719" s="165">
        <v>2016</v>
      </c>
      <c r="D719" s="53">
        <v>5</v>
      </c>
      <c r="E719" s="65" t="s">
        <v>209</v>
      </c>
      <c r="F719" s="65" t="s">
        <v>210</v>
      </c>
      <c r="G719" s="65"/>
      <c r="H719" s="65" t="s">
        <v>211</v>
      </c>
      <c r="I719" s="65" t="s">
        <v>212</v>
      </c>
      <c r="J719" s="36" t="s">
        <v>213</v>
      </c>
      <c r="K719" s="36" t="s">
        <v>214</v>
      </c>
      <c r="L719" s="36">
        <v>3</v>
      </c>
      <c r="M719" s="36" t="s">
        <v>247</v>
      </c>
      <c r="N719" s="36" t="s">
        <v>215</v>
      </c>
      <c r="O719" s="36">
        <v>93</v>
      </c>
      <c r="P719" s="36">
        <v>2.8239424863189169E-3</v>
      </c>
      <c r="Q719" s="36">
        <v>1000</v>
      </c>
      <c r="R719" s="36"/>
      <c r="S719" s="36"/>
      <c r="T719" s="36"/>
      <c r="U719" s="36"/>
      <c r="V719" s="36"/>
      <c r="W719" s="36"/>
      <c r="X719" s="36"/>
      <c r="Y719" s="36"/>
      <c r="Z719" s="36"/>
    </row>
    <row r="720" spans="1:26" ht="14">
      <c r="A720" s="35">
        <v>42634</v>
      </c>
      <c r="B720" s="72" t="s">
        <v>157</v>
      </c>
      <c r="C720" s="165">
        <v>2016</v>
      </c>
      <c r="D720" s="53">
        <v>8</v>
      </c>
      <c r="E720" s="36" t="s">
        <v>209</v>
      </c>
      <c r="F720" s="36" t="s">
        <v>210</v>
      </c>
      <c r="G720" s="36"/>
      <c r="H720" s="36" t="s">
        <v>211</v>
      </c>
      <c r="I720" s="36" t="s">
        <v>212</v>
      </c>
      <c r="J720" s="36" t="s">
        <v>213</v>
      </c>
      <c r="K720" s="36" t="s">
        <v>214</v>
      </c>
      <c r="L720" s="36">
        <v>1</v>
      </c>
      <c r="M720" s="36" t="s">
        <v>247</v>
      </c>
      <c r="N720" s="36" t="s">
        <v>215</v>
      </c>
      <c r="O720" s="36">
        <v>3658</v>
      </c>
      <c r="P720" s="36">
        <v>1.7671737367053572E-3</v>
      </c>
      <c r="Q720" s="36">
        <v>1000</v>
      </c>
      <c r="R720" s="36"/>
      <c r="S720" s="36"/>
      <c r="T720" s="36"/>
      <c r="U720" s="36"/>
      <c r="V720" s="36"/>
      <c r="W720" s="36"/>
      <c r="X720" s="36"/>
      <c r="Y720" s="36"/>
      <c r="Z720" s="36"/>
    </row>
    <row r="721" spans="1:26" ht="14">
      <c r="A721" s="35">
        <v>42571</v>
      </c>
      <c r="B721" s="72" t="s">
        <v>154</v>
      </c>
      <c r="C721" s="165">
        <v>2016</v>
      </c>
      <c r="D721" s="53">
        <v>8</v>
      </c>
      <c r="E721" s="36" t="s">
        <v>209</v>
      </c>
      <c r="F721" s="36" t="s">
        <v>210</v>
      </c>
      <c r="G721" s="36"/>
      <c r="H721" s="36" t="s">
        <v>211</v>
      </c>
      <c r="I721" s="36" t="s">
        <v>212</v>
      </c>
      <c r="J721" s="36" t="s">
        <v>213</v>
      </c>
      <c r="K721" s="36" t="s">
        <v>214</v>
      </c>
      <c r="L721" s="36">
        <v>1</v>
      </c>
      <c r="M721" s="36" t="s">
        <v>247</v>
      </c>
      <c r="N721" s="36" t="s">
        <v>215</v>
      </c>
      <c r="O721" s="36">
        <v>3</v>
      </c>
      <c r="P721" s="36">
        <v>4.6343831054653072E-3</v>
      </c>
      <c r="Q721" s="36">
        <v>1000</v>
      </c>
      <c r="R721" s="36"/>
      <c r="S721" s="36"/>
      <c r="T721" s="36"/>
      <c r="U721" s="36"/>
      <c r="V721" s="36"/>
      <c r="W721" s="36"/>
      <c r="X721" s="36"/>
      <c r="Y721" s="36"/>
      <c r="Z721" s="36"/>
    </row>
    <row r="722" spans="1:26" ht="14">
      <c r="A722" s="35">
        <v>42263</v>
      </c>
      <c r="B722" s="35" t="s">
        <v>157</v>
      </c>
      <c r="C722" s="165">
        <v>2015</v>
      </c>
      <c r="D722" s="47">
        <v>4</v>
      </c>
      <c r="E722" s="65" t="s">
        <v>209</v>
      </c>
      <c r="F722" s="65" t="s">
        <v>210</v>
      </c>
      <c r="G722" s="65"/>
      <c r="H722" s="65" t="s">
        <v>211</v>
      </c>
      <c r="I722" s="65" t="s">
        <v>212</v>
      </c>
      <c r="J722" s="36" t="s">
        <v>213</v>
      </c>
      <c r="K722" s="36" t="s">
        <v>214</v>
      </c>
      <c r="L722" s="36">
        <v>2</v>
      </c>
      <c r="M722" s="36" t="s">
        <v>247</v>
      </c>
      <c r="N722" s="36" t="s">
        <v>215</v>
      </c>
      <c r="O722" s="36">
        <v>36</v>
      </c>
      <c r="P722" s="65">
        <v>9.6742587958424612E-3</v>
      </c>
      <c r="Q722" s="65">
        <v>1000</v>
      </c>
      <c r="R722" s="65"/>
      <c r="S722" s="65"/>
      <c r="T722" s="65"/>
      <c r="U722" s="36"/>
      <c r="V722" s="36"/>
      <c r="W722" s="36"/>
      <c r="X722" s="36"/>
      <c r="Y722" s="36"/>
      <c r="Z722" s="36"/>
    </row>
    <row r="723" spans="1:26" ht="14">
      <c r="A723" s="35">
        <v>42263</v>
      </c>
      <c r="B723" s="72" t="s">
        <v>157</v>
      </c>
      <c r="C723" s="165">
        <v>2015</v>
      </c>
      <c r="D723" s="47">
        <v>5</v>
      </c>
      <c r="E723" s="65" t="s">
        <v>209</v>
      </c>
      <c r="F723" s="65" t="s">
        <v>210</v>
      </c>
      <c r="G723" s="65"/>
      <c r="H723" s="65" t="s">
        <v>211</v>
      </c>
      <c r="I723" s="65" t="s">
        <v>212</v>
      </c>
      <c r="J723" s="36" t="s">
        <v>213</v>
      </c>
      <c r="K723" s="36" t="s">
        <v>214</v>
      </c>
      <c r="L723" s="36">
        <v>1</v>
      </c>
      <c r="M723" s="36" t="s">
        <v>247</v>
      </c>
      <c r="N723" s="36" t="s">
        <v>215</v>
      </c>
      <c r="O723" s="36">
        <v>3</v>
      </c>
      <c r="P723" s="36">
        <v>9.4220260047917694E-3</v>
      </c>
      <c r="Q723" s="36">
        <v>1000</v>
      </c>
      <c r="R723" s="36"/>
      <c r="S723" s="36"/>
      <c r="T723" s="36"/>
      <c r="U723" s="36"/>
      <c r="V723" s="36"/>
      <c r="W723" s="36"/>
      <c r="X723" s="36"/>
      <c r="Y723" s="36"/>
      <c r="Z723" s="36"/>
    </row>
    <row r="724" spans="1:26" ht="14">
      <c r="A724" s="35">
        <v>42263</v>
      </c>
      <c r="B724" s="35" t="s">
        <v>157</v>
      </c>
      <c r="C724" s="165">
        <v>2015</v>
      </c>
      <c r="D724" s="53">
        <v>5</v>
      </c>
      <c r="E724" s="36" t="s">
        <v>209</v>
      </c>
      <c r="F724" s="36" t="s">
        <v>210</v>
      </c>
      <c r="G724" s="36"/>
      <c r="H724" s="36" t="s">
        <v>211</v>
      </c>
      <c r="I724" s="36" t="s">
        <v>212</v>
      </c>
      <c r="J724" s="36" t="s">
        <v>213</v>
      </c>
      <c r="K724" s="36" t="s">
        <v>214</v>
      </c>
      <c r="L724" s="36">
        <v>11</v>
      </c>
      <c r="M724" s="36" t="s">
        <v>247</v>
      </c>
      <c r="N724" s="36" t="s">
        <v>215</v>
      </c>
      <c r="O724" s="36">
        <v>222</v>
      </c>
      <c r="P724" s="36">
        <v>4.9535543835218094</v>
      </c>
      <c r="Q724" s="3">
        <v>250</v>
      </c>
      <c r="R724" s="36"/>
      <c r="S724" s="36"/>
      <c r="T724" s="36"/>
      <c r="U724" s="36"/>
      <c r="V724" s="36"/>
      <c r="W724" s="36"/>
      <c r="X724" s="36"/>
      <c r="Y724" s="36"/>
      <c r="Z724" s="36"/>
    </row>
    <row r="725" spans="1:26" ht="14">
      <c r="A725" s="72">
        <v>42144</v>
      </c>
      <c r="B725" s="72" t="s">
        <v>144</v>
      </c>
      <c r="C725" s="165">
        <v>2015</v>
      </c>
      <c r="D725" s="53">
        <v>4</v>
      </c>
      <c r="E725" s="65" t="s">
        <v>209</v>
      </c>
      <c r="F725" s="65" t="s">
        <v>210</v>
      </c>
      <c r="G725" s="65"/>
      <c r="H725" s="65" t="s">
        <v>211</v>
      </c>
      <c r="I725" s="65" t="s">
        <v>212</v>
      </c>
      <c r="J725" s="36" t="s">
        <v>213</v>
      </c>
      <c r="K725" s="36" t="s">
        <v>214</v>
      </c>
      <c r="L725" s="36">
        <v>1</v>
      </c>
      <c r="M725" s="36" t="s">
        <v>247</v>
      </c>
      <c r="N725" s="36" t="s">
        <v>215</v>
      </c>
      <c r="O725" s="36">
        <v>21</v>
      </c>
      <c r="P725" s="65">
        <v>4.2478904499221653E-3</v>
      </c>
      <c r="Q725" s="65">
        <v>1000</v>
      </c>
      <c r="R725" s="65"/>
      <c r="S725" s="65"/>
      <c r="T725" s="145"/>
      <c r="U725" s="36"/>
      <c r="V725" s="36"/>
      <c r="W725" s="36"/>
      <c r="X725" s="36"/>
      <c r="Y725" s="36"/>
      <c r="Z725" s="36"/>
    </row>
    <row r="726" spans="1:26" ht="14">
      <c r="A726" s="35">
        <v>41912</v>
      </c>
      <c r="B726" s="72" t="s">
        <v>157</v>
      </c>
      <c r="C726" s="165">
        <v>2014</v>
      </c>
      <c r="D726" s="47">
        <v>5</v>
      </c>
      <c r="E726" s="36" t="s">
        <v>209</v>
      </c>
      <c r="F726" s="36" t="s">
        <v>210</v>
      </c>
      <c r="G726" s="36"/>
      <c r="H726" s="36" t="s">
        <v>211</v>
      </c>
      <c r="I726" s="36" t="s">
        <v>212</v>
      </c>
      <c r="J726" s="36" t="s">
        <v>213</v>
      </c>
      <c r="K726" s="36" t="s">
        <v>214</v>
      </c>
      <c r="L726" s="36">
        <v>7</v>
      </c>
      <c r="M726" s="36" t="s">
        <v>247</v>
      </c>
      <c r="N726" s="36" t="s">
        <v>215</v>
      </c>
      <c r="O726" s="36">
        <v>176</v>
      </c>
      <c r="P726" s="36">
        <v>7.8059037379089573E-3</v>
      </c>
      <c r="Q726" s="36">
        <v>1000</v>
      </c>
      <c r="R726" s="36"/>
      <c r="S726" s="36"/>
      <c r="T726" s="36"/>
      <c r="U726" s="36"/>
      <c r="V726" s="36"/>
      <c r="W726" s="36"/>
      <c r="X726" s="36"/>
      <c r="Y726" s="36"/>
      <c r="Z726" s="36"/>
    </row>
    <row r="727" spans="1:26" ht="14">
      <c r="A727" s="35">
        <v>41912</v>
      </c>
      <c r="B727" s="35" t="s">
        <v>157</v>
      </c>
      <c r="C727" s="165">
        <v>2014</v>
      </c>
      <c r="D727" s="47">
        <v>8</v>
      </c>
      <c r="E727" s="36" t="s">
        <v>209</v>
      </c>
      <c r="F727" s="36" t="s">
        <v>210</v>
      </c>
      <c r="G727" s="36"/>
      <c r="H727" s="36" t="s">
        <v>211</v>
      </c>
      <c r="I727" s="36" t="s">
        <v>212</v>
      </c>
      <c r="J727" s="36" t="s">
        <v>213</v>
      </c>
      <c r="K727" s="36" t="s">
        <v>214</v>
      </c>
      <c r="L727" s="36">
        <v>1</v>
      </c>
      <c r="M727" s="36" t="s">
        <v>247</v>
      </c>
      <c r="N727" s="36" t="s">
        <v>215</v>
      </c>
      <c r="O727" s="36">
        <v>12</v>
      </c>
      <c r="P727" s="36">
        <v>2.7963235095595689E-3</v>
      </c>
      <c r="Q727" s="36">
        <v>1000</v>
      </c>
      <c r="R727" s="36"/>
      <c r="S727" s="36"/>
      <c r="T727" s="36"/>
      <c r="U727" s="36"/>
      <c r="V727" s="36"/>
      <c r="W727" s="36"/>
      <c r="X727" s="36"/>
      <c r="Y727" s="36"/>
      <c r="Z727" s="36"/>
    </row>
    <row r="728" spans="1:26" ht="14">
      <c r="A728" s="35">
        <v>41851</v>
      </c>
      <c r="B728" s="35" t="s">
        <v>154</v>
      </c>
      <c r="C728" s="165">
        <v>2014</v>
      </c>
      <c r="D728" s="53">
        <v>4</v>
      </c>
      <c r="E728" s="36" t="s">
        <v>209</v>
      </c>
      <c r="F728" s="36" t="s">
        <v>210</v>
      </c>
      <c r="G728" s="36"/>
      <c r="H728" s="36" t="s">
        <v>211</v>
      </c>
      <c r="I728" s="36" t="s">
        <v>212</v>
      </c>
      <c r="J728" s="36" t="s">
        <v>213</v>
      </c>
      <c r="K728" s="36" t="s">
        <v>214</v>
      </c>
      <c r="L728" s="36">
        <v>1</v>
      </c>
      <c r="M728" s="36" t="s">
        <v>247</v>
      </c>
      <c r="N728" s="36" t="s">
        <v>215</v>
      </c>
      <c r="O728" s="36">
        <v>678</v>
      </c>
      <c r="P728" s="65">
        <v>3.8690730288093336E-3</v>
      </c>
      <c r="Q728" s="36">
        <v>1000</v>
      </c>
      <c r="R728" s="36"/>
      <c r="S728" s="36"/>
      <c r="T728" s="36"/>
      <c r="U728" s="36"/>
      <c r="V728" s="36"/>
      <c r="W728" s="36"/>
      <c r="X728" s="36"/>
      <c r="Y728" s="36"/>
      <c r="Z728" s="36"/>
    </row>
    <row r="729" spans="1:26" ht="14">
      <c r="A729" s="35">
        <v>41761</v>
      </c>
      <c r="B729" s="72" t="s">
        <v>144</v>
      </c>
      <c r="C729" s="165">
        <v>2014</v>
      </c>
      <c r="D729" s="53">
        <v>4</v>
      </c>
      <c r="E729" s="65" t="s">
        <v>209</v>
      </c>
      <c r="F729" s="65" t="s">
        <v>210</v>
      </c>
      <c r="G729" s="65"/>
      <c r="H729" s="65" t="s">
        <v>211</v>
      </c>
      <c r="I729" s="65" t="s">
        <v>212</v>
      </c>
      <c r="J729" s="36" t="s">
        <v>213</v>
      </c>
      <c r="K729" s="36" t="s">
        <v>214</v>
      </c>
      <c r="L729" s="36">
        <v>5</v>
      </c>
      <c r="M729" s="36" t="s">
        <v>247</v>
      </c>
      <c r="N729" s="36" t="s">
        <v>215</v>
      </c>
      <c r="O729" s="36">
        <v>864</v>
      </c>
      <c r="P729" s="65">
        <v>1.3826854891268604E-2</v>
      </c>
      <c r="Q729" s="36">
        <v>1000</v>
      </c>
      <c r="R729" s="36"/>
      <c r="S729" s="36"/>
      <c r="T729" s="36"/>
      <c r="U729" s="36"/>
      <c r="V729" s="36"/>
      <c r="W729" s="36"/>
      <c r="X729" s="36"/>
      <c r="Y729" s="36"/>
      <c r="Z729" s="36"/>
    </row>
    <row r="730" spans="1:26" ht="14">
      <c r="A730" s="35">
        <v>41761</v>
      </c>
      <c r="B730" s="72" t="s">
        <v>144</v>
      </c>
      <c r="C730" s="165">
        <v>2014</v>
      </c>
      <c r="D730" s="53">
        <v>5</v>
      </c>
      <c r="E730" s="36" t="s">
        <v>209</v>
      </c>
      <c r="F730" s="36" t="s">
        <v>210</v>
      </c>
      <c r="G730" s="36"/>
      <c r="H730" s="36" t="s">
        <v>211</v>
      </c>
      <c r="I730" s="36" t="s">
        <v>212</v>
      </c>
      <c r="J730" s="36" t="s">
        <v>213</v>
      </c>
      <c r="K730" s="36" t="s">
        <v>214</v>
      </c>
      <c r="L730" s="36">
        <v>9</v>
      </c>
      <c r="M730" s="36" t="s">
        <v>247</v>
      </c>
      <c r="N730" s="36" t="s">
        <v>215</v>
      </c>
      <c r="O730" s="36">
        <v>87</v>
      </c>
      <c r="P730" s="36">
        <v>2.1539850723097487E-2</v>
      </c>
      <c r="Q730" s="36">
        <v>1000</v>
      </c>
      <c r="R730" s="36" t="s">
        <v>546</v>
      </c>
      <c r="S730" s="36"/>
      <c r="T730" s="36"/>
      <c r="U730" s="36"/>
      <c r="V730" s="36"/>
      <c r="W730" s="36"/>
      <c r="X730" s="36"/>
      <c r="Y730" s="36"/>
      <c r="Z730" s="36"/>
    </row>
    <row r="731" spans="1:26" ht="14">
      <c r="A731" s="35">
        <v>41761</v>
      </c>
      <c r="B731" s="72" t="s">
        <v>144</v>
      </c>
      <c r="C731" s="165">
        <v>2014</v>
      </c>
      <c r="D731" s="53">
        <v>8</v>
      </c>
      <c r="E731" s="36" t="s">
        <v>209</v>
      </c>
      <c r="F731" s="36" t="s">
        <v>210</v>
      </c>
      <c r="G731" s="36"/>
      <c r="H731" s="36" t="s">
        <v>211</v>
      </c>
      <c r="I731" s="36" t="s">
        <v>212</v>
      </c>
      <c r="J731" s="36" t="s">
        <v>213</v>
      </c>
      <c r="K731" s="36" t="s">
        <v>214</v>
      </c>
      <c r="L731" s="65">
        <v>11</v>
      </c>
      <c r="M731" s="65" t="s">
        <v>247</v>
      </c>
      <c r="N731" s="65" t="s">
        <v>215</v>
      </c>
      <c r="O731" s="36">
        <v>91</v>
      </c>
      <c r="P731" s="36">
        <v>3.158627237386416E-2</v>
      </c>
      <c r="Q731" s="65">
        <v>1000</v>
      </c>
      <c r="R731" s="65" t="s">
        <v>547</v>
      </c>
      <c r="S731" s="65"/>
      <c r="T731" s="65"/>
      <c r="U731" s="36"/>
      <c r="V731" s="36"/>
      <c r="W731" s="36"/>
      <c r="X731" s="36"/>
      <c r="Y731" s="36"/>
      <c r="Z731" s="36"/>
    </row>
    <row r="732" spans="1:26" ht="14">
      <c r="A732" s="72">
        <v>41542</v>
      </c>
      <c r="B732" s="72" t="s">
        <v>157</v>
      </c>
      <c r="C732" s="165">
        <v>2013</v>
      </c>
      <c r="D732" s="53">
        <v>2</v>
      </c>
      <c r="E732" s="36" t="s">
        <v>209</v>
      </c>
      <c r="F732" s="36" t="s">
        <v>210</v>
      </c>
      <c r="G732" s="36"/>
      <c r="H732" s="36" t="s">
        <v>211</v>
      </c>
      <c r="I732" s="36" t="s">
        <v>212</v>
      </c>
      <c r="J732" s="36" t="s">
        <v>213</v>
      </c>
      <c r="K732" s="36" t="s">
        <v>214</v>
      </c>
      <c r="L732" s="36">
        <v>1</v>
      </c>
      <c r="M732" s="36" t="s">
        <v>247</v>
      </c>
      <c r="N732" s="36" t="s">
        <v>215</v>
      </c>
      <c r="O732" s="36">
        <v>244</v>
      </c>
      <c r="P732" s="36">
        <v>3.6916662324044816E-3</v>
      </c>
      <c r="Q732" s="36">
        <v>1000</v>
      </c>
      <c r="R732" s="36"/>
      <c r="S732" s="36"/>
      <c r="T732" s="36"/>
      <c r="U732" s="36"/>
      <c r="V732" s="36"/>
      <c r="W732" s="36"/>
      <c r="X732" s="36"/>
      <c r="Y732" s="36"/>
      <c r="Z732" s="36"/>
    </row>
    <row r="733" spans="1:26" ht="14">
      <c r="A733" s="35">
        <v>41542</v>
      </c>
      <c r="B733" s="72" t="s">
        <v>157</v>
      </c>
      <c r="C733" s="165">
        <v>2013</v>
      </c>
      <c r="D733" s="53">
        <v>4</v>
      </c>
      <c r="E733" s="65" t="s">
        <v>209</v>
      </c>
      <c r="F733" s="36" t="s">
        <v>210</v>
      </c>
      <c r="G733" s="36"/>
      <c r="H733" s="65" t="s">
        <v>211</v>
      </c>
      <c r="I733" s="65" t="s">
        <v>212</v>
      </c>
      <c r="J733" s="65" t="s">
        <v>213</v>
      </c>
      <c r="K733" s="36" t="s">
        <v>214</v>
      </c>
      <c r="L733" s="36">
        <v>1</v>
      </c>
      <c r="M733" s="36" t="s">
        <v>247</v>
      </c>
      <c r="N733" s="36" t="s">
        <v>215</v>
      </c>
      <c r="O733" s="36">
        <v>522</v>
      </c>
      <c r="P733" s="36">
        <v>2.0921230297994554E-3</v>
      </c>
      <c r="Q733" s="36">
        <v>1000</v>
      </c>
      <c r="R733" s="36"/>
      <c r="S733" s="36"/>
      <c r="T733" s="36"/>
      <c r="U733" s="36"/>
      <c r="V733" s="36"/>
      <c r="W733" s="36"/>
      <c r="X733" s="36"/>
      <c r="Y733" s="36"/>
      <c r="Z733" s="36"/>
    </row>
    <row r="734" spans="1:26" ht="14">
      <c r="A734" s="72">
        <v>41542</v>
      </c>
      <c r="B734" s="72" t="s">
        <v>157</v>
      </c>
      <c r="C734" s="165">
        <v>2013</v>
      </c>
      <c r="D734" s="53">
        <v>5</v>
      </c>
      <c r="E734" s="65" t="s">
        <v>209</v>
      </c>
      <c r="F734" s="65" t="s">
        <v>210</v>
      </c>
      <c r="G734" s="65"/>
      <c r="H734" s="65" t="s">
        <v>211</v>
      </c>
      <c r="I734" s="65" t="s">
        <v>212</v>
      </c>
      <c r="J734" s="36" t="s">
        <v>213</v>
      </c>
      <c r="K734" s="36" t="s">
        <v>214</v>
      </c>
      <c r="L734" s="36">
        <v>3</v>
      </c>
      <c r="M734" s="36" t="s">
        <v>247</v>
      </c>
      <c r="N734" s="36" t="s">
        <v>215</v>
      </c>
      <c r="O734" s="36">
        <v>41</v>
      </c>
      <c r="P734" s="36">
        <v>2.3570408592725718E-3</v>
      </c>
      <c r="Q734" s="36">
        <v>1000</v>
      </c>
      <c r="R734" s="36"/>
      <c r="S734" s="36"/>
      <c r="T734" s="36"/>
      <c r="U734" s="36"/>
      <c r="V734" s="36"/>
      <c r="W734" s="36"/>
      <c r="X734" s="36"/>
      <c r="Y734" s="36"/>
      <c r="Z734" s="36"/>
    </row>
    <row r="735" spans="1:26" ht="14">
      <c r="A735" s="72">
        <v>41480</v>
      </c>
      <c r="B735" s="72" t="s">
        <v>154</v>
      </c>
      <c r="C735" s="165">
        <v>2013</v>
      </c>
      <c r="D735" s="53">
        <v>5</v>
      </c>
      <c r="E735" s="65" t="s">
        <v>209</v>
      </c>
      <c r="F735" s="65" t="s">
        <v>210</v>
      </c>
      <c r="G735" s="65"/>
      <c r="H735" s="65" t="s">
        <v>211</v>
      </c>
      <c r="I735" s="65" t="s">
        <v>212</v>
      </c>
      <c r="J735" s="36" t="s">
        <v>213</v>
      </c>
      <c r="K735" s="36" t="s">
        <v>214</v>
      </c>
      <c r="L735" s="36">
        <v>1</v>
      </c>
      <c r="M735" s="36" t="s">
        <v>247</v>
      </c>
      <c r="N735" s="36" t="s">
        <v>215</v>
      </c>
      <c r="O735" s="36">
        <v>45</v>
      </c>
      <c r="P735" s="36">
        <v>3.1333878416620888E-4</v>
      </c>
      <c r="Q735" s="36">
        <v>1000</v>
      </c>
      <c r="R735" s="36"/>
      <c r="S735" s="36"/>
      <c r="T735" s="36"/>
      <c r="U735" s="36"/>
      <c r="V735" s="36"/>
      <c r="W735" s="36"/>
      <c r="X735" s="36"/>
      <c r="Y735" s="36"/>
      <c r="Z735" s="36"/>
    </row>
    <row r="736" spans="1:26" ht="14">
      <c r="A736" s="71">
        <v>42928</v>
      </c>
      <c r="B736" s="35" t="s">
        <v>154</v>
      </c>
      <c r="C736" s="165">
        <v>2017</v>
      </c>
      <c r="D736" s="53">
        <v>8</v>
      </c>
      <c r="E736" s="36" t="s">
        <v>223</v>
      </c>
      <c r="F736" s="36" t="s">
        <v>267</v>
      </c>
      <c r="G736" s="36" t="s">
        <v>278</v>
      </c>
      <c r="H736" s="36" t="s">
        <v>269</v>
      </c>
      <c r="I736" s="36"/>
      <c r="J736" s="36"/>
      <c r="K736" s="36"/>
      <c r="L736" s="36">
        <v>1</v>
      </c>
      <c r="M736" s="36" t="s">
        <v>508</v>
      </c>
      <c r="N736" s="36" t="s">
        <v>270</v>
      </c>
      <c r="O736" s="3">
        <v>26</v>
      </c>
      <c r="P736" s="36">
        <v>1.4582376221279518E-3</v>
      </c>
      <c r="Q736" s="36">
        <v>1000</v>
      </c>
      <c r="R736" s="3"/>
      <c r="S736" s="3"/>
      <c r="T736" s="36"/>
      <c r="U736" s="36"/>
      <c r="V736" s="36"/>
      <c r="W736" s="36"/>
      <c r="X736" s="36"/>
      <c r="Y736" s="36"/>
      <c r="Z736" s="36"/>
    </row>
    <row r="737" spans="1:26" ht="14">
      <c r="A737" s="72">
        <v>42634</v>
      </c>
      <c r="B737" s="72" t="s">
        <v>157</v>
      </c>
      <c r="C737" s="165">
        <v>2016</v>
      </c>
      <c r="D737" s="53">
        <v>4</v>
      </c>
      <c r="E737" s="36" t="s">
        <v>223</v>
      </c>
      <c r="F737" s="36" t="s">
        <v>267</v>
      </c>
      <c r="G737" s="36" t="s">
        <v>278</v>
      </c>
      <c r="H737" s="36" t="s">
        <v>269</v>
      </c>
      <c r="I737" s="36"/>
      <c r="J737" s="36" t="s">
        <v>270</v>
      </c>
      <c r="K737" s="36"/>
      <c r="L737" s="36">
        <v>1</v>
      </c>
      <c r="M737" s="36" t="s">
        <v>229</v>
      </c>
      <c r="N737" s="36" t="s">
        <v>270</v>
      </c>
      <c r="O737" s="36">
        <v>127</v>
      </c>
      <c r="P737" s="65">
        <v>2.0275902900439425E-3</v>
      </c>
      <c r="Q737" s="36">
        <v>1000</v>
      </c>
      <c r="R737" s="36" t="s">
        <v>531</v>
      </c>
      <c r="S737" s="36"/>
      <c r="T737" s="36"/>
      <c r="U737" s="36"/>
      <c r="V737" s="36"/>
      <c r="W737" s="36"/>
      <c r="X737" s="36"/>
      <c r="Y737" s="36"/>
      <c r="Z737" s="36"/>
    </row>
    <row r="738" spans="1:26" ht="14">
      <c r="A738" s="35">
        <v>42515</v>
      </c>
      <c r="B738" s="35" t="s">
        <v>144</v>
      </c>
      <c r="C738" s="165">
        <v>2016</v>
      </c>
      <c r="D738" s="47">
        <v>4</v>
      </c>
      <c r="E738" s="65" t="s">
        <v>223</v>
      </c>
      <c r="F738" s="65" t="s">
        <v>267</v>
      </c>
      <c r="G738" s="65" t="s">
        <v>278</v>
      </c>
      <c r="H738" s="65" t="s">
        <v>269</v>
      </c>
      <c r="I738" s="65"/>
      <c r="J738" s="36"/>
      <c r="K738" s="36"/>
      <c r="L738" s="36">
        <v>1</v>
      </c>
      <c r="M738" s="36" t="s">
        <v>508</v>
      </c>
      <c r="N738" s="36" t="s">
        <v>270</v>
      </c>
      <c r="O738" s="36">
        <v>17</v>
      </c>
      <c r="P738" s="65">
        <v>4.6584790016147449E-3</v>
      </c>
      <c r="Q738" s="65">
        <v>1000</v>
      </c>
      <c r="R738" s="65"/>
      <c r="S738" s="65"/>
      <c r="T738" s="65"/>
      <c r="U738" s="36"/>
      <c r="V738" s="36"/>
      <c r="W738" s="36"/>
      <c r="X738" s="36"/>
      <c r="Y738" s="36"/>
      <c r="Z738" s="36"/>
    </row>
    <row r="739" spans="1:26" ht="14">
      <c r="A739" s="35">
        <v>42263</v>
      </c>
      <c r="B739" s="35" t="s">
        <v>157</v>
      </c>
      <c r="C739" s="165">
        <v>2015</v>
      </c>
      <c r="D739" s="53">
        <v>2</v>
      </c>
      <c r="E739" s="36" t="s">
        <v>223</v>
      </c>
      <c r="F739" s="36" t="s">
        <v>267</v>
      </c>
      <c r="G739" s="36" t="s">
        <v>278</v>
      </c>
      <c r="H739" s="36" t="s">
        <v>269</v>
      </c>
      <c r="I739" s="36" t="s">
        <v>333</v>
      </c>
      <c r="J739" s="36" t="s">
        <v>334</v>
      </c>
      <c r="K739" s="36"/>
      <c r="L739" s="36">
        <v>2</v>
      </c>
      <c r="M739" s="36" t="s">
        <v>229</v>
      </c>
      <c r="N739" s="36" t="s">
        <v>270</v>
      </c>
      <c r="O739" s="36">
        <v>3</v>
      </c>
      <c r="P739" s="36">
        <v>9.280198087929974E-3</v>
      </c>
      <c r="Q739" s="36">
        <v>1000</v>
      </c>
      <c r="R739" s="36"/>
      <c r="S739" s="36"/>
      <c r="T739" s="36"/>
      <c r="U739" s="36"/>
      <c r="V739" s="36"/>
      <c r="W739" s="36"/>
      <c r="X739" s="36"/>
      <c r="Y739" s="36"/>
      <c r="Z739" s="36"/>
    </row>
    <row r="740" spans="1:26" ht="14">
      <c r="A740" s="35">
        <v>42263</v>
      </c>
      <c r="B740" s="72" t="s">
        <v>157</v>
      </c>
      <c r="C740" s="165">
        <v>2015</v>
      </c>
      <c r="D740" s="47">
        <v>5</v>
      </c>
      <c r="E740" s="36" t="s">
        <v>223</v>
      </c>
      <c r="F740" s="36" t="s">
        <v>267</v>
      </c>
      <c r="G740" s="36" t="s">
        <v>278</v>
      </c>
      <c r="H740" s="36" t="s">
        <v>269</v>
      </c>
      <c r="I740" s="36" t="s">
        <v>333</v>
      </c>
      <c r="J740" s="36" t="s">
        <v>334</v>
      </c>
      <c r="K740" s="36"/>
      <c r="L740" s="36">
        <v>1</v>
      </c>
      <c r="M740" s="36" t="s">
        <v>229</v>
      </c>
      <c r="N740" s="36" t="s">
        <v>270</v>
      </c>
      <c r="O740" s="36">
        <v>3</v>
      </c>
      <c r="P740" s="36">
        <v>9.4220260047917694E-3</v>
      </c>
      <c r="Q740" s="36">
        <v>1000</v>
      </c>
      <c r="R740" s="36"/>
      <c r="S740" s="36"/>
      <c r="T740" s="36"/>
      <c r="U740" s="36"/>
      <c r="V740" s="36"/>
      <c r="W740" s="36"/>
      <c r="X740" s="36"/>
      <c r="Y740" s="36"/>
      <c r="Z740" s="36"/>
    </row>
    <row r="741" spans="1:26" ht="14">
      <c r="A741" s="35">
        <v>42206</v>
      </c>
      <c r="B741" s="72" t="s">
        <v>154</v>
      </c>
      <c r="C741" s="165">
        <v>2015</v>
      </c>
      <c r="D741" s="47">
        <v>2</v>
      </c>
      <c r="E741" s="36" t="s">
        <v>223</v>
      </c>
      <c r="F741" s="36" t="s">
        <v>267</v>
      </c>
      <c r="G741" s="36" t="s">
        <v>278</v>
      </c>
      <c r="H741" s="36" t="s">
        <v>269</v>
      </c>
      <c r="I741" s="36" t="s">
        <v>333</v>
      </c>
      <c r="J741" s="36" t="s">
        <v>334</v>
      </c>
      <c r="K741" s="36"/>
      <c r="L741" s="36">
        <v>1</v>
      </c>
      <c r="M741" s="36" t="s">
        <v>229</v>
      </c>
      <c r="N741" s="36" t="s">
        <v>270</v>
      </c>
      <c r="O741" s="36">
        <v>3</v>
      </c>
      <c r="P741" s="36">
        <v>1.0984943130251956E-2</v>
      </c>
      <c r="Q741" s="36">
        <v>1000</v>
      </c>
      <c r="R741" s="36" t="e">
        <f>SUM(#REF!)</f>
        <v>#REF!</v>
      </c>
      <c r="S741" s="36"/>
      <c r="T741" s="36"/>
      <c r="U741" s="36"/>
      <c r="V741" s="36"/>
      <c r="W741" s="36"/>
      <c r="X741" s="36"/>
      <c r="Y741" s="36"/>
      <c r="Z741" s="36"/>
    </row>
    <row r="742" spans="1:26" ht="14">
      <c r="A742" s="35">
        <v>42206</v>
      </c>
      <c r="B742" s="72" t="s">
        <v>154</v>
      </c>
      <c r="C742" s="165">
        <v>2015</v>
      </c>
      <c r="D742" s="53">
        <v>4</v>
      </c>
      <c r="E742" s="36" t="s">
        <v>223</v>
      </c>
      <c r="F742" s="36" t="s">
        <v>267</v>
      </c>
      <c r="G742" s="36" t="s">
        <v>278</v>
      </c>
      <c r="H742" s="36" t="s">
        <v>269</v>
      </c>
      <c r="I742" s="36" t="s">
        <v>333</v>
      </c>
      <c r="J742" s="36" t="s">
        <v>334</v>
      </c>
      <c r="K742" s="36"/>
      <c r="L742" s="36">
        <v>2</v>
      </c>
      <c r="M742" s="36" t="s">
        <v>229</v>
      </c>
      <c r="N742" s="36" t="s">
        <v>270</v>
      </c>
      <c r="O742" s="36">
        <v>249</v>
      </c>
      <c r="P742" s="36">
        <v>1.076543986220237E-2</v>
      </c>
      <c r="Q742" s="36">
        <v>1000</v>
      </c>
      <c r="R742" s="36"/>
      <c r="S742" s="36" t="e">
        <f>SUM(#REF!)</f>
        <v>#REF!</v>
      </c>
      <c r="T742" s="36"/>
      <c r="U742" s="36"/>
      <c r="V742" s="36"/>
      <c r="W742" s="36"/>
      <c r="X742" s="36"/>
      <c r="Y742" s="36"/>
      <c r="Z742" s="36"/>
    </row>
    <row r="743" spans="1:26" ht="14">
      <c r="A743" s="35">
        <v>42206</v>
      </c>
      <c r="B743" s="72" t="s">
        <v>154</v>
      </c>
      <c r="C743" s="165">
        <v>2015</v>
      </c>
      <c r="D743" s="53">
        <v>4</v>
      </c>
      <c r="E743" s="65" t="s">
        <v>223</v>
      </c>
      <c r="F743" s="65" t="s">
        <v>267</v>
      </c>
      <c r="G743" s="65" t="s">
        <v>278</v>
      </c>
      <c r="H743" s="65" t="s">
        <v>269</v>
      </c>
      <c r="I743" s="65" t="s">
        <v>554</v>
      </c>
      <c r="J743" s="36" t="s">
        <v>552</v>
      </c>
      <c r="K743" s="36" t="s">
        <v>553</v>
      </c>
      <c r="L743" s="36">
        <v>1</v>
      </c>
      <c r="M743" s="36" t="s">
        <v>544</v>
      </c>
      <c r="N743" s="36" t="s">
        <v>270</v>
      </c>
      <c r="O743" s="36">
        <v>249</v>
      </c>
      <c r="P743" s="36">
        <v>5.3827199311011851E-3</v>
      </c>
      <c r="Q743" s="36">
        <v>1000</v>
      </c>
      <c r="R743" s="36"/>
      <c r="S743" s="36"/>
      <c r="T743" s="36"/>
      <c r="U743" s="36"/>
      <c r="V743" s="36"/>
      <c r="W743" s="36"/>
      <c r="X743" s="36"/>
      <c r="Y743" s="36"/>
      <c r="Z743" s="36"/>
    </row>
    <row r="744" spans="1:26" ht="14">
      <c r="A744" s="35">
        <v>42206</v>
      </c>
      <c r="B744" s="72" t="s">
        <v>154</v>
      </c>
      <c r="C744" s="165">
        <v>2015</v>
      </c>
      <c r="D744" s="53">
        <v>8</v>
      </c>
      <c r="E744" s="65" t="s">
        <v>223</v>
      </c>
      <c r="F744" s="65" t="s">
        <v>267</v>
      </c>
      <c r="G744" s="65" t="s">
        <v>278</v>
      </c>
      <c r="H744" s="65" t="s">
        <v>269</v>
      </c>
      <c r="I744" s="65" t="s">
        <v>333</v>
      </c>
      <c r="J744" s="36" t="s">
        <v>334</v>
      </c>
      <c r="K744" s="36"/>
      <c r="L744" s="36">
        <v>2</v>
      </c>
      <c r="M744" s="36" t="s">
        <v>229</v>
      </c>
      <c r="N744" s="36" t="s">
        <v>270</v>
      </c>
      <c r="O744" s="36">
        <v>7</v>
      </c>
      <c r="P744" s="36">
        <v>2.4807663087127615E-2</v>
      </c>
      <c r="Q744" s="36">
        <v>1000</v>
      </c>
      <c r="R744" s="36"/>
      <c r="S744" s="36"/>
      <c r="T744" s="36"/>
      <c r="U744" s="36"/>
      <c r="V744" s="36"/>
      <c r="W744" s="36"/>
      <c r="X744" s="36"/>
      <c r="Y744" s="36"/>
      <c r="Z744" s="36"/>
    </row>
    <row r="745" spans="1:26" ht="14">
      <c r="A745" s="35">
        <v>42206</v>
      </c>
      <c r="B745" s="72" t="s">
        <v>154</v>
      </c>
      <c r="C745" s="165">
        <v>2015</v>
      </c>
      <c r="D745" s="53">
        <v>8</v>
      </c>
      <c r="E745" s="65" t="s">
        <v>223</v>
      </c>
      <c r="F745" s="65" t="s">
        <v>267</v>
      </c>
      <c r="G745" s="65" t="s">
        <v>278</v>
      </c>
      <c r="H745" s="65" t="s">
        <v>269</v>
      </c>
      <c r="I745" s="65" t="s">
        <v>554</v>
      </c>
      <c r="J745" s="36" t="s">
        <v>552</v>
      </c>
      <c r="K745" s="36" t="s">
        <v>553</v>
      </c>
      <c r="L745" s="36">
        <v>1</v>
      </c>
      <c r="M745" s="36" t="s">
        <v>544</v>
      </c>
      <c r="N745" s="36" t="s">
        <v>270</v>
      </c>
      <c r="O745" s="36">
        <v>7</v>
      </c>
      <c r="P745" s="36">
        <v>1.2403831543563807E-2</v>
      </c>
      <c r="Q745" s="36">
        <v>1000</v>
      </c>
      <c r="R745" s="36"/>
      <c r="S745" s="36"/>
      <c r="T745" s="36"/>
      <c r="U745" s="36"/>
      <c r="V745" s="36"/>
      <c r="W745" s="36"/>
      <c r="X745" s="36"/>
      <c r="Y745" s="36"/>
      <c r="Z745" s="36"/>
    </row>
    <row r="746" spans="1:26" ht="14">
      <c r="A746" s="72">
        <v>42144</v>
      </c>
      <c r="B746" s="72" t="s">
        <v>144</v>
      </c>
      <c r="C746" s="165">
        <v>2015</v>
      </c>
      <c r="D746" s="53">
        <v>4</v>
      </c>
      <c r="E746" s="65" t="s">
        <v>223</v>
      </c>
      <c r="F746" s="65" t="s">
        <v>267</v>
      </c>
      <c r="G746" s="65" t="s">
        <v>268</v>
      </c>
      <c r="H746" s="65" t="s">
        <v>269</v>
      </c>
      <c r="I746" s="65"/>
      <c r="J746" s="65" t="s">
        <v>542</v>
      </c>
      <c r="K746" s="36" t="s">
        <v>543</v>
      </c>
      <c r="L746" s="65">
        <v>1</v>
      </c>
      <c r="M746" s="65" t="s">
        <v>247</v>
      </c>
      <c r="N746" s="65" t="s">
        <v>270</v>
      </c>
      <c r="O746" s="36">
        <v>21</v>
      </c>
      <c r="P746" s="65">
        <v>4.2478904499221653E-3</v>
      </c>
      <c r="Q746" s="65">
        <v>1000</v>
      </c>
      <c r="R746" s="65" t="e">
        <f>SUM(#REF!)</f>
        <v>#REF!</v>
      </c>
      <c r="S746" s="65"/>
      <c r="T746" s="65"/>
      <c r="U746" s="36"/>
      <c r="V746" s="36"/>
      <c r="W746" s="36"/>
      <c r="X746" s="36"/>
      <c r="Y746" s="36"/>
      <c r="Z746" s="36"/>
    </row>
    <row r="747" spans="1:26" ht="14">
      <c r="A747" s="35">
        <v>42144</v>
      </c>
      <c r="B747" s="72" t="s">
        <v>144</v>
      </c>
      <c r="C747" s="165">
        <v>2015</v>
      </c>
      <c r="D747" s="53">
        <v>5</v>
      </c>
      <c r="E747" s="65" t="s">
        <v>223</v>
      </c>
      <c r="F747" s="65" t="s">
        <v>267</v>
      </c>
      <c r="G747" s="65" t="s">
        <v>278</v>
      </c>
      <c r="H747" s="65" t="s">
        <v>269</v>
      </c>
      <c r="I747" s="65" t="s">
        <v>333</v>
      </c>
      <c r="J747" s="36" t="s">
        <v>334</v>
      </c>
      <c r="K747" s="36"/>
      <c r="L747" s="36">
        <v>1</v>
      </c>
      <c r="M747" s="36" t="s">
        <v>229</v>
      </c>
      <c r="N747" s="36" t="s">
        <v>270</v>
      </c>
      <c r="O747" s="36">
        <v>8</v>
      </c>
      <c r="P747" s="65">
        <v>4.5986620298946986E-3</v>
      </c>
      <c r="Q747" s="36">
        <v>1000</v>
      </c>
      <c r="R747" s="36"/>
      <c r="S747" s="36"/>
      <c r="T747" s="36"/>
      <c r="U747" s="36"/>
      <c r="V747" s="36"/>
      <c r="W747" s="36"/>
      <c r="X747" s="36"/>
      <c r="Y747" s="36"/>
      <c r="Z747" s="36"/>
    </row>
    <row r="748" spans="1:26" ht="14">
      <c r="A748" s="35">
        <v>41912</v>
      </c>
      <c r="B748" s="72" t="s">
        <v>157</v>
      </c>
      <c r="C748" s="165">
        <v>2014</v>
      </c>
      <c r="D748" s="47">
        <v>2</v>
      </c>
      <c r="E748" s="65" t="s">
        <v>223</v>
      </c>
      <c r="F748" s="65" t="s">
        <v>267</v>
      </c>
      <c r="G748" s="65" t="s">
        <v>278</v>
      </c>
      <c r="H748" s="65" t="s">
        <v>269</v>
      </c>
      <c r="I748" s="65" t="s">
        <v>333</v>
      </c>
      <c r="J748" s="36" t="s">
        <v>334</v>
      </c>
      <c r="K748" s="36"/>
      <c r="L748" s="36">
        <v>1</v>
      </c>
      <c r="M748" s="36" t="s">
        <v>229</v>
      </c>
      <c r="N748" s="36" t="s">
        <v>270</v>
      </c>
      <c r="O748" s="36">
        <v>97</v>
      </c>
      <c r="P748" s="36">
        <v>1.2453865228851235E-3</v>
      </c>
      <c r="Q748" s="36">
        <v>1000</v>
      </c>
      <c r="R748" s="36"/>
      <c r="S748" s="36"/>
      <c r="T748" s="36"/>
      <c r="U748" s="36"/>
      <c r="V748" s="36"/>
      <c r="W748" s="36"/>
      <c r="X748" s="36"/>
      <c r="Y748" s="36"/>
      <c r="Z748" s="36"/>
    </row>
    <row r="749" spans="1:26" ht="14">
      <c r="A749" s="35">
        <v>41912</v>
      </c>
      <c r="B749" s="35" t="s">
        <v>157</v>
      </c>
      <c r="C749" s="165">
        <v>2014</v>
      </c>
      <c r="D749" s="47">
        <v>5</v>
      </c>
      <c r="E749" s="65" t="s">
        <v>223</v>
      </c>
      <c r="F749" s="65" t="s">
        <v>267</v>
      </c>
      <c r="G749" s="65" t="s">
        <v>268</v>
      </c>
      <c r="H749" s="65" t="s">
        <v>269</v>
      </c>
      <c r="I749" s="65"/>
      <c r="J749" s="65" t="s">
        <v>270</v>
      </c>
      <c r="K749" s="36"/>
      <c r="L749" s="36">
        <v>1</v>
      </c>
      <c r="M749" s="36" t="s">
        <v>229</v>
      </c>
      <c r="N749" s="36" t="s">
        <v>270</v>
      </c>
      <c r="O749" s="36">
        <v>176</v>
      </c>
      <c r="P749" s="36">
        <v>1.1151291054155652E-3</v>
      </c>
      <c r="Q749" s="36">
        <v>1000</v>
      </c>
      <c r="R749" s="36" t="s">
        <v>578</v>
      </c>
      <c r="S749" s="36"/>
      <c r="T749" s="36"/>
      <c r="U749" s="36"/>
      <c r="V749" s="36"/>
      <c r="W749" s="36"/>
      <c r="X749" s="36"/>
      <c r="Y749" s="36"/>
      <c r="Z749" s="36"/>
    </row>
    <row r="750" spans="1:26" ht="14">
      <c r="A750" s="35">
        <v>41851</v>
      </c>
      <c r="B750" s="72" t="s">
        <v>154</v>
      </c>
      <c r="C750" s="165">
        <v>2014</v>
      </c>
      <c r="D750" s="53">
        <v>2</v>
      </c>
      <c r="E750" s="36" t="s">
        <v>223</v>
      </c>
      <c r="F750" s="36" t="s">
        <v>267</v>
      </c>
      <c r="G750" s="36" t="s">
        <v>278</v>
      </c>
      <c r="H750" s="36" t="s">
        <v>269</v>
      </c>
      <c r="I750" s="36" t="s">
        <v>333</v>
      </c>
      <c r="J750" s="36" t="s">
        <v>334</v>
      </c>
      <c r="K750" s="36"/>
      <c r="L750" s="36">
        <v>5</v>
      </c>
      <c r="M750" s="36" t="s">
        <v>229</v>
      </c>
      <c r="N750" s="36" t="s">
        <v>270</v>
      </c>
      <c r="O750" s="36">
        <v>53</v>
      </c>
      <c r="P750" s="65">
        <v>0.1147407914854614</v>
      </c>
      <c r="Q750" s="36">
        <v>1000</v>
      </c>
      <c r="R750" s="36" t="s">
        <v>540</v>
      </c>
      <c r="S750" s="36"/>
      <c r="T750" s="36"/>
      <c r="U750" s="36"/>
      <c r="V750" s="36"/>
      <c r="W750" s="36"/>
      <c r="X750" s="36"/>
      <c r="Y750" s="36"/>
      <c r="Z750" s="36"/>
    </row>
    <row r="751" spans="1:26" ht="14">
      <c r="A751" s="35">
        <v>41851</v>
      </c>
      <c r="B751" s="72" t="s">
        <v>154</v>
      </c>
      <c r="C751" s="165">
        <v>2014</v>
      </c>
      <c r="D751" s="53">
        <v>4</v>
      </c>
      <c r="E751" s="65" t="s">
        <v>223</v>
      </c>
      <c r="F751" s="65" t="s">
        <v>267</v>
      </c>
      <c r="G751" s="65" t="s">
        <v>278</v>
      </c>
      <c r="H751" s="65" t="s">
        <v>269</v>
      </c>
      <c r="I751" s="65" t="s">
        <v>333</v>
      </c>
      <c r="J751" s="65" t="s">
        <v>334</v>
      </c>
      <c r="K751" s="36"/>
      <c r="L751" s="36">
        <v>2</v>
      </c>
      <c r="M751" s="36" t="s">
        <v>229</v>
      </c>
      <c r="N751" s="36" t="s">
        <v>270</v>
      </c>
      <c r="O751" s="36">
        <v>678</v>
      </c>
      <c r="P751" s="65">
        <v>7.7381460576186681E-3</v>
      </c>
      <c r="Q751" s="36">
        <v>1000</v>
      </c>
      <c r="R751" s="36"/>
      <c r="S751" s="36"/>
      <c r="T751" s="36"/>
      <c r="U751" s="36"/>
      <c r="V751" s="36"/>
      <c r="W751" s="36"/>
      <c r="X751" s="36"/>
      <c r="Y751" s="36"/>
      <c r="Z751" s="36"/>
    </row>
    <row r="752" spans="1:26" ht="14">
      <c r="A752" s="72">
        <v>41851</v>
      </c>
      <c r="B752" s="35" t="s">
        <v>154</v>
      </c>
      <c r="C752" s="165">
        <v>2014</v>
      </c>
      <c r="D752" s="53">
        <v>5</v>
      </c>
      <c r="E752" s="65" t="s">
        <v>223</v>
      </c>
      <c r="F752" s="65" t="s">
        <v>267</v>
      </c>
      <c r="G752" s="65" t="s">
        <v>278</v>
      </c>
      <c r="H752" s="65" t="s">
        <v>269</v>
      </c>
      <c r="I752" s="65" t="s">
        <v>333</v>
      </c>
      <c r="J752" s="36" t="s">
        <v>334</v>
      </c>
      <c r="K752" s="36"/>
      <c r="L752" s="36">
        <v>1</v>
      </c>
      <c r="M752" s="36" t="s">
        <v>229</v>
      </c>
      <c r="N752" s="36" t="s">
        <v>270</v>
      </c>
      <c r="O752" s="36">
        <v>138</v>
      </c>
      <c r="P752" s="65">
        <v>4.9595945992906287E-3</v>
      </c>
      <c r="Q752" s="36">
        <v>1000</v>
      </c>
      <c r="R752" s="36"/>
      <c r="S752" s="36"/>
      <c r="T752" s="36"/>
      <c r="U752" s="36"/>
      <c r="V752" s="36"/>
      <c r="W752" s="36"/>
      <c r="X752" s="36"/>
      <c r="Y752" s="36"/>
      <c r="Z752" s="36"/>
    </row>
    <row r="753" spans="1:26" ht="14">
      <c r="A753" s="35">
        <v>41761</v>
      </c>
      <c r="B753" s="72" t="s">
        <v>144</v>
      </c>
      <c r="C753" s="165">
        <v>2014</v>
      </c>
      <c r="D753" s="53">
        <v>4</v>
      </c>
      <c r="E753" s="36" t="s">
        <v>223</v>
      </c>
      <c r="F753" s="36" t="s">
        <v>267</v>
      </c>
      <c r="G753" s="36" t="s">
        <v>278</v>
      </c>
      <c r="H753" s="36" t="s">
        <v>269</v>
      </c>
      <c r="I753" s="36" t="s">
        <v>333</v>
      </c>
      <c r="J753" s="36" t="s">
        <v>334</v>
      </c>
      <c r="K753" s="36"/>
      <c r="L753" s="36">
        <v>26</v>
      </c>
      <c r="M753" s="36" t="s">
        <v>229</v>
      </c>
      <c r="N753" s="36" t="s">
        <v>270</v>
      </c>
      <c r="O753" s="36">
        <v>864</v>
      </c>
      <c r="P753" s="65">
        <v>7.1899645434596732E-2</v>
      </c>
      <c r="Q753" s="36">
        <v>1000</v>
      </c>
      <c r="R753" s="36"/>
      <c r="S753" s="36"/>
      <c r="T753" s="36"/>
      <c r="U753" s="36"/>
      <c r="V753" s="36"/>
      <c r="W753" s="36"/>
      <c r="X753" s="36"/>
      <c r="Y753" s="36"/>
      <c r="Z753" s="36"/>
    </row>
    <row r="754" spans="1:26" ht="14">
      <c r="A754" s="35">
        <v>41480</v>
      </c>
      <c r="B754" s="72" t="s">
        <v>154</v>
      </c>
      <c r="C754" s="165">
        <v>2013</v>
      </c>
      <c r="D754" s="53">
        <v>2</v>
      </c>
      <c r="E754" s="65" t="s">
        <v>223</v>
      </c>
      <c r="F754" s="65" t="s">
        <v>267</v>
      </c>
      <c r="G754" s="65" t="s">
        <v>278</v>
      </c>
      <c r="H754" s="65" t="s">
        <v>269</v>
      </c>
      <c r="I754" s="65" t="s">
        <v>333</v>
      </c>
      <c r="J754" s="36" t="s">
        <v>334</v>
      </c>
      <c r="K754" s="36"/>
      <c r="L754" s="36">
        <v>1</v>
      </c>
      <c r="M754" s="36" t="s">
        <v>229</v>
      </c>
      <c r="N754" s="36" t="s">
        <v>270</v>
      </c>
      <c r="O754" s="36">
        <v>126</v>
      </c>
      <c r="P754" s="36">
        <v>1.001340846044006E-3</v>
      </c>
      <c r="Q754" s="36">
        <v>1000</v>
      </c>
      <c r="R754" s="36"/>
      <c r="S754" s="36"/>
      <c r="T754" s="36"/>
      <c r="U754" s="36"/>
      <c r="V754" s="36"/>
      <c r="W754" s="36"/>
      <c r="X754" s="36"/>
      <c r="Y754" s="36"/>
      <c r="Z754" s="36"/>
    </row>
    <row r="755" spans="1:26" ht="14">
      <c r="A755" s="35">
        <v>41480</v>
      </c>
      <c r="B755" s="72" t="s">
        <v>154</v>
      </c>
      <c r="C755" s="165">
        <v>2013</v>
      </c>
      <c r="D755" s="53">
        <v>4</v>
      </c>
      <c r="E755" s="65" t="s">
        <v>223</v>
      </c>
      <c r="F755" s="36" t="s">
        <v>267</v>
      </c>
      <c r="G755" s="36" t="s">
        <v>278</v>
      </c>
      <c r="H755" s="65" t="s">
        <v>269</v>
      </c>
      <c r="I755" s="65" t="s">
        <v>333</v>
      </c>
      <c r="J755" s="65" t="s">
        <v>334</v>
      </c>
      <c r="K755" s="36"/>
      <c r="L755" s="36">
        <v>1</v>
      </c>
      <c r="M755" s="36" t="s">
        <v>229</v>
      </c>
      <c r="N755" s="36" t="s">
        <v>270</v>
      </c>
      <c r="O755" s="36">
        <v>113</v>
      </c>
      <c r="P755" s="36">
        <v>2.4321460647296414E-3</v>
      </c>
      <c r="Q755" s="36">
        <v>1000</v>
      </c>
      <c r="R755" s="36"/>
      <c r="S755" s="36"/>
      <c r="T755" s="36"/>
      <c r="U755" s="36"/>
      <c r="V755" s="36"/>
      <c r="W755" s="36"/>
      <c r="X755" s="36"/>
      <c r="Y755" s="36"/>
      <c r="Z755" s="36"/>
    </row>
    <row r="756" spans="1:26" ht="14">
      <c r="A756" s="35">
        <v>41422</v>
      </c>
      <c r="B756" s="35" t="s">
        <v>144</v>
      </c>
      <c r="C756" s="165">
        <v>2013</v>
      </c>
      <c r="D756" s="53">
        <v>2</v>
      </c>
      <c r="E756" s="65" t="s">
        <v>223</v>
      </c>
      <c r="F756" s="65" t="s">
        <v>267</v>
      </c>
      <c r="G756" s="65" t="s">
        <v>268</v>
      </c>
      <c r="H756" s="65" t="s">
        <v>269</v>
      </c>
      <c r="I756" s="65"/>
      <c r="J756" s="36" t="s">
        <v>270</v>
      </c>
      <c r="K756" s="36"/>
      <c r="L756" s="36">
        <v>1</v>
      </c>
      <c r="M756" s="36" t="s">
        <v>229</v>
      </c>
      <c r="N756" s="36" t="s">
        <v>270</v>
      </c>
      <c r="O756" s="36">
        <v>40</v>
      </c>
      <c r="P756" s="36">
        <v>2.498819922926661</v>
      </c>
      <c r="Q756" s="36">
        <v>250</v>
      </c>
      <c r="R756" s="36" t="s">
        <v>271</v>
      </c>
      <c r="S756" s="36"/>
      <c r="T756" s="36"/>
      <c r="U756" s="36"/>
      <c r="V756" s="36"/>
      <c r="W756" s="36"/>
      <c r="X756" s="36"/>
      <c r="Y756" s="36"/>
      <c r="Z756" s="36"/>
    </row>
    <row r="757" spans="1:26" ht="14">
      <c r="A757" s="35">
        <v>41422</v>
      </c>
      <c r="B757" s="72" t="s">
        <v>144</v>
      </c>
      <c r="C757" s="165">
        <v>2013</v>
      </c>
      <c r="D757" s="53">
        <v>4</v>
      </c>
      <c r="E757" s="65" t="s">
        <v>223</v>
      </c>
      <c r="F757" s="65" t="s">
        <v>267</v>
      </c>
      <c r="G757" s="65" t="s">
        <v>268</v>
      </c>
      <c r="H757" s="65" t="s">
        <v>269</v>
      </c>
      <c r="I757" s="65"/>
      <c r="J757" s="36" t="s">
        <v>270</v>
      </c>
      <c r="K757" s="36"/>
      <c r="L757" s="36">
        <v>24</v>
      </c>
      <c r="M757" s="36" t="s">
        <v>229</v>
      </c>
      <c r="N757" s="36" t="s">
        <v>270</v>
      </c>
      <c r="O757" s="36">
        <v>88</v>
      </c>
      <c r="P757" s="36">
        <v>4.0230007722748019E-2</v>
      </c>
      <c r="Q757" s="36">
        <v>1000</v>
      </c>
      <c r="R757" s="36" t="s">
        <v>286</v>
      </c>
      <c r="S757" s="36"/>
      <c r="T757" s="36"/>
      <c r="U757" s="36"/>
      <c r="V757" s="36"/>
      <c r="W757" s="36"/>
      <c r="X757" s="36"/>
      <c r="Y757" s="36"/>
      <c r="Z757" s="36"/>
    </row>
    <row r="758" spans="1:26" ht="14">
      <c r="A758" s="35">
        <v>41422</v>
      </c>
      <c r="B758" s="35" t="s">
        <v>144</v>
      </c>
      <c r="C758" s="165">
        <v>2013</v>
      </c>
      <c r="D758" s="53">
        <v>8</v>
      </c>
      <c r="E758" s="65" t="s">
        <v>223</v>
      </c>
      <c r="F758" s="65" t="s">
        <v>267</v>
      </c>
      <c r="G758" s="65" t="s">
        <v>268</v>
      </c>
      <c r="H758" s="65" t="s">
        <v>269</v>
      </c>
      <c r="I758" s="65"/>
      <c r="J758" s="36"/>
      <c r="K758" s="36"/>
      <c r="L758" s="36">
        <v>1</v>
      </c>
      <c r="M758" s="36" t="s">
        <v>634</v>
      </c>
      <c r="N758" s="36" t="s">
        <v>270</v>
      </c>
      <c r="O758" s="36">
        <v>19</v>
      </c>
      <c r="P758" s="36">
        <v>1.3380776987786756E-3</v>
      </c>
      <c r="Q758" s="36">
        <v>1000</v>
      </c>
      <c r="R758" s="36" t="s">
        <v>287</v>
      </c>
      <c r="S758" s="36"/>
      <c r="T758" s="36"/>
      <c r="U758" s="36"/>
      <c r="V758" s="36"/>
      <c r="W758" s="36"/>
      <c r="X758" s="36"/>
      <c r="Y758" s="36"/>
      <c r="Z758" s="36"/>
    </row>
    <row r="759" spans="1:26" ht="14">
      <c r="A759" s="71">
        <v>41851</v>
      </c>
      <c r="B759" s="35" t="s">
        <v>154</v>
      </c>
      <c r="C759" s="165">
        <v>2014</v>
      </c>
      <c r="D759" s="53">
        <v>4</v>
      </c>
      <c r="E759" s="51" t="s">
        <v>223</v>
      </c>
      <c r="F759" s="51" t="s">
        <v>224</v>
      </c>
      <c r="G759" s="51" t="s">
        <v>225</v>
      </c>
      <c r="H759" s="51" t="s">
        <v>226</v>
      </c>
      <c r="I759" s="51" t="s">
        <v>227</v>
      </c>
      <c r="J759" s="3" t="s">
        <v>228</v>
      </c>
      <c r="K759" s="3"/>
      <c r="L759" s="3">
        <v>72</v>
      </c>
      <c r="M759" s="3" t="s">
        <v>229</v>
      </c>
      <c r="N759" s="3" t="s">
        <v>500</v>
      </c>
      <c r="O759" s="3">
        <v>188</v>
      </c>
      <c r="P759" s="65">
        <v>37.29323048417897</v>
      </c>
      <c r="Q759" s="3">
        <v>250</v>
      </c>
      <c r="R759" s="3" t="s">
        <v>496</v>
      </c>
      <c r="S759" s="3"/>
      <c r="T759" s="36"/>
      <c r="U759" s="36"/>
      <c r="V759" s="36"/>
      <c r="W759" s="36"/>
      <c r="X759" s="36"/>
      <c r="Y759" s="36"/>
      <c r="Z759" s="36"/>
    </row>
    <row r="760" spans="1:26" ht="14">
      <c r="A760" s="35">
        <v>43019</v>
      </c>
      <c r="B760" s="35" t="s">
        <v>159</v>
      </c>
      <c r="C760" s="165">
        <v>2017</v>
      </c>
      <c r="D760" s="53">
        <v>2</v>
      </c>
      <c r="E760" s="36" t="s">
        <v>223</v>
      </c>
      <c r="F760" s="36" t="s">
        <v>224</v>
      </c>
      <c r="G760" s="36" t="s">
        <v>225</v>
      </c>
      <c r="H760" s="36" t="s">
        <v>226</v>
      </c>
      <c r="I760" s="36" t="s">
        <v>227</v>
      </c>
      <c r="J760" s="36" t="s">
        <v>228</v>
      </c>
      <c r="K760" s="36"/>
      <c r="L760" s="36">
        <v>104</v>
      </c>
      <c r="M760" s="36" t="s">
        <v>229</v>
      </c>
      <c r="N760" s="36" t="s">
        <v>228</v>
      </c>
      <c r="O760" s="36">
        <v>150</v>
      </c>
      <c r="P760" s="36">
        <v>68.592957608626563</v>
      </c>
      <c r="Q760" s="36">
        <v>250</v>
      </c>
      <c r="R760" s="36"/>
      <c r="S760" s="36"/>
      <c r="T760" s="36"/>
      <c r="U760" s="36"/>
      <c r="V760" s="36"/>
      <c r="W760" s="36"/>
      <c r="X760" s="36"/>
      <c r="Y760" s="36"/>
      <c r="Z760" s="36"/>
    </row>
    <row r="761" spans="1:26" ht="14">
      <c r="A761" s="13">
        <v>43019</v>
      </c>
      <c r="B761" s="72" t="s">
        <v>159</v>
      </c>
      <c r="C761" s="165">
        <v>2017</v>
      </c>
      <c r="D761" s="53">
        <v>4</v>
      </c>
      <c r="E761" s="3" t="s">
        <v>223</v>
      </c>
      <c r="F761" s="3" t="s">
        <v>224</v>
      </c>
      <c r="G761" s="3" t="s">
        <v>225</v>
      </c>
      <c r="H761" s="3" t="s">
        <v>226</v>
      </c>
      <c r="I761" s="3" t="s">
        <v>227</v>
      </c>
      <c r="J761" s="3" t="s">
        <v>228</v>
      </c>
      <c r="K761" s="3"/>
      <c r="L761" s="36">
        <v>63</v>
      </c>
      <c r="M761" s="3" t="s">
        <v>229</v>
      </c>
      <c r="N761" s="36" t="s">
        <v>228</v>
      </c>
      <c r="O761" s="3">
        <v>248</v>
      </c>
      <c r="P761" s="36">
        <v>25.060571245708967</v>
      </c>
      <c r="Q761" s="36">
        <v>250</v>
      </c>
      <c r="R761" s="3"/>
      <c r="S761" s="3"/>
      <c r="T761" s="36"/>
      <c r="U761" s="36"/>
      <c r="V761" s="36"/>
      <c r="W761" s="36"/>
      <c r="X761" s="36"/>
      <c r="Y761" s="36"/>
      <c r="Z761" s="36"/>
    </row>
    <row r="762" spans="1:26" ht="14">
      <c r="A762" s="13">
        <v>43019</v>
      </c>
      <c r="B762" s="72" t="s">
        <v>159</v>
      </c>
      <c r="C762" s="165">
        <v>2017</v>
      </c>
      <c r="D762" s="53">
        <v>5</v>
      </c>
      <c r="E762" s="3" t="s">
        <v>223</v>
      </c>
      <c r="F762" s="3" t="s">
        <v>224</v>
      </c>
      <c r="G762" s="3" t="s">
        <v>225</v>
      </c>
      <c r="H762" s="3" t="s">
        <v>226</v>
      </c>
      <c r="I762" s="3" t="s">
        <v>227</v>
      </c>
      <c r="J762" s="3" t="s">
        <v>228</v>
      </c>
      <c r="K762" s="3"/>
      <c r="L762" s="36">
        <v>105</v>
      </c>
      <c r="M762" s="3" t="s">
        <v>229</v>
      </c>
      <c r="N762" s="36" t="s">
        <v>228</v>
      </c>
      <c r="O762" s="3">
        <v>255</v>
      </c>
      <c r="P762" s="36">
        <v>41.167340782598792</v>
      </c>
      <c r="Q762" s="3">
        <v>250</v>
      </c>
      <c r="R762" s="3"/>
      <c r="S762" s="3"/>
      <c r="T762" s="36"/>
      <c r="U762" s="36"/>
      <c r="V762" s="36"/>
      <c r="W762" s="36"/>
      <c r="X762" s="36"/>
      <c r="Y762" s="36"/>
      <c r="Z762" s="36"/>
    </row>
    <row r="763" spans="1:26" ht="14">
      <c r="A763" s="13">
        <v>43019</v>
      </c>
      <c r="B763" s="35" t="s">
        <v>159</v>
      </c>
      <c r="C763" s="165">
        <v>2017</v>
      </c>
      <c r="D763" s="53">
        <v>8</v>
      </c>
      <c r="E763" s="3" t="s">
        <v>223</v>
      </c>
      <c r="F763" s="3" t="s">
        <v>224</v>
      </c>
      <c r="G763" s="3" t="s">
        <v>225</v>
      </c>
      <c r="H763" s="3" t="s">
        <v>226</v>
      </c>
      <c r="I763" s="3" t="s">
        <v>227</v>
      </c>
      <c r="J763" s="3" t="s">
        <v>228</v>
      </c>
      <c r="K763" s="3"/>
      <c r="L763" s="36">
        <v>161</v>
      </c>
      <c r="M763" s="3" t="s">
        <v>229</v>
      </c>
      <c r="N763" s="36" t="s">
        <v>228</v>
      </c>
      <c r="O763" s="3">
        <v>288</v>
      </c>
      <c r="P763" s="36">
        <v>53.711287474699454</v>
      </c>
      <c r="Q763" s="3">
        <v>250</v>
      </c>
      <c r="R763" s="3"/>
      <c r="S763" s="3"/>
      <c r="T763" s="36"/>
      <c r="U763" s="36"/>
      <c r="V763" s="36"/>
      <c r="W763" s="36"/>
      <c r="X763" s="36"/>
      <c r="Y763" s="36"/>
      <c r="Z763" s="36"/>
    </row>
    <row r="764" spans="1:26" ht="14">
      <c r="A764" s="13">
        <v>42928</v>
      </c>
      <c r="B764" s="35" t="s">
        <v>154</v>
      </c>
      <c r="C764" s="165">
        <v>2017</v>
      </c>
      <c r="D764" s="53">
        <v>2</v>
      </c>
      <c r="E764" s="3" t="s">
        <v>223</v>
      </c>
      <c r="F764" s="3" t="s">
        <v>224</v>
      </c>
      <c r="G764" s="3" t="s">
        <v>225</v>
      </c>
      <c r="H764" s="3" t="s">
        <v>226</v>
      </c>
      <c r="I764" s="3" t="s">
        <v>227</v>
      </c>
      <c r="J764" s="3" t="s">
        <v>228</v>
      </c>
      <c r="K764" s="3"/>
      <c r="L764" s="36">
        <v>347</v>
      </c>
      <c r="M764" s="3" t="s">
        <v>229</v>
      </c>
      <c r="N764" s="36" t="s">
        <v>228</v>
      </c>
      <c r="O764" s="3">
        <v>656</v>
      </c>
      <c r="P764" s="36">
        <v>52.842661184786934</v>
      </c>
      <c r="Q764" s="36">
        <v>250</v>
      </c>
      <c r="R764" s="3"/>
      <c r="S764" s="3"/>
      <c r="T764" s="36"/>
      <c r="U764" s="36"/>
      <c r="V764" s="36"/>
      <c r="W764" s="36"/>
      <c r="X764" s="36"/>
      <c r="Y764" s="36"/>
      <c r="Z764" s="36"/>
    </row>
    <row r="765" spans="1:26" ht="14">
      <c r="A765" s="13">
        <v>42928</v>
      </c>
      <c r="B765" s="72" t="s">
        <v>154</v>
      </c>
      <c r="C765" s="165">
        <v>2017</v>
      </c>
      <c r="D765" s="53">
        <v>4</v>
      </c>
      <c r="E765" s="3" t="s">
        <v>223</v>
      </c>
      <c r="F765" s="3" t="s">
        <v>224</v>
      </c>
      <c r="G765" s="3" t="s">
        <v>225</v>
      </c>
      <c r="H765" s="3" t="s">
        <v>226</v>
      </c>
      <c r="I765" s="3" t="s">
        <v>227</v>
      </c>
      <c r="J765" s="3" t="s">
        <v>228</v>
      </c>
      <c r="K765" s="3"/>
      <c r="L765" s="36">
        <v>35</v>
      </c>
      <c r="M765" s="3" t="s">
        <v>229</v>
      </c>
      <c r="N765" s="36" t="s">
        <v>228</v>
      </c>
      <c r="O765" s="3">
        <v>225</v>
      </c>
      <c r="P765" s="36">
        <v>15.493157423019536</v>
      </c>
      <c r="Q765" s="36">
        <v>250</v>
      </c>
      <c r="R765" s="3"/>
      <c r="S765" s="3"/>
      <c r="T765" s="36"/>
      <c r="U765" s="36"/>
      <c r="V765" s="36"/>
      <c r="W765" s="36"/>
      <c r="X765" s="36"/>
      <c r="Y765" s="36"/>
      <c r="Z765" s="36"/>
    </row>
    <row r="766" spans="1:26" ht="14">
      <c r="A766" s="35">
        <v>42928</v>
      </c>
      <c r="B766" s="72" t="s">
        <v>154</v>
      </c>
      <c r="C766" s="165">
        <v>2017</v>
      </c>
      <c r="D766" s="53">
        <v>5</v>
      </c>
      <c r="E766" s="65" t="s">
        <v>223</v>
      </c>
      <c r="F766" s="65" t="s">
        <v>224</v>
      </c>
      <c r="G766" s="65" t="s">
        <v>225</v>
      </c>
      <c r="H766" s="65" t="s">
        <v>226</v>
      </c>
      <c r="I766" s="65" t="s">
        <v>227</v>
      </c>
      <c r="J766" s="36" t="s">
        <v>228</v>
      </c>
      <c r="K766" s="36"/>
      <c r="L766" s="36">
        <v>125</v>
      </c>
      <c r="M766" s="36" t="s">
        <v>229</v>
      </c>
      <c r="N766" s="36" t="s">
        <v>228</v>
      </c>
      <c r="O766" s="36">
        <v>385</v>
      </c>
      <c r="P766" s="36">
        <v>32.453304570541988</v>
      </c>
      <c r="Q766" s="36">
        <v>250</v>
      </c>
      <c r="R766" s="36"/>
      <c r="S766" s="36"/>
      <c r="T766" s="36"/>
      <c r="U766" s="36"/>
      <c r="V766" s="36"/>
      <c r="W766" s="36"/>
      <c r="X766" s="36"/>
      <c r="Y766" s="36"/>
      <c r="Z766" s="36"/>
    </row>
    <row r="767" spans="1:26" ht="14">
      <c r="A767" s="71">
        <v>42928</v>
      </c>
      <c r="B767" s="72" t="s">
        <v>154</v>
      </c>
      <c r="C767" s="165">
        <v>2017</v>
      </c>
      <c r="D767" s="53">
        <v>8</v>
      </c>
      <c r="E767" s="3" t="s">
        <v>223</v>
      </c>
      <c r="F767" s="3" t="s">
        <v>224</v>
      </c>
      <c r="G767" s="3" t="s">
        <v>225</v>
      </c>
      <c r="H767" s="3" t="s">
        <v>226</v>
      </c>
      <c r="I767" s="3" t="s">
        <v>227</v>
      </c>
      <c r="J767" s="3" t="s">
        <v>228</v>
      </c>
      <c r="K767" s="3"/>
      <c r="L767" s="36">
        <v>77</v>
      </c>
      <c r="M767" s="3" t="s">
        <v>229</v>
      </c>
      <c r="N767" s="36" t="s">
        <v>228</v>
      </c>
      <c r="O767" s="3">
        <v>319</v>
      </c>
      <c r="P767" s="36">
        <v>24.12877933630249</v>
      </c>
      <c r="Q767" s="36">
        <v>250</v>
      </c>
      <c r="R767" s="3"/>
      <c r="S767" s="3"/>
      <c r="T767" s="36"/>
      <c r="U767" s="36"/>
      <c r="V767" s="36"/>
      <c r="W767" s="36"/>
      <c r="X767" s="36"/>
      <c r="Y767" s="36"/>
      <c r="Z767" s="36"/>
    </row>
    <row r="768" spans="1:26" ht="14">
      <c r="A768" s="13">
        <v>42867</v>
      </c>
      <c r="B768" s="72" t="s">
        <v>144</v>
      </c>
      <c r="C768" s="165">
        <v>2017</v>
      </c>
      <c r="D768" s="53">
        <v>4</v>
      </c>
      <c r="E768" s="3" t="s">
        <v>223</v>
      </c>
      <c r="F768" s="3" t="s">
        <v>224</v>
      </c>
      <c r="G768" s="3" t="s">
        <v>225</v>
      </c>
      <c r="H768" s="3" t="s">
        <v>226</v>
      </c>
      <c r="I768" s="3" t="s">
        <v>227</v>
      </c>
      <c r="J768" s="3" t="s">
        <v>228</v>
      </c>
      <c r="K768" s="3"/>
      <c r="L768" s="36">
        <v>6</v>
      </c>
      <c r="M768" s="3" t="s">
        <v>229</v>
      </c>
      <c r="N768" s="36" t="s">
        <v>228</v>
      </c>
      <c r="O768" s="3">
        <v>225</v>
      </c>
      <c r="P768" s="36">
        <v>2.6222405640102515</v>
      </c>
      <c r="Q768" s="3"/>
      <c r="R768" s="3"/>
      <c r="S768" s="3"/>
      <c r="T768" s="36"/>
      <c r="U768" s="36"/>
      <c r="V768" s="36"/>
      <c r="W768" s="36"/>
      <c r="X768" s="36"/>
      <c r="Y768" s="36"/>
      <c r="Z768" s="36"/>
    </row>
    <row r="769" spans="1:26" ht="14">
      <c r="A769" s="13">
        <v>42867</v>
      </c>
      <c r="B769" s="72" t="s">
        <v>144</v>
      </c>
      <c r="C769" s="165">
        <v>2017</v>
      </c>
      <c r="D769" s="53">
        <v>5</v>
      </c>
      <c r="E769" s="3" t="s">
        <v>223</v>
      </c>
      <c r="F769" s="3" t="s">
        <v>224</v>
      </c>
      <c r="G769" s="3" t="s">
        <v>225</v>
      </c>
      <c r="H769" s="3" t="s">
        <v>226</v>
      </c>
      <c r="I769" s="3" t="s">
        <v>227</v>
      </c>
      <c r="J769" s="3" t="s">
        <v>228</v>
      </c>
      <c r="K769" s="3"/>
      <c r="L769" s="36">
        <v>10</v>
      </c>
      <c r="M769" s="3" t="s">
        <v>229</v>
      </c>
      <c r="N769" s="36" t="s">
        <v>228</v>
      </c>
      <c r="O769" s="3">
        <v>222</v>
      </c>
      <c r="P769" s="36">
        <v>4.5030425916501873</v>
      </c>
      <c r="Q769" s="3"/>
      <c r="R769" s="3"/>
      <c r="S769" s="3"/>
      <c r="T769" s="36"/>
      <c r="U769" s="36"/>
      <c r="V769" s="36"/>
      <c r="W769" s="36"/>
      <c r="X769" s="36"/>
      <c r="Y769" s="36"/>
      <c r="Z769" s="36"/>
    </row>
    <row r="770" spans="1:26" ht="14">
      <c r="A770" s="13">
        <v>42867</v>
      </c>
      <c r="B770" s="72" t="s">
        <v>144</v>
      </c>
      <c r="C770" s="165">
        <v>2017</v>
      </c>
      <c r="D770" s="53">
        <v>8</v>
      </c>
      <c r="E770" s="3" t="s">
        <v>223</v>
      </c>
      <c r="F770" s="3" t="s">
        <v>224</v>
      </c>
      <c r="G770" s="3" t="s">
        <v>225</v>
      </c>
      <c r="H770" s="3" t="s">
        <v>226</v>
      </c>
      <c r="I770" s="3" t="s">
        <v>227</v>
      </c>
      <c r="J770" s="3" t="s">
        <v>228</v>
      </c>
      <c r="K770" s="3"/>
      <c r="L770" s="36">
        <v>42</v>
      </c>
      <c r="M770" s="3" t="s">
        <v>229</v>
      </c>
      <c r="N770" s="36" t="s">
        <v>228</v>
      </c>
      <c r="O770" s="3">
        <v>268</v>
      </c>
      <c r="P770" s="36">
        <v>15.644732765618521</v>
      </c>
      <c r="Q770" s="3"/>
      <c r="R770" s="3"/>
      <c r="S770" s="3"/>
      <c r="T770" s="36"/>
      <c r="U770" s="36"/>
      <c r="V770" s="36"/>
      <c r="W770" s="36"/>
      <c r="X770" s="36"/>
      <c r="Y770" s="36"/>
      <c r="Z770" s="36"/>
    </row>
    <row r="771" spans="1:26" ht="14">
      <c r="A771" s="13">
        <v>42634</v>
      </c>
      <c r="B771" s="72" t="s">
        <v>157</v>
      </c>
      <c r="C771" s="165">
        <v>2016</v>
      </c>
      <c r="D771" s="53">
        <v>2</v>
      </c>
      <c r="E771" s="51" t="s">
        <v>223</v>
      </c>
      <c r="F771" s="51" t="s">
        <v>224</v>
      </c>
      <c r="G771" s="51" t="s">
        <v>225</v>
      </c>
      <c r="H771" s="51" t="s">
        <v>226</v>
      </c>
      <c r="I771" s="51" t="s">
        <v>227</v>
      </c>
      <c r="J771" s="3" t="s">
        <v>228</v>
      </c>
      <c r="K771" s="3"/>
      <c r="L771" s="36">
        <v>118</v>
      </c>
      <c r="M771" s="3" t="s">
        <v>229</v>
      </c>
      <c r="N771" s="36" t="s">
        <v>228</v>
      </c>
      <c r="O771" s="3">
        <v>233</v>
      </c>
      <c r="P771" s="36">
        <v>50.636920857103362</v>
      </c>
      <c r="Q771" s="36">
        <v>250</v>
      </c>
      <c r="R771" s="3"/>
      <c r="S771" s="3"/>
      <c r="T771" s="36"/>
      <c r="U771" s="36"/>
      <c r="V771" s="36"/>
      <c r="W771" s="36"/>
      <c r="X771" s="36"/>
      <c r="Y771" s="36"/>
      <c r="Z771" s="36"/>
    </row>
    <row r="772" spans="1:26" ht="14">
      <c r="A772" s="35">
        <v>42634</v>
      </c>
      <c r="B772" s="72" t="s">
        <v>157</v>
      </c>
      <c r="C772" s="165">
        <v>2016</v>
      </c>
      <c r="D772" s="53">
        <v>4</v>
      </c>
      <c r="E772" s="36" t="s">
        <v>223</v>
      </c>
      <c r="F772" s="36" t="s">
        <v>224</v>
      </c>
      <c r="G772" s="36" t="s">
        <v>225</v>
      </c>
      <c r="H772" s="36" t="s">
        <v>226</v>
      </c>
      <c r="I772" s="36" t="s">
        <v>227</v>
      </c>
      <c r="J772" s="36" t="s">
        <v>228</v>
      </c>
      <c r="K772" s="36"/>
      <c r="L772" s="36">
        <v>111</v>
      </c>
      <c r="M772" s="36" t="s">
        <v>229</v>
      </c>
      <c r="N772" s="36" t="s">
        <v>228</v>
      </c>
      <c r="O772" s="36">
        <v>156</v>
      </c>
      <c r="P772" s="76">
        <v>70.970622177443914</v>
      </c>
      <c r="Q772" s="36">
        <v>250</v>
      </c>
      <c r="R772" s="36"/>
      <c r="S772" s="36"/>
      <c r="T772" s="36"/>
      <c r="U772" s="36"/>
      <c r="V772" s="36"/>
      <c r="W772" s="36"/>
      <c r="X772" s="36"/>
      <c r="Y772" s="36"/>
      <c r="Z772" s="36"/>
    </row>
    <row r="773" spans="1:26" ht="14">
      <c r="A773" s="13">
        <v>42634</v>
      </c>
      <c r="B773" s="72" t="s">
        <v>157</v>
      </c>
      <c r="C773" s="165">
        <v>2016</v>
      </c>
      <c r="D773" s="53">
        <v>5</v>
      </c>
      <c r="E773" s="36" t="s">
        <v>223</v>
      </c>
      <c r="F773" s="36" t="s">
        <v>224</v>
      </c>
      <c r="G773" s="36" t="s">
        <v>225</v>
      </c>
      <c r="H773" s="36" t="s">
        <v>226</v>
      </c>
      <c r="I773" s="36" t="s">
        <v>227</v>
      </c>
      <c r="J773" s="36" t="s">
        <v>228</v>
      </c>
      <c r="K773" s="36"/>
      <c r="L773" s="3">
        <v>179</v>
      </c>
      <c r="M773" s="3" t="s">
        <v>229</v>
      </c>
      <c r="N773" s="36" t="s">
        <v>228</v>
      </c>
      <c r="O773" s="3">
        <v>203</v>
      </c>
      <c r="P773" s="36">
        <v>88.100147503169552</v>
      </c>
      <c r="Q773" s="3">
        <v>250</v>
      </c>
      <c r="R773" s="3"/>
      <c r="S773" s="3"/>
      <c r="T773" s="36"/>
      <c r="U773" s="36"/>
      <c r="V773" s="36"/>
      <c r="W773" s="36"/>
      <c r="X773" s="36"/>
      <c r="Y773" s="36"/>
      <c r="Z773" s="36"/>
    </row>
    <row r="774" spans="1:26" ht="14">
      <c r="A774" s="35">
        <v>42634</v>
      </c>
      <c r="B774" s="72" t="s">
        <v>157</v>
      </c>
      <c r="C774" s="165">
        <v>2016</v>
      </c>
      <c r="D774" s="53">
        <v>8</v>
      </c>
      <c r="E774" s="36" t="s">
        <v>223</v>
      </c>
      <c r="F774" s="36" t="s">
        <v>224</v>
      </c>
      <c r="G774" s="36" t="s">
        <v>225</v>
      </c>
      <c r="H774" s="36" t="s">
        <v>226</v>
      </c>
      <c r="I774" s="36" t="s">
        <v>227</v>
      </c>
      <c r="J774" s="36" t="s">
        <v>228</v>
      </c>
      <c r="K774" s="36"/>
      <c r="L774" s="36">
        <v>201</v>
      </c>
      <c r="M774" s="3" t="s">
        <v>229</v>
      </c>
      <c r="N774" s="36" t="s">
        <v>228</v>
      </c>
      <c r="O774" s="36">
        <v>294</v>
      </c>
      <c r="P774" s="36">
        <v>63.947861811896232</v>
      </c>
      <c r="Q774" s="3">
        <v>250</v>
      </c>
      <c r="R774" s="55"/>
      <c r="S774" s="55"/>
      <c r="T774" s="36"/>
      <c r="U774" s="36"/>
      <c r="V774" s="36"/>
      <c r="W774" s="36"/>
      <c r="X774" s="36"/>
      <c r="Y774" s="36"/>
      <c r="Z774" s="36"/>
    </row>
    <row r="775" spans="1:26" ht="14">
      <c r="A775" s="35">
        <v>42571</v>
      </c>
      <c r="B775" s="72" t="s">
        <v>154</v>
      </c>
      <c r="C775" s="165">
        <v>2016</v>
      </c>
      <c r="D775" s="53">
        <v>2</v>
      </c>
      <c r="E775" s="36" t="s">
        <v>223</v>
      </c>
      <c r="F775" s="36" t="s">
        <v>224</v>
      </c>
      <c r="G775" s="36" t="s">
        <v>225</v>
      </c>
      <c r="H775" s="36" t="s">
        <v>226</v>
      </c>
      <c r="I775" s="36" t="s">
        <v>227</v>
      </c>
      <c r="J775" s="36" t="s">
        <v>228</v>
      </c>
      <c r="K775" s="36"/>
      <c r="L775" s="36">
        <v>132</v>
      </c>
      <c r="M775" s="3" t="s">
        <v>229</v>
      </c>
      <c r="N775" s="36" t="s">
        <v>228</v>
      </c>
      <c r="O775" s="36">
        <v>179</v>
      </c>
      <c r="P775" s="36">
        <v>73.735754166585608</v>
      </c>
      <c r="Q775" s="3">
        <v>250</v>
      </c>
      <c r="R775" s="36"/>
      <c r="S775" s="36"/>
      <c r="T775" s="36"/>
      <c r="U775" s="36"/>
      <c r="V775" s="36"/>
      <c r="W775" s="36"/>
      <c r="X775" s="36"/>
      <c r="Y775" s="36"/>
      <c r="Z775" s="36"/>
    </row>
    <row r="776" spans="1:26" ht="14">
      <c r="A776" s="35">
        <v>42571</v>
      </c>
      <c r="B776" s="72" t="s">
        <v>154</v>
      </c>
      <c r="C776" s="165">
        <v>2016</v>
      </c>
      <c r="D776" s="53">
        <v>4</v>
      </c>
      <c r="E776" s="3" t="s">
        <v>223</v>
      </c>
      <c r="F776" s="3" t="s">
        <v>224</v>
      </c>
      <c r="G776" s="3" t="s">
        <v>225</v>
      </c>
      <c r="H776" s="3" t="s">
        <v>226</v>
      </c>
      <c r="I776" s="3" t="s">
        <v>227</v>
      </c>
      <c r="J776" s="3" t="s">
        <v>228</v>
      </c>
      <c r="K776" s="3"/>
      <c r="L776" s="36">
        <v>132</v>
      </c>
      <c r="M776" s="3" t="s">
        <v>229</v>
      </c>
      <c r="N776" s="36" t="s">
        <v>228</v>
      </c>
      <c r="O776" s="3">
        <v>223</v>
      </c>
      <c r="P776" s="36">
        <v>59.169643727038221</v>
      </c>
      <c r="Q776" s="65">
        <v>250</v>
      </c>
      <c r="R776" s="51"/>
      <c r="S776" s="51"/>
      <c r="T776" s="166"/>
      <c r="U776" s="36"/>
      <c r="V776" s="36"/>
      <c r="W776" s="36"/>
      <c r="X776" s="36"/>
      <c r="Y776" s="36"/>
      <c r="Z776" s="36"/>
    </row>
    <row r="777" spans="1:26" ht="14">
      <c r="A777" s="72">
        <v>42571</v>
      </c>
      <c r="B777" s="72" t="s">
        <v>154</v>
      </c>
      <c r="C777" s="165">
        <v>2016</v>
      </c>
      <c r="D777" s="53">
        <v>5</v>
      </c>
      <c r="E777" s="3" t="s">
        <v>223</v>
      </c>
      <c r="F777" s="3" t="s">
        <v>224</v>
      </c>
      <c r="G777" s="3" t="s">
        <v>225</v>
      </c>
      <c r="H777" s="3" t="s">
        <v>226</v>
      </c>
      <c r="I777" s="51" t="s">
        <v>227</v>
      </c>
      <c r="J777" s="51" t="s">
        <v>228</v>
      </c>
      <c r="K777" s="3"/>
      <c r="L777" s="36">
        <v>104</v>
      </c>
      <c r="M777" s="3" t="s">
        <v>229</v>
      </c>
      <c r="N777" s="36" t="s">
        <v>228</v>
      </c>
      <c r="O777" s="3">
        <v>211</v>
      </c>
      <c r="P777" s="65">
        <v>49.2844058559429</v>
      </c>
      <c r="Q777" s="51">
        <v>250</v>
      </c>
      <c r="R777" s="51"/>
      <c r="S777" s="51"/>
      <c r="T777" s="65"/>
      <c r="U777" s="36"/>
      <c r="V777" s="36"/>
      <c r="W777" s="36"/>
      <c r="X777" s="36"/>
      <c r="Y777" s="36"/>
      <c r="Z777" s="36"/>
    </row>
    <row r="778" spans="1:26" ht="14">
      <c r="A778" s="72">
        <v>42571</v>
      </c>
      <c r="B778" s="72" t="s">
        <v>154</v>
      </c>
      <c r="C778" s="165">
        <v>2016</v>
      </c>
      <c r="D778" s="53">
        <v>8</v>
      </c>
      <c r="E778" s="3" t="s">
        <v>223</v>
      </c>
      <c r="F778" s="3" t="s">
        <v>224</v>
      </c>
      <c r="G778" s="3" t="s">
        <v>225</v>
      </c>
      <c r="H778" s="3" t="s">
        <v>226</v>
      </c>
      <c r="I778" s="3" t="s">
        <v>227</v>
      </c>
      <c r="J778" s="3" t="s">
        <v>228</v>
      </c>
      <c r="K778" s="3"/>
      <c r="L778" s="36">
        <v>118</v>
      </c>
      <c r="M778" s="3" t="s">
        <v>229</v>
      </c>
      <c r="N778" s="36" t="s">
        <v>228</v>
      </c>
      <c r="O778" s="3">
        <v>237</v>
      </c>
      <c r="P778" s="36">
        <v>49.782107292745422</v>
      </c>
      <c r="Q778" s="36">
        <v>250</v>
      </c>
      <c r="R778" s="3"/>
      <c r="S778" s="3"/>
      <c r="T778" s="36"/>
      <c r="U778" s="36"/>
      <c r="V778" s="36"/>
      <c r="W778" s="36"/>
      <c r="X778" s="36"/>
      <c r="Y778" s="36"/>
      <c r="Z778" s="36"/>
    </row>
    <row r="779" spans="1:26" ht="14">
      <c r="A779" s="35">
        <v>42515</v>
      </c>
      <c r="B779" s="35" t="s">
        <v>144</v>
      </c>
      <c r="C779" s="165">
        <v>2016</v>
      </c>
      <c r="D779" s="53">
        <v>2</v>
      </c>
      <c r="E779" s="65" t="s">
        <v>223</v>
      </c>
      <c r="F779" s="65" t="s">
        <v>224</v>
      </c>
      <c r="G779" s="65" t="s">
        <v>225</v>
      </c>
      <c r="H779" s="65" t="s">
        <v>226</v>
      </c>
      <c r="I779" s="65" t="s">
        <v>227</v>
      </c>
      <c r="J779" s="36" t="s">
        <v>228</v>
      </c>
      <c r="K779" s="36"/>
      <c r="L779" s="36">
        <v>3</v>
      </c>
      <c r="M779" s="3" t="s">
        <v>229</v>
      </c>
      <c r="N779" s="36" t="s">
        <v>228</v>
      </c>
      <c r="O779" s="36">
        <v>194</v>
      </c>
      <c r="P779" s="65">
        <v>1.5456172951439142</v>
      </c>
      <c r="Q779" s="65">
        <v>250</v>
      </c>
      <c r="R779" s="65"/>
      <c r="S779" s="65"/>
      <c r="T779" s="65"/>
      <c r="U779" s="36"/>
      <c r="V779" s="36"/>
      <c r="W779" s="36"/>
      <c r="X779" s="36"/>
      <c r="Y779" s="36"/>
      <c r="Z779" s="36"/>
    </row>
    <row r="780" spans="1:26" ht="14">
      <c r="A780" s="13">
        <v>42515</v>
      </c>
      <c r="B780" s="35" t="s">
        <v>144</v>
      </c>
      <c r="C780" s="165">
        <v>2016</v>
      </c>
      <c r="D780" s="34">
        <v>4</v>
      </c>
      <c r="E780" s="3" t="s">
        <v>223</v>
      </c>
      <c r="F780" s="3" t="s">
        <v>224</v>
      </c>
      <c r="G780" s="3" t="s">
        <v>225</v>
      </c>
      <c r="H780" s="3" t="s">
        <v>226</v>
      </c>
      <c r="I780" s="3" t="s">
        <v>227</v>
      </c>
      <c r="J780" s="3" t="s">
        <v>228</v>
      </c>
      <c r="K780" s="3"/>
      <c r="L780" s="3">
        <v>14</v>
      </c>
      <c r="M780" s="3" t="s">
        <v>229</v>
      </c>
      <c r="N780" s="3" t="s">
        <v>228</v>
      </c>
      <c r="O780" s="3">
        <v>217</v>
      </c>
      <c r="P780" s="65">
        <v>6.446503603675648</v>
      </c>
      <c r="Q780" s="51">
        <v>250</v>
      </c>
      <c r="R780" s="51"/>
      <c r="S780" s="51"/>
      <c r="T780" s="65"/>
      <c r="U780" s="36"/>
      <c r="V780" s="36"/>
      <c r="W780" s="36"/>
      <c r="X780" s="36"/>
      <c r="Y780" s="36"/>
      <c r="Z780" s="36"/>
    </row>
    <row r="781" spans="1:26" ht="14">
      <c r="A781" s="13">
        <v>42515</v>
      </c>
      <c r="B781" s="35" t="s">
        <v>144</v>
      </c>
      <c r="C781" s="165">
        <v>2016</v>
      </c>
      <c r="D781" s="34">
        <v>5</v>
      </c>
      <c r="E781" s="3" t="s">
        <v>223</v>
      </c>
      <c r="F781" s="3" t="s">
        <v>224</v>
      </c>
      <c r="G781" s="3" t="s">
        <v>225</v>
      </c>
      <c r="H781" s="3" t="s">
        <v>226</v>
      </c>
      <c r="I781" s="3" t="s">
        <v>227</v>
      </c>
      <c r="J781" s="3" t="s">
        <v>228</v>
      </c>
      <c r="K781" s="3"/>
      <c r="L781" s="3">
        <v>2</v>
      </c>
      <c r="M781" s="3" t="s">
        <v>229</v>
      </c>
      <c r="N781" s="3" t="s">
        <v>228</v>
      </c>
      <c r="O781" s="3">
        <v>214</v>
      </c>
      <c r="P781" s="65">
        <v>0.93412878382396536</v>
      </c>
      <c r="Q781" s="3">
        <v>250</v>
      </c>
      <c r="R781" s="3"/>
      <c r="S781" s="3"/>
      <c r="T781" s="36"/>
      <c r="U781" s="36"/>
      <c r="V781" s="36"/>
      <c r="W781" s="36"/>
      <c r="X781" s="36"/>
      <c r="Y781" s="36"/>
      <c r="Z781" s="36"/>
    </row>
    <row r="782" spans="1:26" ht="14">
      <c r="A782" s="169">
        <v>42515</v>
      </c>
      <c r="B782" s="169" t="s">
        <v>144</v>
      </c>
      <c r="C782" s="179">
        <v>2016</v>
      </c>
      <c r="D782" s="177">
        <v>8</v>
      </c>
      <c r="E782" s="170" t="s">
        <v>223</v>
      </c>
      <c r="F782" s="170" t="s">
        <v>224</v>
      </c>
      <c r="G782" s="170" t="s">
        <v>225</v>
      </c>
      <c r="H782" s="170" t="s">
        <v>226</v>
      </c>
      <c r="I782" s="170" t="s">
        <v>227</v>
      </c>
      <c r="J782" s="171" t="s">
        <v>228</v>
      </c>
      <c r="K782" s="171"/>
      <c r="L782" s="171">
        <v>22</v>
      </c>
      <c r="M782" s="171" t="s">
        <v>229</v>
      </c>
      <c r="N782" s="171" t="s">
        <v>228</v>
      </c>
      <c r="O782" s="171">
        <v>252</v>
      </c>
      <c r="P782" s="170">
        <v>8.7290962015296341</v>
      </c>
      <c r="Q782" s="171">
        <v>250</v>
      </c>
      <c r="R782" s="171"/>
      <c r="S782" s="171"/>
      <c r="T782" s="36"/>
      <c r="U782" s="36"/>
      <c r="V782" s="36"/>
      <c r="W782" s="36"/>
      <c r="X782" s="36"/>
      <c r="Y782" s="36"/>
      <c r="Z782" s="36"/>
    </row>
    <row r="783" spans="1:26" ht="14">
      <c r="A783" s="13">
        <v>42263</v>
      </c>
      <c r="B783" s="35" t="s">
        <v>157</v>
      </c>
      <c r="C783" s="165">
        <v>2015</v>
      </c>
      <c r="D783" s="53">
        <v>2</v>
      </c>
      <c r="E783" s="3" t="s">
        <v>223</v>
      </c>
      <c r="F783" s="3" t="s">
        <v>224</v>
      </c>
      <c r="G783" s="3" t="s">
        <v>225</v>
      </c>
      <c r="H783" s="3" t="s">
        <v>226</v>
      </c>
      <c r="I783" s="3" t="s">
        <v>227</v>
      </c>
      <c r="J783" s="3" t="s">
        <v>228</v>
      </c>
      <c r="K783" s="3"/>
      <c r="L783" s="3">
        <v>111</v>
      </c>
      <c r="M783" s="3" t="s">
        <v>229</v>
      </c>
      <c r="N783" s="36" t="s">
        <v>228</v>
      </c>
      <c r="O783" s="3">
        <v>203</v>
      </c>
      <c r="P783" s="36">
        <v>54.672191364622471</v>
      </c>
      <c r="Q783" s="36">
        <v>250</v>
      </c>
      <c r="R783" s="3" t="s">
        <v>483</v>
      </c>
      <c r="S783" s="3"/>
      <c r="T783" s="36"/>
      <c r="U783" s="36"/>
      <c r="V783" s="36"/>
      <c r="W783" s="36"/>
      <c r="X783" s="36"/>
      <c r="Y783" s="36"/>
      <c r="Z783" s="36"/>
    </row>
    <row r="784" spans="1:26" ht="14">
      <c r="A784" s="13">
        <v>42263</v>
      </c>
      <c r="B784" s="35" t="s">
        <v>157</v>
      </c>
      <c r="C784" s="165">
        <v>2015</v>
      </c>
      <c r="D784" s="53">
        <v>4</v>
      </c>
      <c r="E784" s="51" t="s">
        <v>223</v>
      </c>
      <c r="F784" s="51" t="s">
        <v>224</v>
      </c>
      <c r="G784" s="51" t="s">
        <v>225</v>
      </c>
      <c r="H784" s="51" t="s">
        <v>226</v>
      </c>
      <c r="I784" s="51" t="s">
        <v>227</v>
      </c>
      <c r="J784" s="3" t="s">
        <v>228</v>
      </c>
      <c r="K784" s="3"/>
      <c r="L784" s="3">
        <v>37</v>
      </c>
      <c r="M784" s="3" t="s">
        <v>229</v>
      </c>
      <c r="N784" s="36" t="s">
        <v>228</v>
      </c>
      <c r="O784" s="3">
        <v>161</v>
      </c>
      <c r="P784" s="65">
        <v>22.941347476037073</v>
      </c>
      <c r="Q784" s="65">
        <v>250</v>
      </c>
      <c r="R784" s="51"/>
      <c r="S784" s="51"/>
      <c r="T784" s="65"/>
      <c r="U784" s="36"/>
      <c r="V784" s="36"/>
      <c r="W784" s="36"/>
      <c r="X784" s="36"/>
      <c r="Y784" s="36"/>
      <c r="Z784" s="36"/>
    </row>
    <row r="785" spans="1:26" ht="14">
      <c r="A785" s="13">
        <v>42263</v>
      </c>
      <c r="B785" s="35" t="s">
        <v>157</v>
      </c>
      <c r="C785" s="165">
        <v>2015</v>
      </c>
      <c r="D785" s="53">
        <v>5</v>
      </c>
      <c r="E785" s="3" t="s">
        <v>223</v>
      </c>
      <c r="F785" s="3" t="s">
        <v>224</v>
      </c>
      <c r="G785" s="3" t="s">
        <v>225</v>
      </c>
      <c r="H785" s="3" t="s">
        <v>226</v>
      </c>
      <c r="I785" s="3" t="s">
        <v>227</v>
      </c>
      <c r="J785" s="3" t="s">
        <v>228</v>
      </c>
      <c r="K785" s="3"/>
      <c r="L785" s="36">
        <v>109</v>
      </c>
      <c r="M785" s="3" t="s">
        <v>229</v>
      </c>
      <c r="N785" s="3" t="s">
        <v>228</v>
      </c>
      <c r="O785" s="3">
        <v>222</v>
      </c>
      <c r="P785" s="36">
        <v>49.085220709443384</v>
      </c>
      <c r="Q785" s="3">
        <v>250</v>
      </c>
      <c r="R785" s="3" t="s">
        <v>485</v>
      </c>
      <c r="S785" s="3"/>
      <c r="T785" s="36"/>
      <c r="U785" s="36"/>
      <c r="V785" s="36"/>
      <c r="W785" s="36"/>
      <c r="X785" s="36"/>
      <c r="Y785" s="36"/>
      <c r="Z785" s="36"/>
    </row>
    <row r="786" spans="1:26" ht="14">
      <c r="A786" s="13">
        <v>42263</v>
      </c>
      <c r="B786" s="72" t="s">
        <v>157</v>
      </c>
      <c r="C786" s="165">
        <v>2015</v>
      </c>
      <c r="D786" s="53">
        <v>8</v>
      </c>
      <c r="E786" s="3" t="s">
        <v>223</v>
      </c>
      <c r="F786" s="3" t="s">
        <v>224</v>
      </c>
      <c r="G786" s="3" t="s">
        <v>225</v>
      </c>
      <c r="H786" s="3" t="s">
        <v>226</v>
      </c>
      <c r="I786" s="3" t="s">
        <v>227</v>
      </c>
      <c r="J786" s="3" t="s">
        <v>228</v>
      </c>
      <c r="K786" s="3"/>
      <c r="L786" s="36">
        <v>106</v>
      </c>
      <c r="M786" s="3" t="s">
        <v>229</v>
      </c>
      <c r="N786" s="3" t="s">
        <v>228</v>
      </c>
      <c r="O786" s="3">
        <v>244</v>
      </c>
      <c r="P786" s="36">
        <v>43.442622950819668</v>
      </c>
      <c r="Q786" s="36">
        <v>250</v>
      </c>
      <c r="R786" s="3" t="s">
        <v>615</v>
      </c>
      <c r="S786" s="3"/>
      <c r="T786" s="36"/>
      <c r="U786" s="36"/>
      <c r="V786" s="36"/>
      <c r="W786" s="36"/>
      <c r="X786" s="36"/>
      <c r="Y786" s="36"/>
      <c r="Z786" s="36"/>
    </row>
    <row r="787" spans="1:26" ht="14">
      <c r="A787" s="72">
        <v>42206</v>
      </c>
      <c r="B787" s="72" t="s">
        <v>154</v>
      </c>
      <c r="C787" s="165">
        <v>2015</v>
      </c>
      <c r="D787" s="53">
        <v>2</v>
      </c>
      <c r="E787" s="36" t="s">
        <v>223</v>
      </c>
      <c r="F787" s="36" t="s">
        <v>224</v>
      </c>
      <c r="G787" s="36" t="s">
        <v>225</v>
      </c>
      <c r="H787" s="36" t="s">
        <v>226</v>
      </c>
      <c r="I787" s="36" t="s">
        <v>227</v>
      </c>
      <c r="J787" s="36" t="s">
        <v>228</v>
      </c>
      <c r="K787" s="36"/>
      <c r="L787" s="36">
        <v>68</v>
      </c>
      <c r="M787" s="36" t="s">
        <v>229</v>
      </c>
      <c r="N787" s="36" t="s">
        <v>228</v>
      </c>
      <c r="O787" s="36">
        <v>337</v>
      </c>
      <c r="P787" s="36">
        <v>20.171391903861803</v>
      </c>
      <c r="Q787" s="36">
        <v>250</v>
      </c>
      <c r="R787" s="36"/>
      <c r="S787" s="36"/>
      <c r="T787" s="36"/>
      <c r="U787" s="36"/>
      <c r="V787" s="36"/>
      <c r="W787" s="36"/>
      <c r="X787" s="36"/>
      <c r="Y787" s="36"/>
      <c r="Z787" s="36"/>
    </row>
    <row r="788" spans="1:26" ht="14">
      <c r="A788" s="71">
        <v>42206</v>
      </c>
      <c r="B788" s="72" t="s">
        <v>154</v>
      </c>
      <c r="C788" s="165">
        <v>2015</v>
      </c>
      <c r="D788" s="53">
        <v>4</v>
      </c>
      <c r="E788" s="3" t="s">
        <v>223</v>
      </c>
      <c r="F788" s="3" t="s">
        <v>224</v>
      </c>
      <c r="G788" s="3" t="s">
        <v>225</v>
      </c>
      <c r="H788" s="3" t="s">
        <v>226</v>
      </c>
      <c r="I788" s="3" t="s">
        <v>227</v>
      </c>
      <c r="J788" s="3" t="s">
        <v>228</v>
      </c>
      <c r="K788" s="3"/>
      <c r="L788" s="3">
        <v>53</v>
      </c>
      <c r="M788" s="3" t="s">
        <v>229</v>
      </c>
      <c r="N788" s="36" t="s">
        <v>228</v>
      </c>
      <c r="O788" s="3">
        <v>273</v>
      </c>
      <c r="P788" s="65">
        <v>19.153715183403875</v>
      </c>
      <c r="Q788" s="51">
        <v>250</v>
      </c>
      <c r="R788" s="51" t="s">
        <v>472</v>
      </c>
      <c r="S788" s="51"/>
      <c r="T788" s="65"/>
      <c r="U788" s="36"/>
      <c r="V788" s="36"/>
      <c r="W788" s="36"/>
      <c r="X788" s="36"/>
      <c r="Y788" s="36"/>
      <c r="Z788" s="36"/>
    </row>
    <row r="789" spans="1:26" ht="14">
      <c r="A789" s="71">
        <v>42206</v>
      </c>
      <c r="B789" s="72" t="s">
        <v>154</v>
      </c>
      <c r="C789" s="165">
        <v>2015</v>
      </c>
      <c r="D789" s="53">
        <v>5</v>
      </c>
      <c r="E789" s="3" t="s">
        <v>223</v>
      </c>
      <c r="F789" s="3" t="s">
        <v>224</v>
      </c>
      <c r="G789" s="3" t="s">
        <v>225</v>
      </c>
      <c r="H789" s="3" t="s">
        <v>226</v>
      </c>
      <c r="I789" s="3" t="s">
        <v>227</v>
      </c>
      <c r="J789" s="3" t="s">
        <v>228</v>
      </c>
      <c r="K789" s="3"/>
      <c r="L789" s="3">
        <v>40</v>
      </c>
      <c r="M789" s="3" t="s">
        <v>229</v>
      </c>
      <c r="N789" s="36" t="s">
        <v>228</v>
      </c>
      <c r="O789" s="3">
        <v>251</v>
      </c>
      <c r="P789" s="65">
        <v>15.932625176027603</v>
      </c>
      <c r="Q789" s="3">
        <v>250</v>
      </c>
      <c r="R789" s="3"/>
      <c r="S789" s="3"/>
      <c r="T789" s="36"/>
      <c r="U789" s="36"/>
      <c r="V789" s="36"/>
      <c r="W789" s="36"/>
      <c r="X789" s="36"/>
      <c r="Y789" s="36"/>
      <c r="Z789" s="36"/>
    </row>
    <row r="790" spans="1:26" ht="14">
      <c r="A790" s="71">
        <v>42206</v>
      </c>
      <c r="B790" s="72" t="s">
        <v>154</v>
      </c>
      <c r="C790" s="165">
        <v>2015</v>
      </c>
      <c r="D790" s="53">
        <v>8</v>
      </c>
      <c r="E790" s="3" t="s">
        <v>223</v>
      </c>
      <c r="F790" s="3" t="s">
        <v>224</v>
      </c>
      <c r="G790" s="3" t="s">
        <v>225</v>
      </c>
      <c r="H790" s="3" t="s">
        <v>226</v>
      </c>
      <c r="I790" s="3" t="s">
        <v>227</v>
      </c>
      <c r="J790" s="3" t="s">
        <v>228</v>
      </c>
      <c r="K790" s="3"/>
      <c r="L790" s="3">
        <v>68</v>
      </c>
      <c r="M790" s="3" t="s">
        <v>229</v>
      </c>
      <c r="N790" s="36" t="s">
        <v>228</v>
      </c>
      <c r="O790" s="3">
        <v>199</v>
      </c>
      <c r="P790" s="65">
        <v>34.141184804951074</v>
      </c>
      <c r="Q790" s="3">
        <v>250</v>
      </c>
      <c r="R790" s="3" t="s">
        <v>477</v>
      </c>
      <c r="S790" s="3"/>
      <c r="T790" s="36"/>
      <c r="U790" s="36"/>
      <c r="V790" s="36"/>
      <c r="W790" s="36"/>
      <c r="X790" s="36"/>
      <c r="Y790" s="36"/>
      <c r="Z790" s="36"/>
    </row>
    <row r="791" spans="1:26" ht="14">
      <c r="A791" s="35">
        <v>42144</v>
      </c>
      <c r="B791" s="72" t="s">
        <v>144</v>
      </c>
      <c r="C791" s="165">
        <v>2015</v>
      </c>
      <c r="D791" s="53">
        <v>4</v>
      </c>
      <c r="E791" s="36" t="s">
        <v>223</v>
      </c>
      <c r="F791" s="36" t="s">
        <v>224</v>
      </c>
      <c r="G791" s="36" t="s">
        <v>225</v>
      </c>
      <c r="H791" s="36" t="s">
        <v>226</v>
      </c>
      <c r="I791" s="36" t="s">
        <v>227</v>
      </c>
      <c r="J791" s="36" t="s">
        <v>228</v>
      </c>
      <c r="K791" s="36"/>
      <c r="L791" s="36">
        <v>20</v>
      </c>
      <c r="M791" s="36" t="s">
        <v>229</v>
      </c>
      <c r="N791" s="36" t="s">
        <v>228</v>
      </c>
      <c r="O791" s="36">
        <v>229</v>
      </c>
      <c r="P791" s="65">
        <v>8.7258335633669653</v>
      </c>
      <c r="Q791" s="65">
        <v>250</v>
      </c>
      <c r="R791" s="65"/>
      <c r="S791" s="65"/>
      <c r="T791" s="65"/>
      <c r="U791" s="36"/>
      <c r="V791" s="36"/>
      <c r="W791" s="36"/>
      <c r="X791" s="36"/>
      <c r="Y791" s="36"/>
      <c r="Z791" s="36"/>
    </row>
    <row r="792" spans="1:26" ht="14">
      <c r="A792" s="35">
        <v>42144</v>
      </c>
      <c r="B792" s="72" t="s">
        <v>144</v>
      </c>
      <c r="C792" s="165">
        <v>2015</v>
      </c>
      <c r="D792" s="53">
        <v>5</v>
      </c>
      <c r="E792" s="65" t="s">
        <v>223</v>
      </c>
      <c r="F792" s="65" t="s">
        <v>224</v>
      </c>
      <c r="G792" s="65" t="s">
        <v>225</v>
      </c>
      <c r="H792" s="65" t="s">
        <v>226</v>
      </c>
      <c r="I792" s="65" t="s">
        <v>227</v>
      </c>
      <c r="J792" s="36" t="s">
        <v>228</v>
      </c>
      <c r="K792" s="36"/>
      <c r="L792" s="36">
        <v>20</v>
      </c>
      <c r="M792" s="36" t="s">
        <v>229</v>
      </c>
      <c r="N792" s="36" t="s">
        <v>228</v>
      </c>
      <c r="O792" s="36">
        <v>327</v>
      </c>
      <c r="P792" s="36">
        <v>6.1139578412086166</v>
      </c>
      <c r="Q792" s="36">
        <v>250</v>
      </c>
      <c r="R792" s="36" t="s">
        <v>504</v>
      </c>
      <c r="S792" s="36"/>
      <c r="T792" s="36"/>
      <c r="U792" s="36"/>
      <c r="V792" s="36"/>
      <c r="W792" s="36"/>
      <c r="X792" s="36"/>
      <c r="Y792" s="36"/>
      <c r="Z792" s="36"/>
    </row>
    <row r="793" spans="1:26" ht="14">
      <c r="A793" s="63">
        <v>41912</v>
      </c>
      <c r="B793" s="72" t="s">
        <v>157</v>
      </c>
      <c r="C793" s="165">
        <v>2014</v>
      </c>
      <c r="D793" s="53">
        <v>2</v>
      </c>
      <c r="E793" s="51" t="s">
        <v>223</v>
      </c>
      <c r="F793" s="51" t="s">
        <v>224</v>
      </c>
      <c r="G793" s="51" t="s">
        <v>225</v>
      </c>
      <c r="H793" s="51" t="s">
        <v>226</v>
      </c>
      <c r="I793" s="51" t="s">
        <v>227</v>
      </c>
      <c r="J793" s="3" t="s">
        <v>228</v>
      </c>
      <c r="K793" s="3"/>
      <c r="L793" s="3">
        <v>183</v>
      </c>
      <c r="M793" s="3" t="s">
        <v>229</v>
      </c>
      <c r="N793" s="3" t="s">
        <v>228</v>
      </c>
      <c r="O793" s="3">
        <v>232</v>
      </c>
      <c r="P793" s="36">
        <v>78.784022171690765</v>
      </c>
      <c r="Q793" s="36">
        <v>250</v>
      </c>
      <c r="R793" s="3"/>
      <c r="S793" s="3"/>
      <c r="T793" s="36"/>
      <c r="U793" s="36"/>
      <c r="V793" s="36"/>
      <c r="W793" s="36"/>
      <c r="X793" s="36"/>
      <c r="Y793" s="36"/>
      <c r="Z793" s="36"/>
    </row>
    <row r="794" spans="1:26" ht="14">
      <c r="A794" s="13">
        <v>41912</v>
      </c>
      <c r="B794" s="35" t="s">
        <v>157</v>
      </c>
      <c r="C794" s="165">
        <v>2014</v>
      </c>
      <c r="D794" s="53">
        <v>4</v>
      </c>
      <c r="E794" s="3" t="s">
        <v>223</v>
      </c>
      <c r="F794" s="3" t="s">
        <v>224</v>
      </c>
      <c r="G794" s="3" t="s">
        <v>225</v>
      </c>
      <c r="H794" s="3" t="s">
        <v>226</v>
      </c>
      <c r="I794" s="3" t="s">
        <v>227</v>
      </c>
      <c r="J794" s="3" t="s">
        <v>228</v>
      </c>
      <c r="K794" s="3"/>
      <c r="L794" s="3">
        <v>116</v>
      </c>
      <c r="M794" s="3" t="s">
        <v>229</v>
      </c>
      <c r="N794" s="3" t="s">
        <v>228</v>
      </c>
      <c r="O794" s="3">
        <v>237</v>
      </c>
      <c r="P794" s="65">
        <v>48.847124355695229</v>
      </c>
      <c r="Q794" s="3">
        <v>250</v>
      </c>
      <c r="R794" s="3" t="s">
        <v>496</v>
      </c>
      <c r="S794" s="3"/>
      <c r="T794" s="36"/>
      <c r="U794" s="36"/>
      <c r="V794" s="36"/>
      <c r="W794" s="36"/>
      <c r="X794" s="36"/>
      <c r="Y794" s="36"/>
      <c r="Z794" s="36"/>
    </row>
    <row r="795" spans="1:26" ht="14">
      <c r="A795" s="13">
        <v>41912</v>
      </c>
      <c r="B795" s="35" t="s">
        <v>157</v>
      </c>
      <c r="C795" s="165">
        <v>2014</v>
      </c>
      <c r="D795" s="53">
        <v>5</v>
      </c>
      <c r="E795" s="3" t="s">
        <v>223</v>
      </c>
      <c r="F795" s="3" t="s">
        <v>224</v>
      </c>
      <c r="G795" s="3" t="s">
        <v>225</v>
      </c>
      <c r="H795" s="3" t="s">
        <v>226</v>
      </c>
      <c r="I795" s="3" t="s">
        <v>227</v>
      </c>
      <c r="J795" s="3" t="s">
        <v>228</v>
      </c>
      <c r="K795" s="3"/>
      <c r="L795" s="3">
        <v>64</v>
      </c>
      <c r="M795" s="3" t="s">
        <v>229</v>
      </c>
      <c r="N795" s="3" t="s">
        <v>228</v>
      </c>
      <c r="O795" s="3">
        <v>216</v>
      </c>
      <c r="P795" s="36">
        <v>29.571477711836096</v>
      </c>
      <c r="Q795" s="3">
        <v>250</v>
      </c>
      <c r="R795" s="3" t="s">
        <v>472</v>
      </c>
      <c r="S795" s="3"/>
      <c r="T795" s="36"/>
      <c r="U795" s="36"/>
      <c r="V795" s="36"/>
      <c r="W795" s="36"/>
      <c r="X795" s="36"/>
      <c r="Y795" s="36"/>
      <c r="Z795" s="36"/>
    </row>
    <row r="796" spans="1:26" ht="14">
      <c r="A796" s="13">
        <v>41912</v>
      </c>
      <c r="B796" s="35" t="s">
        <v>157</v>
      </c>
      <c r="C796" s="165">
        <v>2014</v>
      </c>
      <c r="D796" s="53">
        <v>8</v>
      </c>
      <c r="E796" s="51" t="s">
        <v>223</v>
      </c>
      <c r="F796" s="51" t="s">
        <v>224</v>
      </c>
      <c r="G796" s="51" t="s">
        <v>225</v>
      </c>
      <c r="H796" s="51" t="s">
        <v>226</v>
      </c>
      <c r="I796" s="34" t="s">
        <v>227</v>
      </c>
      <c r="J796" s="34" t="s">
        <v>228</v>
      </c>
      <c r="K796" s="3"/>
      <c r="L796" s="3">
        <v>143</v>
      </c>
      <c r="M796" s="3" t="s">
        <v>229</v>
      </c>
      <c r="N796" s="3" t="s">
        <v>228</v>
      </c>
      <c r="O796" s="3">
        <v>217</v>
      </c>
      <c r="P796" s="36">
        <v>65.876504649113429</v>
      </c>
      <c r="Q796" s="36">
        <v>250</v>
      </c>
      <c r="R796" s="3" t="s">
        <v>496</v>
      </c>
      <c r="S796" s="3"/>
      <c r="T796" s="36"/>
      <c r="U796" s="36"/>
      <c r="V796" s="36"/>
      <c r="W796" s="36"/>
      <c r="X796" s="36"/>
      <c r="Y796" s="36"/>
      <c r="Z796" s="36"/>
    </row>
    <row r="797" spans="1:26" ht="14">
      <c r="A797" s="35">
        <v>41851</v>
      </c>
      <c r="B797" s="35" t="s">
        <v>154</v>
      </c>
      <c r="C797" s="165">
        <v>2014</v>
      </c>
      <c r="D797" s="53">
        <v>2</v>
      </c>
      <c r="E797" s="65" t="s">
        <v>223</v>
      </c>
      <c r="F797" s="65" t="s">
        <v>224</v>
      </c>
      <c r="G797" s="65" t="s">
        <v>225</v>
      </c>
      <c r="H797" s="65" t="s">
        <v>226</v>
      </c>
      <c r="I797" s="65" t="s">
        <v>227</v>
      </c>
      <c r="J797" s="36" t="s">
        <v>228</v>
      </c>
      <c r="K797" s="36"/>
      <c r="L797" s="36">
        <v>113</v>
      </c>
      <c r="M797" s="36" t="s">
        <v>229</v>
      </c>
      <c r="N797" s="36" t="s">
        <v>228</v>
      </c>
      <c r="O797" s="107">
        <v>119</v>
      </c>
      <c r="P797" s="65">
        <v>93.803054453434569</v>
      </c>
      <c r="Q797" s="36">
        <v>250</v>
      </c>
      <c r="R797" s="36"/>
      <c r="S797" s="36"/>
      <c r="T797" s="36"/>
      <c r="U797" s="36"/>
      <c r="V797" s="36"/>
      <c r="W797" s="36"/>
      <c r="X797" s="36"/>
      <c r="Y797" s="36"/>
      <c r="Z797" s="36"/>
    </row>
    <row r="798" spans="1:26" ht="14">
      <c r="A798" s="71">
        <v>41851</v>
      </c>
      <c r="B798" s="35" t="s">
        <v>154</v>
      </c>
      <c r="C798" s="165">
        <v>2014</v>
      </c>
      <c r="D798" s="53">
        <v>5</v>
      </c>
      <c r="E798" s="3" t="s">
        <v>223</v>
      </c>
      <c r="F798" s="3" t="s">
        <v>224</v>
      </c>
      <c r="G798" s="3" t="s">
        <v>225</v>
      </c>
      <c r="H798" s="3" t="s">
        <v>226</v>
      </c>
      <c r="I798" s="3" t="s">
        <v>227</v>
      </c>
      <c r="J798" s="3" t="s">
        <v>228</v>
      </c>
      <c r="K798" s="3"/>
      <c r="L798" s="3">
        <v>93</v>
      </c>
      <c r="M798" s="3" t="s">
        <v>229</v>
      </c>
      <c r="N798" s="3" t="s">
        <v>228</v>
      </c>
      <c r="O798" s="3">
        <v>205</v>
      </c>
      <c r="P798" s="65">
        <v>45.055358843476576</v>
      </c>
      <c r="Q798" s="3">
        <v>250</v>
      </c>
      <c r="R798" s="3"/>
      <c r="S798" s="3"/>
      <c r="T798" s="36"/>
      <c r="U798" s="36"/>
      <c r="V798" s="36"/>
      <c r="W798" s="36"/>
      <c r="X798" s="36"/>
      <c r="Y798" s="36"/>
      <c r="Z798" s="36"/>
    </row>
    <row r="799" spans="1:26" ht="14">
      <c r="A799" s="13">
        <v>41851</v>
      </c>
      <c r="B799" s="35" t="s">
        <v>154</v>
      </c>
      <c r="C799" s="165">
        <v>2014</v>
      </c>
      <c r="D799" s="53">
        <v>8</v>
      </c>
      <c r="E799" s="3" t="s">
        <v>223</v>
      </c>
      <c r="F799" s="3" t="s">
        <v>224</v>
      </c>
      <c r="G799" s="3" t="s">
        <v>225</v>
      </c>
      <c r="H799" s="3" t="s">
        <v>226</v>
      </c>
      <c r="I799" s="3" t="s">
        <v>227</v>
      </c>
      <c r="J799" s="3" t="s">
        <v>228</v>
      </c>
      <c r="K799" s="3"/>
      <c r="L799" s="3">
        <v>144</v>
      </c>
      <c r="M799" s="3" t="s">
        <v>229</v>
      </c>
      <c r="N799" s="3" t="s">
        <v>228</v>
      </c>
      <c r="O799" s="3">
        <v>237</v>
      </c>
      <c r="P799" s="36">
        <v>60.737725484544434</v>
      </c>
      <c r="Q799" s="36">
        <v>250</v>
      </c>
      <c r="R799" s="3"/>
      <c r="S799" s="3"/>
      <c r="T799" s="36"/>
      <c r="U799" s="36"/>
      <c r="V799" s="36"/>
      <c r="W799" s="36"/>
      <c r="X799" s="36"/>
      <c r="Y799" s="36"/>
      <c r="Z799" s="36"/>
    </row>
    <row r="800" spans="1:26" ht="14">
      <c r="A800" s="35">
        <v>41761</v>
      </c>
      <c r="B800" s="72" t="s">
        <v>144</v>
      </c>
      <c r="C800" s="165">
        <v>2014</v>
      </c>
      <c r="D800" s="53">
        <v>2</v>
      </c>
      <c r="E800" s="36" t="s">
        <v>223</v>
      </c>
      <c r="F800" s="36" t="s">
        <v>224</v>
      </c>
      <c r="G800" s="36" t="s">
        <v>225</v>
      </c>
      <c r="H800" s="36" t="s">
        <v>226</v>
      </c>
      <c r="I800" s="36" t="s">
        <v>227</v>
      </c>
      <c r="J800" s="36" t="s">
        <v>228</v>
      </c>
      <c r="K800" s="36"/>
      <c r="L800" s="36">
        <v>2</v>
      </c>
      <c r="M800" s="36" t="s">
        <v>229</v>
      </c>
      <c r="N800" s="36" t="s">
        <v>228</v>
      </c>
      <c r="O800" s="36">
        <v>29</v>
      </c>
      <c r="P800" s="36">
        <v>6.853212080758901</v>
      </c>
      <c r="Q800" s="65">
        <v>250</v>
      </c>
      <c r="R800" s="65"/>
      <c r="S800" s="65"/>
      <c r="T800" s="65"/>
      <c r="U800" s="36"/>
      <c r="V800" s="36"/>
      <c r="W800" s="36"/>
      <c r="X800" s="36"/>
      <c r="Y800" s="36"/>
      <c r="Z800" s="36"/>
    </row>
    <row r="801" spans="1:26" ht="14">
      <c r="A801" s="13">
        <v>41761</v>
      </c>
      <c r="B801" s="72" t="s">
        <v>144</v>
      </c>
      <c r="C801" s="165">
        <v>2014</v>
      </c>
      <c r="D801" s="53">
        <v>4</v>
      </c>
      <c r="E801" s="51" t="s">
        <v>223</v>
      </c>
      <c r="F801" s="51" t="s">
        <v>224</v>
      </c>
      <c r="G801" s="51" t="s">
        <v>225</v>
      </c>
      <c r="H801" s="51" t="s">
        <v>226</v>
      </c>
      <c r="I801" s="51" t="s">
        <v>227</v>
      </c>
      <c r="J801" s="3" t="s">
        <v>228</v>
      </c>
      <c r="K801" s="3"/>
      <c r="L801" s="3">
        <v>1</v>
      </c>
      <c r="M801" s="3" t="s">
        <v>229</v>
      </c>
      <c r="N801" s="3" t="s">
        <v>228</v>
      </c>
      <c r="O801" s="3">
        <v>256</v>
      </c>
      <c r="P801" s="36">
        <v>0.38129187294839412</v>
      </c>
      <c r="Q801" s="3">
        <v>250</v>
      </c>
      <c r="R801" s="3"/>
      <c r="S801" s="3"/>
      <c r="T801" s="36"/>
      <c r="U801" s="36"/>
      <c r="V801" s="36"/>
      <c r="W801" s="36"/>
      <c r="X801" s="36"/>
      <c r="Y801" s="36"/>
      <c r="Z801" s="36"/>
    </row>
    <row r="802" spans="1:26" ht="14">
      <c r="A802" s="13">
        <v>41761</v>
      </c>
      <c r="B802" s="72" t="s">
        <v>144</v>
      </c>
      <c r="C802" s="165">
        <v>2014</v>
      </c>
      <c r="D802" s="53">
        <v>5</v>
      </c>
      <c r="E802" s="3" t="s">
        <v>223</v>
      </c>
      <c r="F802" s="3" t="s">
        <v>224</v>
      </c>
      <c r="G802" s="3" t="s">
        <v>225</v>
      </c>
      <c r="H802" s="3" t="s">
        <v>226</v>
      </c>
      <c r="I802" s="3" t="s">
        <v>227</v>
      </c>
      <c r="J802" s="3" t="s">
        <v>228</v>
      </c>
      <c r="K802" s="3"/>
      <c r="L802" s="3">
        <v>10</v>
      </c>
      <c r="M802" s="3" t="s">
        <v>229</v>
      </c>
      <c r="N802" s="3" t="s">
        <v>228</v>
      </c>
      <c r="O802" s="3">
        <v>300</v>
      </c>
      <c r="P802" s="65">
        <v>3.3263927147670036</v>
      </c>
      <c r="Q802" s="36">
        <v>250</v>
      </c>
      <c r="R802" s="3"/>
      <c r="S802" s="3"/>
      <c r="T802" s="36"/>
      <c r="U802" s="36"/>
      <c r="V802" s="36"/>
      <c r="W802" s="36"/>
      <c r="X802" s="36"/>
      <c r="Y802" s="36"/>
      <c r="Z802" s="36"/>
    </row>
    <row r="803" spans="1:26" ht="14">
      <c r="A803" s="13">
        <v>41761</v>
      </c>
      <c r="B803" s="35" t="s">
        <v>144</v>
      </c>
      <c r="C803" s="165">
        <v>2014</v>
      </c>
      <c r="D803" s="53">
        <v>8</v>
      </c>
      <c r="E803" s="3" t="s">
        <v>223</v>
      </c>
      <c r="F803" s="3" t="s">
        <v>224</v>
      </c>
      <c r="G803" s="3" t="s">
        <v>225</v>
      </c>
      <c r="H803" s="3" t="s">
        <v>226</v>
      </c>
      <c r="I803" s="51" t="s">
        <v>227</v>
      </c>
      <c r="J803" s="51" t="s">
        <v>228</v>
      </c>
      <c r="K803" s="3"/>
      <c r="L803" s="3">
        <v>8</v>
      </c>
      <c r="M803" s="3" t="s">
        <v>229</v>
      </c>
      <c r="N803" s="3" t="s">
        <v>228</v>
      </c>
      <c r="O803" s="3">
        <v>129</v>
      </c>
      <c r="P803" s="36">
        <v>6.1853454501140384</v>
      </c>
      <c r="Q803" s="51">
        <v>250</v>
      </c>
      <c r="R803" s="51"/>
      <c r="S803" s="51"/>
      <c r="T803" s="65"/>
      <c r="U803" s="36"/>
      <c r="V803" s="36"/>
      <c r="W803" s="36"/>
      <c r="X803" s="36"/>
      <c r="Y803" s="36"/>
      <c r="Z803" s="36"/>
    </row>
    <row r="804" spans="1:26" ht="14">
      <c r="A804" s="71">
        <v>41542</v>
      </c>
      <c r="B804" s="72" t="s">
        <v>157</v>
      </c>
      <c r="C804" s="165">
        <v>2013</v>
      </c>
      <c r="D804" s="34">
        <v>2</v>
      </c>
      <c r="E804" s="51" t="s">
        <v>223</v>
      </c>
      <c r="F804" s="51" t="s">
        <v>224</v>
      </c>
      <c r="G804" s="51" t="s">
        <v>225</v>
      </c>
      <c r="H804" s="51" t="s">
        <v>226</v>
      </c>
      <c r="I804" s="51" t="s">
        <v>227</v>
      </c>
      <c r="J804" s="3" t="s">
        <v>228</v>
      </c>
      <c r="K804" s="3"/>
      <c r="L804" s="3">
        <v>71</v>
      </c>
      <c r="M804" s="3" t="s">
        <v>229</v>
      </c>
      <c r="N804" s="3" t="s">
        <v>228</v>
      </c>
      <c r="O804" s="3">
        <v>110</v>
      </c>
      <c r="P804" s="36">
        <v>63.964050674452963</v>
      </c>
      <c r="Q804" s="3">
        <v>250</v>
      </c>
      <c r="R804" s="3"/>
      <c r="S804" s="3"/>
      <c r="T804" s="36"/>
      <c r="U804" s="36"/>
      <c r="V804" s="36"/>
      <c r="W804" s="36"/>
      <c r="X804" s="36"/>
      <c r="Y804" s="36"/>
      <c r="Z804" s="36"/>
    </row>
    <row r="805" spans="1:26" ht="14">
      <c r="A805" s="13">
        <v>41542</v>
      </c>
      <c r="B805" s="72" t="s">
        <v>157</v>
      </c>
      <c r="C805" s="165">
        <v>2013</v>
      </c>
      <c r="D805" s="34">
        <v>4</v>
      </c>
      <c r="E805" s="51" t="s">
        <v>223</v>
      </c>
      <c r="F805" s="3" t="s">
        <v>224</v>
      </c>
      <c r="G805" s="3" t="s">
        <v>225</v>
      </c>
      <c r="H805" s="51" t="s">
        <v>226</v>
      </c>
      <c r="I805" s="51" t="s">
        <v>227</v>
      </c>
      <c r="J805" s="51" t="s">
        <v>228</v>
      </c>
      <c r="K805" s="3"/>
      <c r="L805" s="3">
        <v>73</v>
      </c>
      <c r="M805" s="3" t="s">
        <v>229</v>
      </c>
      <c r="N805" s="3" t="s">
        <v>228</v>
      </c>
      <c r="O805" s="3">
        <v>159</v>
      </c>
      <c r="P805" s="36">
        <v>45.410550690732457</v>
      </c>
      <c r="Q805" s="3">
        <v>250</v>
      </c>
      <c r="R805" s="3"/>
      <c r="S805" s="3"/>
      <c r="T805" s="36"/>
      <c r="U805" s="36"/>
      <c r="V805" s="36"/>
      <c r="W805" s="36"/>
      <c r="X805" s="36"/>
      <c r="Y805" s="36"/>
      <c r="Z805" s="36"/>
    </row>
    <row r="806" spans="1:26" ht="14">
      <c r="A806" s="71">
        <v>41542</v>
      </c>
      <c r="B806" s="72" t="s">
        <v>157</v>
      </c>
      <c r="C806" s="165">
        <v>2013</v>
      </c>
      <c r="D806" s="34">
        <v>5</v>
      </c>
      <c r="E806" s="3" t="s">
        <v>223</v>
      </c>
      <c r="F806" s="3" t="s">
        <v>224</v>
      </c>
      <c r="G806" s="3" t="s">
        <v>225</v>
      </c>
      <c r="H806" s="3" t="s">
        <v>226</v>
      </c>
      <c r="I806" s="3" t="s">
        <v>227</v>
      </c>
      <c r="J806" s="3" t="s">
        <v>228</v>
      </c>
      <c r="K806" s="3"/>
      <c r="L806" s="3">
        <v>94</v>
      </c>
      <c r="M806" s="3" t="s">
        <v>229</v>
      </c>
      <c r="N806" s="3" t="s">
        <v>228</v>
      </c>
      <c r="O806" s="3">
        <v>206</v>
      </c>
      <c r="P806" s="36">
        <v>45.616368874641374</v>
      </c>
      <c r="Q806" s="3">
        <v>250</v>
      </c>
      <c r="R806" s="3"/>
      <c r="S806" s="3"/>
      <c r="T806" s="36"/>
      <c r="U806" s="36"/>
      <c r="V806" s="36"/>
      <c r="W806" s="36"/>
      <c r="X806" s="36"/>
      <c r="Y806" s="36"/>
      <c r="Z806" s="36"/>
    </row>
    <row r="807" spans="1:26" ht="14">
      <c r="A807" s="13">
        <v>41542</v>
      </c>
      <c r="B807" s="72" t="s">
        <v>157</v>
      </c>
      <c r="C807" s="165">
        <v>2013</v>
      </c>
      <c r="D807" s="34">
        <v>8</v>
      </c>
      <c r="E807" s="3" t="s">
        <v>223</v>
      </c>
      <c r="F807" s="3" t="s">
        <v>224</v>
      </c>
      <c r="G807" s="3" t="s">
        <v>225</v>
      </c>
      <c r="H807" s="3" t="s">
        <v>226</v>
      </c>
      <c r="I807" s="3" t="s">
        <v>227</v>
      </c>
      <c r="J807" s="3" t="s">
        <v>228</v>
      </c>
      <c r="K807" s="3"/>
      <c r="L807" s="3">
        <v>64</v>
      </c>
      <c r="M807" s="3" t="s">
        <v>229</v>
      </c>
      <c r="N807" s="3" t="s">
        <v>228</v>
      </c>
      <c r="O807" s="3">
        <v>183</v>
      </c>
      <c r="P807" s="36">
        <v>34.971615878750306</v>
      </c>
      <c r="Q807" s="3">
        <v>250</v>
      </c>
      <c r="R807" s="3"/>
      <c r="S807" s="3"/>
      <c r="T807" s="36"/>
      <c r="U807" s="36"/>
      <c r="V807" s="36"/>
      <c r="W807" s="36"/>
      <c r="X807" s="36"/>
      <c r="Y807" s="36"/>
      <c r="Z807" s="36"/>
    </row>
    <row r="808" spans="1:26" ht="14">
      <c r="A808" s="72">
        <v>41480</v>
      </c>
      <c r="B808" s="35" t="s">
        <v>154</v>
      </c>
      <c r="C808" s="165">
        <v>2013</v>
      </c>
      <c r="D808" s="53">
        <v>2</v>
      </c>
      <c r="E808" s="65" t="s">
        <v>223</v>
      </c>
      <c r="F808" s="65" t="s">
        <v>224</v>
      </c>
      <c r="G808" s="65" t="s">
        <v>225</v>
      </c>
      <c r="H808" s="65" t="s">
        <v>226</v>
      </c>
      <c r="I808" s="65" t="s">
        <v>227</v>
      </c>
      <c r="J808" s="36" t="s">
        <v>228</v>
      </c>
      <c r="K808" s="36"/>
      <c r="L808" s="36">
        <v>105</v>
      </c>
      <c r="M808" s="36" t="s">
        <v>229</v>
      </c>
      <c r="N808" s="36" t="s">
        <v>228</v>
      </c>
      <c r="O808" s="36">
        <v>125</v>
      </c>
      <c r="P808" s="36">
        <v>83.894018084854309</v>
      </c>
      <c r="Q808" s="36">
        <v>250</v>
      </c>
      <c r="R808" s="36"/>
      <c r="S808" s="36"/>
      <c r="T808" s="36"/>
      <c r="U808" s="36"/>
      <c r="V808" s="36"/>
      <c r="W808" s="36"/>
      <c r="X808" s="36"/>
      <c r="Y808" s="36"/>
      <c r="Z808" s="36"/>
    </row>
    <row r="809" spans="1:26" ht="14">
      <c r="A809" s="13">
        <v>41480</v>
      </c>
      <c r="B809" s="35" t="s">
        <v>154</v>
      </c>
      <c r="C809" s="165">
        <v>2013</v>
      </c>
      <c r="D809" s="34">
        <v>4</v>
      </c>
      <c r="E809" s="3" t="s">
        <v>223</v>
      </c>
      <c r="F809" s="3" t="s">
        <v>224</v>
      </c>
      <c r="G809" s="3" t="s">
        <v>225</v>
      </c>
      <c r="H809" s="3" t="s">
        <v>226</v>
      </c>
      <c r="I809" s="3" t="s">
        <v>227</v>
      </c>
      <c r="J809" s="3" t="s">
        <v>228</v>
      </c>
      <c r="K809" s="3"/>
      <c r="L809" s="3">
        <v>52</v>
      </c>
      <c r="M809" s="3" t="s">
        <v>229</v>
      </c>
      <c r="N809" s="3" t="s">
        <v>228</v>
      </c>
      <c r="O809" s="3">
        <v>124</v>
      </c>
      <c r="P809" s="65">
        <v>41.820231530029453</v>
      </c>
      <c r="Q809" s="3">
        <v>250</v>
      </c>
      <c r="R809" s="3"/>
      <c r="S809" s="3"/>
      <c r="T809" s="36"/>
      <c r="U809" s="36"/>
      <c r="V809" s="36"/>
      <c r="W809" s="36"/>
      <c r="X809" s="36"/>
      <c r="Y809" s="36"/>
      <c r="Z809" s="36"/>
    </row>
    <row r="810" spans="1:26" ht="14">
      <c r="A810" s="13">
        <v>41480</v>
      </c>
      <c r="B810" s="35" t="s">
        <v>154</v>
      </c>
      <c r="C810" s="165">
        <v>2013</v>
      </c>
      <c r="D810" s="34">
        <v>5</v>
      </c>
      <c r="E810" s="3" t="s">
        <v>223</v>
      </c>
      <c r="F810" s="3" t="s">
        <v>224</v>
      </c>
      <c r="G810" s="3" t="s">
        <v>225</v>
      </c>
      <c r="H810" s="3" t="s">
        <v>226</v>
      </c>
      <c r="I810" s="3" t="s">
        <v>227</v>
      </c>
      <c r="J810" s="3" t="s">
        <v>228</v>
      </c>
      <c r="K810" s="3"/>
      <c r="L810" s="3">
        <v>102</v>
      </c>
      <c r="M810" s="3" t="s">
        <v>229</v>
      </c>
      <c r="N810" s="3" t="s">
        <v>228</v>
      </c>
      <c r="O810" s="3">
        <v>155</v>
      </c>
      <c r="P810" s="36">
        <v>65.797172741810954</v>
      </c>
      <c r="Q810" s="3">
        <v>250</v>
      </c>
      <c r="R810" s="3"/>
      <c r="S810" s="3"/>
      <c r="T810" s="36"/>
      <c r="U810" s="36"/>
      <c r="V810" s="36"/>
      <c r="W810" s="36"/>
      <c r="X810" s="36"/>
      <c r="Y810" s="36"/>
      <c r="Z810" s="36"/>
    </row>
    <row r="811" spans="1:26" ht="14">
      <c r="A811" s="13">
        <v>41480</v>
      </c>
      <c r="B811" s="72" t="s">
        <v>154</v>
      </c>
      <c r="C811" s="165">
        <v>2013</v>
      </c>
      <c r="D811" s="34">
        <v>8</v>
      </c>
      <c r="E811" s="3" t="s">
        <v>223</v>
      </c>
      <c r="F811" s="3" t="s">
        <v>224</v>
      </c>
      <c r="G811" s="3" t="s">
        <v>225</v>
      </c>
      <c r="H811" s="3" t="s">
        <v>226</v>
      </c>
      <c r="I811" s="3" t="s">
        <v>227</v>
      </c>
      <c r="J811" s="3" t="s">
        <v>228</v>
      </c>
      <c r="K811" s="3"/>
      <c r="L811" s="3">
        <v>121</v>
      </c>
      <c r="M811" s="3" t="s">
        <v>229</v>
      </c>
      <c r="N811" s="3" t="s">
        <v>228</v>
      </c>
      <c r="O811" s="3">
        <v>251</v>
      </c>
      <c r="P811" s="65">
        <v>48.205027137385102</v>
      </c>
      <c r="Q811" s="3">
        <v>250</v>
      </c>
      <c r="R811" s="3"/>
      <c r="S811" s="3"/>
      <c r="T811" s="36"/>
      <c r="U811" s="36"/>
      <c r="V811" s="36"/>
      <c r="W811" s="36"/>
      <c r="X811" s="36"/>
      <c r="Y811" s="36"/>
      <c r="Z811" s="36"/>
    </row>
    <row r="812" spans="1:26" ht="14">
      <c r="A812" s="71">
        <v>41422</v>
      </c>
      <c r="B812" s="72" t="s">
        <v>144</v>
      </c>
      <c r="C812" s="165">
        <v>2013</v>
      </c>
      <c r="D812" s="34">
        <v>2</v>
      </c>
      <c r="E812" s="3" t="s">
        <v>223</v>
      </c>
      <c r="F812" s="3" t="s">
        <v>224</v>
      </c>
      <c r="G812" s="3" t="s">
        <v>225</v>
      </c>
      <c r="H812" s="3" t="s">
        <v>226</v>
      </c>
      <c r="I812" s="3" t="s">
        <v>227</v>
      </c>
      <c r="J812" s="3" t="s">
        <v>228</v>
      </c>
      <c r="K812" s="3"/>
      <c r="L812" s="3">
        <v>7</v>
      </c>
      <c r="M812" s="3" t="s">
        <v>229</v>
      </c>
      <c r="N812" s="3" t="s">
        <v>228</v>
      </c>
      <c r="O812" s="3">
        <v>40</v>
      </c>
      <c r="P812" s="36">
        <v>17.491739460486624</v>
      </c>
      <c r="Q812" s="3">
        <v>250</v>
      </c>
      <c r="R812" s="3" t="s">
        <v>230</v>
      </c>
      <c r="S812" s="3"/>
      <c r="T812" s="36"/>
      <c r="U812" s="36"/>
      <c r="V812" s="36"/>
      <c r="W812" s="36"/>
      <c r="X812" s="36"/>
      <c r="Y812" s="36"/>
      <c r="Z812" s="36"/>
    </row>
    <row r="813" spans="1:26" ht="14">
      <c r="A813" s="71">
        <v>41422</v>
      </c>
      <c r="B813" s="72" t="s">
        <v>144</v>
      </c>
      <c r="C813" s="165">
        <v>2013</v>
      </c>
      <c r="D813" s="34">
        <v>4</v>
      </c>
      <c r="E813" s="51" t="s">
        <v>223</v>
      </c>
      <c r="F813" s="51" t="s">
        <v>224</v>
      </c>
      <c r="G813" s="51" t="s">
        <v>225</v>
      </c>
      <c r="H813" s="51" t="s">
        <v>226</v>
      </c>
      <c r="I813" s="51" t="s">
        <v>227</v>
      </c>
      <c r="J813" s="3" t="s">
        <v>228</v>
      </c>
      <c r="K813" s="3"/>
      <c r="L813" s="3">
        <v>11</v>
      </c>
      <c r="M813" s="3" t="s">
        <v>229</v>
      </c>
      <c r="N813" s="3" t="s">
        <v>228</v>
      </c>
      <c r="O813" s="3">
        <v>106</v>
      </c>
      <c r="P813" s="65">
        <v>10.362050846118066</v>
      </c>
      <c r="Q813" s="3">
        <v>250</v>
      </c>
      <c r="R813" s="3" t="s">
        <v>230</v>
      </c>
      <c r="S813" s="3"/>
      <c r="T813" s="36"/>
      <c r="U813" s="36"/>
      <c r="V813" s="36"/>
      <c r="W813" s="36"/>
      <c r="X813" s="36"/>
      <c r="Y813" s="36"/>
      <c r="Z813" s="36"/>
    </row>
    <row r="814" spans="1:26" ht="14">
      <c r="A814" s="13">
        <v>41422</v>
      </c>
      <c r="B814" s="72" t="s">
        <v>144</v>
      </c>
      <c r="C814" s="165">
        <v>2013</v>
      </c>
      <c r="D814" s="34">
        <v>5</v>
      </c>
      <c r="E814" s="3" t="s">
        <v>223</v>
      </c>
      <c r="F814" s="3" t="s">
        <v>224</v>
      </c>
      <c r="G814" s="3" t="s">
        <v>225</v>
      </c>
      <c r="H814" s="3" t="s">
        <v>226</v>
      </c>
      <c r="I814" s="3" t="s">
        <v>227</v>
      </c>
      <c r="J814" s="3" t="s">
        <v>228</v>
      </c>
      <c r="K814" s="3"/>
      <c r="L814" s="3">
        <v>33</v>
      </c>
      <c r="M814" s="3" t="s">
        <v>229</v>
      </c>
      <c r="N814" s="3" t="s">
        <v>228</v>
      </c>
      <c r="O814" s="3">
        <v>120</v>
      </c>
      <c r="P814" s="36">
        <v>27.500000000000004</v>
      </c>
      <c r="Q814" s="3">
        <v>250</v>
      </c>
      <c r="R814" s="3" t="s">
        <v>617</v>
      </c>
      <c r="S814" s="3"/>
      <c r="T814" s="36"/>
      <c r="U814" s="36"/>
      <c r="V814" s="36"/>
      <c r="W814" s="36"/>
      <c r="X814" s="36"/>
      <c r="Y814" s="36"/>
      <c r="Z814" s="36"/>
    </row>
    <row r="815" spans="1:26" ht="14">
      <c r="A815" s="13">
        <v>41422</v>
      </c>
      <c r="B815" s="35" t="s">
        <v>144</v>
      </c>
      <c r="C815" s="165">
        <v>2013</v>
      </c>
      <c r="D815" s="34">
        <v>8</v>
      </c>
      <c r="E815" s="51" t="s">
        <v>223</v>
      </c>
      <c r="F815" s="51" t="s">
        <v>224</v>
      </c>
      <c r="G815" s="51" t="s">
        <v>225</v>
      </c>
      <c r="H815" s="51" t="s">
        <v>226</v>
      </c>
      <c r="I815" s="51" t="s">
        <v>227</v>
      </c>
      <c r="J815" s="3" t="s">
        <v>228</v>
      </c>
      <c r="K815" s="3"/>
      <c r="L815" s="3">
        <v>7</v>
      </c>
      <c r="M815" s="3" t="s">
        <v>229</v>
      </c>
      <c r="N815" s="3" t="s">
        <v>228</v>
      </c>
      <c r="O815" s="3">
        <v>89</v>
      </c>
      <c r="P815" s="36">
        <v>7.8631689400681202</v>
      </c>
      <c r="Q815" s="3">
        <v>250</v>
      </c>
      <c r="R815" s="3" t="s">
        <v>231</v>
      </c>
      <c r="S815" s="3"/>
      <c r="T815" s="36"/>
      <c r="U815" s="36"/>
      <c r="V815" s="36"/>
      <c r="W815" s="36"/>
      <c r="X815" s="36"/>
      <c r="Y815" s="36"/>
      <c r="Z815" s="36"/>
    </row>
    <row r="816" spans="1:26" ht="14">
      <c r="A816" s="3"/>
      <c r="B816" s="36"/>
      <c r="C816" s="163"/>
      <c r="D816" s="3"/>
      <c r="E816" s="3"/>
      <c r="F816" s="3"/>
      <c r="G816" s="3"/>
      <c r="H816" s="3"/>
      <c r="I816" s="3"/>
      <c r="J816" s="3"/>
      <c r="K816" s="3"/>
      <c r="L816" s="3"/>
      <c r="M816" s="3"/>
      <c r="N816" s="3"/>
      <c r="O816" s="3"/>
      <c r="P816" s="36"/>
      <c r="Q816" s="3"/>
      <c r="R816" s="3"/>
      <c r="S816" s="3"/>
      <c r="T816" s="36"/>
      <c r="U816" s="36"/>
      <c r="V816" s="36"/>
      <c r="W816" s="36"/>
      <c r="X816" s="36"/>
      <c r="Y816" s="36"/>
      <c r="Z816" s="36"/>
    </row>
    <row r="817" spans="1:26" ht="14">
      <c r="A817" s="3"/>
      <c r="B817" s="36"/>
      <c r="C817" s="163"/>
      <c r="D817" s="3"/>
      <c r="E817" s="3"/>
      <c r="F817" s="3"/>
      <c r="G817" s="3"/>
      <c r="H817" s="3"/>
      <c r="I817" s="3"/>
      <c r="J817" s="3"/>
      <c r="K817" s="3"/>
      <c r="L817" s="3"/>
      <c r="M817" s="3"/>
      <c r="N817" s="3"/>
      <c r="O817" s="3"/>
      <c r="P817" s="36"/>
      <c r="Q817" s="3"/>
      <c r="R817" s="3"/>
      <c r="S817" s="3"/>
      <c r="T817" s="36"/>
      <c r="U817" s="36"/>
      <c r="V817" s="36"/>
      <c r="W817" s="36"/>
      <c r="X817" s="36"/>
      <c r="Y817" s="36"/>
      <c r="Z817" s="36"/>
    </row>
    <row r="818" spans="1:26" ht="14">
      <c r="A818" s="3"/>
      <c r="B818" s="36"/>
      <c r="C818" s="163"/>
      <c r="D818" s="3"/>
      <c r="E818" s="3"/>
      <c r="F818" s="3"/>
      <c r="G818" s="3"/>
      <c r="H818" s="3"/>
      <c r="I818" s="3"/>
      <c r="J818" s="3"/>
      <c r="K818" s="3"/>
      <c r="L818" s="3"/>
      <c r="M818" s="3"/>
      <c r="N818" s="3"/>
      <c r="O818" s="3"/>
      <c r="P818" s="36"/>
      <c r="Q818" s="3"/>
      <c r="R818" s="3"/>
      <c r="S818" s="3"/>
      <c r="T818" s="36"/>
      <c r="U818" s="36"/>
      <c r="V818" s="36"/>
      <c r="W818" s="36"/>
      <c r="X818" s="36"/>
      <c r="Y818" s="36"/>
      <c r="Z818" s="36"/>
    </row>
    <row r="819" spans="1:26" ht="14">
      <c r="A819" s="3"/>
      <c r="B819" s="36"/>
      <c r="C819" s="163"/>
      <c r="D819" s="3"/>
      <c r="E819" s="3"/>
      <c r="F819" s="3"/>
      <c r="G819" s="3"/>
      <c r="H819" s="3"/>
      <c r="I819" s="3"/>
      <c r="J819" s="3"/>
      <c r="K819" s="3"/>
      <c r="L819" s="3"/>
      <c r="M819" s="3"/>
      <c r="N819" s="3"/>
      <c r="O819" s="3"/>
      <c r="P819" s="36"/>
      <c r="Q819" s="3"/>
      <c r="R819" s="3"/>
      <c r="S819" s="3"/>
      <c r="T819" s="36"/>
      <c r="U819" s="36"/>
      <c r="V819" s="36"/>
      <c r="W819" s="36"/>
      <c r="X819" s="36"/>
      <c r="Y819" s="36"/>
      <c r="Z819" s="36"/>
    </row>
    <row r="820" spans="1:26" ht="14">
      <c r="A820" s="3"/>
      <c r="B820" s="36"/>
      <c r="C820" s="163"/>
      <c r="D820" s="3"/>
      <c r="E820" s="3"/>
      <c r="F820" s="3"/>
      <c r="G820" s="3"/>
      <c r="H820" s="3"/>
      <c r="I820" s="3"/>
      <c r="J820" s="3"/>
      <c r="K820" s="3"/>
      <c r="L820" s="3"/>
      <c r="M820" s="3"/>
      <c r="N820" s="3"/>
      <c r="O820" s="3"/>
      <c r="P820" s="36"/>
      <c r="Q820" s="3"/>
      <c r="R820" s="3"/>
      <c r="S820" s="3"/>
      <c r="T820" s="36"/>
      <c r="U820" s="36"/>
      <c r="V820" s="36"/>
      <c r="W820" s="36"/>
      <c r="X820" s="36"/>
      <c r="Y820" s="36"/>
      <c r="Z820" s="36"/>
    </row>
    <row r="821" spans="1:26" ht="14">
      <c r="A821" s="3"/>
      <c r="B821" s="36"/>
      <c r="C821" s="163"/>
      <c r="D821" s="3"/>
      <c r="E821" s="3"/>
      <c r="F821" s="3"/>
      <c r="G821" s="3"/>
      <c r="H821" s="3"/>
      <c r="I821" s="3"/>
      <c r="J821" s="3"/>
      <c r="K821" s="3"/>
      <c r="L821" s="3"/>
      <c r="M821" s="3"/>
      <c r="N821" s="3"/>
      <c r="O821" s="3"/>
      <c r="P821" s="36"/>
      <c r="Q821" s="3"/>
      <c r="R821" s="3"/>
      <c r="S821" s="3"/>
      <c r="T821" s="36"/>
      <c r="U821" s="36"/>
      <c r="V821" s="36"/>
      <c r="W821" s="36"/>
      <c r="X821" s="36"/>
      <c r="Y821" s="36"/>
      <c r="Z821" s="36"/>
    </row>
    <row r="822" spans="1:26" ht="14">
      <c r="A822" s="3"/>
      <c r="B822" s="36"/>
      <c r="C822" s="163"/>
      <c r="D822" s="3"/>
      <c r="E822" s="3"/>
      <c r="F822" s="3"/>
      <c r="G822" s="3"/>
      <c r="H822" s="3"/>
      <c r="I822" s="3"/>
      <c r="J822" s="3"/>
      <c r="K822" s="3"/>
      <c r="L822" s="3"/>
      <c r="M822" s="3"/>
      <c r="N822" s="3"/>
      <c r="O822" s="3"/>
      <c r="P822" s="36"/>
      <c r="Q822" s="3"/>
      <c r="R822" s="3"/>
      <c r="S822" s="3"/>
      <c r="T822" s="36"/>
      <c r="U822" s="36"/>
      <c r="V822" s="36"/>
      <c r="W822" s="36"/>
      <c r="X822" s="36"/>
      <c r="Y822" s="36"/>
      <c r="Z822" s="36"/>
    </row>
    <row r="823" spans="1:26" ht="14">
      <c r="A823" s="3"/>
      <c r="B823" s="36"/>
      <c r="C823" s="163"/>
      <c r="D823" s="3"/>
      <c r="E823" s="3"/>
      <c r="F823" s="3"/>
      <c r="G823" s="3"/>
      <c r="H823" s="3"/>
      <c r="I823" s="3"/>
      <c r="J823" s="3"/>
      <c r="K823" s="3"/>
      <c r="L823" s="3"/>
      <c r="M823" s="3"/>
      <c r="N823" s="3"/>
      <c r="O823" s="3"/>
      <c r="P823" s="36"/>
      <c r="Q823" s="3"/>
      <c r="R823" s="3"/>
      <c r="S823" s="3"/>
      <c r="T823" s="36"/>
      <c r="U823" s="36"/>
      <c r="V823" s="36"/>
      <c r="W823" s="36"/>
      <c r="X823" s="36"/>
      <c r="Y823" s="36"/>
      <c r="Z823" s="36"/>
    </row>
    <row r="824" spans="1:26" ht="14">
      <c r="A824" s="3"/>
      <c r="B824" s="36"/>
      <c r="C824" s="163"/>
      <c r="D824" s="3"/>
      <c r="E824" s="3"/>
      <c r="F824" s="3"/>
      <c r="G824" s="3"/>
      <c r="H824" s="3"/>
      <c r="I824" s="3"/>
      <c r="J824" s="3"/>
      <c r="K824" s="3"/>
      <c r="L824" s="3"/>
      <c r="M824" s="3"/>
      <c r="N824" s="3"/>
      <c r="O824" s="3"/>
      <c r="P824" s="36"/>
      <c r="Q824" s="3"/>
      <c r="R824" s="3"/>
      <c r="S824" s="3"/>
      <c r="T824" s="36"/>
      <c r="U824" s="36"/>
      <c r="V824" s="36"/>
      <c r="W824" s="36"/>
      <c r="X824" s="36"/>
      <c r="Y824" s="36"/>
      <c r="Z824" s="36"/>
    </row>
    <row r="825" spans="1:26" ht="14">
      <c r="A825" s="3"/>
      <c r="B825" s="36"/>
      <c r="C825" s="163"/>
      <c r="D825" s="3"/>
      <c r="E825" s="3"/>
      <c r="F825" s="3"/>
      <c r="G825" s="3"/>
      <c r="H825" s="3"/>
      <c r="I825" s="3"/>
      <c r="J825" s="3"/>
      <c r="K825" s="3"/>
      <c r="L825" s="3"/>
      <c r="M825" s="3"/>
      <c r="N825" s="3"/>
      <c r="O825" s="3"/>
      <c r="P825" s="36"/>
      <c r="Q825" s="3"/>
      <c r="R825" s="3"/>
      <c r="S825" s="3"/>
      <c r="T825" s="36"/>
      <c r="U825" s="36"/>
      <c r="V825" s="36"/>
      <c r="W825" s="36"/>
      <c r="X825" s="36"/>
      <c r="Y825" s="36"/>
      <c r="Z825" s="36"/>
    </row>
    <row r="826" spans="1:26" ht="14">
      <c r="A826" s="3"/>
      <c r="B826" s="36"/>
      <c r="C826" s="163"/>
      <c r="D826" s="3"/>
      <c r="E826" s="3"/>
      <c r="F826" s="3"/>
      <c r="G826" s="3"/>
      <c r="H826" s="3"/>
      <c r="I826" s="3"/>
      <c r="J826" s="3"/>
      <c r="K826" s="3"/>
      <c r="L826" s="3"/>
      <c r="M826" s="3"/>
      <c r="N826" s="3"/>
      <c r="O826" s="3"/>
      <c r="P826" s="36"/>
      <c r="Q826" s="3"/>
      <c r="R826" s="3"/>
      <c r="S826" s="3"/>
      <c r="T826" s="36"/>
      <c r="U826" s="36"/>
      <c r="V826" s="36"/>
      <c r="W826" s="36"/>
      <c r="X826" s="36"/>
      <c r="Y826" s="36"/>
      <c r="Z826" s="36"/>
    </row>
    <row r="827" spans="1:26" ht="14">
      <c r="A827" s="3"/>
      <c r="B827" s="36"/>
      <c r="C827" s="163"/>
      <c r="D827" s="3"/>
      <c r="E827" s="3"/>
      <c r="F827" s="3"/>
      <c r="G827" s="3"/>
      <c r="H827" s="3"/>
      <c r="I827" s="3"/>
      <c r="J827" s="3"/>
      <c r="K827" s="3"/>
      <c r="L827" s="3"/>
      <c r="M827" s="3"/>
      <c r="N827" s="3"/>
      <c r="O827" s="3"/>
      <c r="P827" s="36"/>
      <c r="Q827" s="3"/>
      <c r="R827" s="3"/>
      <c r="S827" s="3"/>
      <c r="T827" s="36"/>
      <c r="U827" s="36"/>
      <c r="V827" s="36"/>
      <c r="W827" s="36"/>
      <c r="X827" s="36"/>
      <c r="Y827" s="36"/>
      <c r="Z827" s="36"/>
    </row>
    <row r="828" spans="1:26" ht="14">
      <c r="A828" s="3"/>
      <c r="B828" s="36"/>
      <c r="C828" s="163"/>
      <c r="D828" s="3"/>
      <c r="E828" s="3"/>
      <c r="F828" s="3"/>
      <c r="G828" s="3"/>
      <c r="H828" s="3"/>
      <c r="I828" s="3"/>
      <c r="J828" s="3"/>
      <c r="K828" s="3"/>
      <c r="L828" s="3"/>
      <c r="M828" s="3"/>
      <c r="N828" s="3"/>
      <c r="O828" s="3"/>
      <c r="P828" s="36"/>
      <c r="Q828" s="3"/>
      <c r="R828" s="3"/>
      <c r="S828" s="3"/>
      <c r="T828" s="36"/>
      <c r="U828" s="36"/>
      <c r="V828" s="36"/>
      <c r="W828" s="36"/>
      <c r="X828" s="36"/>
      <c r="Y828" s="36"/>
      <c r="Z828" s="36"/>
    </row>
    <row r="829" spans="1:26" ht="14">
      <c r="A829" s="3"/>
      <c r="B829" s="36"/>
      <c r="C829" s="163"/>
      <c r="D829" s="3"/>
      <c r="E829" s="3"/>
      <c r="F829" s="3"/>
      <c r="G829" s="3"/>
      <c r="H829" s="3"/>
      <c r="I829" s="3"/>
      <c r="J829" s="3"/>
      <c r="K829" s="3"/>
      <c r="L829" s="3"/>
      <c r="M829" s="3"/>
      <c r="N829" s="3"/>
      <c r="O829" s="3"/>
      <c r="P829" s="36"/>
      <c r="Q829" s="3"/>
      <c r="R829" s="3"/>
      <c r="S829" s="3"/>
      <c r="T829" s="36"/>
      <c r="U829" s="36"/>
      <c r="V829" s="36"/>
      <c r="W829" s="36"/>
      <c r="X829" s="36"/>
      <c r="Y829" s="36"/>
      <c r="Z829" s="36"/>
    </row>
    <row r="830" spans="1:26" ht="14">
      <c r="A830" s="3"/>
      <c r="B830" s="36"/>
      <c r="C830" s="163"/>
      <c r="D830" s="3"/>
      <c r="E830" s="3"/>
      <c r="F830" s="3"/>
      <c r="G830" s="3"/>
      <c r="H830" s="3"/>
      <c r="I830" s="3"/>
      <c r="J830" s="3"/>
      <c r="K830" s="3"/>
      <c r="L830" s="3"/>
      <c r="M830" s="3"/>
      <c r="N830" s="3"/>
      <c r="O830" s="3"/>
      <c r="P830" s="36"/>
      <c r="Q830" s="3"/>
      <c r="R830" s="3"/>
      <c r="S830" s="3"/>
      <c r="T830" s="36"/>
      <c r="U830" s="36"/>
      <c r="V830" s="36"/>
      <c r="W830" s="36"/>
      <c r="X830" s="36"/>
      <c r="Y830" s="36"/>
      <c r="Z830" s="36"/>
    </row>
    <row r="831" spans="1:26" ht="14">
      <c r="A831" s="3"/>
      <c r="B831" s="36"/>
      <c r="C831" s="163"/>
      <c r="D831" s="3"/>
      <c r="E831" s="3"/>
      <c r="F831" s="3"/>
      <c r="G831" s="3"/>
      <c r="H831" s="3"/>
      <c r="I831" s="3"/>
      <c r="J831" s="3"/>
      <c r="K831" s="3"/>
      <c r="L831" s="3"/>
      <c r="M831" s="3"/>
      <c r="N831" s="3"/>
      <c r="O831" s="3"/>
      <c r="P831" s="36"/>
      <c r="Q831" s="3"/>
      <c r="R831" s="3"/>
      <c r="S831" s="3"/>
      <c r="T831" s="36"/>
      <c r="U831" s="36"/>
      <c r="V831" s="36"/>
      <c r="W831" s="36"/>
      <c r="X831" s="36"/>
      <c r="Y831" s="36"/>
      <c r="Z831" s="36"/>
    </row>
    <row r="832" spans="1:26" ht="14">
      <c r="A832" s="3"/>
      <c r="B832" s="36"/>
      <c r="C832" s="163"/>
      <c r="D832" s="3"/>
      <c r="E832" s="3"/>
      <c r="F832" s="3"/>
      <c r="G832" s="3"/>
      <c r="H832" s="3"/>
      <c r="I832" s="3"/>
      <c r="J832" s="3"/>
      <c r="K832" s="3"/>
      <c r="L832" s="3"/>
      <c r="M832" s="3"/>
      <c r="N832" s="3"/>
      <c r="O832" s="3"/>
      <c r="P832" s="36"/>
      <c r="Q832" s="3"/>
      <c r="R832" s="3"/>
      <c r="S832" s="3"/>
      <c r="T832" s="36"/>
      <c r="U832" s="36"/>
      <c r="V832" s="36"/>
      <c r="W832" s="36"/>
      <c r="X832" s="36"/>
      <c r="Y832" s="36"/>
      <c r="Z832" s="36"/>
    </row>
    <row r="833" spans="1:26" ht="14">
      <c r="A833" s="3"/>
      <c r="B833" s="36"/>
      <c r="C833" s="163"/>
      <c r="D833" s="3"/>
      <c r="E833" s="3"/>
      <c r="F833" s="3"/>
      <c r="G833" s="3"/>
      <c r="H833" s="3"/>
      <c r="I833" s="3"/>
      <c r="J833" s="3"/>
      <c r="K833" s="3"/>
      <c r="L833" s="3"/>
      <c r="M833" s="3"/>
      <c r="N833" s="3"/>
      <c r="O833" s="3"/>
      <c r="P833" s="36"/>
      <c r="Q833" s="3"/>
      <c r="R833" s="3"/>
      <c r="S833" s="3"/>
      <c r="T833" s="36"/>
      <c r="U833" s="36"/>
      <c r="V833" s="36"/>
      <c r="W833" s="36"/>
      <c r="X833" s="36"/>
      <c r="Y833" s="36"/>
      <c r="Z833" s="36"/>
    </row>
    <row r="834" spans="1:26" ht="14">
      <c r="A834" s="3"/>
      <c r="B834" s="36"/>
      <c r="C834" s="163"/>
      <c r="D834" s="3"/>
      <c r="E834" s="3"/>
      <c r="F834" s="3"/>
      <c r="G834" s="3"/>
      <c r="H834" s="3"/>
      <c r="I834" s="3"/>
      <c r="J834" s="3"/>
      <c r="K834" s="3"/>
      <c r="L834" s="3"/>
      <c r="M834" s="3"/>
      <c r="N834" s="3"/>
      <c r="O834" s="3"/>
      <c r="P834" s="36"/>
      <c r="Q834" s="3"/>
      <c r="R834" s="3"/>
      <c r="S834" s="3"/>
      <c r="T834" s="36"/>
      <c r="U834" s="36"/>
      <c r="V834" s="36"/>
      <c r="W834" s="36"/>
      <c r="X834" s="36"/>
      <c r="Y834" s="36"/>
      <c r="Z834" s="36"/>
    </row>
    <row r="835" spans="1:26" ht="14">
      <c r="A835" s="3"/>
      <c r="B835" s="36"/>
      <c r="C835" s="163"/>
      <c r="D835" s="3"/>
      <c r="E835" s="3"/>
      <c r="F835" s="3"/>
      <c r="G835" s="3"/>
      <c r="H835" s="3"/>
      <c r="I835" s="3"/>
      <c r="J835" s="3"/>
      <c r="K835" s="3"/>
      <c r="L835" s="3"/>
      <c r="M835" s="3"/>
      <c r="N835" s="3"/>
      <c r="O835" s="3"/>
      <c r="P835" s="36"/>
      <c r="Q835" s="3"/>
      <c r="R835" s="3"/>
      <c r="S835" s="3"/>
      <c r="T835" s="36"/>
      <c r="U835" s="36"/>
      <c r="V835" s="36"/>
      <c r="W835" s="36"/>
      <c r="X835" s="36"/>
      <c r="Y835" s="36"/>
      <c r="Z835" s="36"/>
    </row>
    <row r="836" spans="1:26" ht="14">
      <c r="A836" s="3"/>
      <c r="B836" s="36"/>
      <c r="C836" s="163"/>
      <c r="D836" s="3"/>
      <c r="E836" s="3"/>
      <c r="F836" s="3"/>
      <c r="G836" s="3"/>
      <c r="H836" s="3"/>
      <c r="I836" s="3"/>
      <c r="J836" s="3"/>
      <c r="K836" s="3"/>
      <c r="L836" s="3"/>
      <c r="M836" s="3"/>
      <c r="N836" s="3"/>
      <c r="O836" s="3"/>
      <c r="P836" s="36"/>
      <c r="Q836" s="3"/>
      <c r="R836" s="3"/>
      <c r="S836" s="3"/>
      <c r="T836" s="36"/>
      <c r="U836" s="36"/>
      <c r="V836" s="36"/>
      <c r="W836" s="36"/>
      <c r="X836" s="36"/>
      <c r="Y836" s="36"/>
      <c r="Z836" s="36"/>
    </row>
    <row r="837" spans="1:26" ht="14">
      <c r="A837" s="3"/>
      <c r="B837" s="36"/>
      <c r="C837" s="163"/>
      <c r="D837" s="3"/>
      <c r="E837" s="3"/>
      <c r="F837" s="3"/>
      <c r="G837" s="3"/>
      <c r="H837" s="3"/>
      <c r="I837" s="3"/>
      <c r="J837" s="3"/>
      <c r="K837" s="3"/>
      <c r="L837" s="3"/>
      <c r="M837" s="3"/>
      <c r="N837" s="3"/>
      <c r="O837" s="3"/>
      <c r="P837" s="36"/>
      <c r="Q837" s="3"/>
      <c r="R837" s="3"/>
      <c r="S837" s="3"/>
      <c r="T837" s="36"/>
      <c r="U837" s="36"/>
      <c r="V837" s="36"/>
      <c r="W837" s="36"/>
      <c r="X837" s="36"/>
      <c r="Y837" s="36"/>
      <c r="Z837" s="36"/>
    </row>
    <row r="838" spans="1:26" ht="14">
      <c r="A838" s="3"/>
      <c r="B838" s="36"/>
      <c r="C838" s="163"/>
      <c r="D838" s="3"/>
      <c r="E838" s="3"/>
      <c r="F838" s="3"/>
      <c r="G838" s="3"/>
      <c r="H838" s="3"/>
      <c r="I838" s="3"/>
      <c r="J838" s="3"/>
      <c r="K838" s="3"/>
      <c r="L838" s="3"/>
      <c r="M838" s="3"/>
      <c r="N838" s="3"/>
      <c r="O838" s="3"/>
      <c r="P838" s="36"/>
      <c r="Q838" s="3"/>
      <c r="R838" s="3"/>
      <c r="S838" s="3"/>
      <c r="T838" s="36"/>
      <c r="U838" s="36"/>
      <c r="V838" s="36"/>
      <c r="W838" s="36"/>
      <c r="X838" s="36"/>
      <c r="Y838" s="36"/>
      <c r="Z838" s="36"/>
    </row>
    <row r="839" spans="1:26" ht="14">
      <c r="A839" s="3"/>
      <c r="B839" s="36"/>
      <c r="C839" s="163"/>
      <c r="D839" s="3"/>
      <c r="E839" s="3"/>
      <c r="F839" s="3"/>
      <c r="G839" s="3"/>
      <c r="H839" s="3"/>
      <c r="I839" s="3"/>
      <c r="J839" s="3"/>
      <c r="K839" s="3"/>
      <c r="L839" s="3"/>
      <c r="M839" s="3"/>
      <c r="N839" s="3"/>
      <c r="O839" s="3"/>
      <c r="P839" s="36"/>
      <c r="Q839" s="3"/>
      <c r="R839" s="3"/>
      <c r="S839" s="3"/>
      <c r="T839" s="36"/>
      <c r="U839" s="36"/>
      <c r="V839" s="36"/>
      <c r="W839" s="36"/>
      <c r="X839" s="36"/>
      <c r="Y839" s="36"/>
      <c r="Z839" s="36"/>
    </row>
    <row r="840" spans="1:26" ht="14">
      <c r="A840" s="3"/>
      <c r="B840" s="36"/>
      <c r="C840" s="163"/>
      <c r="D840" s="3"/>
      <c r="E840" s="3"/>
      <c r="F840" s="3"/>
      <c r="G840" s="3"/>
      <c r="H840" s="3"/>
      <c r="I840" s="3"/>
      <c r="J840" s="3"/>
      <c r="K840" s="3"/>
      <c r="L840" s="3"/>
      <c r="M840" s="3"/>
      <c r="N840" s="3"/>
      <c r="O840" s="3"/>
      <c r="P840" s="36"/>
      <c r="Q840" s="3"/>
      <c r="R840" s="3"/>
      <c r="S840" s="3"/>
      <c r="T840" s="36"/>
      <c r="U840" s="36"/>
      <c r="V840" s="36"/>
      <c r="W840" s="36"/>
      <c r="X840" s="36"/>
      <c r="Y840" s="36"/>
      <c r="Z840" s="36"/>
    </row>
    <row r="841" spans="1:26" ht="14">
      <c r="A841" s="3"/>
      <c r="B841" s="36"/>
      <c r="C841" s="163"/>
      <c r="D841" s="3"/>
      <c r="E841" s="3"/>
      <c r="F841" s="3"/>
      <c r="G841" s="3"/>
      <c r="H841" s="3"/>
      <c r="I841" s="3"/>
      <c r="J841" s="3"/>
      <c r="K841" s="3"/>
      <c r="L841" s="3"/>
      <c r="M841" s="3"/>
      <c r="N841" s="3"/>
      <c r="O841" s="3"/>
      <c r="P841" s="36"/>
      <c r="Q841" s="3"/>
      <c r="R841" s="3"/>
      <c r="S841" s="3"/>
      <c r="T841" s="36"/>
      <c r="U841" s="36"/>
      <c r="V841" s="36"/>
      <c r="W841" s="36"/>
      <c r="X841" s="36"/>
      <c r="Y841" s="36"/>
      <c r="Z841" s="36"/>
    </row>
    <row r="842" spans="1:26" ht="14">
      <c r="A842" s="3"/>
      <c r="B842" s="36"/>
      <c r="C842" s="163"/>
      <c r="D842" s="3"/>
      <c r="E842" s="3"/>
      <c r="F842" s="3"/>
      <c r="G842" s="3"/>
      <c r="H842" s="3"/>
      <c r="I842" s="3"/>
      <c r="J842" s="3"/>
      <c r="K842" s="3"/>
      <c r="L842" s="3"/>
      <c r="M842" s="3"/>
      <c r="N842" s="3"/>
      <c r="O842" s="3"/>
      <c r="P842" s="36"/>
      <c r="Q842" s="3"/>
      <c r="R842" s="3"/>
      <c r="S842" s="3"/>
      <c r="T842" s="36"/>
      <c r="U842" s="36"/>
      <c r="V842" s="36"/>
      <c r="W842" s="36"/>
      <c r="X842" s="36"/>
      <c r="Y842" s="36"/>
      <c r="Z842" s="36"/>
    </row>
    <row r="843" spans="1:26" ht="14">
      <c r="A843" s="3"/>
      <c r="B843" s="36"/>
      <c r="C843" s="163"/>
      <c r="D843" s="3"/>
      <c r="E843" s="3"/>
      <c r="F843" s="3"/>
      <c r="G843" s="3"/>
      <c r="H843" s="3"/>
      <c r="I843" s="3"/>
      <c r="J843" s="3"/>
      <c r="K843" s="3"/>
      <c r="L843" s="3"/>
      <c r="M843" s="3"/>
      <c r="N843" s="3"/>
      <c r="O843" s="3"/>
      <c r="P843" s="36"/>
      <c r="Q843" s="3"/>
      <c r="R843" s="3"/>
      <c r="S843" s="3"/>
      <c r="T843" s="36"/>
      <c r="U843" s="36"/>
      <c r="V843" s="36"/>
      <c r="W843" s="36"/>
      <c r="X843" s="36"/>
      <c r="Y843" s="36"/>
      <c r="Z843" s="36"/>
    </row>
    <row r="844" spans="1:26" ht="14">
      <c r="A844" s="3"/>
      <c r="B844" s="36"/>
      <c r="C844" s="163"/>
      <c r="D844" s="3"/>
      <c r="E844" s="3"/>
      <c r="F844" s="3"/>
      <c r="G844" s="3"/>
      <c r="H844" s="3"/>
      <c r="I844" s="3"/>
      <c r="J844" s="3"/>
      <c r="K844" s="3"/>
      <c r="L844" s="3"/>
      <c r="M844" s="3"/>
      <c r="N844" s="3"/>
      <c r="O844" s="3"/>
      <c r="P844" s="36"/>
      <c r="Q844" s="3"/>
      <c r="R844" s="3"/>
      <c r="S844" s="3"/>
      <c r="T844" s="36"/>
      <c r="U844" s="36"/>
      <c r="V844" s="36"/>
      <c r="W844" s="36"/>
      <c r="X844" s="36"/>
      <c r="Y844" s="36"/>
      <c r="Z844" s="36"/>
    </row>
    <row r="845" spans="1:26" ht="14">
      <c r="A845" s="3"/>
      <c r="B845" s="36"/>
      <c r="C845" s="163"/>
      <c r="D845" s="3"/>
      <c r="E845" s="3"/>
      <c r="F845" s="3"/>
      <c r="G845" s="3"/>
      <c r="H845" s="3"/>
      <c r="I845" s="3"/>
      <c r="J845" s="3"/>
      <c r="K845" s="3"/>
      <c r="L845" s="3"/>
      <c r="M845" s="3"/>
      <c r="N845" s="3"/>
      <c r="O845" s="3"/>
      <c r="P845" s="36"/>
      <c r="Q845" s="3"/>
      <c r="R845" s="3"/>
      <c r="S845" s="3"/>
      <c r="T845" s="36"/>
      <c r="U845" s="36"/>
      <c r="V845" s="36"/>
      <c r="W845" s="36"/>
      <c r="X845" s="36"/>
      <c r="Y845" s="36"/>
      <c r="Z845" s="36"/>
    </row>
    <row r="846" spans="1:26" ht="14">
      <c r="A846" s="3"/>
      <c r="B846" s="36"/>
      <c r="C846" s="163"/>
      <c r="D846" s="3"/>
      <c r="E846" s="3"/>
      <c r="F846" s="3"/>
      <c r="G846" s="3"/>
      <c r="H846" s="3"/>
      <c r="I846" s="3"/>
      <c r="J846" s="3"/>
      <c r="K846" s="3"/>
      <c r="L846" s="3"/>
      <c r="M846" s="3"/>
      <c r="N846" s="3"/>
      <c r="O846" s="3"/>
      <c r="P846" s="36"/>
      <c r="Q846" s="3"/>
      <c r="R846" s="3"/>
      <c r="S846" s="3"/>
      <c r="T846" s="36"/>
      <c r="U846" s="36"/>
      <c r="V846" s="36"/>
      <c r="W846" s="36"/>
      <c r="X846" s="36"/>
      <c r="Y846" s="36"/>
      <c r="Z846" s="36"/>
    </row>
    <row r="847" spans="1:26" ht="14">
      <c r="A847" s="3"/>
      <c r="B847" s="36"/>
      <c r="C847" s="163"/>
      <c r="D847" s="3"/>
      <c r="E847" s="3"/>
      <c r="F847" s="3"/>
      <c r="G847" s="3"/>
      <c r="H847" s="3"/>
      <c r="I847" s="3"/>
      <c r="J847" s="3"/>
      <c r="K847" s="3"/>
      <c r="L847" s="3"/>
      <c r="M847" s="3"/>
      <c r="N847" s="3"/>
      <c r="O847" s="3"/>
      <c r="P847" s="36"/>
      <c r="Q847" s="3"/>
      <c r="R847" s="3"/>
      <c r="S847" s="3"/>
      <c r="T847" s="36"/>
      <c r="U847" s="36"/>
      <c r="V847" s="36"/>
      <c r="W847" s="36"/>
      <c r="X847" s="36"/>
      <c r="Y847" s="36"/>
      <c r="Z847" s="36"/>
    </row>
    <row r="848" spans="1:26" ht="14">
      <c r="A848" s="3"/>
      <c r="B848" s="36"/>
      <c r="C848" s="163"/>
      <c r="D848" s="3"/>
      <c r="E848" s="3"/>
      <c r="F848" s="3"/>
      <c r="G848" s="3"/>
      <c r="H848" s="3"/>
      <c r="I848" s="3"/>
      <c r="J848" s="3"/>
      <c r="K848" s="3"/>
      <c r="L848" s="3"/>
      <c r="M848" s="3"/>
      <c r="N848" s="3"/>
      <c r="O848" s="3"/>
      <c r="P848" s="36"/>
      <c r="Q848" s="3"/>
      <c r="R848" s="3"/>
      <c r="S848" s="3"/>
      <c r="T848" s="36"/>
      <c r="U848" s="36"/>
      <c r="V848" s="36"/>
      <c r="W848" s="36"/>
      <c r="X848" s="36"/>
      <c r="Y848" s="36"/>
      <c r="Z848" s="36"/>
    </row>
    <row r="849" spans="1:26" ht="14">
      <c r="A849" s="3"/>
      <c r="B849" s="36"/>
      <c r="C849" s="163"/>
      <c r="D849" s="3"/>
      <c r="E849" s="3"/>
      <c r="F849" s="3"/>
      <c r="G849" s="3"/>
      <c r="H849" s="3"/>
      <c r="I849" s="3"/>
      <c r="J849" s="3"/>
      <c r="K849" s="3"/>
      <c r="L849" s="3"/>
      <c r="M849" s="3"/>
      <c r="N849" s="3"/>
      <c r="O849" s="3"/>
      <c r="P849" s="36"/>
      <c r="Q849" s="3"/>
      <c r="R849" s="3"/>
      <c r="S849" s="3"/>
      <c r="T849" s="36"/>
      <c r="U849" s="36"/>
      <c r="V849" s="36"/>
      <c r="W849" s="36"/>
      <c r="X849" s="36"/>
      <c r="Y849" s="36"/>
      <c r="Z849" s="36"/>
    </row>
    <row r="850" spans="1:26" ht="14">
      <c r="A850" s="3"/>
      <c r="B850" s="36"/>
      <c r="C850" s="163"/>
      <c r="D850" s="3"/>
      <c r="E850" s="3"/>
      <c r="F850" s="3"/>
      <c r="G850" s="3"/>
      <c r="H850" s="3"/>
      <c r="I850" s="3"/>
      <c r="J850" s="3"/>
      <c r="K850" s="3"/>
      <c r="L850" s="3"/>
      <c r="M850" s="3"/>
      <c r="N850" s="3"/>
      <c r="O850" s="3"/>
      <c r="P850" s="36"/>
      <c r="Q850" s="3"/>
      <c r="R850" s="3"/>
      <c r="S850" s="3"/>
      <c r="T850" s="36"/>
      <c r="U850" s="36"/>
      <c r="V850" s="36"/>
      <c r="W850" s="36"/>
      <c r="X850" s="36"/>
      <c r="Y850" s="36"/>
      <c r="Z850" s="36"/>
    </row>
    <row r="851" spans="1:26" ht="14">
      <c r="A851" s="3"/>
      <c r="B851" s="36"/>
      <c r="C851" s="163"/>
      <c r="D851" s="3"/>
      <c r="E851" s="3"/>
      <c r="F851" s="3"/>
      <c r="G851" s="3"/>
      <c r="H851" s="3"/>
      <c r="I851" s="3"/>
      <c r="J851" s="3"/>
      <c r="K851" s="3"/>
      <c r="L851" s="3"/>
      <c r="M851" s="3"/>
      <c r="N851" s="3"/>
      <c r="O851" s="3"/>
      <c r="P851" s="36"/>
      <c r="Q851" s="3"/>
      <c r="R851" s="3"/>
      <c r="S851" s="3"/>
      <c r="T851" s="36"/>
      <c r="U851" s="36"/>
      <c r="V851" s="36"/>
      <c r="W851" s="36"/>
      <c r="X851" s="36"/>
      <c r="Y851" s="36"/>
      <c r="Z851" s="36"/>
    </row>
    <row r="852" spans="1:26" ht="14">
      <c r="A852" s="3"/>
      <c r="B852" s="36"/>
      <c r="C852" s="163"/>
      <c r="D852" s="3"/>
      <c r="E852" s="3"/>
      <c r="F852" s="3"/>
      <c r="G852" s="3"/>
      <c r="H852" s="3"/>
      <c r="I852" s="3"/>
      <c r="J852" s="3"/>
      <c r="K852" s="3"/>
      <c r="L852" s="3"/>
      <c r="M852" s="3"/>
      <c r="N852" s="3"/>
      <c r="O852" s="3"/>
      <c r="P852" s="36"/>
      <c r="Q852" s="3"/>
      <c r="R852" s="3"/>
      <c r="S852" s="3"/>
      <c r="T852" s="36"/>
      <c r="U852" s="36"/>
      <c r="V852" s="36"/>
      <c r="W852" s="36"/>
      <c r="X852" s="36"/>
      <c r="Y852" s="36"/>
      <c r="Z852" s="36"/>
    </row>
    <row r="853" spans="1:26" ht="14">
      <c r="A853" s="3"/>
      <c r="B853" s="36"/>
      <c r="C853" s="163"/>
      <c r="D853" s="3"/>
      <c r="E853" s="3"/>
      <c r="F853" s="3"/>
      <c r="G853" s="3"/>
      <c r="H853" s="3"/>
      <c r="I853" s="3"/>
      <c r="J853" s="3"/>
      <c r="K853" s="3"/>
      <c r="L853" s="3"/>
      <c r="M853" s="3"/>
      <c r="N853" s="3"/>
      <c r="O853" s="3"/>
      <c r="P853" s="36"/>
      <c r="Q853" s="3"/>
      <c r="R853" s="3"/>
      <c r="S853" s="3"/>
      <c r="T853" s="36"/>
      <c r="U853" s="36"/>
      <c r="V853" s="36"/>
      <c r="W853" s="36"/>
      <c r="X853" s="36"/>
      <c r="Y853" s="36"/>
      <c r="Z853" s="36"/>
    </row>
    <row r="854" spans="1:26" ht="14">
      <c r="A854" s="3"/>
      <c r="B854" s="36"/>
      <c r="C854" s="163"/>
      <c r="D854" s="3"/>
      <c r="E854" s="3"/>
      <c r="F854" s="3"/>
      <c r="G854" s="3"/>
      <c r="H854" s="3"/>
      <c r="I854" s="3"/>
      <c r="J854" s="3"/>
      <c r="K854" s="3"/>
      <c r="L854" s="3"/>
      <c r="M854" s="3"/>
      <c r="N854" s="3"/>
      <c r="O854" s="3"/>
      <c r="P854" s="36"/>
      <c r="Q854" s="3"/>
      <c r="R854" s="3"/>
      <c r="S854" s="3"/>
      <c r="T854" s="36"/>
      <c r="U854" s="36"/>
      <c r="V854" s="36"/>
      <c r="W854" s="36"/>
      <c r="X854" s="36"/>
      <c r="Y854" s="36"/>
      <c r="Z854" s="36"/>
    </row>
    <row r="855" spans="1:26" ht="14">
      <c r="A855" s="3"/>
      <c r="B855" s="36"/>
      <c r="C855" s="163"/>
      <c r="D855" s="3"/>
      <c r="E855" s="3"/>
      <c r="F855" s="3"/>
      <c r="G855" s="3"/>
      <c r="H855" s="3"/>
      <c r="I855" s="3"/>
      <c r="J855" s="3"/>
      <c r="K855" s="3"/>
      <c r="L855" s="3"/>
      <c r="M855" s="3"/>
      <c r="N855" s="3"/>
      <c r="O855" s="3"/>
      <c r="P855" s="36"/>
      <c r="Q855" s="3"/>
      <c r="R855" s="3"/>
      <c r="S855" s="3"/>
      <c r="T855" s="36"/>
      <c r="U855" s="36"/>
      <c r="V855" s="36"/>
      <c r="W855" s="36"/>
      <c r="X855" s="36"/>
      <c r="Y855" s="36"/>
      <c r="Z855" s="36"/>
    </row>
    <row r="856" spans="1:26" ht="14">
      <c r="A856" s="3"/>
      <c r="B856" s="36"/>
      <c r="C856" s="163"/>
      <c r="D856" s="3"/>
      <c r="E856" s="3"/>
      <c r="F856" s="3"/>
      <c r="G856" s="3"/>
      <c r="H856" s="3"/>
      <c r="I856" s="3"/>
      <c r="J856" s="3"/>
      <c r="K856" s="3"/>
      <c r="L856" s="3"/>
      <c r="M856" s="3"/>
      <c r="N856" s="3"/>
      <c r="O856" s="3"/>
      <c r="P856" s="36"/>
      <c r="Q856" s="3"/>
      <c r="R856" s="3"/>
      <c r="S856" s="3"/>
      <c r="T856" s="36"/>
      <c r="U856" s="36"/>
      <c r="V856" s="36"/>
      <c r="W856" s="36"/>
      <c r="X856" s="36"/>
      <c r="Y856" s="36"/>
      <c r="Z856" s="36"/>
    </row>
    <row r="857" spans="1:26" ht="14">
      <c r="A857" s="3"/>
      <c r="B857" s="36"/>
      <c r="C857" s="163"/>
      <c r="D857" s="3"/>
      <c r="E857" s="3"/>
      <c r="F857" s="3"/>
      <c r="G857" s="3"/>
      <c r="H857" s="3"/>
      <c r="I857" s="3"/>
      <c r="J857" s="3"/>
      <c r="K857" s="3"/>
      <c r="L857" s="3"/>
      <c r="M857" s="3"/>
      <c r="N857" s="3"/>
      <c r="O857" s="3"/>
      <c r="P857" s="36"/>
      <c r="Q857" s="3"/>
      <c r="R857" s="3"/>
      <c r="S857" s="3"/>
      <c r="T857" s="36"/>
      <c r="U857" s="36"/>
      <c r="V857" s="36"/>
      <c r="W857" s="36"/>
      <c r="X857" s="36"/>
      <c r="Y857" s="36"/>
      <c r="Z857" s="36"/>
    </row>
    <row r="858" spans="1:26" ht="14">
      <c r="A858" s="3"/>
      <c r="B858" s="36"/>
      <c r="C858" s="163"/>
      <c r="D858" s="3"/>
      <c r="E858" s="3"/>
      <c r="F858" s="3"/>
      <c r="G858" s="3"/>
      <c r="H858" s="3"/>
      <c r="I858" s="3"/>
      <c r="J858" s="3"/>
      <c r="K858" s="3"/>
      <c r="L858" s="3"/>
      <c r="M858" s="3"/>
      <c r="N858" s="3"/>
      <c r="O858" s="3"/>
      <c r="P858" s="36"/>
      <c r="Q858" s="3"/>
      <c r="R858" s="3"/>
      <c r="S858" s="3"/>
      <c r="T858" s="36"/>
      <c r="U858" s="36"/>
      <c r="V858" s="36"/>
      <c r="W858" s="36"/>
      <c r="X858" s="36"/>
      <c r="Y858" s="36"/>
      <c r="Z858" s="36"/>
    </row>
    <row r="859" spans="1:26" ht="14">
      <c r="A859" s="3"/>
      <c r="B859" s="36"/>
      <c r="C859" s="163"/>
      <c r="D859" s="3"/>
      <c r="E859" s="3"/>
      <c r="F859" s="3"/>
      <c r="G859" s="3"/>
      <c r="H859" s="3"/>
      <c r="I859" s="3"/>
      <c r="J859" s="3"/>
      <c r="K859" s="3"/>
      <c r="L859" s="3"/>
      <c r="M859" s="3"/>
      <c r="N859" s="3"/>
      <c r="O859" s="3"/>
      <c r="P859" s="36"/>
      <c r="Q859" s="3"/>
      <c r="R859" s="3"/>
      <c r="S859" s="3"/>
      <c r="T859" s="36"/>
      <c r="U859" s="36"/>
      <c r="V859" s="36"/>
      <c r="W859" s="36"/>
      <c r="X859" s="36"/>
      <c r="Y859" s="36"/>
      <c r="Z859" s="36"/>
    </row>
    <row r="860" spans="1:26" ht="14">
      <c r="A860" s="3"/>
      <c r="B860" s="36"/>
      <c r="C860" s="163"/>
      <c r="D860" s="3"/>
      <c r="E860" s="3"/>
      <c r="F860" s="3"/>
      <c r="G860" s="3"/>
      <c r="H860" s="3"/>
      <c r="I860" s="3"/>
      <c r="J860" s="3"/>
      <c r="K860" s="3"/>
      <c r="L860" s="3"/>
      <c r="M860" s="3"/>
      <c r="N860" s="3"/>
      <c r="O860" s="3"/>
      <c r="P860" s="36"/>
      <c r="Q860" s="3"/>
      <c r="R860" s="3"/>
      <c r="S860" s="3"/>
      <c r="T860" s="36"/>
      <c r="U860" s="36"/>
      <c r="V860" s="36"/>
      <c r="W860" s="36"/>
      <c r="X860" s="36"/>
      <c r="Y860" s="36"/>
      <c r="Z860" s="36"/>
    </row>
    <row r="861" spans="1:26" ht="14">
      <c r="A861" s="3"/>
      <c r="B861" s="36"/>
      <c r="C861" s="163"/>
      <c r="D861" s="3"/>
      <c r="E861" s="3"/>
      <c r="F861" s="3"/>
      <c r="G861" s="3"/>
      <c r="H861" s="3"/>
      <c r="I861" s="3"/>
      <c r="J861" s="3"/>
      <c r="K861" s="3"/>
      <c r="L861" s="3"/>
      <c r="M861" s="3"/>
      <c r="N861" s="3"/>
      <c r="O861" s="3"/>
      <c r="P861" s="36"/>
      <c r="Q861" s="3"/>
      <c r="R861" s="3"/>
      <c r="S861" s="3"/>
      <c r="T861" s="36"/>
      <c r="U861" s="36"/>
      <c r="V861" s="36"/>
      <c r="W861" s="36"/>
      <c r="X861" s="36"/>
      <c r="Y861" s="36"/>
      <c r="Z861" s="36"/>
    </row>
    <row r="862" spans="1:26" ht="14">
      <c r="A862" s="3"/>
      <c r="B862" s="36"/>
      <c r="C862" s="163"/>
      <c r="D862" s="3"/>
      <c r="E862" s="3"/>
      <c r="F862" s="3"/>
      <c r="G862" s="3"/>
      <c r="H862" s="3"/>
      <c r="I862" s="3"/>
      <c r="J862" s="3"/>
      <c r="K862" s="3"/>
      <c r="L862" s="3"/>
      <c r="M862" s="3"/>
      <c r="N862" s="3"/>
      <c r="O862" s="3"/>
      <c r="P862" s="36"/>
      <c r="Q862" s="3"/>
      <c r="R862" s="3"/>
      <c r="S862" s="3"/>
      <c r="T862" s="36"/>
      <c r="U862" s="36"/>
      <c r="V862" s="36"/>
      <c r="W862" s="36"/>
      <c r="X862" s="36"/>
      <c r="Y862" s="36"/>
      <c r="Z862" s="36"/>
    </row>
    <row r="863" spans="1:26" ht="14">
      <c r="A863" s="3"/>
      <c r="B863" s="36"/>
      <c r="C863" s="163"/>
      <c r="D863" s="3"/>
      <c r="E863" s="3"/>
      <c r="F863" s="3"/>
      <c r="G863" s="3"/>
      <c r="H863" s="3"/>
      <c r="I863" s="3"/>
      <c r="J863" s="3"/>
      <c r="K863" s="3"/>
      <c r="L863" s="3"/>
      <c r="M863" s="3"/>
      <c r="N863" s="3"/>
      <c r="O863" s="3"/>
      <c r="P863" s="36"/>
      <c r="Q863" s="3"/>
      <c r="R863" s="3"/>
      <c r="S863" s="3"/>
      <c r="T863" s="36"/>
      <c r="U863" s="36"/>
      <c r="V863" s="36"/>
      <c r="W863" s="36"/>
      <c r="X863" s="36"/>
      <c r="Y863" s="36"/>
      <c r="Z863" s="36"/>
    </row>
    <row r="864" spans="1:26" ht="14">
      <c r="A864" s="3"/>
      <c r="B864" s="36"/>
      <c r="C864" s="163"/>
      <c r="D864" s="3"/>
      <c r="E864" s="3"/>
      <c r="F864" s="3"/>
      <c r="G864" s="3"/>
      <c r="H864" s="3"/>
      <c r="I864" s="3"/>
      <c r="J864" s="3"/>
      <c r="K864" s="3"/>
      <c r="L864" s="3"/>
      <c r="M864" s="3"/>
      <c r="N864" s="3"/>
      <c r="O864" s="3"/>
      <c r="P864" s="36"/>
      <c r="Q864" s="3"/>
      <c r="R864" s="3"/>
      <c r="S864" s="3"/>
      <c r="T864" s="36"/>
      <c r="U864" s="36"/>
      <c r="V864" s="36"/>
      <c r="W864" s="36"/>
      <c r="X864" s="36"/>
      <c r="Y864" s="36"/>
      <c r="Z864" s="36"/>
    </row>
    <row r="865" spans="1:26" ht="14">
      <c r="A865" s="3"/>
      <c r="B865" s="36"/>
      <c r="C865" s="163"/>
      <c r="D865" s="3"/>
      <c r="E865" s="3"/>
      <c r="F865" s="3"/>
      <c r="G865" s="3"/>
      <c r="H865" s="3"/>
      <c r="I865" s="3"/>
      <c r="J865" s="3"/>
      <c r="K865" s="3"/>
      <c r="L865" s="3"/>
      <c r="M865" s="3"/>
      <c r="N865" s="3"/>
      <c r="O865" s="3"/>
      <c r="P865" s="36"/>
      <c r="Q865" s="3"/>
      <c r="R865" s="3"/>
      <c r="S865" s="3"/>
      <c r="T865" s="36"/>
      <c r="U865" s="36"/>
      <c r="V865" s="36"/>
      <c r="W865" s="36"/>
      <c r="X865" s="36"/>
      <c r="Y865" s="36"/>
      <c r="Z865" s="36"/>
    </row>
    <row r="866" spans="1:26" ht="14">
      <c r="A866" s="3"/>
      <c r="B866" s="36"/>
      <c r="C866" s="163"/>
      <c r="D866" s="3"/>
      <c r="E866" s="3"/>
      <c r="F866" s="3"/>
      <c r="G866" s="3"/>
      <c r="H866" s="3"/>
      <c r="I866" s="3"/>
      <c r="J866" s="3"/>
      <c r="K866" s="3"/>
      <c r="L866" s="3"/>
      <c r="M866" s="3"/>
      <c r="N866" s="3"/>
      <c r="O866" s="3"/>
      <c r="P866" s="36"/>
      <c r="Q866" s="3"/>
      <c r="R866" s="3"/>
      <c r="S866" s="3"/>
      <c r="T866" s="36"/>
      <c r="U866" s="36"/>
      <c r="V866" s="36"/>
      <c r="W866" s="36"/>
      <c r="X866" s="36"/>
      <c r="Y866" s="36"/>
      <c r="Z866" s="36"/>
    </row>
    <row r="867" spans="1:26" ht="14">
      <c r="A867" s="3"/>
      <c r="B867" s="36"/>
      <c r="C867" s="163"/>
      <c r="D867" s="3"/>
      <c r="E867" s="3"/>
      <c r="F867" s="3"/>
      <c r="G867" s="3"/>
      <c r="H867" s="3"/>
      <c r="I867" s="3"/>
      <c r="J867" s="3"/>
      <c r="K867" s="3"/>
      <c r="L867" s="3"/>
      <c r="M867" s="3"/>
      <c r="N867" s="3"/>
      <c r="O867" s="3"/>
      <c r="P867" s="36"/>
      <c r="Q867" s="3"/>
      <c r="R867" s="3"/>
      <c r="S867" s="3"/>
      <c r="T867" s="36"/>
      <c r="U867" s="36"/>
      <c r="V867" s="36"/>
      <c r="W867" s="36"/>
      <c r="X867" s="36"/>
      <c r="Y867" s="36"/>
      <c r="Z867" s="36"/>
    </row>
    <row r="868" spans="1:26" ht="14">
      <c r="A868" s="3"/>
      <c r="B868" s="36"/>
      <c r="C868" s="163"/>
      <c r="D868" s="3"/>
      <c r="E868" s="3"/>
      <c r="F868" s="3"/>
      <c r="G868" s="3"/>
      <c r="H868" s="3"/>
      <c r="I868" s="3"/>
      <c r="J868" s="3"/>
      <c r="K868" s="3"/>
      <c r="L868" s="3"/>
      <c r="M868" s="3"/>
      <c r="N868" s="3"/>
      <c r="O868" s="3"/>
      <c r="P868" s="36"/>
      <c r="Q868" s="3"/>
      <c r="R868" s="3"/>
      <c r="S868" s="3"/>
      <c r="T868" s="36"/>
      <c r="U868" s="36"/>
      <c r="V868" s="36"/>
      <c r="W868" s="36"/>
      <c r="X868" s="36"/>
      <c r="Y868" s="36"/>
      <c r="Z868" s="36"/>
    </row>
    <row r="869" spans="1:26" ht="14">
      <c r="A869" s="3"/>
      <c r="B869" s="36"/>
      <c r="C869" s="163"/>
      <c r="D869" s="3"/>
      <c r="E869" s="3"/>
      <c r="F869" s="3"/>
      <c r="G869" s="3"/>
      <c r="H869" s="3"/>
      <c r="I869" s="3"/>
      <c r="J869" s="3"/>
      <c r="K869" s="3"/>
      <c r="L869" s="3"/>
      <c r="M869" s="3"/>
      <c r="N869" s="3"/>
      <c r="O869" s="3"/>
      <c r="P869" s="36"/>
      <c r="Q869" s="3"/>
      <c r="R869" s="3"/>
      <c r="S869" s="3"/>
      <c r="T869" s="36"/>
      <c r="U869" s="36"/>
      <c r="V869" s="36"/>
      <c r="W869" s="36"/>
      <c r="X869" s="36"/>
      <c r="Y869" s="36"/>
      <c r="Z869" s="36"/>
    </row>
    <row r="870" spans="1:26" ht="14">
      <c r="A870" s="3"/>
      <c r="B870" s="36"/>
      <c r="C870" s="163"/>
      <c r="D870" s="3"/>
      <c r="E870" s="3"/>
      <c r="F870" s="3"/>
      <c r="G870" s="3"/>
      <c r="H870" s="3"/>
      <c r="I870" s="3"/>
      <c r="J870" s="3"/>
      <c r="K870" s="3"/>
      <c r="L870" s="3"/>
      <c r="M870" s="3"/>
      <c r="N870" s="3"/>
      <c r="O870" s="3"/>
      <c r="P870" s="36"/>
      <c r="Q870" s="3"/>
      <c r="R870" s="3"/>
      <c r="S870" s="3"/>
      <c r="T870" s="36"/>
      <c r="U870" s="36"/>
      <c r="V870" s="36"/>
      <c r="W870" s="36"/>
      <c r="X870" s="36"/>
      <c r="Y870" s="36"/>
      <c r="Z870" s="36"/>
    </row>
    <row r="871" spans="1:26" ht="14">
      <c r="A871" s="3"/>
      <c r="B871" s="36"/>
      <c r="C871" s="163"/>
      <c r="D871" s="3"/>
      <c r="E871" s="3"/>
      <c r="F871" s="3"/>
      <c r="G871" s="3"/>
      <c r="H871" s="3"/>
      <c r="I871" s="3"/>
      <c r="J871" s="3"/>
      <c r="K871" s="3"/>
      <c r="L871" s="3"/>
      <c r="M871" s="3"/>
      <c r="N871" s="3"/>
      <c r="O871" s="3"/>
      <c r="P871" s="36"/>
      <c r="Q871" s="3"/>
      <c r="R871" s="3"/>
      <c r="S871" s="3"/>
      <c r="T871" s="36"/>
      <c r="U871" s="36"/>
      <c r="V871" s="36"/>
      <c r="W871" s="36"/>
      <c r="X871" s="36"/>
      <c r="Y871" s="36"/>
      <c r="Z871" s="36"/>
    </row>
    <row r="872" spans="1:26" ht="14">
      <c r="A872" s="3"/>
      <c r="B872" s="36"/>
      <c r="C872" s="163"/>
      <c r="D872" s="3"/>
      <c r="E872" s="3"/>
      <c r="F872" s="3"/>
      <c r="G872" s="3"/>
      <c r="H872" s="3"/>
      <c r="I872" s="3"/>
      <c r="J872" s="3"/>
      <c r="K872" s="3"/>
      <c r="L872" s="3"/>
      <c r="M872" s="3"/>
      <c r="N872" s="3"/>
      <c r="O872" s="3"/>
      <c r="P872" s="36"/>
      <c r="Q872" s="3"/>
      <c r="R872" s="3"/>
      <c r="S872" s="3"/>
      <c r="T872" s="36"/>
      <c r="U872" s="36"/>
      <c r="V872" s="36"/>
      <c r="W872" s="36"/>
      <c r="X872" s="36"/>
      <c r="Y872" s="36"/>
      <c r="Z872" s="36"/>
    </row>
    <row r="873" spans="1:26" ht="14">
      <c r="A873" s="3"/>
      <c r="B873" s="36"/>
      <c r="C873" s="163"/>
      <c r="D873" s="3"/>
      <c r="E873" s="3"/>
      <c r="F873" s="3"/>
      <c r="G873" s="3"/>
      <c r="H873" s="3"/>
      <c r="I873" s="3"/>
      <c r="J873" s="3"/>
      <c r="K873" s="3"/>
      <c r="L873" s="3"/>
      <c r="M873" s="3"/>
      <c r="N873" s="3"/>
      <c r="O873" s="3"/>
      <c r="P873" s="36"/>
      <c r="Q873" s="3"/>
      <c r="R873" s="3"/>
      <c r="S873" s="3"/>
      <c r="T873" s="36"/>
      <c r="U873" s="36"/>
      <c r="V873" s="36"/>
      <c r="W873" s="36"/>
      <c r="X873" s="36"/>
      <c r="Y873" s="36"/>
      <c r="Z873" s="36"/>
    </row>
    <row r="874" spans="1:26" ht="14">
      <c r="A874" s="3"/>
      <c r="B874" s="36"/>
      <c r="C874" s="163"/>
      <c r="D874" s="3"/>
      <c r="E874" s="3"/>
      <c r="F874" s="3"/>
      <c r="G874" s="3"/>
      <c r="H874" s="3"/>
      <c r="I874" s="3"/>
      <c r="J874" s="3"/>
      <c r="K874" s="3"/>
      <c r="L874" s="3"/>
      <c r="M874" s="3"/>
      <c r="N874" s="3"/>
      <c r="O874" s="3"/>
      <c r="P874" s="36"/>
      <c r="Q874" s="3"/>
      <c r="R874" s="3"/>
      <c r="S874" s="3"/>
      <c r="T874" s="36"/>
      <c r="U874" s="36"/>
      <c r="V874" s="36"/>
      <c r="W874" s="36"/>
      <c r="X874" s="36"/>
      <c r="Y874" s="36"/>
      <c r="Z874" s="36"/>
    </row>
    <row r="875" spans="1:26" ht="14">
      <c r="A875" s="3"/>
      <c r="B875" s="36"/>
      <c r="C875" s="163"/>
      <c r="D875" s="3"/>
      <c r="E875" s="3"/>
      <c r="F875" s="3"/>
      <c r="G875" s="3"/>
      <c r="H875" s="3"/>
      <c r="I875" s="3"/>
      <c r="J875" s="3"/>
      <c r="K875" s="3"/>
      <c r="L875" s="3"/>
      <c r="M875" s="3"/>
      <c r="N875" s="3"/>
      <c r="O875" s="3"/>
      <c r="P875" s="36"/>
      <c r="Q875" s="3"/>
      <c r="R875" s="3"/>
      <c r="S875" s="3"/>
      <c r="T875" s="36"/>
      <c r="U875" s="36"/>
      <c r="V875" s="36"/>
      <c r="W875" s="36"/>
      <c r="X875" s="36"/>
      <c r="Y875" s="36"/>
      <c r="Z875" s="36"/>
    </row>
    <row r="876" spans="1:26" ht="14">
      <c r="A876" s="3"/>
      <c r="B876" s="36"/>
      <c r="C876" s="163"/>
      <c r="D876" s="3"/>
      <c r="E876" s="3"/>
      <c r="F876" s="3"/>
      <c r="G876" s="3"/>
      <c r="H876" s="3"/>
      <c r="I876" s="3"/>
      <c r="J876" s="3"/>
      <c r="K876" s="3"/>
      <c r="L876" s="3"/>
      <c r="M876" s="3"/>
      <c r="N876" s="3"/>
      <c r="O876" s="3"/>
      <c r="P876" s="36"/>
      <c r="Q876" s="3"/>
      <c r="R876" s="3"/>
      <c r="S876" s="3"/>
      <c r="T876" s="36"/>
      <c r="U876" s="36"/>
      <c r="V876" s="36"/>
      <c r="W876" s="36"/>
      <c r="X876" s="36"/>
      <c r="Y876" s="36"/>
      <c r="Z876" s="36"/>
    </row>
    <row r="877" spans="1:26" ht="14">
      <c r="A877" s="3"/>
      <c r="B877" s="36"/>
      <c r="C877" s="163"/>
      <c r="D877" s="3"/>
      <c r="E877" s="3"/>
      <c r="F877" s="3"/>
      <c r="G877" s="3"/>
      <c r="H877" s="3"/>
      <c r="I877" s="3"/>
      <c r="J877" s="3"/>
      <c r="K877" s="3"/>
      <c r="L877" s="3"/>
      <c r="M877" s="3"/>
      <c r="N877" s="3"/>
      <c r="O877" s="3"/>
      <c r="P877" s="36"/>
      <c r="Q877" s="3"/>
      <c r="R877" s="3"/>
      <c r="S877" s="3"/>
      <c r="T877" s="36"/>
      <c r="U877" s="36"/>
      <c r="V877" s="36"/>
      <c r="W877" s="36"/>
      <c r="X877" s="36"/>
      <c r="Y877" s="36"/>
      <c r="Z877" s="36"/>
    </row>
    <row r="878" spans="1:26" ht="14">
      <c r="A878" s="3"/>
      <c r="B878" s="36"/>
      <c r="C878" s="163"/>
      <c r="D878" s="3"/>
      <c r="E878" s="3"/>
      <c r="F878" s="3"/>
      <c r="G878" s="3"/>
      <c r="H878" s="3"/>
      <c r="I878" s="3"/>
      <c r="J878" s="3"/>
      <c r="K878" s="3"/>
      <c r="L878" s="3"/>
      <c r="M878" s="3"/>
      <c r="N878" s="3"/>
      <c r="O878" s="3"/>
      <c r="P878" s="36"/>
      <c r="Q878" s="3"/>
      <c r="R878" s="3"/>
      <c r="S878" s="3"/>
      <c r="T878" s="36"/>
      <c r="U878" s="36"/>
      <c r="V878" s="36"/>
      <c r="W878" s="36"/>
      <c r="X878" s="36"/>
      <c r="Y878" s="36"/>
      <c r="Z878" s="36"/>
    </row>
    <row r="879" spans="1:26" ht="14">
      <c r="A879" s="3"/>
      <c r="B879" s="36"/>
      <c r="C879" s="163"/>
      <c r="D879" s="3"/>
      <c r="E879" s="3"/>
      <c r="F879" s="3"/>
      <c r="G879" s="3"/>
      <c r="H879" s="3"/>
      <c r="I879" s="3"/>
      <c r="J879" s="3"/>
      <c r="K879" s="3"/>
      <c r="L879" s="3"/>
      <c r="M879" s="3"/>
      <c r="N879" s="3"/>
      <c r="O879" s="3"/>
      <c r="P879" s="36"/>
      <c r="Q879" s="3"/>
      <c r="R879" s="3"/>
      <c r="S879" s="3"/>
      <c r="T879" s="36"/>
      <c r="U879" s="36"/>
      <c r="V879" s="36"/>
      <c r="W879" s="36"/>
      <c r="X879" s="36"/>
      <c r="Y879" s="36"/>
      <c r="Z879" s="36"/>
    </row>
    <row r="880" spans="1:26" ht="14">
      <c r="A880" s="3"/>
      <c r="B880" s="36"/>
      <c r="C880" s="163"/>
      <c r="D880" s="3"/>
      <c r="E880" s="3"/>
      <c r="F880" s="3"/>
      <c r="G880" s="3"/>
      <c r="H880" s="3"/>
      <c r="I880" s="3"/>
      <c r="J880" s="3"/>
      <c r="K880" s="3"/>
      <c r="L880" s="3"/>
      <c r="M880" s="3"/>
      <c r="N880" s="3"/>
      <c r="O880" s="3"/>
      <c r="P880" s="36"/>
      <c r="Q880" s="3"/>
      <c r="R880" s="3"/>
      <c r="S880" s="3"/>
      <c r="T880" s="36"/>
      <c r="U880" s="36"/>
      <c r="V880" s="36"/>
      <c r="W880" s="36"/>
      <c r="X880" s="36"/>
      <c r="Y880" s="36"/>
      <c r="Z880" s="36"/>
    </row>
    <row r="881" spans="1:26" ht="14">
      <c r="A881" s="3"/>
      <c r="B881" s="36"/>
      <c r="C881" s="163"/>
      <c r="D881" s="3"/>
      <c r="E881" s="3"/>
      <c r="F881" s="3"/>
      <c r="G881" s="3"/>
      <c r="H881" s="3"/>
      <c r="I881" s="3"/>
      <c r="J881" s="3"/>
      <c r="K881" s="3"/>
      <c r="L881" s="3"/>
      <c r="M881" s="3"/>
      <c r="N881" s="3"/>
      <c r="O881" s="3"/>
      <c r="P881" s="36"/>
      <c r="Q881" s="3"/>
      <c r="R881" s="3"/>
      <c r="S881" s="3"/>
      <c r="T881" s="36"/>
      <c r="U881" s="36"/>
      <c r="V881" s="36"/>
      <c r="W881" s="36"/>
      <c r="X881" s="36"/>
      <c r="Y881" s="36"/>
      <c r="Z881" s="36"/>
    </row>
    <row r="882" spans="1:26" ht="14">
      <c r="A882" s="3"/>
      <c r="B882" s="36"/>
      <c r="C882" s="163"/>
      <c r="D882" s="3"/>
      <c r="E882" s="3"/>
      <c r="F882" s="3"/>
      <c r="G882" s="3"/>
      <c r="H882" s="3"/>
      <c r="I882" s="3"/>
      <c r="J882" s="3"/>
      <c r="K882" s="3"/>
      <c r="L882" s="3"/>
      <c r="M882" s="3"/>
      <c r="N882" s="3"/>
      <c r="O882" s="3"/>
      <c r="P882" s="36"/>
      <c r="Q882" s="3"/>
      <c r="R882" s="3"/>
      <c r="S882" s="3"/>
      <c r="T882" s="36"/>
      <c r="U882" s="36"/>
      <c r="V882" s="36"/>
      <c r="W882" s="36"/>
      <c r="X882" s="36"/>
      <c r="Y882" s="36"/>
      <c r="Z882" s="36"/>
    </row>
    <row r="883" spans="1:26" ht="14">
      <c r="A883" s="3"/>
      <c r="B883" s="36"/>
      <c r="C883" s="163"/>
      <c r="D883" s="3"/>
      <c r="E883" s="3"/>
      <c r="F883" s="3"/>
      <c r="G883" s="3"/>
      <c r="H883" s="3"/>
      <c r="I883" s="3"/>
      <c r="J883" s="3"/>
      <c r="K883" s="3"/>
      <c r="L883" s="3"/>
      <c r="M883" s="3"/>
      <c r="N883" s="3"/>
      <c r="O883" s="3"/>
      <c r="P883" s="36"/>
      <c r="Q883" s="3"/>
      <c r="R883" s="3"/>
      <c r="S883" s="3"/>
      <c r="T883" s="36"/>
      <c r="U883" s="36"/>
      <c r="V883" s="36"/>
      <c r="W883" s="36"/>
      <c r="X883" s="36"/>
      <c r="Y883" s="36"/>
      <c r="Z883" s="36"/>
    </row>
    <row r="884" spans="1:26" ht="14">
      <c r="A884" s="3"/>
      <c r="B884" s="36"/>
      <c r="C884" s="163"/>
      <c r="D884" s="3"/>
      <c r="E884" s="3"/>
      <c r="F884" s="3"/>
      <c r="G884" s="3"/>
      <c r="H884" s="3"/>
      <c r="I884" s="3"/>
      <c r="J884" s="3"/>
      <c r="K884" s="3"/>
      <c r="L884" s="3"/>
      <c r="M884" s="3"/>
      <c r="N884" s="3"/>
      <c r="O884" s="3"/>
      <c r="P884" s="36"/>
      <c r="Q884" s="3"/>
      <c r="R884" s="3"/>
      <c r="S884" s="3"/>
      <c r="T884" s="36"/>
      <c r="U884" s="36"/>
      <c r="V884" s="36"/>
      <c r="W884" s="36"/>
      <c r="X884" s="36"/>
      <c r="Y884" s="36"/>
      <c r="Z884" s="36"/>
    </row>
    <row r="885" spans="1:26" ht="14">
      <c r="A885" s="3"/>
      <c r="B885" s="36"/>
      <c r="C885" s="163"/>
      <c r="D885" s="3"/>
      <c r="E885" s="3"/>
      <c r="F885" s="3"/>
      <c r="G885" s="3"/>
      <c r="H885" s="3"/>
      <c r="I885" s="3"/>
      <c r="J885" s="3"/>
      <c r="K885" s="3"/>
      <c r="L885" s="3"/>
      <c r="M885" s="3"/>
      <c r="N885" s="3"/>
      <c r="O885" s="3"/>
      <c r="P885" s="36"/>
      <c r="Q885" s="3"/>
      <c r="R885" s="3"/>
      <c r="S885" s="3"/>
      <c r="T885" s="36"/>
      <c r="U885" s="36"/>
      <c r="V885" s="36"/>
      <c r="W885" s="36"/>
      <c r="X885" s="36"/>
      <c r="Y885" s="36"/>
      <c r="Z885" s="36"/>
    </row>
    <row r="886" spans="1:26" ht="14">
      <c r="A886" s="3"/>
      <c r="B886" s="36"/>
      <c r="C886" s="163"/>
      <c r="D886" s="3"/>
      <c r="E886" s="3"/>
      <c r="F886" s="3"/>
      <c r="G886" s="3"/>
      <c r="H886" s="3"/>
      <c r="I886" s="3"/>
      <c r="J886" s="3"/>
      <c r="K886" s="3"/>
      <c r="L886" s="3"/>
      <c r="M886" s="3"/>
      <c r="N886" s="3"/>
      <c r="O886" s="3"/>
      <c r="P886" s="36"/>
      <c r="Q886" s="3"/>
      <c r="R886" s="3"/>
      <c r="S886" s="3"/>
      <c r="T886" s="36"/>
      <c r="U886" s="36"/>
      <c r="V886" s="36"/>
      <c r="W886" s="36"/>
      <c r="X886" s="36"/>
      <c r="Y886" s="36"/>
      <c r="Z886" s="36"/>
    </row>
    <row r="887" spans="1:26" ht="14">
      <c r="A887" s="3"/>
      <c r="B887" s="36"/>
      <c r="C887" s="163"/>
      <c r="D887" s="3"/>
      <c r="E887" s="3"/>
      <c r="F887" s="3"/>
      <c r="G887" s="3"/>
      <c r="H887" s="3"/>
      <c r="I887" s="3"/>
      <c r="J887" s="3"/>
      <c r="K887" s="3"/>
      <c r="L887" s="3"/>
      <c r="M887" s="3"/>
      <c r="N887" s="3"/>
      <c r="O887" s="3"/>
      <c r="P887" s="36"/>
      <c r="Q887" s="3"/>
      <c r="R887" s="3"/>
      <c r="S887" s="3"/>
      <c r="T887" s="36"/>
      <c r="U887" s="36"/>
      <c r="V887" s="36"/>
      <c r="W887" s="36"/>
      <c r="X887" s="36"/>
      <c r="Y887" s="36"/>
      <c r="Z887" s="36"/>
    </row>
    <row r="888" spans="1:26" ht="14">
      <c r="A888" s="3"/>
      <c r="B888" s="36"/>
      <c r="C888" s="163"/>
      <c r="D888" s="3"/>
      <c r="E888" s="3"/>
      <c r="F888" s="3"/>
      <c r="G888" s="3"/>
      <c r="H888" s="3"/>
      <c r="I888" s="3"/>
      <c r="J888" s="3"/>
      <c r="K888" s="3"/>
      <c r="L888" s="3"/>
      <c r="M888" s="3"/>
      <c r="N888" s="3"/>
      <c r="O888" s="3"/>
      <c r="P888" s="36"/>
      <c r="Q888" s="3"/>
      <c r="R888" s="3"/>
      <c r="S888" s="3"/>
      <c r="T888" s="36"/>
      <c r="U888" s="36"/>
      <c r="V888" s="36"/>
      <c r="W888" s="36"/>
      <c r="X888" s="36"/>
      <c r="Y888" s="36"/>
      <c r="Z888" s="36"/>
    </row>
    <row r="889" spans="1:26" ht="14">
      <c r="A889" s="3"/>
      <c r="B889" s="36"/>
      <c r="C889" s="163"/>
      <c r="D889" s="3"/>
      <c r="E889" s="3"/>
      <c r="F889" s="3"/>
      <c r="G889" s="3"/>
      <c r="H889" s="3"/>
      <c r="I889" s="3"/>
      <c r="J889" s="3"/>
      <c r="K889" s="3"/>
      <c r="L889" s="3"/>
      <c r="M889" s="3"/>
      <c r="N889" s="3"/>
      <c r="O889" s="3"/>
      <c r="P889" s="36"/>
      <c r="Q889" s="3"/>
      <c r="R889" s="3"/>
      <c r="S889" s="3"/>
      <c r="T889" s="36"/>
      <c r="U889" s="36"/>
      <c r="V889" s="36"/>
      <c r="W889" s="36"/>
      <c r="X889" s="36"/>
      <c r="Y889" s="36"/>
      <c r="Z889" s="36"/>
    </row>
    <row r="890" spans="1:26" ht="14">
      <c r="A890" s="3"/>
      <c r="B890" s="36"/>
      <c r="C890" s="163"/>
      <c r="D890" s="3"/>
      <c r="E890" s="3"/>
      <c r="F890" s="3"/>
      <c r="G890" s="3"/>
      <c r="H890" s="3"/>
      <c r="I890" s="3"/>
      <c r="J890" s="3"/>
      <c r="K890" s="3"/>
      <c r="L890" s="3"/>
      <c r="M890" s="3"/>
      <c r="N890" s="3"/>
      <c r="O890" s="3"/>
      <c r="P890" s="36"/>
      <c r="Q890" s="3"/>
      <c r="R890" s="3"/>
      <c r="S890" s="3"/>
      <c r="T890" s="36"/>
      <c r="U890" s="36"/>
      <c r="V890" s="36"/>
      <c r="W890" s="36"/>
      <c r="X890" s="36"/>
      <c r="Y890" s="36"/>
      <c r="Z890" s="36"/>
    </row>
    <row r="891" spans="1:26" ht="14">
      <c r="A891" s="3"/>
      <c r="B891" s="36"/>
      <c r="C891" s="163"/>
      <c r="D891" s="3"/>
      <c r="E891" s="3"/>
      <c r="F891" s="3"/>
      <c r="G891" s="3"/>
      <c r="H891" s="3"/>
      <c r="I891" s="3"/>
      <c r="J891" s="3"/>
      <c r="K891" s="3"/>
      <c r="L891" s="3"/>
      <c r="M891" s="3"/>
      <c r="N891" s="3"/>
      <c r="O891" s="3"/>
      <c r="P891" s="36"/>
      <c r="Q891" s="3"/>
      <c r="R891" s="3"/>
      <c r="S891" s="3"/>
      <c r="T891" s="36"/>
      <c r="U891" s="36"/>
      <c r="V891" s="36"/>
      <c r="W891" s="36"/>
      <c r="X891" s="36"/>
      <c r="Y891" s="36"/>
      <c r="Z891" s="36"/>
    </row>
    <row r="892" spans="1:26" ht="14">
      <c r="A892" s="3"/>
      <c r="B892" s="36"/>
      <c r="C892" s="163"/>
      <c r="D892" s="3"/>
      <c r="E892" s="3"/>
      <c r="F892" s="3"/>
      <c r="G892" s="3"/>
      <c r="H892" s="3"/>
      <c r="I892" s="3"/>
      <c r="J892" s="3"/>
      <c r="K892" s="3"/>
      <c r="L892" s="3"/>
      <c r="M892" s="3"/>
      <c r="N892" s="3"/>
      <c r="O892" s="3"/>
      <c r="P892" s="36"/>
      <c r="Q892" s="3"/>
      <c r="R892" s="3"/>
      <c r="S892" s="3"/>
      <c r="T892" s="36"/>
      <c r="U892" s="36"/>
      <c r="V892" s="36"/>
      <c r="W892" s="36"/>
      <c r="X892" s="36"/>
      <c r="Y892" s="36"/>
      <c r="Z892" s="36"/>
    </row>
    <row r="893" spans="1:26" ht="14">
      <c r="A893" s="3"/>
      <c r="B893" s="36"/>
      <c r="C893" s="163"/>
      <c r="D893" s="3"/>
      <c r="E893" s="3"/>
      <c r="F893" s="3"/>
      <c r="G893" s="3"/>
      <c r="H893" s="3"/>
      <c r="I893" s="3"/>
      <c r="J893" s="3"/>
      <c r="K893" s="3"/>
      <c r="L893" s="3"/>
      <c r="M893" s="3"/>
      <c r="N893" s="3"/>
      <c r="O893" s="3"/>
      <c r="P893" s="36"/>
      <c r="Q893" s="3"/>
      <c r="R893" s="3"/>
      <c r="S893" s="3"/>
      <c r="T893" s="36"/>
      <c r="U893" s="36"/>
      <c r="V893" s="36"/>
      <c r="W893" s="36"/>
      <c r="X893" s="36"/>
      <c r="Y893" s="36"/>
      <c r="Z893" s="36"/>
    </row>
    <row r="894" spans="1:26" ht="14">
      <c r="A894" s="3"/>
      <c r="B894" s="36"/>
      <c r="C894" s="163"/>
      <c r="D894" s="3"/>
      <c r="E894" s="3"/>
      <c r="F894" s="3"/>
      <c r="G894" s="3"/>
      <c r="H894" s="3"/>
      <c r="I894" s="3"/>
      <c r="J894" s="3"/>
      <c r="K894" s="3"/>
      <c r="L894" s="3"/>
      <c r="M894" s="3"/>
      <c r="N894" s="3"/>
      <c r="O894" s="3"/>
      <c r="P894" s="36"/>
      <c r="Q894" s="3"/>
      <c r="R894" s="3"/>
      <c r="S894" s="3"/>
      <c r="T894" s="36"/>
      <c r="U894" s="36"/>
      <c r="V894" s="36"/>
      <c r="W894" s="36"/>
      <c r="X894" s="36"/>
      <c r="Y894" s="36"/>
      <c r="Z894" s="36"/>
    </row>
    <row r="895" spans="1:26" ht="14">
      <c r="A895" s="3"/>
      <c r="B895" s="36"/>
      <c r="C895" s="163"/>
      <c r="D895" s="3"/>
      <c r="E895" s="3"/>
      <c r="F895" s="3"/>
      <c r="G895" s="3"/>
      <c r="H895" s="3"/>
      <c r="I895" s="3"/>
      <c r="J895" s="3"/>
      <c r="K895" s="3"/>
      <c r="L895" s="3"/>
      <c r="M895" s="3"/>
      <c r="N895" s="3"/>
      <c r="O895" s="3"/>
      <c r="P895" s="36"/>
      <c r="Q895" s="3"/>
      <c r="R895" s="3"/>
      <c r="S895" s="3"/>
      <c r="T895" s="36"/>
      <c r="U895" s="36"/>
      <c r="V895" s="36"/>
      <c r="W895" s="36"/>
      <c r="X895" s="36"/>
      <c r="Y895" s="36"/>
      <c r="Z895" s="36"/>
    </row>
    <row r="896" spans="1:26" ht="14">
      <c r="A896" s="3"/>
      <c r="B896" s="36"/>
      <c r="C896" s="163"/>
      <c r="D896" s="3"/>
      <c r="E896" s="3"/>
      <c r="F896" s="3"/>
      <c r="G896" s="3"/>
      <c r="H896" s="3"/>
      <c r="I896" s="3"/>
      <c r="J896" s="3"/>
      <c r="K896" s="3"/>
      <c r="L896" s="3"/>
      <c r="M896" s="3"/>
      <c r="N896" s="3"/>
      <c r="O896" s="3"/>
      <c r="P896" s="36"/>
      <c r="Q896" s="3"/>
      <c r="R896" s="3"/>
      <c r="S896" s="3"/>
      <c r="T896" s="36"/>
      <c r="U896" s="36"/>
      <c r="V896" s="36"/>
      <c r="W896" s="36"/>
      <c r="X896" s="36"/>
      <c r="Y896" s="36"/>
      <c r="Z896" s="36"/>
    </row>
    <row r="897" spans="1:26" ht="14">
      <c r="A897" s="3"/>
      <c r="B897" s="36"/>
      <c r="C897" s="163"/>
      <c r="D897" s="3"/>
      <c r="E897" s="3"/>
      <c r="F897" s="3"/>
      <c r="G897" s="3"/>
      <c r="H897" s="3"/>
      <c r="I897" s="3"/>
      <c r="J897" s="3"/>
      <c r="K897" s="3"/>
      <c r="L897" s="3"/>
      <c r="M897" s="3"/>
      <c r="N897" s="3"/>
      <c r="O897" s="3"/>
      <c r="P897" s="36"/>
      <c r="Q897" s="3"/>
      <c r="R897" s="3"/>
      <c r="S897" s="3"/>
      <c r="T897" s="36"/>
      <c r="U897" s="36"/>
      <c r="V897" s="36"/>
      <c r="W897" s="36"/>
      <c r="X897" s="36"/>
      <c r="Y897" s="36"/>
      <c r="Z897" s="36"/>
    </row>
    <row r="898" spans="1:26" ht="14">
      <c r="A898" s="3"/>
      <c r="B898" s="36"/>
      <c r="C898" s="163"/>
      <c r="D898" s="3"/>
      <c r="E898" s="3"/>
      <c r="F898" s="3"/>
      <c r="G898" s="3"/>
      <c r="H898" s="3"/>
      <c r="I898" s="3"/>
      <c r="J898" s="3"/>
      <c r="K898" s="3"/>
      <c r="L898" s="3"/>
      <c r="M898" s="3"/>
      <c r="N898" s="3"/>
      <c r="O898" s="3"/>
      <c r="P898" s="36"/>
      <c r="Q898" s="3"/>
      <c r="R898" s="3"/>
      <c r="S898" s="3"/>
      <c r="T898" s="36"/>
      <c r="U898" s="36"/>
      <c r="V898" s="36"/>
      <c r="W898" s="36"/>
      <c r="X898" s="36"/>
      <c r="Y898" s="36"/>
      <c r="Z898" s="36"/>
    </row>
    <row r="899" spans="1:26" ht="14">
      <c r="A899" s="3"/>
      <c r="B899" s="36"/>
      <c r="C899" s="163"/>
      <c r="D899" s="3"/>
      <c r="E899" s="3"/>
      <c r="F899" s="3"/>
      <c r="G899" s="3"/>
      <c r="H899" s="3"/>
      <c r="I899" s="3"/>
      <c r="J899" s="3"/>
      <c r="K899" s="3"/>
      <c r="L899" s="3"/>
      <c r="M899" s="3"/>
      <c r="N899" s="3"/>
      <c r="O899" s="3"/>
      <c r="P899" s="36"/>
      <c r="Q899" s="3"/>
      <c r="R899" s="3"/>
      <c r="S899" s="3"/>
      <c r="T899" s="36"/>
      <c r="U899" s="36"/>
      <c r="V899" s="36"/>
      <c r="W899" s="36"/>
      <c r="X899" s="36"/>
      <c r="Y899" s="36"/>
      <c r="Z899" s="36"/>
    </row>
    <row r="900" spans="1:26" ht="14">
      <c r="A900" s="3"/>
      <c r="B900" s="36"/>
      <c r="C900" s="163"/>
      <c r="D900" s="3"/>
      <c r="E900" s="3"/>
      <c r="F900" s="3"/>
      <c r="G900" s="3"/>
      <c r="H900" s="3"/>
      <c r="I900" s="3"/>
      <c r="J900" s="3"/>
      <c r="K900" s="3"/>
      <c r="L900" s="3"/>
      <c r="M900" s="3"/>
      <c r="N900" s="3"/>
      <c r="O900" s="3"/>
      <c r="P900" s="36"/>
      <c r="Q900" s="3"/>
      <c r="R900" s="3"/>
      <c r="S900" s="3"/>
      <c r="T900" s="36"/>
      <c r="U900" s="36"/>
      <c r="V900" s="36"/>
      <c r="W900" s="36"/>
      <c r="X900" s="36"/>
      <c r="Y900" s="36"/>
      <c r="Z900" s="36"/>
    </row>
    <row r="901" spans="1:26" ht="14">
      <c r="A901" s="3"/>
      <c r="B901" s="36"/>
      <c r="C901" s="163"/>
      <c r="D901" s="3"/>
      <c r="E901" s="3"/>
      <c r="F901" s="3"/>
      <c r="G901" s="3"/>
      <c r="H901" s="3"/>
      <c r="I901" s="3"/>
      <c r="J901" s="3"/>
      <c r="K901" s="3"/>
      <c r="L901" s="3"/>
      <c r="M901" s="3"/>
      <c r="N901" s="3"/>
      <c r="O901" s="3"/>
      <c r="P901" s="36"/>
      <c r="Q901" s="3"/>
      <c r="R901" s="3"/>
      <c r="S901" s="3"/>
      <c r="T901" s="36"/>
      <c r="U901" s="36"/>
      <c r="V901" s="36"/>
      <c r="W901" s="36"/>
      <c r="X901" s="36"/>
      <c r="Y901" s="36"/>
      <c r="Z901" s="36"/>
    </row>
    <row r="902" spans="1:26" ht="14">
      <c r="A902" s="3"/>
      <c r="B902" s="36"/>
      <c r="C902" s="163"/>
      <c r="D902" s="3"/>
      <c r="E902" s="3"/>
      <c r="F902" s="3"/>
      <c r="G902" s="3"/>
      <c r="H902" s="3"/>
      <c r="I902" s="3"/>
      <c r="J902" s="3"/>
      <c r="K902" s="3"/>
      <c r="L902" s="3"/>
      <c r="M902" s="3"/>
      <c r="N902" s="3"/>
      <c r="O902" s="3"/>
      <c r="P902" s="36"/>
      <c r="Q902" s="3"/>
      <c r="R902" s="3"/>
      <c r="S902" s="3"/>
      <c r="T902" s="36"/>
      <c r="U902" s="36"/>
      <c r="V902" s="36"/>
      <c r="W902" s="36"/>
      <c r="X902" s="36"/>
      <c r="Y902" s="36"/>
      <c r="Z902" s="36"/>
    </row>
    <row r="903" spans="1:26" ht="14">
      <c r="A903" s="3"/>
      <c r="B903" s="36"/>
      <c r="C903" s="163"/>
      <c r="D903" s="3"/>
      <c r="E903" s="3"/>
      <c r="F903" s="3"/>
      <c r="G903" s="3"/>
      <c r="H903" s="3"/>
      <c r="I903" s="3"/>
      <c r="J903" s="3"/>
      <c r="K903" s="3"/>
      <c r="L903" s="3"/>
      <c r="M903" s="3"/>
      <c r="N903" s="3"/>
      <c r="O903" s="3"/>
      <c r="P903" s="36"/>
      <c r="Q903" s="3"/>
      <c r="R903" s="3"/>
      <c r="S903" s="3"/>
      <c r="T903" s="36"/>
      <c r="U903" s="36"/>
      <c r="V903" s="36"/>
      <c r="W903" s="36"/>
      <c r="X903" s="36"/>
      <c r="Y903" s="36"/>
      <c r="Z903" s="36"/>
    </row>
    <row r="904" spans="1:26" ht="14">
      <c r="A904" s="3"/>
      <c r="B904" s="36"/>
      <c r="C904" s="163"/>
      <c r="D904" s="3"/>
      <c r="E904" s="3"/>
      <c r="F904" s="3"/>
      <c r="G904" s="3"/>
      <c r="H904" s="3"/>
      <c r="I904" s="3"/>
      <c r="J904" s="3"/>
      <c r="K904" s="3"/>
      <c r="L904" s="3"/>
      <c r="M904" s="3"/>
      <c r="N904" s="3"/>
      <c r="O904" s="3"/>
      <c r="P904" s="36"/>
      <c r="Q904" s="3"/>
      <c r="R904" s="3"/>
      <c r="S904" s="3"/>
      <c r="T904" s="36"/>
      <c r="U904" s="36"/>
      <c r="V904" s="36"/>
      <c r="W904" s="36"/>
      <c r="X904" s="36"/>
      <c r="Y904" s="36"/>
      <c r="Z904" s="36"/>
    </row>
    <row r="905" spans="1:26" ht="14">
      <c r="A905" s="3"/>
      <c r="B905" s="36"/>
      <c r="C905" s="163"/>
      <c r="D905" s="3"/>
      <c r="E905" s="3"/>
      <c r="F905" s="3"/>
      <c r="G905" s="3"/>
      <c r="H905" s="3"/>
      <c r="I905" s="3"/>
      <c r="J905" s="3"/>
      <c r="K905" s="3"/>
      <c r="L905" s="3"/>
      <c r="M905" s="3"/>
      <c r="N905" s="3"/>
      <c r="O905" s="3"/>
      <c r="P905" s="36"/>
      <c r="Q905" s="3"/>
      <c r="R905" s="3"/>
      <c r="S905" s="3"/>
      <c r="T905" s="36"/>
      <c r="U905" s="36"/>
      <c r="V905" s="36"/>
      <c r="W905" s="36"/>
      <c r="X905" s="36"/>
      <c r="Y905" s="36"/>
      <c r="Z905" s="36"/>
    </row>
    <row r="906" spans="1:26" ht="14">
      <c r="A906" s="3"/>
      <c r="B906" s="36"/>
      <c r="C906" s="163"/>
      <c r="D906" s="3"/>
      <c r="E906" s="3"/>
      <c r="F906" s="3"/>
      <c r="G906" s="3"/>
      <c r="H906" s="3"/>
      <c r="I906" s="3"/>
      <c r="J906" s="3"/>
      <c r="K906" s="3"/>
      <c r="L906" s="3"/>
      <c r="M906" s="3"/>
      <c r="N906" s="3"/>
      <c r="O906" s="3"/>
      <c r="P906" s="36"/>
      <c r="Q906" s="3"/>
      <c r="R906" s="3"/>
      <c r="S906" s="3"/>
      <c r="T906" s="36"/>
      <c r="U906" s="36"/>
      <c r="V906" s="36"/>
      <c r="W906" s="36"/>
      <c r="X906" s="36"/>
      <c r="Y906" s="36"/>
      <c r="Z906" s="36"/>
    </row>
    <row r="907" spans="1:26" ht="14">
      <c r="A907" s="3"/>
      <c r="B907" s="36"/>
      <c r="C907" s="163"/>
      <c r="D907" s="3"/>
      <c r="E907" s="3"/>
      <c r="F907" s="3"/>
      <c r="G907" s="3"/>
      <c r="H907" s="3"/>
      <c r="I907" s="3"/>
      <c r="J907" s="3"/>
      <c r="K907" s="3"/>
      <c r="L907" s="3"/>
      <c r="M907" s="3"/>
      <c r="N907" s="3"/>
      <c r="O907" s="3"/>
      <c r="P907" s="36"/>
      <c r="Q907" s="3"/>
      <c r="R907" s="3"/>
      <c r="S907" s="3"/>
      <c r="T907" s="36"/>
      <c r="U907" s="36"/>
      <c r="V907" s="36"/>
      <c r="W907" s="36"/>
      <c r="X907" s="36"/>
      <c r="Y907" s="36"/>
      <c r="Z907" s="36"/>
    </row>
    <row r="908" spans="1:26" ht="14">
      <c r="A908" s="3"/>
      <c r="B908" s="36"/>
      <c r="C908" s="163"/>
      <c r="D908" s="3"/>
      <c r="E908" s="3"/>
      <c r="F908" s="3"/>
      <c r="G908" s="3"/>
      <c r="H908" s="3"/>
      <c r="I908" s="3"/>
      <c r="J908" s="3"/>
      <c r="K908" s="3"/>
      <c r="L908" s="3"/>
      <c r="M908" s="3"/>
      <c r="N908" s="3"/>
      <c r="O908" s="3"/>
      <c r="P908" s="36"/>
      <c r="Q908" s="3"/>
      <c r="R908" s="3"/>
      <c r="S908" s="3"/>
      <c r="T908" s="36"/>
      <c r="U908" s="36"/>
      <c r="V908" s="36"/>
      <c r="W908" s="36"/>
      <c r="X908" s="36"/>
      <c r="Y908" s="36"/>
      <c r="Z908" s="36"/>
    </row>
    <row r="909" spans="1:26" ht="14">
      <c r="A909" s="3"/>
      <c r="B909" s="36"/>
      <c r="C909" s="163"/>
      <c r="D909" s="3"/>
      <c r="E909" s="3"/>
      <c r="F909" s="3"/>
      <c r="G909" s="3"/>
      <c r="H909" s="3"/>
      <c r="I909" s="3"/>
      <c r="J909" s="3"/>
      <c r="K909" s="3"/>
      <c r="L909" s="3"/>
      <c r="M909" s="3"/>
      <c r="N909" s="3"/>
      <c r="O909" s="3"/>
      <c r="P909" s="36"/>
      <c r="Q909" s="3"/>
      <c r="R909" s="3"/>
      <c r="S909" s="3"/>
      <c r="T909" s="36"/>
      <c r="U909" s="36"/>
      <c r="V909" s="36"/>
      <c r="W909" s="36"/>
      <c r="X909" s="36"/>
      <c r="Y909" s="36"/>
      <c r="Z909" s="36"/>
    </row>
    <row r="910" spans="1:26" ht="14">
      <c r="A910" s="3"/>
      <c r="B910" s="36"/>
      <c r="C910" s="163"/>
      <c r="D910" s="3"/>
      <c r="E910" s="3"/>
      <c r="F910" s="3"/>
      <c r="G910" s="3"/>
      <c r="H910" s="3"/>
      <c r="I910" s="3"/>
      <c r="J910" s="3"/>
      <c r="K910" s="3"/>
      <c r="L910" s="3"/>
      <c r="M910" s="3"/>
      <c r="N910" s="3"/>
      <c r="O910" s="3"/>
      <c r="P910" s="36"/>
      <c r="Q910" s="3"/>
      <c r="R910" s="3"/>
      <c r="S910" s="3"/>
      <c r="T910" s="36"/>
      <c r="U910" s="36"/>
      <c r="V910" s="36"/>
      <c r="W910" s="36"/>
      <c r="X910" s="36"/>
      <c r="Y910" s="36"/>
      <c r="Z910" s="36"/>
    </row>
    <row r="911" spans="1:26" ht="14">
      <c r="A911" s="3"/>
      <c r="B911" s="36"/>
      <c r="C911" s="163"/>
      <c r="D911" s="3"/>
      <c r="E911" s="3"/>
      <c r="F911" s="3"/>
      <c r="G911" s="3"/>
      <c r="H911" s="3"/>
      <c r="I911" s="3"/>
      <c r="J911" s="3"/>
      <c r="K911" s="3"/>
      <c r="L911" s="3"/>
      <c r="M911" s="3"/>
      <c r="N911" s="3"/>
      <c r="O911" s="3"/>
      <c r="P911" s="36"/>
      <c r="Q911" s="3"/>
      <c r="R911" s="3"/>
      <c r="S911" s="3"/>
      <c r="T911" s="36"/>
      <c r="U911" s="36"/>
      <c r="V911" s="36"/>
      <c r="W911" s="36"/>
      <c r="X911" s="36"/>
      <c r="Y911" s="36"/>
      <c r="Z911" s="36"/>
    </row>
    <row r="912" spans="1:26" ht="14">
      <c r="A912" s="3"/>
      <c r="B912" s="36"/>
      <c r="C912" s="163"/>
      <c r="D912" s="3"/>
      <c r="E912" s="3"/>
      <c r="F912" s="3"/>
      <c r="G912" s="3"/>
      <c r="H912" s="3"/>
      <c r="I912" s="3"/>
      <c r="J912" s="3"/>
      <c r="K912" s="3"/>
      <c r="L912" s="3"/>
      <c r="M912" s="3"/>
      <c r="N912" s="3"/>
      <c r="O912" s="3"/>
      <c r="P912" s="36"/>
      <c r="Q912" s="3"/>
      <c r="R912" s="3"/>
      <c r="S912" s="3"/>
      <c r="T912" s="36"/>
      <c r="U912" s="36"/>
      <c r="V912" s="36"/>
      <c r="W912" s="36"/>
      <c r="X912" s="36"/>
      <c r="Y912" s="36"/>
      <c r="Z912" s="36"/>
    </row>
    <row r="913" spans="1:26" ht="14">
      <c r="A913" s="3"/>
      <c r="B913" s="36"/>
      <c r="C913" s="163"/>
      <c r="D913" s="3"/>
      <c r="E913" s="3"/>
      <c r="F913" s="3"/>
      <c r="G913" s="3"/>
      <c r="H913" s="3"/>
      <c r="I913" s="3"/>
      <c r="J913" s="3"/>
      <c r="K913" s="3"/>
      <c r="L913" s="3"/>
      <c r="M913" s="3"/>
      <c r="N913" s="3"/>
      <c r="O913" s="3"/>
      <c r="P913" s="36"/>
      <c r="Q913" s="3"/>
      <c r="R913" s="3"/>
      <c r="S913" s="3"/>
      <c r="T913" s="36"/>
      <c r="U913" s="36"/>
      <c r="V913" s="36"/>
      <c r="W913" s="36"/>
      <c r="X913" s="36"/>
      <c r="Y913" s="36"/>
      <c r="Z913" s="36"/>
    </row>
    <row r="914" spans="1:26" ht="14">
      <c r="A914" s="3"/>
      <c r="B914" s="36"/>
      <c r="C914" s="163"/>
      <c r="D914" s="3"/>
      <c r="E914" s="3"/>
      <c r="F914" s="3"/>
      <c r="G914" s="3"/>
      <c r="H914" s="3"/>
      <c r="I914" s="3"/>
      <c r="J914" s="3"/>
      <c r="K914" s="3"/>
      <c r="L914" s="3"/>
      <c r="M914" s="3"/>
      <c r="N914" s="3"/>
      <c r="O914" s="3"/>
      <c r="P914" s="36"/>
      <c r="Q914" s="3"/>
      <c r="R914" s="3"/>
      <c r="S914" s="3"/>
      <c r="T914" s="36"/>
      <c r="U914" s="36"/>
      <c r="V914" s="36"/>
      <c r="W914" s="36"/>
      <c r="X914" s="36"/>
      <c r="Y914" s="36"/>
      <c r="Z914" s="36"/>
    </row>
    <row r="915" spans="1:26" ht="14">
      <c r="A915" s="3"/>
      <c r="B915" s="36"/>
      <c r="C915" s="163"/>
      <c r="D915" s="3"/>
      <c r="E915" s="3"/>
      <c r="F915" s="3"/>
      <c r="G915" s="3"/>
      <c r="H915" s="3"/>
      <c r="I915" s="3"/>
      <c r="J915" s="3"/>
      <c r="K915" s="3"/>
      <c r="L915" s="3"/>
      <c r="M915" s="3"/>
      <c r="N915" s="3"/>
      <c r="O915" s="3"/>
      <c r="P915" s="36"/>
      <c r="Q915" s="3"/>
      <c r="R915" s="3"/>
      <c r="S915" s="3"/>
      <c r="T915" s="36"/>
      <c r="U915" s="36"/>
      <c r="V915" s="36"/>
      <c r="W915" s="36"/>
      <c r="X915" s="36"/>
      <c r="Y915" s="36"/>
      <c r="Z915" s="36"/>
    </row>
    <row r="916" spans="1:26" ht="14">
      <c r="A916" s="3"/>
      <c r="B916" s="36"/>
      <c r="C916" s="163"/>
      <c r="D916" s="3"/>
      <c r="E916" s="3"/>
      <c r="F916" s="3"/>
      <c r="G916" s="3"/>
      <c r="H916" s="3"/>
      <c r="I916" s="3"/>
      <c r="J916" s="3"/>
      <c r="K916" s="3"/>
      <c r="L916" s="3"/>
      <c r="M916" s="3"/>
      <c r="N916" s="3"/>
      <c r="O916" s="3"/>
      <c r="P916" s="36"/>
      <c r="Q916" s="3"/>
      <c r="R916" s="3"/>
      <c r="S916" s="3"/>
      <c r="T916" s="36"/>
      <c r="U916" s="36"/>
      <c r="V916" s="36"/>
      <c r="W916" s="36"/>
      <c r="X916" s="36"/>
      <c r="Y916" s="36"/>
      <c r="Z916" s="36"/>
    </row>
    <row r="917" spans="1:26" ht="14">
      <c r="A917" s="3"/>
      <c r="B917" s="36"/>
      <c r="C917" s="163"/>
      <c r="D917" s="3"/>
      <c r="E917" s="3"/>
      <c r="F917" s="3"/>
      <c r="G917" s="3"/>
      <c r="H917" s="3"/>
      <c r="I917" s="3"/>
      <c r="J917" s="3"/>
      <c r="K917" s="3"/>
      <c r="L917" s="3"/>
      <c r="M917" s="3"/>
      <c r="N917" s="3"/>
      <c r="O917" s="3"/>
      <c r="P917" s="36"/>
      <c r="Q917" s="3"/>
      <c r="R917" s="3"/>
      <c r="S917" s="3"/>
      <c r="T917" s="36"/>
      <c r="U917" s="36"/>
      <c r="V917" s="36"/>
      <c r="W917" s="36"/>
      <c r="X917" s="36"/>
      <c r="Y917" s="36"/>
      <c r="Z917" s="36"/>
    </row>
    <row r="918" spans="1:26" ht="14">
      <c r="A918" s="3"/>
      <c r="B918" s="36"/>
      <c r="C918" s="163"/>
      <c r="D918" s="3"/>
      <c r="E918" s="3"/>
      <c r="F918" s="3"/>
      <c r="G918" s="3"/>
      <c r="H918" s="3"/>
      <c r="I918" s="3"/>
      <c r="J918" s="3"/>
      <c r="K918" s="3"/>
      <c r="L918" s="3"/>
      <c r="M918" s="3"/>
      <c r="N918" s="3"/>
      <c r="O918" s="3"/>
      <c r="P918" s="36"/>
      <c r="Q918" s="3"/>
      <c r="R918" s="3"/>
      <c r="S918" s="3"/>
      <c r="T918" s="36"/>
      <c r="U918" s="36"/>
      <c r="V918" s="36"/>
      <c r="W918" s="36"/>
      <c r="X918" s="36"/>
      <c r="Y918" s="36"/>
      <c r="Z918" s="36"/>
    </row>
    <row r="919" spans="1:26" ht="14">
      <c r="A919" s="3"/>
      <c r="B919" s="36"/>
      <c r="C919" s="163"/>
      <c r="D919" s="3"/>
      <c r="E919" s="3"/>
      <c r="F919" s="3"/>
      <c r="G919" s="3"/>
      <c r="H919" s="3"/>
      <c r="I919" s="3"/>
      <c r="J919" s="3"/>
      <c r="K919" s="3"/>
      <c r="L919" s="3"/>
      <c r="M919" s="3"/>
      <c r="N919" s="3"/>
      <c r="O919" s="3"/>
      <c r="P919" s="36"/>
      <c r="Q919" s="3"/>
      <c r="R919" s="3"/>
      <c r="S919" s="3"/>
      <c r="T919" s="36"/>
      <c r="U919" s="36"/>
      <c r="V919" s="36"/>
      <c r="W919" s="36"/>
      <c r="X919" s="36"/>
      <c r="Y919" s="36"/>
      <c r="Z919" s="36"/>
    </row>
    <row r="920" spans="1:26" ht="14">
      <c r="A920" s="3"/>
      <c r="B920" s="36"/>
      <c r="C920" s="163"/>
      <c r="D920" s="3"/>
      <c r="E920" s="3"/>
      <c r="F920" s="3"/>
      <c r="G920" s="3"/>
      <c r="H920" s="3"/>
      <c r="I920" s="3"/>
      <c r="J920" s="3"/>
      <c r="K920" s="3"/>
      <c r="L920" s="3"/>
      <c r="M920" s="3"/>
      <c r="N920" s="3"/>
      <c r="O920" s="3"/>
      <c r="P920" s="36"/>
      <c r="Q920" s="3"/>
      <c r="R920" s="3"/>
      <c r="S920" s="3"/>
      <c r="T920" s="36"/>
      <c r="U920" s="36"/>
      <c r="V920" s="36"/>
      <c r="W920" s="36"/>
      <c r="X920" s="36"/>
      <c r="Y920" s="36"/>
      <c r="Z920" s="36"/>
    </row>
    <row r="921" spans="1:26" ht="14">
      <c r="A921" s="3"/>
      <c r="B921" s="36"/>
      <c r="C921" s="163"/>
      <c r="D921" s="3"/>
      <c r="E921" s="3"/>
      <c r="F921" s="3"/>
      <c r="G921" s="3"/>
      <c r="H921" s="3"/>
      <c r="I921" s="3"/>
      <c r="J921" s="3"/>
      <c r="K921" s="3"/>
      <c r="L921" s="3"/>
      <c r="M921" s="3"/>
      <c r="N921" s="3"/>
      <c r="O921" s="3"/>
      <c r="P921" s="36"/>
      <c r="Q921" s="3"/>
      <c r="R921" s="3"/>
      <c r="S921" s="3"/>
      <c r="T921" s="36"/>
      <c r="U921" s="36"/>
      <c r="V921" s="36"/>
      <c r="W921" s="36"/>
      <c r="X921" s="36"/>
      <c r="Y921" s="36"/>
      <c r="Z921" s="36"/>
    </row>
    <row r="922" spans="1:26" ht="14">
      <c r="A922" s="3"/>
      <c r="B922" s="36"/>
      <c r="C922" s="163"/>
      <c r="D922" s="3"/>
      <c r="E922" s="3"/>
      <c r="F922" s="3"/>
      <c r="G922" s="3"/>
      <c r="H922" s="3"/>
      <c r="I922" s="3"/>
      <c r="J922" s="3"/>
      <c r="K922" s="3"/>
      <c r="L922" s="3"/>
      <c r="M922" s="3"/>
      <c r="N922" s="3"/>
      <c r="O922" s="3"/>
      <c r="P922" s="36"/>
      <c r="Q922" s="3"/>
      <c r="R922" s="3"/>
      <c r="S922" s="3"/>
      <c r="T922" s="36"/>
      <c r="U922" s="36"/>
      <c r="V922" s="36"/>
      <c r="W922" s="36"/>
      <c r="X922" s="36"/>
      <c r="Y922" s="36"/>
      <c r="Z922" s="36"/>
    </row>
    <row r="923" spans="1:26" ht="14">
      <c r="A923" s="3"/>
      <c r="B923" s="36"/>
      <c r="C923" s="163"/>
      <c r="D923" s="3"/>
      <c r="E923" s="3"/>
      <c r="F923" s="3"/>
      <c r="G923" s="3"/>
      <c r="H923" s="3"/>
      <c r="I923" s="3"/>
      <c r="J923" s="3"/>
      <c r="K923" s="3"/>
      <c r="L923" s="3"/>
      <c r="M923" s="3"/>
      <c r="N923" s="3"/>
      <c r="O923" s="3"/>
      <c r="P923" s="36"/>
      <c r="Q923" s="3"/>
      <c r="R923" s="3"/>
      <c r="S923" s="3"/>
      <c r="T923" s="36"/>
      <c r="U923" s="36"/>
      <c r="V923" s="36"/>
      <c r="W923" s="36"/>
      <c r="X923" s="36"/>
      <c r="Y923" s="36"/>
      <c r="Z923" s="36"/>
    </row>
    <row r="924" spans="1:26" ht="14">
      <c r="A924" s="3"/>
      <c r="B924" s="36"/>
      <c r="C924" s="163"/>
      <c r="D924" s="3"/>
      <c r="E924" s="3"/>
      <c r="F924" s="3"/>
      <c r="G924" s="3"/>
      <c r="H924" s="3"/>
      <c r="I924" s="3"/>
      <c r="J924" s="3"/>
      <c r="K924" s="3"/>
      <c r="L924" s="3"/>
      <c r="M924" s="3"/>
      <c r="N924" s="3"/>
      <c r="O924" s="3"/>
      <c r="P924" s="36"/>
      <c r="Q924" s="3"/>
      <c r="R924" s="3"/>
      <c r="S924" s="3"/>
      <c r="T924" s="36"/>
      <c r="U924" s="36"/>
      <c r="V924" s="36"/>
      <c r="W924" s="36"/>
      <c r="X924" s="36"/>
      <c r="Y924" s="36"/>
      <c r="Z924" s="36"/>
    </row>
    <row r="925" spans="1:26" ht="14">
      <c r="A925" s="3"/>
      <c r="B925" s="36"/>
      <c r="C925" s="163"/>
      <c r="D925" s="3"/>
      <c r="E925" s="3"/>
      <c r="F925" s="3"/>
      <c r="G925" s="3"/>
      <c r="H925" s="3"/>
      <c r="I925" s="3"/>
      <c r="J925" s="3"/>
      <c r="K925" s="3"/>
      <c r="L925" s="3"/>
      <c r="M925" s="3"/>
      <c r="N925" s="3"/>
      <c r="O925" s="3"/>
      <c r="P925" s="36"/>
      <c r="Q925" s="3"/>
      <c r="R925" s="3"/>
      <c r="S925" s="3"/>
      <c r="T925" s="36"/>
      <c r="U925" s="36"/>
      <c r="V925" s="36"/>
      <c r="W925" s="36"/>
      <c r="X925" s="36"/>
      <c r="Y925" s="36"/>
      <c r="Z925" s="36"/>
    </row>
    <row r="926" spans="1:26" ht="14">
      <c r="A926" s="3"/>
      <c r="B926" s="36"/>
      <c r="C926" s="163"/>
      <c r="D926" s="3"/>
      <c r="E926" s="3"/>
      <c r="F926" s="3"/>
      <c r="G926" s="3"/>
      <c r="H926" s="3"/>
      <c r="I926" s="3"/>
      <c r="J926" s="3"/>
      <c r="K926" s="3"/>
      <c r="L926" s="3"/>
      <c r="M926" s="3"/>
      <c r="N926" s="3"/>
      <c r="O926" s="3"/>
      <c r="P926" s="36"/>
      <c r="Q926" s="3"/>
      <c r="R926" s="3"/>
      <c r="S926" s="3"/>
      <c r="T926" s="36"/>
      <c r="U926" s="36"/>
      <c r="V926" s="36"/>
      <c r="W926" s="36"/>
      <c r="X926" s="36"/>
      <c r="Y926" s="36"/>
      <c r="Z926" s="36"/>
    </row>
    <row r="927" spans="1:26" ht="14">
      <c r="A927" s="3"/>
      <c r="B927" s="36"/>
      <c r="C927" s="163"/>
      <c r="D927" s="3"/>
      <c r="E927" s="3"/>
      <c r="F927" s="3"/>
      <c r="G927" s="3"/>
      <c r="H927" s="3"/>
      <c r="I927" s="3"/>
      <c r="J927" s="3"/>
      <c r="K927" s="3"/>
      <c r="L927" s="3"/>
      <c r="M927" s="3"/>
      <c r="N927" s="3"/>
      <c r="O927" s="3"/>
      <c r="P927" s="36"/>
      <c r="Q927" s="3"/>
      <c r="R927" s="3"/>
      <c r="S927" s="3"/>
      <c r="T927" s="36"/>
      <c r="U927" s="36"/>
      <c r="V927" s="36"/>
      <c r="W927" s="36"/>
      <c r="X927" s="36"/>
      <c r="Y927" s="36"/>
      <c r="Z927" s="36"/>
    </row>
    <row r="928" spans="1:26" ht="14">
      <c r="A928" s="3"/>
      <c r="B928" s="36"/>
      <c r="C928" s="163"/>
      <c r="D928" s="3"/>
      <c r="E928" s="3"/>
      <c r="F928" s="3"/>
      <c r="G928" s="3"/>
      <c r="H928" s="3"/>
      <c r="I928" s="3"/>
      <c r="J928" s="3"/>
      <c r="K928" s="3"/>
      <c r="L928" s="3"/>
      <c r="M928" s="3"/>
      <c r="N928" s="3"/>
      <c r="O928" s="3"/>
      <c r="P928" s="36"/>
      <c r="Q928" s="3"/>
      <c r="R928" s="3"/>
      <c r="S928" s="3"/>
      <c r="T928" s="36"/>
      <c r="U928" s="36"/>
      <c r="V928" s="36"/>
      <c r="W928" s="36"/>
      <c r="X928" s="36"/>
      <c r="Y928" s="36"/>
      <c r="Z928" s="36"/>
    </row>
    <row r="929" spans="1:26" ht="14">
      <c r="A929" s="3"/>
      <c r="B929" s="36"/>
      <c r="C929" s="163"/>
      <c r="D929" s="3"/>
      <c r="E929" s="3"/>
      <c r="F929" s="3"/>
      <c r="G929" s="3"/>
      <c r="H929" s="3"/>
      <c r="I929" s="3"/>
      <c r="J929" s="3"/>
      <c r="K929" s="3"/>
      <c r="L929" s="3"/>
      <c r="M929" s="3"/>
      <c r="N929" s="3"/>
      <c r="O929" s="3"/>
      <c r="P929" s="36"/>
      <c r="Q929" s="3"/>
      <c r="R929" s="3"/>
      <c r="S929" s="3"/>
      <c r="T929" s="36"/>
      <c r="U929" s="36"/>
      <c r="V929" s="36"/>
      <c r="W929" s="36"/>
      <c r="X929" s="36"/>
      <c r="Y929" s="36"/>
      <c r="Z929" s="36"/>
    </row>
    <row r="930" spans="1:26" ht="14">
      <c r="A930" s="3"/>
      <c r="B930" s="36"/>
      <c r="C930" s="163"/>
      <c r="D930" s="3"/>
      <c r="E930" s="3"/>
      <c r="F930" s="3"/>
      <c r="G930" s="3"/>
      <c r="H930" s="3"/>
      <c r="I930" s="3"/>
      <c r="J930" s="3"/>
      <c r="K930" s="3"/>
      <c r="L930" s="3"/>
      <c r="M930" s="3"/>
      <c r="N930" s="3"/>
      <c r="O930" s="3"/>
      <c r="P930" s="36"/>
      <c r="Q930" s="3"/>
      <c r="R930" s="3"/>
      <c r="S930" s="3"/>
      <c r="T930" s="36"/>
      <c r="U930" s="36"/>
      <c r="V930" s="36"/>
      <c r="W930" s="36"/>
      <c r="X930" s="36"/>
      <c r="Y930" s="36"/>
      <c r="Z930" s="36"/>
    </row>
    <row r="931" spans="1:26" ht="14">
      <c r="A931" s="3"/>
      <c r="B931" s="36"/>
      <c r="C931" s="163"/>
      <c r="D931" s="3"/>
      <c r="E931" s="3"/>
      <c r="F931" s="3"/>
      <c r="G931" s="3"/>
      <c r="H931" s="3"/>
      <c r="I931" s="3"/>
      <c r="J931" s="3"/>
      <c r="K931" s="3"/>
      <c r="L931" s="3"/>
      <c r="M931" s="3"/>
      <c r="N931" s="3"/>
      <c r="O931" s="3"/>
      <c r="P931" s="36"/>
      <c r="Q931" s="3"/>
      <c r="R931" s="3"/>
      <c r="S931" s="3"/>
      <c r="T931" s="36"/>
      <c r="U931" s="36"/>
      <c r="V931" s="36"/>
      <c r="W931" s="36"/>
      <c r="X931" s="36"/>
      <c r="Y931" s="36"/>
      <c r="Z931" s="36"/>
    </row>
    <row r="932" spans="1:26" ht="14">
      <c r="A932" s="3"/>
      <c r="B932" s="36"/>
      <c r="C932" s="163"/>
      <c r="D932" s="3"/>
      <c r="E932" s="3"/>
      <c r="F932" s="3"/>
      <c r="G932" s="3"/>
      <c r="H932" s="3"/>
      <c r="I932" s="3"/>
      <c r="J932" s="3"/>
      <c r="K932" s="3"/>
      <c r="L932" s="3"/>
      <c r="M932" s="3"/>
      <c r="N932" s="3"/>
      <c r="O932" s="3"/>
      <c r="P932" s="36"/>
      <c r="Q932" s="3"/>
      <c r="R932" s="3"/>
      <c r="S932" s="3"/>
      <c r="T932" s="36"/>
      <c r="U932" s="36"/>
      <c r="V932" s="36"/>
      <c r="W932" s="36"/>
      <c r="X932" s="36"/>
      <c r="Y932" s="36"/>
      <c r="Z932" s="36"/>
    </row>
    <row r="933" spans="1:26" ht="14">
      <c r="A933" s="3"/>
      <c r="B933" s="36"/>
      <c r="C933" s="163"/>
      <c r="D933" s="3"/>
      <c r="E933" s="3"/>
      <c r="F933" s="3"/>
      <c r="G933" s="3"/>
      <c r="H933" s="3"/>
      <c r="I933" s="3"/>
      <c r="J933" s="3"/>
      <c r="K933" s="3"/>
      <c r="L933" s="3"/>
      <c r="M933" s="3"/>
      <c r="N933" s="3"/>
      <c r="O933" s="3"/>
      <c r="P933" s="36"/>
      <c r="Q933" s="3"/>
      <c r="R933" s="3"/>
      <c r="S933" s="3"/>
      <c r="T933" s="36"/>
      <c r="U933" s="36"/>
      <c r="V933" s="36"/>
      <c r="W933" s="36"/>
      <c r="X933" s="36"/>
      <c r="Y933" s="36"/>
      <c r="Z933" s="36"/>
    </row>
    <row r="934" spans="1:26" ht="14">
      <c r="A934" s="3"/>
      <c r="B934" s="36"/>
      <c r="C934" s="163"/>
      <c r="D934" s="3"/>
      <c r="E934" s="3"/>
      <c r="F934" s="3"/>
      <c r="G934" s="3"/>
      <c r="H934" s="3"/>
      <c r="I934" s="3"/>
      <c r="J934" s="3"/>
      <c r="K934" s="3"/>
      <c r="L934" s="3"/>
      <c r="M934" s="3"/>
      <c r="N934" s="3"/>
      <c r="O934" s="3"/>
      <c r="P934" s="36"/>
      <c r="Q934" s="3"/>
      <c r="R934" s="3"/>
      <c r="S934" s="3"/>
      <c r="T934" s="36"/>
      <c r="U934" s="36"/>
      <c r="V934" s="36"/>
      <c r="W934" s="36"/>
      <c r="X934" s="36"/>
      <c r="Y934" s="36"/>
      <c r="Z934" s="36"/>
    </row>
    <row r="935" spans="1:26" ht="14">
      <c r="A935" s="3"/>
      <c r="B935" s="36"/>
      <c r="C935" s="163"/>
      <c r="D935" s="3"/>
      <c r="E935" s="3"/>
      <c r="F935" s="3"/>
      <c r="G935" s="3"/>
      <c r="H935" s="3"/>
      <c r="I935" s="3"/>
      <c r="J935" s="3"/>
      <c r="K935" s="3"/>
      <c r="L935" s="3"/>
      <c r="M935" s="3"/>
      <c r="N935" s="3"/>
      <c r="O935" s="3"/>
      <c r="P935" s="36"/>
      <c r="Q935" s="3"/>
      <c r="R935" s="3"/>
      <c r="S935" s="3"/>
      <c r="T935" s="36"/>
      <c r="U935" s="36"/>
      <c r="V935" s="36"/>
      <c r="W935" s="36"/>
      <c r="X935" s="36"/>
      <c r="Y935" s="36"/>
      <c r="Z935" s="36"/>
    </row>
    <row r="936" spans="1:26" ht="14">
      <c r="A936" s="3"/>
      <c r="B936" s="36"/>
      <c r="C936" s="163"/>
      <c r="D936" s="3"/>
      <c r="E936" s="3"/>
      <c r="F936" s="3"/>
      <c r="G936" s="3"/>
      <c r="H936" s="3"/>
      <c r="I936" s="3"/>
      <c r="J936" s="3"/>
      <c r="K936" s="3"/>
      <c r="L936" s="3"/>
      <c r="M936" s="3"/>
      <c r="N936" s="3"/>
      <c r="O936" s="3"/>
      <c r="P936" s="36"/>
      <c r="Q936" s="3"/>
      <c r="R936" s="3"/>
      <c r="S936" s="3"/>
      <c r="T936" s="36"/>
      <c r="U936" s="36"/>
      <c r="V936" s="36"/>
      <c r="W936" s="36"/>
      <c r="X936" s="36"/>
      <c r="Y936" s="36"/>
      <c r="Z936" s="36"/>
    </row>
    <row r="937" spans="1:26" ht="14">
      <c r="A937" s="3"/>
      <c r="B937" s="36"/>
      <c r="C937" s="163"/>
      <c r="D937" s="3"/>
      <c r="E937" s="3"/>
      <c r="F937" s="3"/>
      <c r="G937" s="3"/>
      <c r="H937" s="3"/>
      <c r="I937" s="3"/>
      <c r="J937" s="3"/>
      <c r="K937" s="3"/>
      <c r="L937" s="3"/>
      <c r="M937" s="3"/>
      <c r="N937" s="3"/>
      <c r="O937" s="3"/>
      <c r="P937" s="36"/>
      <c r="Q937" s="3"/>
      <c r="R937" s="3"/>
      <c r="S937" s="3"/>
      <c r="T937" s="36"/>
      <c r="U937" s="36"/>
      <c r="V937" s="36"/>
      <c r="W937" s="36"/>
      <c r="X937" s="36"/>
      <c r="Y937" s="36"/>
      <c r="Z937" s="36"/>
    </row>
    <row r="938" spans="1:26" ht="14">
      <c r="A938" s="3"/>
      <c r="B938" s="36"/>
      <c r="C938" s="163"/>
      <c r="D938" s="3"/>
      <c r="E938" s="3"/>
      <c r="F938" s="3"/>
      <c r="G938" s="3"/>
      <c r="H938" s="3"/>
      <c r="I938" s="3"/>
      <c r="J938" s="3"/>
      <c r="K938" s="3"/>
      <c r="L938" s="3"/>
      <c r="M938" s="3"/>
      <c r="N938" s="3"/>
      <c r="O938" s="3"/>
      <c r="P938" s="36"/>
      <c r="Q938" s="3"/>
      <c r="R938" s="3"/>
      <c r="S938" s="3"/>
      <c r="T938" s="36"/>
      <c r="U938" s="36"/>
      <c r="V938" s="36"/>
      <c r="W938" s="36"/>
      <c r="X938" s="36"/>
      <c r="Y938" s="36"/>
      <c r="Z938" s="36"/>
    </row>
    <row r="939" spans="1:26" ht="14">
      <c r="A939" s="3"/>
      <c r="B939" s="36"/>
      <c r="C939" s="163"/>
      <c r="D939" s="3"/>
      <c r="E939" s="3"/>
      <c r="F939" s="3"/>
      <c r="G939" s="3"/>
      <c r="H939" s="3"/>
      <c r="I939" s="3"/>
      <c r="J939" s="3"/>
      <c r="K939" s="3"/>
      <c r="L939" s="3"/>
      <c r="M939" s="3"/>
      <c r="N939" s="3"/>
      <c r="O939" s="3"/>
      <c r="P939" s="36"/>
      <c r="Q939" s="3"/>
      <c r="R939" s="3"/>
      <c r="S939" s="3"/>
      <c r="T939" s="36"/>
      <c r="U939" s="36"/>
      <c r="V939" s="36"/>
      <c r="W939" s="36"/>
      <c r="X939" s="36"/>
      <c r="Y939" s="36"/>
      <c r="Z939" s="36"/>
    </row>
    <row r="940" spans="1:26" ht="14">
      <c r="A940" s="3"/>
      <c r="B940" s="36"/>
      <c r="C940" s="163"/>
      <c r="D940" s="3"/>
      <c r="E940" s="3"/>
      <c r="F940" s="3"/>
      <c r="G940" s="3"/>
      <c r="H940" s="3"/>
      <c r="I940" s="3"/>
      <c r="J940" s="3"/>
      <c r="K940" s="3"/>
      <c r="L940" s="3"/>
      <c r="M940" s="3"/>
      <c r="N940" s="3"/>
      <c r="O940" s="3"/>
      <c r="P940" s="36"/>
      <c r="Q940" s="3"/>
      <c r="R940" s="3"/>
      <c r="S940" s="3"/>
      <c r="T940" s="36"/>
      <c r="U940" s="36"/>
      <c r="V940" s="36"/>
      <c r="W940" s="36"/>
      <c r="X940" s="36"/>
      <c r="Y940" s="36"/>
      <c r="Z940" s="36"/>
    </row>
    <row r="941" spans="1:26" ht="14">
      <c r="A941" s="3"/>
      <c r="B941" s="36"/>
      <c r="C941" s="163"/>
      <c r="D941" s="3"/>
      <c r="E941" s="3"/>
      <c r="F941" s="3"/>
      <c r="G941" s="3"/>
      <c r="H941" s="3"/>
      <c r="I941" s="3"/>
      <c r="J941" s="3"/>
      <c r="K941" s="3"/>
      <c r="L941" s="3"/>
      <c r="M941" s="3"/>
      <c r="N941" s="3"/>
      <c r="O941" s="3"/>
      <c r="P941" s="36"/>
      <c r="Q941" s="3"/>
      <c r="R941" s="3"/>
      <c r="S941" s="3"/>
      <c r="T941" s="36"/>
      <c r="U941" s="36"/>
      <c r="V941" s="36"/>
      <c r="W941" s="36"/>
      <c r="X941" s="36"/>
      <c r="Y941" s="36"/>
      <c r="Z941" s="36"/>
    </row>
    <row r="942" spans="1:26" ht="14">
      <c r="A942" s="3"/>
      <c r="B942" s="36"/>
      <c r="C942" s="163"/>
      <c r="D942" s="3"/>
      <c r="E942" s="3"/>
      <c r="F942" s="3"/>
      <c r="G942" s="3"/>
      <c r="H942" s="3"/>
      <c r="I942" s="3"/>
      <c r="J942" s="3"/>
      <c r="K942" s="3"/>
      <c r="L942" s="3"/>
      <c r="M942" s="3"/>
      <c r="N942" s="3"/>
      <c r="O942" s="3"/>
      <c r="P942" s="36"/>
      <c r="Q942" s="3"/>
      <c r="R942" s="3"/>
      <c r="S942" s="3"/>
      <c r="T942" s="36"/>
      <c r="U942" s="36"/>
      <c r="V942" s="36"/>
      <c r="W942" s="36"/>
      <c r="X942" s="36"/>
      <c r="Y942" s="36"/>
      <c r="Z942" s="36"/>
    </row>
  </sheetData>
  <sortState ref="A2:T945">
    <sortCondition descending="1" ref="N1"/>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942"/>
  <sheetViews>
    <sheetView tabSelected="1" topLeftCell="A695" workbookViewId="0">
      <selection activeCell="N468" sqref="N468"/>
    </sheetView>
  </sheetViews>
  <sheetFormatPr baseColWidth="10" defaultColWidth="14.5" defaultRowHeight="15" customHeight="1" x14ac:dyDescent="0"/>
  <cols>
    <col min="1" max="1" width="9.6640625" customWidth="1"/>
    <col min="2" max="2" width="9.6640625" style="38" customWidth="1"/>
    <col min="3" max="3" width="9.6640625" style="162" customWidth="1"/>
    <col min="4" max="12" width="9.1640625" customWidth="1"/>
    <col min="13" max="13" width="12" bestFit="1" customWidth="1"/>
    <col min="14" max="14" width="9.5" customWidth="1"/>
    <col min="15" max="15" width="18.5" customWidth="1"/>
    <col min="16" max="16" width="15.5" style="38" customWidth="1"/>
    <col min="17" max="17" width="11.1640625" customWidth="1"/>
    <col min="18" max="18" width="22.6640625" customWidth="1"/>
    <col min="19" max="19" width="9.1640625" customWidth="1"/>
    <col min="20" max="26" width="9.1640625" style="38" customWidth="1"/>
    <col min="27" max="16384" width="14.5" style="38"/>
  </cols>
  <sheetData>
    <row r="1" spans="1:26" ht="14">
      <c r="A1" s="3" t="s">
        <v>190</v>
      </c>
      <c r="B1" s="36" t="s">
        <v>131</v>
      </c>
      <c r="C1" s="163" t="s">
        <v>692</v>
      </c>
      <c r="D1" s="3" t="s">
        <v>191</v>
      </c>
      <c r="E1" s="3" t="s">
        <v>192</v>
      </c>
      <c r="F1" s="3" t="s">
        <v>193</v>
      </c>
      <c r="G1" s="3" t="s">
        <v>194</v>
      </c>
      <c r="H1" s="3" t="s">
        <v>195</v>
      </c>
      <c r="I1" s="3" t="s">
        <v>196</v>
      </c>
      <c r="J1" s="3" t="s">
        <v>197</v>
      </c>
      <c r="K1" s="3" t="s">
        <v>198</v>
      </c>
      <c r="L1" s="3" t="s">
        <v>199</v>
      </c>
      <c r="M1" s="3" t="s">
        <v>200</v>
      </c>
      <c r="N1" s="3" t="s">
        <v>201</v>
      </c>
      <c r="O1" s="3" t="s">
        <v>202</v>
      </c>
      <c r="P1" s="36" t="s">
        <v>709</v>
      </c>
      <c r="Q1" s="3" t="s">
        <v>206</v>
      </c>
      <c r="R1" s="3" t="s">
        <v>207</v>
      </c>
      <c r="S1" s="3" t="s">
        <v>208</v>
      </c>
      <c r="T1" s="36"/>
      <c r="U1" s="36"/>
      <c r="V1" s="36"/>
      <c r="W1" s="36"/>
      <c r="X1" s="36"/>
      <c r="Y1" s="36"/>
      <c r="Z1" s="36"/>
    </row>
    <row r="2" spans="1:26" ht="14">
      <c r="A2" s="71">
        <v>42263</v>
      </c>
      <c r="B2" s="72" t="s">
        <v>157</v>
      </c>
      <c r="C2" s="168">
        <v>2015</v>
      </c>
      <c r="D2" s="65">
        <v>8</v>
      </c>
      <c r="E2" s="65" t="s">
        <v>223</v>
      </c>
      <c r="F2" s="65" t="s">
        <v>224</v>
      </c>
      <c r="G2" s="65" t="s">
        <v>225</v>
      </c>
      <c r="H2" s="65"/>
      <c r="I2" s="51"/>
      <c r="J2" s="3"/>
      <c r="K2" s="3"/>
      <c r="L2" s="3">
        <v>2</v>
      </c>
      <c r="M2" s="3" t="s">
        <v>328</v>
      </c>
      <c r="N2" s="36" t="s">
        <v>370</v>
      </c>
      <c r="O2" s="3">
        <v>244</v>
      </c>
      <c r="P2" s="36">
        <v>0.81967213114754101</v>
      </c>
      <c r="Q2" s="3">
        <v>250</v>
      </c>
      <c r="R2" s="3"/>
      <c r="S2" s="3"/>
      <c r="T2" s="36"/>
      <c r="U2" s="36"/>
      <c r="V2" s="36"/>
      <c r="W2" s="36"/>
      <c r="X2" s="36"/>
      <c r="Y2" s="36"/>
      <c r="Z2" s="36"/>
    </row>
    <row r="3" spans="1:26" ht="14">
      <c r="A3" s="35">
        <v>41761</v>
      </c>
      <c r="B3" s="35" t="s">
        <v>144</v>
      </c>
      <c r="C3" s="168">
        <v>2014</v>
      </c>
      <c r="D3" s="65">
        <v>2</v>
      </c>
      <c r="E3" s="65" t="s">
        <v>223</v>
      </c>
      <c r="F3" s="65" t="s">
        <v>224</v>
      </c>
      <c r="G3" s="65" t="s">
        <v>225</v>
      </c>
      <c r="H3" s="65" t="s">
        <v>226</v>
      </c>
      <c r="I3" s="36"/>
      <c r="J3" s="36"/>
      <c r="K3" s="36"/>
      <c r="L3" s="36">
        <v>1</v>
      </c>
      <c r="M3" s="36" t="s">
        <v>508</v>
      </c>
      <c r="N3" s="36" t="s">
        <v>600</v>
      </c>
      <c r="O3" s="36">
        <v>29</v>
      </c>
      <c r="P3" s="36">
        <v>3.4266060403794367</v>
      </c>
      <c r="Q3" s="65">
        <v>250</v>
      </c>
      <c r="R3" s="65"/>
      <c r="S3" s="65"/>
      <c r="T3" s="65"/>
      <c r="U3" s="36"/>
      <c r="V3" s="36"/>
      <c r="W3" s="36"/>
      <c r="X3" s="36"/>
      <c r="Y3" s="36"/>
      <c r="Z3" s="36"/>
    </row>
    <row r="4" spans="1:26" ht="14">
      <c r="A4" s="35">
        <v>42928</v>
      </c>
      <c r="B4" s="72" t="s">
        <v>154</v>
      </c>
      <c r="C4" s="168">
        <v>2017</v>
      </c>
      <c r="D4" s="65">
        <v>5</v>
      </c>
      <c r="E4" s="65" t="s">
        <v>328</v>
      </c>
      <c r="F4" s="65"/>
      <c r="G4" s="65"/>
      <c r="H4" s="65"/>
      <c r="I4" s="65"/>
      <c r="J4" s="36"/>
      <c r="K4" s="36"/>
      <c r="L4" s="36">
        <v>3</v>
      </c>
      <c r="M4" s="36"/>
      <c r="N4" s="36" t="s">
        <v>370</v>
      </c>
      <c r="O4" s="36">
        <v>385</v>
      </c>
      <c r="P4" s="36">
        <v>0.77887930969300834</v>
      </c>
      <c r="Q4" s="65">
        <v>250</v>
      </c>
      <c r="R4" s="65"/>
      <c r="S4" s="65"/>
      <c r="T4" s="65"/>
      <c r="U4" s="36"/>
      <c r="V4" s="36"/>
      <c r="W4" s="36"/>
      <c r="X4" s="36"/>
      <c r="Y4" s="36"/>
      <c r="Z4" s="36"/>
    </row>
    <row r="5" spans="1:26" ht="14">
      <c r="A5" s="72">
        <v>42571</v>
      </c>
      <c r="B5" s="72" t="s">
        <v>154</v>
      </c>
      <c r="C5" s="168">
        <v>2016</v>
      </c>
      <c r="D5" s="65">
        <v>8</v>
      </c>
      <c r="E5" s="65" t="s">
        <v>328</v>
      </c>
      <c r="F5" s="65"/>
      <c r="G5" s="65"/>
      <c r="H5" s="65"/>
      <c r="I5" s="65"/>
      <c r="J5" s="36"/>
      <c r="K5" s="36"/>
      <c r="L5" s="36">
        <v>1</v>
      </c>
      <c r="M5" s="36" t="s">
        <v>328</v>
      </c>
      <c r="N5" s="36" t="s">
        <v>370</v>
      </c>
      <c r="O5" s="36">
        <v>237</v>
      </c>
      <c r="P5" s="65">
        <v>0.42188226519275773</v>
      </c>
      <c r="Q5" s="36">
        <v>250</v>
      </c>
      <c r="R5" s="36"/>
      <c r="S5" s="36"/>
      <c r="T5" s="36"/>
      <c r="U5" s="36"/>
      <c r="V5" s="36"/>
      <c r="W5" s="36"/>
      <c r="X5" s="36"/>
      <c r="Y5" s="36"/>
      <c r="Z5" s="36"/>
    </row>
    <row r="6" spans="1:26" ht="14">
      <c r="A6" s="71">
        <v>42263</v>
      </c>
      <c r="B6" s="72" t="s">
        <v>157</v>
      </c>
      <c r="C6" s="168">
        <v>2015</v>
      </c>
      <c r="D6" s="65">
        <v>5</v>
      </c>
      <c r="E6" s="65" t="s">
        <v>328</v>
      </c>
      <c r="F6" s="51"/>
      <c r="G6" s="51"/>
      <c r="H6" s="51"/>
      <c r="I6" s="51"/>
      <c r="J6" s="3"/>
      <c r="K6" s="3"/>
      <c r="L6" s="36">
        <v>1</v>
      </c>
      <c r="M6" s="3" t="s">
        <v>328</v>
      </c>
      <c r="N6" s="3" t="s">
        <v>370</v>
      </c>
      <c r="O6" s="3">
        <v>222</v>
      </c>
      <c r="P6" s="36">
        <v>0.45032312577471006</v>
      </c>
      <c r="Q6" s="3">
        <v>250</v>
      </c>
      <c r="R6" s="3"/>
      <c r="S6" s="3"/>
      <c r="T6" s="36"/>
      <c r="U6" s="36"/>
      <c r="V6" s="36"/>
      <c r="W6" s="36"/>
      <c r="X6" s="36"/>
      <c r="Y6" s="36"/>
      <c r="Z6" s="36"/>
    </row>
    <row r="7" spans="1:26" ht="14">
      <c r="A7" s="35">
        <v>43019</v>
      </c>
      <c r="B7" s="35" t="s">
        <v>159</v>
      </c>
      <c r="C7" s="168">
        <v>2017</v>
      </c>
      <c r="D7" s="65">
        <v>2</v>
      </c>
      <c r="E7" s="36" t="s">
        <v>328</v>
      </c>
      <c r="F7" s="36" t="s">
        <v>706</v>
      </c>
      <c r="G7" s="36"/>
      <c r="H7" s="36"/>
      <c r="I7" s="36"/>
      <c r="J7" s="36"/>
      <c r="K7" s="36"/>
      <c r="L7" s="36">
        <v>16</v>
      </c>
      <c r="M7" s="36" t="s">
        <v>328</v>
      </c>
      <c r="N7" s="36" t="s">
        <v>328</v>
      </c>
      <c r="O7" s="36">
        <v>317</v>
      </c>
      <c r="P7" s="36">
        <v>5.3897771757349604E-2</v>
      </c>
      <c r="Q7" s="36">
        <v>1000</v>
      </c>
      <c r="R7" s="36"/>
      <c r="S7" s="36"/>
      <c r="T7" s="36"/>
      <c r="U7" s="36"/>
      <c r="V7" s="36"/>
      <c r="W7" s="36"/>
      <c r="X7" s="36"/>
      <c r="Y7" s="36"/>
      <c r="Z7" s="36"/>
    </row>
    <row r="8" spans="1:26" ht="14">
      <c r="A8" s="72">
        <v>42571</v>
      </c>
      <c r="B8" s="72" t="s">
        <v>154</v>
      </c>
      <c r="C8" s="168">
        <v>2016</v>
      </c>
      <c r="D8" s="65">
        <v>5</v>
      </c>
      <c r="E8" s="65" t="s">
        <v>370</v>
      </c>
      <c r="F8" s="65"/>
      <c r="G8" s="65"/>
      <c r="H8" s="65"/>
      <c r="I8" s="65"/>
      <c r="J8" s="36"/>
      <c r="K8" s="36"/>
      <c r="L8" s="36">
        <v>1</v>
      </c>
      <c r="M8" s="36" t="s">
        <v>328</v>
      </c>
      <c r="N8" s="36" t="s">
        <v>328</v>
      </c>
      <c r="O8" s="36">
        <v>211</v>
      </c>
      <c r="P8" s="65">
        <v>0.47388851784560487</v>
      </c>
      <c r="Q8" s="36">
        <v>250</v>
      </c>
      <c r="R8" s="36"/>
      <c r="S8" s="36"/>
      <c r="T8" s="36"/>
      <c r="U8" s="36"/>
      <c r="V8" s="36"/>
      <c r="W8" s="36"/>
      <c r="X8" s="36"/>
      <c r="Y8" s="36"/>
      <c r="Z8" s="36"/>
    </row>
    <row r="9" spans="1:26" ht="14">
      <c r="A9" s="35">
        <v>42515</v>
      </c>
      <c r="B9" s="35" t="s">
        <v>144</v>
      </c>
      <c r="C9" s="168">
        <v>2016</v>
      </c>
      <c r="D9" s="65">
        <v>4</v>
      </c>
      <c r="E9" s="36" t="s">
        <v>370</v>
      </c>
      <c r="F9" s="36"/>
      <c r="G9" s="36"/>
      <c r="H9" s="36"/>
      <c r="I9" s="36"/>
      <c r="J9" s="36"/>
      <c r="K9" s="36"/>
      <c r="L9" s="36">
        <v>2</v>
      </c>
      <c r="M9" s="36" t="s">
        <v>328</v>
      </c>
      <c r="N9" s="36" t="s">
        <v>328</v>
      </c>
      <c r="O9" s="36">
        <v>217</v>
      </c>
      <c r="P9" s="36">
        <v>0.9209290862393783</v>
      </c>
      <c r="Q9" s="36">
        <v>250</v>
      </c>
      <c r="R9" s="36"/>
      <c r="S9" s="36"/>
      <c r="T9" s="36"/>
      <c r="U9" s="36"/>
      <c r="V9" s="36"/>
      <c r="W9" s="36"/>
      <c r="X9" s="36"/>
      <c r="Y9" s="36"/>
      <c r="Z9" s="36"/>
    </row>
    <row r="10" spans="1:26" ht="14">
      <c r="A10" s="13">
        <v>41542</v>
      </c>
      <c r="B10" s="72" t="s">
        <v>157</v>
      </c>
      <c r="C10" s="168">
        <v>2013</v>
      </c>
      <c r="D10" s="51">
        <v>5</v>
      </c>
      <c r="E10" s="51" t="s">
        <v>328</v>
      </c>
      <c r="F10" s="3"/>
      <c r="G10" s="3"/>
      <c r="H10" s="51"/>
      <c r="I10" s="51"/>
      <c r="J10" s="51"/>
      <c r="K10" s="3"/>
      <c r="L10" s="3">
        <v>1</v>
      </c>
      <c r="M10" s="3" t="s">
        <v>328</v>
      </c>
      <c r="N10" s="3" t="s">
        <v>328</v>
      </c>
      <c r="O10" s="3">
        <v>206</v>
      </c>
      <c r="P10" s="36">
        <v>0.48528051994299326</v>
      </c>
      <c r="Q10" s="36">
        <v>250</v>
      </c>
      <c r="R10" s="36"/>
      <c r="S10" s="36"/>
      <c r="T10" s="36"/>
      <c r="U10" s="36"/>
      <c r="V10" s="36"/>
      <c r="W10" s="36"/>
      <c r="X10" s="36"/>
      <c r="Y10" s="36"/>
      <c r="Z10" s="36"/>
    </row>
    <row r="11" spans="1:26" ht="14">
      <c r="A11" s="13">
        <v>41480</v>
      </c>
      <c r="B11" s="35" t="s">
        <v>154</v>
      </c>
      <c r="C11" s="168">
        <v>2013</v>
      </c>
      <c r="D11" s="51">
        <v>8</v>
      </c>
      <c r="E11" s="3" t="s">
        <v>328</v>
      </c>
      <c r="F11" s="3"/>
      <c r="G11" s="3"/>
      <c r="H11" s="3"/>
      <c r="I11" s="3"/>
      <c r="J11" s="3"/>
      <c r="K11" s="3"/>
      <c r="L11" s="3">
        <v>2</v>
      </c>
      <c r="M11" s="3" t="s">
        <v>328</v>
      </c>
      <c r="N11" s="3" t="s">
        <v>328</v>
      </c>
      <c r="O11" s="3">
        <v>251</v>
      </c>
      <c r="P11" s="36">
        <v>0.79677730805595204</v>
      </c>
      <c r="Q11" s="3">
        <v>250</v>
      </c>
      <c r="R11" s="3" t="s">
        <v>353</v>
      </c>
      <c r="S11" s="3"/>
      <c r="T11" s="36"/>
      <c r="U11" s="36"/>
      <c r="V11" s="36"/>
      <c r="W11" s="36"/>
      <c r="X11" s="36"/>
      <c r="Y11" s="36"/>
      <c r="Z11" s="36"/>
    </row>
    <row r="12" spans="1:26" ht="14">
      <c r="A12" s="35">
        <v>41422</v>
      </c>
      <c r="B12" s="72" t="s">
        <v>144</v>
      </c>
      <c r="C12" s="168">
        <v>2013</v>
      </c>
      <c r="D12" s="65">
        <v>2</v>
      </c>
      <c r="E12" s="65" t="s">
        <v>328</v>
      </c>
      <c r="F12" s="65"/>
      <c r="G12" s="65"/>
      <c r="H12" s="65"/>
      <c r="I12" s="65"/>
      <c r="J12" s="36" t="s">
        <v>328</v>
      </c>
      <c r="K12" s="36"/>
      <c r="L12" s="36">
        <v>4</v>
      </c>
      <c r="M12" s="36" t="s">
        <v>328</v>
      </c>
      <c r="N12" s="36" t="s">
        <v>328</v>
      </c>
      <c r="O12" s="36">
        <v>8</v>
      </c>
      <c r="P12" s="36">
        <v>2.3601541466791342E-2</v>
      </c>
      <c r="Q12" s="36">
        <v>1000</v>
      </c>
      <c r="R12" s="36" t="s">
        <v>328</v>
      </c>
      <c r="S12" s="36"/>
      <c r="T12" s="36"/>
      <c r="U12" s="36"/>
      <c r="V12" s="36"/>
      <c r="W12" s="36"/>
      <c r="X12" s="36"/>
      <c r="Y12" s="36"/>
      <c r="Z12" s="36"/>
    </row>
    <row r="13" spans="1:26" ht="14">
      <c r="A13" s="13">
        <v>43019</v>
      </c>
      <c r="B13" s="72" t="s">
        <v>159</v>
      </c>
      <c r="C13" s="168">
        <v>2017</v>
      </c>
      <c r="D13" s="65">
        <v>4</v>
      </c>
      <c r="E13" s="65" t="s">
        <v>223</v>
      </c>
      <c r="F13" s="65" t="s">
        <v>224</v>
      </c>
      <c r="G13" s="65" t="s">
        <v>225</v>
      </c>
      <c r="H13" s="65" t="s">
        <v>226</v>
      </c>
      <c r="I13" s="65" t="s">
        <v>261</v>
      </c>
      <c r="J13" s="36" t="s">
        <v>262</v>
      </c>
      <c r="K13" s="36"/>
      <c r="L13" s="36">
        <v>9</v>
      </c>
      <c r="M13" s="3" t="s">
        <v>229</v>
      </c>
      <c r="N13" s="36" t="s">
        <v>264</v>
      </c>
      <c r="O13" s="3">
        <v>248</v>
      </c>
      <c r="P13" s="36">
        <v>3.5800816065298529</v>
      </c>
      <c r="Q13" s="36">
        <v>250</v>
      </c>
      <c r="R13" s="3"/>
      <c r="S13" s="3"/>
      <c r="T13" s="36"/>
      <c r="U13" s="36"/>
      <c r="V13" s="36"/>
      <c r="W13" s="36"/>
      <c r="X13" s="36"/>
      <c r="Y13" s="36"/>
      <c r="Z13" s="36"/>
    </row>
    <row r="14" spans="1:26" ht="14">
      <c r="A14" s="13">
        <v>43019</v>
      </c>
      <c r="B14" s="35" t="s">
        <v>159</v>
      </c>
      <c r="C14" s="168">
        <v>2017</v>
      </c>
      <c r="D14" s="65">
        <v>5</v>
      </c>
      <c r="E14" s="65" t="s">
        <v>223</v>
      </c>
      <c r="F14" s="65" t="s">
        <v>224</v>
      </c>
      <c r="G14" s="65" t="s">
        <v>225</v>
      </c>
      <c r="H14" s="65" t="s">
        <v>226</v>
      </c>
      <c r="I14" s="65" t="s">
        <v>261</v>
      </c>
      <c r="J14" s="36" t="s">
        <v>262</v>
      </c>
      <c r="K14" s="36"/>
      <c r="L14" s="36">
        <v>4</v>
      </c>
      <c r="M14" s="3" t="s">
        <v>229</v>
      </c>
      <c r="N14" s="36" t="s">
        <v>264</v>
      </c>
      <c r="O14" s="3">
        <v>255</v>
      </c>
      <c r="P14" s="36">
        <v>1.5682796488609068</v>
      </c>
      <c r="Q14" s="3">
        <v>250</v>
      </c>
      <c r="R14" s="3"/>
      <c r="S14" s="3"/>
      <c r="T14" s="36"/>
      <c r="U14" s="36"/>
      <c r="V14" s="36"/>
      <c r="W14" s="36"/>
      <c r="X14" s="36"/>
      <c r="Y14" s="36"/>
      <c r="Z14" s="36"/>
    </row>
    <row r="15" spans="1:26" ht="14">
      <c r="A15" s="13">
        <v>43019</v>
      </c>
      <c r="B15" s="35" t="s">
        <v>159</v>
      </c>
      <c r="C15" s="168">
        <v>2017</v>
      </c>
      <c r="D15" s="65">
        <v>8</v>
      </c>
      <c r="E15" s="65" t="s">
        <v>223</v>
      </c>
      <c r="F15" s="65" t="s">
        <v>224</v>
      </c>
      <c r="G15" s="65" t="s">
        <v>225</v>
      </c>
      <c r="H15" s="65" t="s">
        <v>226</v>
      </c>
      <c r="I15" s="65" t="s">
        <v>261</v>
      </c>
      <c r="J15" s="65" t="s">
        <v>262</v>
      </c>
      <c r="K15" s="36"/>
      <c r="L15" s="36">
        <v>5</v>
      </c>
      <c r="M15" s="3" t="s">
        <v>229</v>
      </c>
      <c r="N15" s="36" t="s">
        <v>264</v>
      </c>
      <c r="O15" s="3">
        <v>288</v>
      </c>
      <c r="P15" s="36">
        <v>1.6680524060465656</v>
      </c>
      <c r="Q15" s="3">
        <v>250</v>
      </c>
      <c r="R15" s="3"/>
      <c r="S15" s="3"/>
      <c r="T15" s="36"/>
      <c r="U15" s="36"/>
      <c r="V15" s="36"/>
      <c r="W15" s="36"/>
      <c r="X15" s="36"/>
      <c r="Y15" s="36"/>
      <c r="Z15" s="36"/>
    </row>
    <row r="16" spans="1:26" ht="14">
      <c r="A16" s="13">
        <v>42928</v>
      </c>
      <c r="B16" s="72" t="s">
        <v>154</v>
      </c>
      <c r="C16" s="168">
        <v>2017</v>
      </c>
      <c r="D16" s="65">
        <v>2</v>
      </c>
      <c r="E16" s="65" t="s">
        <v>223</v>
      </c>
      <c r="F16" s="65" t="s">
        <v>224</v>
      </c>
      <c r="G16" s="65" t="s">
        <v>225</v>
      </c>
      <c r="H16" s="65" t="s">
        <v>226</v>
      </c>
      <c r="I16" s="65" t="s">
        <v>261</v>
      </c>
      <c r="J16" s="36" t="s">
        <v>262</v>
      </c>
      <c r="K16" s="36"/>
      <c r="L16" s="36">
        <v>2</v>
      </c>
      <c r="M16" s="3" t="s">
        <v>229</v>
      </c>
      <c r="N16" s="36" t="s">
        <v>264</v>
      </c>
      <c r="O16" s="3">
        <v>656</v>
      </c>
      <c r="P16" s="36">
        <v>0.30456865236188441</v>
      </c>
      <c r="Q16" s="36">
        <v>250</v>
      </c>
      <c r="R16" s="3"/>
      <c r="S16" s="3"/>
      <c r="T16" s="36"/>
      <c r="U16" s="36"/>
      <c r="V16" s="36"/>
      <c r="W16" s="36"/>
      <c r="X16" s="36"/>
      <c r="Y16" s="36"/>
      <c r="Z16" s="36"/>
    </row>
    <row r="17" spans="1:26" ht="14">
      <c r="A17" s="13">
        <v>42928</v>
      </c>
      <c r="B17" s="72" t="s">
        <v>154</v>
      </c>
      <c r="C17" s="168">
        <v>2017</v>
      </c>
      <c r="D17" s="65">
        <v>4</v>
      </c>
      <c r="E17" s="65" t="s">
        <v>223</v>
      </c>
      <c r="F17" s="65" t="s">
        <v>224</v>
      </c>
      <c r="G17" s="65" t="s">
        <v>225</v>
      </c>
      <c r="H17" s="65" t="s">
        <v>226</v>
      </c>
      <c r="I17" s="65" t="s">
        <v>261</v>
      </c>
      <c r="J17" s="36" t="s">
        <v>262</v>
      </c>
      <c r="K17" s="36"/>
      <c r="L17" s="36">
        <v>5</v>
      </c>
      <c r="M17" s="3" t="s">
        <v>229</v>
      </c>
      <c r="N17" s="36" t="s">
        <v>264</v>
      </c>
      <c r="O17" s="3">
        <v>225</v>
      </c>
      <c r="P17" s="36">
        <v>2.2133082032885025</v>
      </c>
      <c r="Q17" s="36">
        <v>250</v>
      </c>
      <c r="R17" s="3"/>
      <c r="S17" s="3"/>
      <c r="T17" s="36"/>
      <c r="U17" s="36"/>
      <c r="V17" s="36"/>
      <c r="W17" s="36"/>
      <c r="X17" s="36"/>
      <c r="Y17" s="36"/>
      <c r="Z17" s="36"/>
    </row>
    <row r="18" spans="1:26" ht="14">
      <c r="A18" s="72">
        <v>42928</v>
      </c>
      <c r="B18" s="72" t="s">
        <v>154</v>
      </c>
      <c r="C18" s="168">
        <v>2017</v>
      </c>
      <c r="D18" s="65">
        <v>5</v>
      </c>
      <c r="E18" s="65" t="s">
        <v>223</v>
      </c>
      <c r="F18" s="65" t="s">
        <v>224</v>
      </c>
      <c r="G18" s="65" t="s">
        <v>225</v>
      </c>
      <c r="H18" s="65" t="s">
        <v>226</v>
      </c>
      <c r="I18" s="65" t="s">
        <v>261</v>
      </c>
      <c r="J18" s="36" t="s">
        <v>262</v>
      </c>
      <c r="K18" s="36"/>
      <c r="L18" s="36">
        <v>14</v>
      </c>
      <c r="M18" s="36" t="s">
        <v>229</v>
      </c>
      <c r="N18" s="36" t="s">
        <v>264</v>
      </c>
      <c r="O18" s="36">
        <v>385</v>
      </c>
      <c r="P18" s="36">
        <v>3.6347701119007056</v>
      </c>
      <c r="Q18" s="65">
        <v>250</v>
      </c>
      <c r="R18" s="65"/>
      <c r="S18" s="65"/>
      <c r="T18" s="65"/>
      <c r="U18" s="36"/>
      <c r="V18" s="36"/>
      <c r="W18" s="36"/>
      <c r="X18" s="36"/>
      <c r="Y18" s="36"/>
      <c r="Z18" s="36"/>
    </row>
    <row r="19" spans="1:26" ht="14">
      <c r="A19" s="13">
        <v>42928</v>
      </c>
      <c r="B19" s="72" t="s">
        <v>154</v>
      </c>
      <c r="C19" s="168">
        <v>2017</v>
      </c>
      <c r="D19" s="65">
        <v>8</v>
      </c>
      <c r="E19" s="65" t="s">
        <v>223</v>
      </c>
      <c r="F19" s="65" t="s">
        <v>224</v>
      </c>
      <c r="G19" s="65" t="s">
        <v>225</v>
      </c>
      <c r="H19" s="65" t="s">
        <v>226</v>
      </c>
      <c r="I19" s="65" t="s">
        <v>261</v>
      </c>
      <c r="J19" s="65" t="s">
        <v>262</v>
      </c>
      <c r="K19" s="65"/>
      <c r="L19" s="65">
        <v>6</v>
      </c>
      <c r="M19" s="51" t="s">
        <v>229</v>
      </c>
      <c r="N19" s="65" t="s">
        <v>264</v>
      </c>
      <c r="O19" s="3">
        <v>319</v>
      </c>
      <c r="P19" s="36">
        <v>1.8801646236079863</v>
      </c>
      <c r="Q19" s="36">
        <v>250</v>
      </c>
      <c r="R19" s="3"/>
      <c r="S19" s="3"/>
      <c r="T19" s="36"/>
      <c r="U19" s="36"/>
      <c r="V19" s="36"/>
      <c r="W19" s="36"/>
      <c r="X19" s="36"/>
      <c r="Y19" s="36"/>
      <c r="Z19" s="36"/>
    </row>
    <row r="20" spans="1:26" ht="14">
      <c r="A20" s="13">
        <v>42867</v>
      </c>
      <c r="B20" s="72" t="s">
        <v>144</v>
      </c>
      <c r="C20" s="168">
        <v>2017</v>
      </c>
      <c r="D20" s="65">
        <v>4</v>
      </c>
      <c r="E20" s="65" t="s">
        <v>223</v>
      </c>
      <c r="F20" s="65" t="s">
        <v>224</v>
      </c>
      <c r="G20" s="65" t="s">
        <v>225</v>
      </c>
      <c r="H20" s="65" t="s">
        <v>226</v>
      </c>
      <c r="I20" s="65" t="s">
        <v>261</v>
      </c>
      <c r="J20" s="36" t="s">
        <v>262</v>
      </c>
      <c r="K20" s="36"/>
      <c r="L20" s="36">
        <v>2</v>
      </c>
      <c r="M20" s="3" t="s">
        <v>229</v>
      </c>
      <c r="N20" s="36" t="s">
        <v>264</v>
      </c>
      <c r="O20" s="3">
        <v>225</v>
      </c>
      <c r="P20" s="36">
        <v>0.87408018800341714</v>
      </c>
      <c r="Q20" s="3"/>
      <c r="R20" s="3"/>
      <c r="S20" s="3"/>
      <c r="T20" s="36"/>
      <c r="U20" s="36"/>
      <c r="V20" s="36"/>
      <c r="W20" s="36"/>
      <c r="X20" s="36"/>
      <c r="Y20" s="36"/>
      <c r="Z20" s="36"/>
    </row>
    <row r="21" spans="1:26" ht="14">
      <c r="A21" s="71">
        <v>42867</v>
      </c>
      <c r="B21" s="72" t="s">
        <v>144</v>
      </c>
      <c r="C21" s="168">
        <v>2017</v>
      </c>
      <c r="D21" s="65">
        <v>5</v>
      </c>
      <c r="E21" s="65" t="s">
        <v>223</v>
      </c>
      <c r="F21" s="65" t="s">
        <v>224</v>
      </c>
      <c r="G21" s="65" t="s">
        <v>225</v>
      </c>
      <c r="H21" s="65" t="s">
        <v>226</v>
      </c>
      <c r="I21" s="65" t="s">
        <v>261</v>
      </c>
      <c r="J21" s="65" t="s">
        <v>262</v>
      </c>
      <c r="K21" s="36"/>
      <c r="L21" s="36">
        <v>6</v>
      </c>
      <c r="M21" s="3" t="s">
        <v>229</v>
      </c>
      <c r="N21" s="36" t="s">
        <v>264</v>
      </c>
      <c r="O21" s="3">
        <v>222</v>
      </c>
      <c r="P21" s="36">
        <v>2.7018255549901125</v>
      </c>
      <c r="Q21" s="3"/>
      <c r="R21" s="3"/>
      <c r="S21" s="3"/>
      <c r="T21" s="36"/>
      <c r="U21" s="36"/>
      <c r="V21" s="36"/>
      <c r="W21" s="36"/>
      <c r="X21" s="36"/>
      <c r="Y21" s="36"/>
      <c r="Z21" s="36"/>
    </row>
    <row r="22" spans="1:26" ht="14">
      <c r="A22" s="13">
        <v>42867</v>
      </c>
      <c r="B22" s="72" t="s">
        <v>144</v>
      </c>
      <c r="C22" s="168">
        <v>2017</v>
      </c>
      <c r="D22" s="65">
        <v>8</v>
      </c>
      <c r="E22" s="65" t="s">
        <v>223</v>
      </c>
      <c r="F22" s="65" t="s">
        <v>224</v>
      </c>
      <c r="G22" s="65" t="s">
        <v>225</v>
      </c>
      <c r="H22" s="65" t="s">
        <v>226</v>
      </c>
      <c r="I22" s="65" t="s">
        <v>261</v>
      </c>
      <c r="J22" s="36" t="s">
        <v>262</v>
      </c>
      <c r="K22" s="36"/>
      <c r="L22" s="36">
        <v>21</v>
      </c>
      <c r="M22" s="3" t="s">
        <v>229</v>
      </c>
      <c r="N22" s="36" t="s">
        <v>264</v>
      </c>
      <c r="O22" s="3">
        <v>268</v>
      </c>
      <c r="P22" s="36">
        <v>7.8223663828092604</v>
      </c>
      <c r="Q22" s="3"/>
      <c r="R22" s="3"/>
      <c r="S22" s="3"/>
      <c r="T22" s="36"/>
      <c r="U22" s="36"/>
      <c r="V22" s="36"/>
      <c r="W22" s="36"/>
      <c r="X22" s="36"/>
      <c r="Y22" s="36"/>
      <c r="Z22" s="36"/>
    </row>
    <row r="23" spans="1:26" ht="14">
      <c r="A23" s="35">
        <v>42571</v>
      </c>
      <c r="B23" s="72" t="s">
        <v>154</v>
      </c>
      <c r="C23" s="168">
        <v>2016</v>
      </c>
      <c r="D23" s="65">
        <v>2</v>
      </c>
      <c r="E23" s="65" t="s">
        <v>223</v>
      </c>
      <c r="F23" s="65" t="s">
        <v>224</v>
      </c>
      <c r="G23" s="65" t="s">
        <v>225</v>
      </c>
      <c r="H23" s="65" t="s">
        <v>226</v>
      </c>
      <c r="I23" s="65" t="s">
        <v>261</v>
      </c>
      <c r="J23" s="36" t="s">
        <v>262</v>
      </c>
      <c r="K23" s="36"/>
      <c r="L23" s="36">
        <v>1</v>
      </c>
      <c r="M23" s="3" t="s">
        <v>229</v>
      </c>
      <c r="N23" s="36" t="s">
        <v>264</v>
      </c>
      <c r="O23" s="36">
        <v>179</v>
      </c>
      <c r="P23" s="65">
        <v>0.55860419823170904</v>
      </c>
      <c r="Q23" s="3">
        <v>250</v>
      </c>
      <c r="R23" s="3"/>
      <c r="S23" s="3"/>
      <c r="T23" s="59"/>
      <c r="U23" s="36"/>
      <c r="V23" s="36"/>
      <c r="W23" s="36"/>
      <c r="X23" s="36"/>
      <c r="Y23" s="36"/>
      <c r="Z23" s="36"/>
    </row>
    <row r="24" spans="1:26" ht="14">
      <c r="A24" s="35">
        <v>42571</v>
      </c>
      <c r="B24" s="35" t="s">
        <v>154</v>
      </c>
      <c r="C24" s="168">
        <v>2016</v>
      </c>
      <c r="D24" s="65">
        <v>4</v>
      </c>
      <c r="E24" s="65" t="s">
        <v>223</v>
      </c>
      <c r="F24" s="65" t="s">
        <v>224</v>
      </c>
      <c r="G24" s="65" t="s">
        <v>225</v>
      </c>
      <c r="H24" s="65" t="s">
        <v>226</v>
      </c>
      <c r="I24" s="65" t="s">
        <v>261</v>
      </c>
      <c r="J24" s="65" t="s">
        <v>262</v>
      </c>
      <c r="K24" s="3"/>
      <c r="L24" s="36">
        <v>3</v>
      </c>
      <c r="M24" s="3" t="s">
        <v>229</v>
      </c>
      <c r="N24" s="36" t="s">
        <v>264</v>
      </c>
      <c r="O24" s="3">
        <v>223</v>
      </c>
      <c r="P24" s="65">
        <v>1.3447646301599598</v>
      </c>
      <c r="Q24" s="65">
        <v>250</v>
      </c>
      <c r="R24" s="51"/>
      <c r="S24" s="51"/>
      <c r="T24" s="65"/>
      <c r="U24" s="36"/>
      <c r="V24" s="36"/>
      <c r="W24" s="36"/>
      <c r="X24" s="36"/>
      <c r="Y24" s="36"/>
      <c r="Z24" s="36"/>
    </row>
    <row r="25" spans="1:26" ht="14">
      <c r="A25" s="72">
        <v>42571</v>
      </c>
      <c r="B25" s="35" t="s">
        <v>154</v>
      </c>
      <c r="C25" s="168">
        <v>2016</v>
      </c>
      <c r="D25" s="65">
        <v>5</v>
      </c>
      <c r="E25" s="36" t="s">
        <v>223</v>
      </c>
      <c r="F25" s="36" t="s">
        <v>224</v>
      </c>
      <c r="G25" s="36" t="s">
        <v>225</v>
      </c>
      <c r="H25" s="36" t="s">
        <v>226</v>
      </c>
      <c r="I25" s="36" t="s">
        <v>261</v>
      </c>
      <c r="J25" s="36" t="s">
        <v>262</v>
      </c>
      <c r="K25" s="3"/>
      <c r="L25" s="36">
        <v>11</v>
      </c>
      <c r="M25" s="3" t="s">
        <v>229</v>
      </c>
      <c r="N25" s="36" t="s">
        <v>264</v>
      </c>
      <c r="O25" s="3">
        <v>211</v>
      </c>
      <c r="P25" s="65">
        <v>5.2127736963016531</v>
      </c>
      <c r="Q25" s="3">
        <v>250</v>
      </c>
      <c r="R25" s="3"/>
      <c r="S25" s="3"/>
      <c r="T25" s="36"/>
      <c r="U25" s="36"/>
      <c r="V25" s="36"/>
      <c r="W25" s="36"/>
      <c r="X25" s="36"/>
      <c r="Y25" s="36"/>
      <c r="Z25" s="36"/>
    </row>
    <row r="26" spans="1:26" ht="14">
      <c r="A26" s="35">
        <v>42571</v>
      </c>
      <c r="B26" s="35" t="s">
        <v>154</v>
      </c>
      <c r="C26" s="168">
        <v>2016</v>
      </c>
      <c r="D26" s="65">
        <v>8</v>
      </c>
      <c r="E26" s="36" t="s">
        <v>223</v>
      </c>
      <c r="F26" s="36" t="s">
        <v>224</v>
      </c>
      <c r="G26" s="36" t="s">
        <v>225</v>
      </c>
      <c r="H26" s="36" t="s">
        <v>226</v>
      </c>
      <c r="I26" s="36" t="s">
        <v>261</v>
      </c>
      <c r="J26" s="36" t="s">
        <v>262</v>
      </c>
      <c r="K26" s="3"/>
      <c r="L26" s="36">
        <v>20</v>
      </c>
      <c r="M26" s="3" t="s">
        <v>229</v>
      </c>
      <c r="N26" s="36" t="s">
        <v>264</v>
      </c>
      <c r="O26" s="3">
        <v>237</v>
      </c>
      <c r="P26" s="65">
        <v>8.437645303855156</v>
      </c>
      <c r="Q26" s="3">
        <v>250</v>
      </c>
      <c r="R26" s="3"/>
      <c r="S26" s="3"/>
      <c r="T26" s="36"/>
      <c r="U26" s="36"/>
      <c r="V26" s="36"/>
      <c r="W26" s="36"/>
      <c r="X26" s="36"/>
      <c r="Y26" s="36"/>
      <c r="Z26" s="36"/>
    </row>
    <row r="27" spans="1:26" ht="14">
      <c r="A27" s="13">
        <v>42515</v>
      </c>
      <c r="B27" s="35" t="s">
        <v>144</v>
      </c>
      <c r="C27" s="168">
        <v>2016</v>
      </c>
      <c r="D27" s="51">
        <v>2</v>
      </c>
      <c r="E27" s="3" t="s">
        <v>223</v>
      </c>
      <c r="F27" s="3" t="s">
        <v>224</v>
      </c>
      <c r="G27" s="3" t="s">
        <v>225</v>
      </c>
      <c r="H27" s="3" t="s">
        <v>226</v>
      </c>
      <c r="I27" s="3" t="s">
        <v>261</v>
      </c>
      <c r="J27" s="3" t="s">
        <v>262</v>
      </c>
      <c r="K27" s="3"/>
      <c r="L27" s="3">
        <v>1</v>
      </c>
      <c r="M27" s="3" t="s">
        <v>229</v>
      </c>
      <c r="N27" s="3" t="s">
        <v>264</v>
      </c>
      <c r="O27" s="36">
        <v>194</v>
      </c>
      <c r="P27" s="65">
        <v>0.51520576504797122</v>
      </c>
      <c r="Q27" s="65">
        <v>250</v>
      </c>
      <c r="R27" s="51"/>
      <c r="S27" s="51"/>
      <c r="T27" s="65"/>
      <c r="U27" s="36"/>
      <c r="V27" s="36"/>
      <c r="W27" s="36"/>
      <c r="X27" s="36"/>
      <c r="Y27" s="36"/>
      <c r="Z27" s="36"/>
    </row>
    <row r="28" spans="1:26" ht="14">
      <c r="A28" s="13">
        <v>42515</v>
      </c>
      <c r="B28" s="35" t="s">
        <v>144</v>
      </c>
      <c r="C28" s="168">
        <v>2016</v>
      </c>
      <c r="D28" s="51">
        <v>4</v>
      </c>
      <c r="E28" s="51" t="s">
        <v>223</v>
      </c>
      <c r="F28" s="51" t="s">
        <v>224</v>
      </c>
      <c r="G28" s="51" t="s">
        <v>225</v>
      </c>
      <c r="H28" s="51" t="s">
        <v>226</v>
      </c>
      <c r="I28" s="51" t="s">
        <v>261</v>
      </c>
      <c r="J28" s="3" t="s">
        <v>262</v>
      </c>
      <c r="K28" s="3"/>
      <c r="L28" s="3">
        <v>3</v>
      </c>
      <c r="M28" s="3" t="s">
        <v>229</v>
      </c>
      <c r="N28" s="3" t="s">
        <v>264</v>
      </c>
      <c r="O28" s="3">
        <v>217</v>
      </c>
      <c r="P28" s="36">
        <v>1.3813936293590676</v>
      </c>
      <c r="Q28" s="36">
        <v>250</v>
      </c>
      <c r="R28" s="3"/>
      <c r="S28" s="3"/>
      <c r="T28" s="36"/>
      <c r="U28" s="36"/>
      <c r="V28" s="36"/>
      <c r="W28" s="36"/>
      <c r="X28" s="36"/>
      <c r="Y28" s="36"/>
      <c r="Z28" s="36"/>
    </row>
    <row r="29" spans="1:26" ht="14">
      <c r="A29" s="35">
        <v>42515</v>
      </c>
      <c r="B29" s="35" t="s">
        <v>144</v>
      </c>
      <c r="C29" s="168">
        <v>2016</v>
      </c>
      <c r="D29" s="65">
        <v>5</v>
      </c>
      <c r="E29" s="65" t="s">
        <v>223</v>
      </c>
      <c r="F29" s="65" t="s">
        <v>224</v>
      </c>
      <c r="G29" s="65" t="s">
        <v>225</v>
      </c>
      <c r="H29" s="65" t="s">
        <v>226</v>
      </c>
      <c r="I29" s="65" t="s">
        <v>261</v>
      </c>
      <c r="J29" s="36" t="s">
        <v>262</v>
      </c>
      <c r="K29" s="36"/>
      <c r="L29" s="36">
        <v>11</v>
      </c>
      <c r="M29" s="36" t="s">
        <v>229</v>
      </c>
      <c r="N29" s="36" t="s">
        <v>264</v>
      </c>
      <c r="O29" s="36">
        <v>214</v>
      </c>
      <c r="P29" s="65">
        <v>5.1377083110318083</v>
      </c>
      <c r="Q29" s="3">
        <v>250</v>
      </c>
      <c r="R29" s="3"/>
      <c r="S29" s="3"/>
      <c r="T29" s="36"/>
      <c r="U29" s="36"/>
      <c r="V29" s="36"/>
      <c r="W29" s="36"/>
      <c r="X29" s="36"/>
      <c r="Y29" s="36"/>
      <c r="Z29" s="36"/>
    </row>
    <row r="30" spans="1:26" ht="14">
      <c r="A30" s="169">
        <v>42515</v>
      </c>
      <c r="B30" s="169" t="s">
        <v>144</v>
      </c>
      <c r="C30" s="176">
        <v>2016</v>
      </c>
      <c r="D30" s="170">
        <v>8</v>
      </c>
      <c r="E30" s="170" t="s">
        <v>223</v>
      </c>
      <c r="F30" s="170" t="s">
        <v>224</v>
      </c>
      <c r="G30" s="170" t="s">
        <v>225</v>
      </c>
      <c r="H30" s="170" t="s">
        <v>226</v>
      </c>
      <c r="I30" s="170" t="s">
        <v>261</v>
      </c>
      <c r="J30" s="171" t="s">
        <v>262</v>
      </c>
      <c r="K30" s="171"/>
      <c r="L30" s="171">
        <v>14</v>
      </c>
      <c r="M30" s="171" t="s">
        <v>229</v>
      </c>
      <c r="N30" s="171" t="s">
        <v>264</v>
      </c>
      <c r="O30" s="171">
        <v>252</v>
      </c>
      <c r="P30" s="171">
        <v>5.5548794009734035</v>
      </c>
      <c r="Q30" s="171">
        <v>250</v>
      </c>
      <c r="R30" s="171"/>
      <c r="S30" s="171"/>
      <c r="T30" s="36"/>
      <c r="U30" s="36"/>
      <c r="V30" s="36"/>
      <c r="W30" s="36"/>
      <c r="X30" s="36"/>
      <c r="Y30" s="36"/>
      <c r="Z30" s="36"/>
    </row>
    <row r="31" spans="1:26" ht="14">
      <c r="A31" s="13">
        <v>42263</v>
      </c>
      <c r="B31" s="72" t="s">
        <v>157</v>
      </c>
      <c r="C31" s="168">
        <v>2015</v>
      </c>
      <c r="D31" s="65">
        <v>4</v>
      </c>
      <c r="E31" s="36" t="s">
        <v>223</v>
      </c>
      <c r="F31" s="36" t="s">
        <v>224</v>
      </c>
      <c r="G31" s="36" t="s">
        <v>225</v>
      </c>
      <c r="H31" s="36" t="s">
        <v>226</v>
      </c>
      <c r="I31" s="36" t="s">
        <v>261</v>
      </c>
      <c r="J31" s="36" t="s">
        <v>262</v>
      </c>
      <c r="K31" s="3"/>
      <c r="L31" s="3">
        <v>1</v>
      </c>
      <c r="M31" s="3" t="s">
        <v>229</v>
      </c>
      <c r="N31" s="36" t="s">
        <v>264</v>
      </c>
      <c r="O31" s="3">
        <v>161</v>
      </c>
      <c r="P31" s="65">
        <v>0.6200364182712722</v>
      </c>
      <c r="Q31" s="65">
        <v>250</v>
      </c>
      <c r="R31" s="51"/>
      <c r="S31" s="51"/>
      <c r="T31" s="65"/>
      <c r="U31" s="36"/>
      <c r="V31" s="36"/>
      <c r="W31" s="36"/>
      <c r="X31" s="36"/>
      <c r="Y31" s="36"/>
      <c r="Z31" s="36"/>
    </row>
    <row r="32" spans="1:26" ht="14">
      <c r="A32" s="71">
        <v>42263</v>
      </c>
      <c r="B32" s="72" t="s">
        <v>157</v>
      </c>
      <c r="C32" s="168">
        <v>2015</v>
      </c>
      <c r="D32" s="65">
        <v>5</v>
      </c>
      <c r="E32" s="36" t="s">
        <v>223</v>
      </c>
      <c r="F32" s="36" t="s">
        <v>224</v>
      </c>
      <c r="G32" s="36" t="s">
        <v>225</v>
      </c>
      <c r="H32" s="36" t="s">
        <v>226</v>
      </c>
      <c r="I32" s="36" t="s">
        <v>261</v>
      </c>
      <c r="J32" s="36" t="s">
        <v>262</v>
      </c>
      <c r="K32" s="3"/>
      <c r="L32" s="36">
        <v>2</v>
      </c>
      <c r="M32" s="3" t="s">
        <v>229</v>
      </c>
      <c r="N32" s="3" t="s">
        <v>264</v>
      </c>
      <c r="O32" s="3">
        <v>222</v>
      </c>
      <c r="P32" s="36">
        <v>0.90064625154942013</v>
      </c>
      <c r="Q32" s="36">
        <v>250</v>
      </c>
      <c r="R32" s="3"/>
      <c r="S32" s="3"/>
      <c r="T32" s="36"/>
      <c r="U32" s="36"/>
      <c r="V32" s="36"/>
      <c r="W32" s="36"/>
      <c r="X32" s="36"/>
      <c r="Y32" s="36"/>
      <c r="Z32" s="36"/>
    </row>
    <row r="33" spans="1:26" ht="14">
      <c r="A33" s="13">
        <v>42263</v>
      </c>
      <c r="B33" s="72" t="s">
        <v>157</v>
      </c>
      <c r="C33" s="168">
        <v>2015</v>
      </c>
      <c r="D33" s="65">
        <v>8</v>
      </c>
      <c r="E33" s="36" t="s">
        <v>223</v>
      </c>
      <c r="F33" s="36" t="s">
        <v>224</v>
      </c>
      <c r="G33" s="36" t="s">
        <v>225</v>
      </c>
      <c r="H33" s="36" t="s">
        <v>226</v>
      </c>
      <c r="I33" s="36" t="s">
        <v>261</v>
      </c>
      <c r="J33" s="36" t="s">
        <v>262</v>
      </c>
      <c r="K33" s="3"/>
      <c r="L33" s="3">
        <v>2</v>
      </c>
      <c r="M33" s="3" t="s">
        <v>229</v>
      </c>
      <c r="N33" s="3" t="s">
        <v>264</v>
      </c>
      <c r="O33" s="3">
        <v>244</v>
      </c>
      <c r="P33" s="36">
        <v>0.81967213114754101</v>
      </c>
      <c r="Q33" s="36">
        <v>250</v>
      </c>
      <c r="R33" s="3"/>
      <c r="S33" s="3"/>
      <c r="T33" s="36"/>
      <c r="U33" s="36"/>
      <c r="V33" s="36"/>
      <c r="W33" s="36"/>
      <c r="X33" s="36"/>
      <c r="Y33" s="36"/>
      <c r="Z33" s="36"/>
    </row>
    <row r="34" spans="1:26" ht="14">
      <c r="A34" s="35">
        <v>42206</v>
      </c>
      <c r="B34" s="72" t="s">
        <v>154</v>
      </c>
      <c r="C34" s="168">
        <v>2015</v>
      </c>
      <c r="D34" s="65">
        <v>2</v>
      </c>
      <c r="E34" s="65" t="s">
        <v>223</v>
      </c>
      <c r="F34" s="65" t="s">
        <v>224</v>
      </c>
      <c r="G34" s="65" t="s">
        <v>225</v>
      </c>
      <c r="H34" s="65" t="s">
        <v>226</v>
      </c>
      <c r="I34" s="65" t="s">
        <v>261</v>
      </c>
      <c r="J34" s="36" t="s">
        <v>262</v>
      </c>
      <c r="K34" s="36"/>
      <c r="L34" s="36">
        <v>4</v>
      </c>
      <c r="M34" s="36" t="s">
        <v>229</v>
      </c>
      <c r="N34" s="36" t="s">
        <v>264</v>
      </c>
      <c r="O34" s="36">
        <v>337</v>
      </c>
      <c r="P34" s="36">
        <v>1.1865524649330474</v>
      </c>
      <c r="Q34" s="36">
        <v>250</v>
      </c>
      <c r="R34" s="36"/>
      <c r="S34" s="36"/>
      <c r="T34" s="36"/>
      <c r="U34" s="36"/>
      <c r="V34" s="36"/>
      <c r="W34" s="36"/>
      <c r="X34" s="36"/>
      <c r="Y34" s="36"/>
      <c r="Z34" s="36"/>
    </row>
    <row r="35" spans="1:26" ht="14">
      <c r="A35" s="71">
        <v>42206</v>
      </c>
      <c r="B35" s="72" t="s">
        <v>154</v>
      </c>
      <c r="C35" s="168">
        <v>2015</v>
      </c>
      <c r="D35" s="65">
        <v>4</v>
      </c>
      <c r="E35" s="36" t="s">
        <v>223</v>
      </c>
      <c r="F35" s="36" t="s">
        <v>224</v>
      </c>
      <c r="G35" s="36" t="s">
        <v>225</v>
      </c>
      <c r="H35" s="36" t="s">
        <v>226</v>
      </c>
      <c r="I35" s="65" t="s">
        <v>261</v>
      </c>
      <c r="J35" s="65" t="s">
        <v>262</v>
      </c>
      <c r="K35" s="3"/>
      <c r="L35" s="3">
        <v>11</v>
      </c>
      <c r="M35" s="3" t="s">
        <v>229</v>
      </c>
      <c r="N35" s="36" t="s">
        <v>264</v>
      </c>
      <c r="O35" s="3">
        <v>273</v>
      </c>
      <c r="P35" s="65">
        <v>3.9752993776875951</v>
      </c>
      <c r="Q35" s="65">
        <v>250</v>
      </c>
      <c r="R35" s="51"/>
      <c r="S35" s="51"/>
      <c r="T35" s="65"/>
      <c r="U35" s="36"/>
      <c r="V35" s="36"/>
      <c r="W35" s="36"/>
      <c r="X35" s="36"/>
      <c r="Y35" s="36"/>
      <c r="Z35" s="36"/>
    </row>
    <row r="36" spans="1:26" ht="14">
      <c r="A36" s="13">
        <v>42206</v>
      </c>
      <c r="B36" s="35" t="s">
        <v>154</v>
      </c>
      <c r="C36" s="168">
        <v>2015</v>
      </c>
      <c r="D36" s="65">
        <v>5</v>
      </c>
      <c r="E36" s="36" t="s">
        <v>223</v>
      </c>
      <c r="F36" s="36" t="s">
        <v>224</v>
      </c>
      <c r="G36" s="36" t="s">
        <v>225</v>
      </c>
      <c r="H36" s="36" t="s">
        <v>226</v>
      </c>
      <c r="I36" s="36" t="s">
        <v>261</v>
      </c>
      <c r="J36" s="36" t="s">
        <v>262</v>
      </c>
      <c r="K36" s="3"/>
      <c r="L36" s="3">
        <v>13</v>
      </c>
      <c r="M36" s="3" t="s">
        <v>229</v>
      </c>
      <c r="N36" s="36" t="s">
        <v>264</v>
      </c>
      <c r="O36" s="3">
        <v>251</v>
      </c>
      <c r="P36" s="65">
        <v>5.1781031822089707</v>
      </c>
      <c r="Q36" s="3">
        <v>250</v>
      </c>
      <c r="R36" s="3"/>
      <c r="S36" s="3"/>
      <c r="T36" s="36"/>
      <c r="U36" s="36"/>
      <c r="V36" s="36"/>
      <c r="W36" s="36"/>
      <c r="X36" s="36"/>
      <c r="Y36" s="36"/>
      <c r="Z36" s="36"/>
    </row>
    <row r="37" spans="1:26" ht="14">
      <c r="A37" s="13">
        <v>42206</v>
      </c>
      <c r="B37" s="35" t="s">
        <v>154</v>
      </c>
      <c r="C37" s="168">
        <v>2015</v>
      </c>
      <c r="D37" s="65">
        <v>8</v>
      </c>
      <c r="E37" s="65" t="s">
        <v>223</v>
      </c>
      <c r="F37" s="65" t="s">
        <v>224</v>
      </c>
      <c r="G37" s="65" t="s">
        <v>225</v>
      </c>
      <c r="H37" s="65" t="s">
        <v>226</v>
      </c>
      <c r="I37" s="65" t="s">
        <v>261</v>
      </c>
      <c r="J37" s="36" t="s">
        <v>262</v>
      </c>
      <c r="K37" s="3"/>
      <c r="L37" s="3">
        <v>22</v>
      </c>
      <c r="M37" s="3" t="s">
        <v>229</v>
      </c>
      <c r="N37" s="36" t="s">
        <v>264</v>
      </c>
      <c r="O37" s="3">
        <v>199</v>
      </c>
      <c r="P37" s="65">
        <v>11.045677436895936</v>
      </c>
      <c r="Q37" s="36">
        <v>250</v>
      </c>
      <c r="R37" s="3"/>
      <c r="S37" s="3"/>
      <c r="T37" s="36"/>
      <c r="U37" s="36"/>
      <c r="V37" s="36"/>
      <c r="W37" s="36"/>
      <c r="X37" s="36"/>
      <c r="Y37" s="36"/>
      <c r="Z37" s="36"/>
    </row>
    <row r="38" spans="1:26" ht="14">
      <c r="A38" s="13">
        <v>42144</v>
      </c>
      <c r="B38" s="72" t="s">
        <v>144</v>
      </c>
      <c r="C38" s="168">
        <v>2015</v>
      </c>
      <c r="D38" s="65">
        <v>2</v>
      </c>
      <c r="E38" s="36" t="s">
        <v>223</v>
      </c>
      <c r="F38" s="36" t="s">
        <v>224</v>
      </c>
      <c r="G38" s="36" t="s">
        <v>225</v>
      </c>
      <c r="H38" s="36" t="s">
        <v>226</v>
      </c>
      <c r="I38" s="36" t="s">
        <v>261</v>
      </c>
      <c r="J38" s="36" t="s">
        <v>262</v>
      </c>
      <c r="K38" s="3"/>
      <c r="L38" s="3">
        <v>2</v>
      </c>
      <c r="M38" s="3" t="s">
        <v>229</v>
      </c>
      <c r="N38" s="3" t="s">
        <v>264</v>
      </c>
      <c r="O38" s="3">
        <v>333</v>
      </c>
      <c r="P38" s="65">
        <v>0.60044462408810895</v>
      </c>
      <c r="Q38" s="36">
        <v>250</v>
      </c>
      <c r="R38" s="3"/>
      <c r="S38" s="3"/>
      <c r="T38" s="36"/>
      <c r="U38" s="36"/>
      <c r="V38" s="36"/>
      <c r="W38" s="36"/>
      <c r="X38" s="36"/>
      <c r="Y38" s="36"/>
      <c r="Z38" s="36"/>
    </row>
    <row r="39" spans="1:26" ht="14">
      <c r="A39" s="35">
        <v>42144</v>
      </c>
      <c r="B39" s="72" t="s">
        <v>144</v>
      </c>
      <c r="C39" s="168">
        <v>2015</v>
      </c>
      <c r="D39" s="65">
        <v>4</v>
      </c>
      <c r="E39" s="36" t="s">
        <v>223</v>
      </c>
      <c r="F39" s="36" t="s">
        <v>224</v>
      </c>
      <c r="G39" s="36" t="s">
        <v>225</v>
      </c>
      <c r="H39" s="36" t="s">
        <v>226</v>
      </c>
      <c r="I39" s="36" t="s">
        <v>261</v>
      </c>
      <c r="J39" s="36" t="s">
        <v>262</v>
      </c>
      <c r="K39" s="36"/>
      <c r="L39" s="36">
        <v>4</v>
      </c>
      <c r="M39" s="36" t="s">
        <v>229</v>
      </c>
      <c r="N39" s="36" t="s">
        <v>264</v>
      </c>
      <c r="O39" s="36">
        <v>229</v>
      </c>
      <c r="P39" s="65">
        <v>1.7451667126733934</v>
      </c>
      <c r="Q39" s="36">
        <v>250</v>
      </c>
      <c r="R39" s="36"/>
      <c r="S39" s="36"/>
      <c r="T39" s="36"/>
      <c r="U39" s="36"/>
      <c r="V39" s="36"/>
      <c r="W39" s="36"/>
      <c r="X39" s="36"/>
      <c r="Y39" s="36"/>
      <c r="Z39" s="36"/>
    </row>
    <row r="40" spans="1:26" ht="14">
      <c r="A40" s="72">
        <v>42144</v>
      </c>
      <c r="B40" s="72" t="s">
        <v>144</v>
      </c>
      <c r="C40" s="168">
        <v>2015</v>
      </c>
      <c r="D40" s="65">
        <v>5</v>
      </c>
      <c r="E40" s="65" t="s">
        <v>223</v>
      </c>
      <c r="F40" s="65" t="s">
        <v>224</v>
      </c>
      <c r="G40" s="65" t="s">
        <v>225</v>
      </c>
      <c r="H40" s="65" t="s">
        <v>226</v>
      </c>
      <c r="I40" s="65" t="s">
        <v>261</v>
      </c>
      <c r="J40" s="36" t="s">
        <v>262</v>
      </c>
      <c r="K40" s="36"/>
      <c r="L40" s="36">
        <v>27</v>
      </c>
      <c r="M40" s="36" t="s">
        <v>229</v>
      </c>
      <c r="N40" s="36" t="s">
        <v>264</v>
      </c>
      <c r="O40" s="36">
        <v>327</v>
      </c>
      <c r="P40" s="36">
        <v>8.2538430856316314</v>
      </c>
      <c r="Q40" s="36">
        <v>250</v>
      </c>
      <c r="R40" s="36"/>
      <c r="S40" s="36"/>
      <c r="T40" s="36"/>
      <c r="U40" s="36"/>
      <c r="V40" s="36"/>
      <c r="W40" s="36"/>
      <c r="X40" s="36"/>
      <c r="Y40" s="36"/>
      <c r="Z40" s="36"/>
    </row>
    <row r="41" spans="1:26" ht="14">
      <c r="A41" s="63">
        <v>41912</v>
      </c>
      <c r="B41" s="72" t="s">
        <v>157</v>
      </c>
      <c r="C41" s="168">
        <v>2014</v>
      </c>
      <c r="D41" s="65">
        <v>2</v>
      </c>
      <c r="E41" s="65" t="s">
        <v>223</v>
      </c>
      <c r="F41" s="65" t="s">
        <v>224</v>
      </c>
      <c r="G41" s="65" t="s">
        <v>225</v>
      </c>
      <c r="H41" s="65" t="s">
        <v>226</v>
      </c>
      <c r="I41" s="65" t="s">
        <v>261</v>
      </c>
      <c r="J41" s="65" t="s">
        <v>262</v>
      </c>
      <c r="K41" s="3"/>
      <c r="L41" s="3">
        <v>1</v>
      </c>
      <c r="M41" s="3" t="s">
        <v>229</v>
      </c>
      <c r="N41" s="3" t="s">
        <v>264</v>
      </c>
      <c r="O41" s="3">
        <v>232</v>
      </c>
      <c r="P41" s="36">
        <v>0.43051378235896598</v>
      </c>
      <c r="Q41" s="3">
        <v>250</v>
      </c>
      <c r="R41" s="3"/>
      <c r="S41" s="3"/>
      <c r="T41" s="36"/>
      <c r="U41" s="36"/>
      <c r="V41" s="36"/>
      <c r="W41" s="36"/>
      <c r="X41" s="36"/>
      <c r="Y41" s="36"/>
      <c r="Z41" s="36"/>
    </row>
    <row r="42" spans="1:26" ht="14">
      <c r="A42" s="13">
        <v>41912</v>
      </c>
      <c r="B42" s="35" t="s">
        <v>157</v>
      </c>
      <c r="C42" s="168">
        <v>2014</v>
      </c>
      <c r="D42" s="65">
        <v>5</v>
      </c>
      <c r="E42" s="36" t="s">
        <v>223</v>
      </c>
      <c r="F42" s="36" t="s">
        <v>224</v>
      </c>
      <c r="G42" s="36" t="s">
        <v>225</v>
      </c>
      <c r="H42" s="36" t="s">
        <v>226</v>
      </c>
      <c r="I42" s="36" t="s">
        <v>261</v>
      </c>
      <c r="J42" s="36" t="s">
        <v>262</v>
      </c>
      <c r="K42" s="3"/>
      <c r="L42" s="3">
        <v>1</v>
      </c>
      <c r="M42" s="3" t="s">
        <v>229</v>
      </c>
      <c r="N42" s="3" t="s">
        <v>264</v>
      </c>
      <c r="O42" s="3">
        <v>216</v>
      </c>
      <c r="P42" s="36">
        <v>0.46205433924743899</v>
      </c>
      <c r="Q42" s="3">
        <v>250</v>
      </c>
      <c r="R42" s="3"/>
      <c r="S42" s="3"/>
      <c r="T42" s="36"/>
      <c r="U42" s="36"/>
      <c r="V42" s="36"/>
      <c r="W42" s="36"/>
      <c r="X42" s="36"/>
      <c r="Y42" s="36"/>
      <c r="Z42" s="36"/>
    </row>
    <row r="43" spans="1:26" ht="14">
      <c r="A43" s="35">
        <v>41851</v>
      </c>
      <c r="B43" s="72" t="s">
        <v>154</v>
      </c>
      <c r="C43" s="168">
        <v>2014</v>
      </c>
      <c r="D43" s="65">
        <v>2</v>
      </c>
      <c r="E43" s="36" t="s">
        <v>223</v>
      </c>
      <c r="F43" s="36" t="s">
        <v>224</v>
      </c>
      <c r="G43" s="36" t="s">
        <v>225</v>
      </c>
      <c r="H43" s="36" t="s">
        <v>226</v>
      </c>
      <c r="I43" s="36" t="s">
        <v>261</v>
      </c>
      <c r="J43" s="36" t="s">
        <v>262</v>
      </c>
      <c r="K43" s="36"/>
      <c r="L43" s="36">
        <v>1</v>
      </c>
      <c r="M43" s="36" t="s">
        <v>229</v>
      </c>
      <c r="N43" s="36" t="s">
        <v>264</v>
      </c>
      <c r="O43" s="36">
        <v>119</v>
      </c>
      <c r="P43" s="65">
        <v>0.83011552613658901</v>
      </c>
      <c r="Q43" s="36">
        <v>250</v>
      </c>
      <c r="R43" s="36"/>
      <c r="S43" s="36"/>
      <c r="T43" s="36"/>
      <c r="U43" s="36"/>
      <c r="V43" s="36"/>
      <c r="W43" s="36"/>
      <c r="X43" s="36"/>
      <c r="Y43" s="36"/>
      <c r="Z43" s="36"/>
    </row>
    <row r="44" spans="1:26" ht="14">
      <c r="A44" s="71">
        <v>41851</v>
      </c>
      <c r="B44" s="35" t="s">
        <v>154</v>
      </c>
      <c r="C44" s="168">
        <v>2014</v>
      </c>
      <c r="D44" s="65">
        <v>4</v>
      </c>
      <c r="E44" s="36" t="s">
        <v>223</v>
      </c>
      <c r="F44" s="36" t="s">
        <v>224</v>
      </c>
      <c r="G44" s="36" t="s">
        <v>225</v>
      </c>
      <c r="H44" s="36" t="s">
        <v>226</v>
      </c>
      <c r="I44" s="36" t="s">
        <v>261</v>
      </c>
      <c r="J44" s="36" t="s">
        <v>262</v>
      </c>
      <c r="K44" s="3"/>
      <c r="L44" s="3">
        <v>10</v>
      </c>
      <c r="M44" s="3" t="s">
        <v>229</v>
      </c>
      <c r="N44" s="3" t="s">
        <v>264</v>
      </c>
      <c r="O44" s="3">
        <v>188</v>
      </c>
      <c r="P44" s="65">
        <v>5.1796153450248568</v>
      </c>
      <c r="Q44" s="36">
        <v>250</v>
      </c>
      <c r="R44" s="3"/>
      <c r="S44" s="3"/>
      <c r="T44" s="36"/>
      <c r="U44" s="36"/>
      <c r="V44" s="36"/>
      <c r="W44" s="36"/>
      <c r="X44" s="36"/>
      <c r="Y44" s="36"/>
      <c r="Z44" s="36"/>
    </row>
    <row r="45" spans="1:26" ht="14">
      <c r="A45" s="71">
        <v>41851</v>
      </c>
      <c r="B45" s="72" t="s">
        <v>154</v>
      </c>
      <c r="C45" s="168">
        <v>2014</v>
      </c>
      <c r="D45" s="65">
        <v>5</v>
      </c>
      <c r="E45" s="36" t="s">
        <v>223</v>
      </c>
      <c r="F45" s="36" t="s">
        <v>224</v>
      </c>
      <c r="G45" s="36" t="s">
        <v>225</v>
      </c>
      <c r="H45" s="36" t="s">
        <v>226</v>
      </c>
      <c r="I45" s="36" t="s">
        <v>261</v>
      </c>
      <c r="J45" s="36" t="s">
        <v>262</v>
      </c>
      <c r="K45" s="3"/>
      <c r="L45" s="3">
        <v>9</v>
      </c>
      <c r="M45" s="3" t="s">
        <v>229</v>
      </c>
      <c r="N45" s="3" t="s">
        <v>264</v>
      </c>
      <c r="O45" s="3">
        <v>205</v>
      </c>
      <c r="P45" s="65">
        <v>4.3601960171106358</v>
      </c>
      <c r="Q45" s="36">
        <v>250</v>
      </c>
      <c r="R45" s="3"/>
      <c r="S45" s="3"/>
      <c r="T45" s="36"/>
      <c r="U45" s="36"/>
      <c r="V45" s="36"/>
      <c r="W45" s="36"/>
      <c r="X45" s="36"/>
      <c r="Y45" s="36"/>
      <c r="Z45" s="36"/>
    </row>
    <row r="46" spans="1:26" ht="14">
      <c r="A46" s="13">
        <v>41851</v>
      </c>
      <c r="B46" s="35" t="s">
        <v>154</v>
      </c>
      <c r="C46" s="168">
        <v>2014</v>
      </c>
      <c r="D46" s="65">
        <v>8</v>
      </c>
      <c r="E46" s="36" t="s">
        <v>223</v>
      </c>
      <c r="F46" s="36" t="s">
        <v>224</v>
      </c>
      <c r="G46" s="36" t="s">
        <v>225</v>
      </c>
      <c r="H46" s="36" t="s">
        <v>226</v>
      </c>
      <c r="I46" s="36" t="s">
        <v>261</v>
      </c>
      <c r="J46" s="36" t="s">
        <v>262</v>
      </c>
      <c r="K46" s="3"/>
      <c r="L46" s="3">
        <v>22</v>
      </c>
      <c r="M46" s="3" t="s">
        <v>229</v>
      </c>
      <c r="N46" s="3" t="s">
        <v>264</v>
      </c>
      <c r="O46" s="3">
        <v>237</v>
      </c>
      <c r="P46" s="65">
        <v>9.2793747268054005</v>
      </c>
      <c r="Q46" s="36">
        <v>250</v>
      </c>
      <c r="R46" s="3"/>
      <c r="S46" s="3"/>
      <c r="T46" s="36"/>
      <c r="U46" s="36"/>
      <c r="V46" s="36"/>
      <c r="W46" s="36"/>
      <c r="X46" s="36"/>
      <c r="Y46" s="36"/>
      <c r="Z46" s="36"/>
    </row>
    <row r="47" spans="1:26" ht="14">
      <c r="A47" s="71">
        <v>41761</v>
      </c>
      <c r="B47" s="35" t="s">
        <v>144</v>
      </c>
      <c r="C47" s="168">
        <v>2014</v>
      </c>
      <c r="D47" s="65">
        <v>4</v>
      </c>
      <c r="E47" s="65" t="s">
        <v>223</v>
      </c>
      <c r="F47" s="65" t="s">
        <v>224</v>
      </c>
      <c r="G47" s="65" t="s">
        <v>225</v>
      </c>
      <c r="H47" s="65" t="s">
        <v>226</v>
      </c>
      <c r="I47" s="65" t="s">
        <v>261</v>
      </c>
      <c r="J47" s="36" t="s">
        <v>262</v>
      </c>
      <c r="K47" s="3"/>
      <c r="L47" s="3">
        <v>6</v>
      </c>
      <c r="M47" s="3" t="s">
        <v>229</v>
      </c>
      <c r="N47" s="3" t="s">
        <v>264</v>
      </c>
      <c r="O47" s="3">
        <v>256</v>
      </c>
      <c r="P47" s="36">
        <v>2.2877512376903648</v>
      </c>
      <c r="Q47" s="3">
        <v>250</v>
      </c>
      <c r="R47" s="3"/>
      <c r="S47" s="3"/>
      <c r="T47" s="36"/>
      <c r="U47" s="36"/>
      <c r="V47" s="36"/>
      <c r="W47" s="36"/>
      <c r="X47" s="36"/>
      <c r="Y47" s="36"/>
      <c r="Z47" s="36"/>
    </row>
    <row r="48" spans="1:26" ht="14">
      <c r="A48" s="13">
        <v>41761</v>
      </c>
      <c r="B48" s="72" t="s">
        <v>144</v>
      </c>
      <c r="C48" s="168">
        <v>2014</v>
      </c>
      <c r="D48" s="65">
        <v>5</v>
      </c>
      <c r="E48" s="36" t="s">
        <v>223</v>
      </c>
      <c r="F48" s="36" t="s">
        <v>224</v>
      </c>
      <c r="G48" s="36" t="s">
        <v>225</v>
      </c>
      <c r="H48" s="36" t="s">
        <v>226</v>
      </c>
      <c r="I48" s="36" t="s">
        <v>261</v>
      </c>
      <c r="J48" s="36" t="s">
        <v>262</v>
      </c>
      <c r="K48" s="3"/>
      <c r="L48" s="3">
        <v>1</v>
      </c>
      <c r="M48" s="3" t="s">
        <v>229</v>
      </c>
      <c r="N48" s="3" t="s">
        <v>264</v>
      </c>
      <c r="O48" s="3">
        <v>300</v>
      </c>
      <c r="P48" s="36">
        <v>0.33263927147670036</v>
      </c>
      <c r="Q48" s="65">
        <v>250</v>
      </c>
      <c r="R48" s="51"/>
      <c r="S48" s="51"/>
      <c r="T48" s="65"/>
      <c r="U48" s="36"/>
      <c r="V48" s="36"/>
      <c r="W48" s="36"/>
      <c r="X48" s="36"/>
      <c r="Y48" s="36"/>
      <c r="Z48" s="36"/>
    </row>
    <row r="49" spans="1:26" ht="14">
      <c r="A49" s="13">
        <v>41761</v>
      </c>
      <c r="B49" s="35" t="s">
        <v>144</v>
      </c>
      <c r="C49" s="168">
        <v>2014</v>
      </c>
      <c r="D49" s="65">
        <v>8</v>
      </c>
      <c r="E49" s="65" t="s">
        <v>223</v>
      </c>
      <c r="F49" s="65" t="s">
        <v>224</v>
      </c>
      <c r="G49" s="65" t="s">
        <v>225</v>
      </c>
      <c r="H49" s="65" t="s">
        <v>226</v>
      </c>
      <c r="I49" s="65" t="s">
        <v>261</v>
      </c>
      <c r="J49" s="36" t="s">
        <v>262</v>
      </c>
      <c r="K49" s="3"/>
      <c r="L49" s="3">
        <v>9</v>
      </c>
      <c r="M49" s="3" t="s">
        <v>229</v>
      </c>
      <c r="N49" s="3" t="s">
        <v>264</v>
      </c>
      <c r="O49" s="3">
        <v>129</v>
      </c>
      <c r="P49" s="36">
        <v>6.9585136313782918</v>
      </c>
      <c r="Q49" s="51">
        <v>250</v>
      </c>
      <c r="R49" s="51"/>
      <c r="S49" s="51"/>
      <c r="T49" s="65"/>
      <c r="U49" s="36"/>
      <c r="V49" s="36"/>
      <c r="W49" s="36"/>
      <c r="X49" s="36"/>
      <c r="Y49" s="36"/>
      <c r="Z49" s="36"/>
    </row>
    <row r="50" spans="1:26" ht="14">
      <c r="A50" s="13">
        <v>41542</v>
      </c>
      <c r="B50" s="72" t="s">
        <v>157</v>
      </c>
      <c r="C50" s="168">
        <v>2013</v>
      </c>
      <c r="D50" s="51">
        <v>4</v>
      </c>
      <c r="E50" s="3" t="s">
        <v>223</v>
      </c>
      <c r="F50" s="3" t="s">
        <v>224</v>
      </c>
      <c r="G50" s="3" t="s">
        <v>225</v>
      </c>
      <c r="H50" s="3" t="s">
        <v>226</v>
      </c>
      <c r="I50" s="3" t="s">
        <v>261</v>
      </c>
      <c r="J50" s="3" t="s">
        <v>262</v>
      </c>
      <c r="K50" s="3" t="s">
        <v>263</v>
      </c>
      <c r="L50" s="3">
        <v>1</v>
      </c>
      <c r="M50" s="3" t="s">
        <v>247</v>
      </c>
      <c r="N50" s="3" t="s">
        <v>264</v>
      </c>
      <c r="O50" s="3">
        <v>159</v>
      </c>
      <c r="P50" s="36">
        <v>0.62206233822921186</v>
      </c>
      <c r="Q50" s="3">
        <v>250</v>
      </c>
      <c r="R50" s="3"/>
      <c r="S50" s="3"/>
      <c r="T50" s="36"/>
      <c r="U50" s="36"/>
      <c r="V50" s="36"/>
      <c r="W50" s="36"/>
      <c r="X50" s="36"/>
      <c r="Y50" s="36"/>
      <c r="Z50" s="36"/>
    </row>
    <row r="51" spans="1:26" ht="14">
      <c r="A51" s="71">
        <v>41480</v>
      </c>
      <c r="B51" s="72" t="s">
        <v>154</v>
      </c>
      <c r="C51" s="168">
        <v>2013</v>
      </c>
      <c r="D51" s="51">
        <v>5</v>
      </c>
      <c r="E51" s="3" t="s">
        <v>223</v>
      </c>
      <c r="F51" s="3" t="s">
        <v>224</v>
      </c>
      <c r="G51" s="3" t="s">
        <v>225</v>
      </c>
      <c r="H51" s="3" t="s">
        <v>226</v>
      </c>
      <c r="I51" s="3" t="s">
        <v>261</v>
      </c>
      <c r="J51" s="3" t="s">
        <v>262</v>
      </c>
      <c r="K51" s="3" t="s">
        <v>263</v>
      </c>
      <c r="L51" s="3">
        <v>2</v>
      </c>
      <c r="M51" s="3" t="s">
        <v>247</v>
      </c>
      <c r="N51" s="3" t="s">
        <v>264</v>
      </c>
      <c r="O51" s="3">
        <v>155</v>
      </c>
      <c r="P51" s="65">
        <v>1.2901406419962931</v>
      </c>
      <c r="Q51" s="3">
        <v>250</v>
      </c>
      <c r="R51" s="3"/>
      <c r="S51" s="3"/>
      <c r="T51" s="36"/>
      <c r="U51" s="36"/>
      <c r="V51" s="36"/>
      <c r="W51" s="36"/>
      <c r="X51" s="36"/>
      <c r="Y51" s="36"/>
      <c r="Z51" s="36"/>
    </row>
    <row r="52" spans="1:26" ht="14">
      <c r="A52" s="71">
        <v>41422</v>
      </c>
      <c r="B52" s="72" t="s">
        <v>144</v>
      </c>
      <c r="C52" s="168">
        <v>2013</v>
      </c>
      <c r="D52" s="51">
        <v>4</v>
      </c>
      <c r="E52" s="3" t="s">
        <v>223</v>
      </c>
      <c r="F52" s="3" t="s">
        <v>224</v>
      </c>
      <c r="G52" s="3" t="s">
        <v>225</v>
      </c>
      <c r="H52" s="3" t="s">
        <v>226</v>
      </c>
      <c r="I52" s="3" t="s">
        <v>261</v>
      </c>
      <c r="J52" s="3" t="s">
        <v>262</v>
      </c>
      <c r="K52" s="3" t="s">
        <v>263</v>
      </c>
      <c r="L52" s="3">
        <v>2</v>
      </c>
      <c r="M52" s="3" t="s">
        <v>247</v>
      </c>
      <c r="N52" s="3" t="s">
        <v>264</v>
      </c>
      <c r="O52" s="3">
        <v>106</v>
      </c>
      <c r="P52" s="36">
        <v>1.8840092447487393</v>
      </c>
      <c r="Q52" s="3">
        <v>250</v>
      </c>
      <c r="R52" s="3"/>
      <c r="S52" s="3"/>
      <c r="T52" s="36"/>
      <c r="U52" s="36"/>
      <c r="V52" s="36"/>
      <c r="W52" s="36"/>
      <c r="X52" s="36"/>
      <c r="Y52" s="36"/>
      <c r="Z52" s="36"/>
    </row>
    <row r="53" spans="1:26" ht="14">
      <c r="A53" s="71">
        <v>41422</v>
      </c>
      <c r="B53" s="35" t="s">
        <v>144</v>
      </c>
      <c r="C53" s="168">
        <v>2013</v>
      </c>
      <c r="D53" s="51">
        <v>5</v>
      </c>
      <c r="E53" s="51" t="s">
        <v>223</v>
      </c>
      <c r="F53" s="51" t="s">
        <v>224</v>
      </c>
      <c r="G53" s="51" t="s">
        <v>225</v>
      </c>
      <c r="H53" s="51" t="s">
        <v>226</v>
      </c>
      <c r="I53" s="51" t="s">
        <v>261</v>
      </c>
      <c r="J53" s="3" t="s">
        <v>262</v>
      </c>
      <c r="K53" s="3" t="s">
        <v>263</v>
      </c>
      <c r="L53" s="3">
        <v>5</v>
      </c>
      <c r="M53" s="3" t="s">
        <v>247</v>
      </c>
      <c r="N53" s="3" t="s">
        <v>264</v>
      </c>
      <c r="O53" s="3">
        <v>120</v>
      </c>
      <c r="P53" s="36">
        <v>4.1666666666666661</v>
      </c>
      <c r="Q53" s="3">
        <v>250</v>
      </c>
      <c r="R53" s="3"/>
      <c r="S53" s="3"/>
      <c r="T53" s="36"/>
      <c r="U53" s="36"/>
      <c r="V53" s="36"/>
      <c r="W53" s="36"/>
      <c r="X53" s="36"/>
      <c r="Y53" s="36"/>
      <c r="Z53" s="36"/>
    </row>
    <row r="54" spans="1:26" ht="14">
      <c r="A54" s="71">
        <v>41422</v>
      </c>
      <c r="B54" s="35" t="s">
        <v>144</v>
      </c>
      <c r="C54" s="168">
        <v>2013</v>
      </c>
      <c r="D54" s="51">
        <v>8</v>
      </c>
      <c r="E54" s="3" t="s">
        <v>223</v>
      </c>
      <c r="F54" s="3" t="s">
        <v>224</v>
      </c>
      <c r="G54" s="3" t="s">
        <v>225</v>
      </c>
      <c r="H54" s="3" t="s">
        <v>226</v>
      </c>
      <c r="I54" s="3" t="s">
        <v>261</v>
      </c>
      <c r="J54" s="3" t="s">
        <v>262</v>
      </c>
      <c r="K54" s="3" t="s">
        <v>263</v>
      </c>
      <c r="L54" s="3">
        <v>2</v>
      </c>
      <c r="M54" s="3" t="s">
        <v>247</v>
      </c>
      <c r="N54" s="3" t="s">
        <v>264</v>
      </c>
      <c r="O54" s="3">
        <v>89</v>
      </c>
      <c r="P54" s="65">
        <v>2.2466196971623202</v>
      </c>
      <c r="Q54" s="3">
        <v>250</v>
      </c>
      <c r="R54" s="3"/>
      <c r="S54" s="3"/>
      <c r="T54" s="36"/>
      <c r="U54" s="36"/>
      <c r="V54" s="36"/>
      <c r="W54" s="36"/>
      <c r="X54" s="36"/>
      <c r="Y54" s="36"/>
      <c r="Z54" s="36"/>
    </row>
    <row r="55" spans="1:26" ht="14">
      <c r="A55" s="13">
        <v>43019</v>
      </c>
      <c r="B55" s="35" t="s">
        <v>159</v>
      </c>
      <c r="C55" s="168">
        <v>2017</v>
      </c>
      <c r="D55" s="65">
        <v>5</v>
      </c>
      <c r="E55" s="51" t="s">
        <v>223</v>
      </c>
      <c r="F55" s="51" t="s">
        <v>224</v>
      </c>
      <c r="G55" s="51" t="s">
        <v>225</v>
      </c>
      <c r="H55" s="51" t="s">
        <v>226</v>
      </c>
      <c r="I55" s="51" t="s">
        <v>239</v>
      </c>
      <c r="J55" s="3" t="s">
        <v>258</v>
      </c>
      <c r="K55" s="3" t="s">
        <v>259</v>
      </c>
      <c r="L55" s="3">
        <v>6</v>
      </c>
      <c r="M55" s="3" t="s">
        <v>247</v>
      </c>
      <c r="N55" s="3" t="s">
        <v>260</v>
      </c>
      <c r="O55" s="3">
        <v>255</v>
      </c>
      <c r="P55" s="36">
        <v>2.3524194732913601</v>
      </c>
      <c r="Q55" s="3">
        <v>250</v>
      </c>
      <c r="R55" s="3"/>
      <c r="S55" s="3"/>
      <c r="T55" s="36"/>
      <c r="U55" s="36"/>
      <c r="V55" s="36"/>
      <c r="W55" s="36"/>
      <c r="X55" s="36"/>
      <c r="Y55" s="36"/>
      <c r="Z55" s="36"/>
    </row>
    <row r="56" spans="1:26" ht="14">
      <c r="A56" s="13">
        <v>43019</v>
      </c>
      <c r="B56" s="35" t="s">
        <v>159</v>
      </c>
      <c r="C56" s="168">
        <v>2017</v>
      </c>
      <c r="D56" s="65">
        <v>8</v>
      </c>
      <c r="E56" s="51" t="s">
        <v>223</v>
      </c>
      <c r="F56" s="51" t="s">
        <v>224</v>
      </c>
      <c r="G56" s="51" t="s">
        <v>225</v>
      </c>
      <c r="H56" s="51" t="s">
        <v>226</v>
      </c>
      <c r="I56" s="51" t="s">
        <v>239</v>
      </c>
      <c r="J56" s="3" t="s">
        <v>258</v>
      </c>
      <c r="K56" s="3" t="s">
        <v>259</v>
      </c>
      <c r="L56" s="3">
        <v>2</v>
      </c>
      <c r="M56" s="3" t="s">
        <v>247</v>
      </c>
      <c r="N56" s="3" t="s">
        <v>260</v>
      </c>
      <c r="O56" s="3">
        <v>288</v>
      </c>
      <c r="P56" s="36">
        <v>0.66722096241862627</v>
      </c>
      <c r="Q56" s="3">
        <v>250</v>
      </c>
      <c r="R56" s="3"/>
      <c r="S56" s="3"/>
      <c r="T56" s="36"/>
      <c r="U56" s="36"/>
      <c r="V56" s="36"/>
      <c r="W56" s="36"/>
      <c r="X56" s="36"/>
      <c r="Y56" s="36"/>
      <c r="Z56" s="36"/>
    </row>
    <row r="57" spans="1:26" ht="14">
      <c r="A57" s="13">
        <v>42928</v>
      </c>
      <c r="B57" s="72" t="s">
        <v>154</v>
      </c>
      <c r="C57" s="168">
        <v>2017</v>
      </c>
      <c r="D57" s="65">
        <v>4</v>
      </c>
      <c r="E57" s="51" t="s">
        <v>223</v>
      </c>
      <c r="F57" s="51" t="s">
        <v>224</v>
      </c>
      <c r="G57" s="51" t="s">
        <v>225</v>
      </c>
      <c r="H57" s="51" t="s">
        <v>226</v>
      </c>
      <c r="I57" s="51" t="s">
        <v>239</v>
      </c>
      <c r="J57" s="3" t="s">
        <v>258</v>
      </c>
      <c r="K57" s="3" t="s">
        <v>259</v>
      </c>
      <c r="L57" s="3">
        <v>1</v>
      </c>
      <c r="M57" s="3" t="s">
        <v>247</v>
      </c>
      <c r="N57" s="3" t="s">
        <v>260</v>
      </c>
      <c r="O57" s="3">
        <v>225</v>
      </c>
      <c r="P57" s="36">
        <v>0.44266164065770053</v>
      </c>
      <c r="Q57" s="36">
        <v>250</v>
      </c>
      <c r="R57" s="3"/>
      <c r="S57" s="3"/>
      <c r="T57" s="36"/>
      <c r="U57" s="36"/>
      <c r="V57" s="36"/>
      <c r="W57" s="36"/>
      <c r="X57" s="36"/>
      <c r="Y57" s="36"/>
      <c r="Z57" s="36"/>
    </row>
    <row r="58" spans="1:26" ht="14">
      <c r="A58" s="35">
        <v>42928</v>
      </c>
      <c r="B58" s="72" t="s">
        <v>154</v>
      </c>
      <c r="C58" s="168">
        <v>2017</v>
      </c>
      <c r="D58" s="65">
        <v>5</v>
      </c>
      <c r="E58" s="65" t="s">
        <v>223</v>
      </c>
      <c r="F58" s="65" t="s">
        <v>224</v>
      </c>
      <c r="G58" s="65" t="s">
        <v>225</v>
      </c>
      <c r="H58" s="65" t="s">
        <v>226</v>
      </c>
      <c r="I58" s="65" t="s">
        <v>239</v>
      </c>
      <c r="J58" s="36" t="s">
        <v>258</v>
      </c>
      <c r="K58" s="36" t="s">
        <v>259</v>
      </c>
      <c r="L58" s="36">
        <v>2</v>
      </c>
      <c r="M58" s="36" t="s">
        <v>247</v>
      </c>
      <c r="N58" s="36" t="s">
        <v>260</v>
      </c>
      <c r="O58" s="36">
        <v>385</v>
      </c>
      <c r="P58" s="36">
        <v>0.51925287312867219</v>
      </c>
      <c r="Q58" s="65">
        <v>250</v>
      </c>
      <c r="R58" s="65"/>
      <c r="S58" s="65"/>
      <c r="T58" s="65"/>
      <c r="U58" s="36"/>
      <c r="V58" s="36"/>
      <c r="W58" s="36"/>
      <c r="X58" s="36"/>
      <c r="Y58" s="36"/>
      <c r="Z58" s="36"/>
    </row>
    <row r="59" spans="1:26" ht="14">
      <c r="A59" s="13">
        <v>42928</v>
      </c>
      <c r="B59" s="35" t="s">
        <v>154</v>
      </c>
      <c r="C59" s="168">
        <v>2017</v>
      </c>
      <c r="D59" s="65">
        <v>8</v>
      </c>
      <c r="E59" s="51" t="s">
        <v>223</v>
      </c>
      <c r="F59" s="51" t="s">
        <v>224</v>
      </c>
      <c r="G59" s="51" t="s">
        <v>225</v>
      </c>
      <c r="H59" s="51" t="s">
        <v>226</v>
      </c>
      <c r="I59" s="51" t="s">
        <v>239</v>
      </c>
      <c r="J59" s="3" t="s">
        <v>258</v>
      </c>
      <c r="K59" s="3" t="s">
        <v>259</v>
      </c>
      <c r="L59" s="3">
        <v>4</v>
      </c>
      <c r="M59" s="3" t="s">
        <v>247</v>
      </c>
      <c r="N59" s="3" t="s">
        <v>260</v>
      </c>
      <c r="O59" s="3">
        <v>319</v>
      </c>
      <c r="P59" s="36">
        <v>1.2534430824053242</v>
      </c>
      <c r="Q59" s="36">
        <v>250</v>
      </c>
      <c r="R59" s="3"/>
      <c r="S59" s="3"/>
      <c r="T59" s="36"/>
      <c r="U59" s="36"/>
      <c r="V59" s="36"/>
      <c r="W59" s="36"/>
      <c r="X59" s="36"/>
      <c r="Y59" s="36"/>
      <c r="Z59" s="36"/>
    </row>
    <row r="60" spans="1:26" ht="14">
      <c r="A60" s="13">
        <v>42867</v>
      </c>
      <c r="B60" s="72" t="s">
        <v>144</v>
      </c>
      <c r="C60" s="168">
        <v>2017</v>
      </c>
      <c r="D60" s="65">
        <v>8</v>
      </c>
      <c r="E60" s="51" t="s">
        <v>223</v>
      </c>
      <c r="F60" s="51" t="s">
        <v>224</v>
      </c>
      <c r="G60" s="51" t="s">
        <v>225</v>
      </c>
      <c r="H60" s="51" t="s">
        <v>226</v>
      </c>
      <c r="I60" s="51" t="s">
        <v>239</v>
      </c>
      <c r="J60" s="3" t="s">
        <v>258</v>
      </c>
      <c r="K60" s="3" t="s">
        <v>259</v>
      </c>
      <c r="L60" s="3">
        <v>5</v>
      </c>
      <c r="M60" s="3" t="s">
        <v>247</v>
      </c>
      <c r="N60" s="3" t="s">
        <v>260</v>
      </c>
      <c r="O60" s="3">
        <v>268</v>
      </c>
      <c r="P60" s="36">
        <v>1.8624681863831569</v>
      </c>
      <c r="Q60" s="3"/>
      <c r="R60" s="3"/>
      <c r="S60" s="3"/>
      <c r="T60" s="36"/>
      <c r="U60" s="36"/>
      <c r="V60" s="36"/>
      <c r="W60" s="36"/>
      <c r="X60" s="36"/>
      <c r="Y60" s="36"/>
      <c r="Z60" s="36"/>
    </row>
    <row r="61" spans="1:26" ht="14">
      <c r="A61" s="71">
        <v>41542</v>
      </c>
      <c r="B61" s="72" t="s">
        <v>157</v>
      </c>
      <c r="C61" s="168">
        <v>2013</v>
      </c>
      <c r="D61" s="51">
        <v>2</v>
      </c>
      <c r="E61" s="51" t="s">
        <v>223</v>
      </c>
      <c r="F61" s="51" t="s">
        <v>224</v>
      </c>
      <c r="G61" s="51" t="s">
        <v>225</v>
      </c>
      <c r="H61" s="51" t="s">
        <v>226</v>
      </c>
      <c r="I61" s="51" t="s">
        <v>239</v>
      </c>
      <c r="J61" s="51" t="s">
        <v>258</v>
      </c>
      <c r="K61" s="51" t="s">
        <v>259</v>
      </c>
      <c r="L61" s="51">
        <v>10</v>
      </c>
      <c r="M61" s="51" t="s">
        <v>247</v>
      </c>
      <c r="N61" s="51" t="s">
        <v>260</v>
      </c>
      <c r="O61" s="3">
        <v>110</v>
      </c>
      <c r="P61" s="36">
        <v>9.0090212217539385</v>
      </c>
      <c r="Q61" s="3">
        <v>250</v>
      </c>
      <c r="R61" s="3"/>
      <c r="S61" s="3"/>
      <c r="T61" s="36"/>
      <c r="U61" s="36"/>
      <c r="V61" s="36"/>
      <c r="W61" s="36"/>
      <c r="X61" s="36"/>
      <c r="Y61" s="36"/>
      <c r="Z61" s="36"/>
    </row>
    <row r="62" spans="1:26" s="90" customFormat="1" ht="14">
      <c r="A62" s="71">
        <v>41542</v>
      </c>
      <c r="B62" s="72" t="s">
        <v>157</v>
      </c>
      <c r="C62" s="168">
        <v>2013</v>
      </c>
      <c r="D62" s="51">
        <v>5</v>
      </c>
      <c r="E62" s="34" t="s">
        <v>223</v>
      </c>
      <c r="F62" s="34" t="s">
        <v>224</v>
      </c>
      <c r="G62" s="34" t="s">
        <v>225</v>
      </c>
      <c r="H62" s="34" t="s">
        <v>226</v>
      </c>
      <c r="I62" s="34" t="s">
        <v>239</v>
      </c>
      <c r="J62" s="3" t="s">
        <v>258</v>
      </c>
      <c r="K62" s="3" t="s">
        <v>259</v>
      </c>
      <c r="L62" s="3">
        <v>1</v>
      </c>
      <c r="M62" s="3" t="s">
        <v>247</v>
      </c>
      <c r="N62" s="3" t="s">
        <v>260</v>
      </c>
      <c r="O62" s="3">
        <v>206</v>
      </c>
      <c r="P62" s="36">
        <v>0.48528051994299326</v>
      </c>
      <c r="Q62" s="3">
        <v>250</v>
      </c>
      <c r="R62" s="3"/>
      <c r="S62" s="3"/>
      <c r="T62" s="36"/>
      <c r="U62" s="59"/>
      <c r="V62" s="59"/>
      <c r="W62" s="59"/>
      <c r="X62" s="59"/>
      <c r="Y62" s="59"/>
      <c r="Z62" s="59"/>
    </row>
    <row r="63" spans="1:26" s="90" customFormat="1" ht="14">
      <c r="A63" s="71">
        <v>41542</v>
      </c>
      <c r="B63" s="72" t="s">
        <v>157</v>
      </c>
      <c r="C63" s="168">
        <v>2013</v>
      </c>
      <c r="D63" s="51">
        <v>8</v>
      </c>
      <c r="E63" s="3" t="s">
        <v>223</v>
      </c>
      <c r="F63" s="3" t="s">
        <v>224</v>
      </c>
      <c r="G63" s="3" t="s">
        <v>225</v>
      </c>
      <c r="H63" s="3" t="s">
        <v>226</v>
      </c>
      <c r="I63" s="3" t="s">
        <v>239</v>
      </c>
      <c r="J63" s="3" t="s">
        <v>258</v>
      </c>
      <c r="K63" s="3" t="s">
        <v>259</v>
      </c>
      <c r="L63" s="3">
        <v>2</v>
      </c>
      <c r="M63" s="3" t="s">
        <v>247</v>
      </c>
      <c r="N63" s="3" t="s">
        <v>260</v>
      </c>
      <c r="O63" s="3">
        <v>183</v>
      </c>
      <c r="P63" s="36">
        <v>1.0928629962109482</v>
      </c>
      <c r="Q63" s="3">
        <v>250</v>
      </c>
      <c r="R63" s="3"/>
      <c r="S63" s="3"/>
      <c r="T63" s="36"/>
      <c r="U63" s="59"/>
      <c r="V63" s="59"/>
      <c r="W63" s="59"/>
      <c r="X63" s="59"/>
      <c r="Y63" s="59"/>
      <c r="Z63" s="59"/>
    </row>
    <row r="64" spans="1:26" s="90" customFormat="1" ht="14">
      <c r="A64" s="71">
        <v>41480</v>
      </c>
      <c r="B64" s="72" t="s">
        <v>154</v>
      </c>
      <c r="C64" s="168">
        <v>2013</v>
      </c>
      <c r="D64" s="51">
        <v>5</v>
      </c>
      <c r="E64" s="3" t="s">
        <v>223</v>
      </c>
      <c r="F64" s="3" t="s">
        <v>224</v>
      </c>
      <c r="G64" s="3" t="s">
        <v>225</v>
      </c>
      <c r="H64" s="3" t="s">
        <v>226</v>
      </c>
      <c r="I64" s="3" t="s">
        <v>239</v>
      </c>
      <c r="J64" s="3" t="s">
        <v>258</v>
      </c>
      <c r="K64" s="3" t="s">
        <v>259</v>
      </c>
      <c r="L64" s="3">
        <v>5</v>
      </c>
      <c r="M64" s="3" t="s">
        <v>247</v>
      </c>
      <c r="N64" s="3" t="s">
        <v>260</v>
      </c>
      <c r="O64" s="3">
        <v>155</v>
      </c>
      <c r="P64" s="65">
        <v>3.2253516049907325</v>
      </c>
      <c r="Q64" s="3">
        <v>250</v>
      </c>
      <c r="R64" s="3"/>
      <c r="S64" s="3"/>
      <c r="T64" s="36"/>
      <c r="U64" s="59"/>
      <c r="V64" s="59"/>
      <c r="W64" s="59"/>
      <c r="X64" s="59"/>
      <c r="Y64" s="59"/>
      <c r="Z64" s="59"/>
    </row>
    <row r="65" spans="1:26" s="90" customFormat="1" ht="14">
      <c r="A65" s="13">
        <v>41480</v>
      </c>
      <c r="B65" s="72" t="s">
        <v>154</v>
      </c>
      <c r="C65" s="168">
        <v>2013</v>
      </c>
      <c r="D65" s="51">
        <v>8</v>
      </c>
      <c r="E65" s="3" t="s">
        <v>223</v>
      </c>
      <c r="F65" s="3" t="s">
        <v>224</v>
      </c>
      <c r="G65" s="3" t="s">
        <v>225</v>
      </c>
      <c r="H65" s="3" t="s">
        <v>226</v>
      </c>
      <c r="I65" s="51" t="s">
        <v>239</v>
      </c>
      <c r="J65" s="51" t="s">
        <v>258</v>
      </c>
      <c r="K65" s="3" t="s">
        <v>259</v>
      </c>
      <c r="L65" s="3">
        <v>22</v>
      </c>
      <c r="M65" s="3" t="s">
        <v>247</v>
      </c>
      <c r="N65" s="3" t="s">
        <v>260</v>
      </c>
      <c r="O65" s="3">
        <v>251</v>
      </c>
      <c r="P65" s="36">
        <v>8.7645503886154739</v>
      </c>
      <c r="Q65" s="3">
        <v>250</v>
      </c>
      <c r="R65" s="3"/>
      <c r="S65" s="3"/>
      <c r="T65" s="36"/>
      <c r="U65" s="59"/>
      <c r="V65" s="59"/>
      <c r="W65" s="59"/>
      <c r="X65" s="59"/>
      <c r="Y65" s="59"/>
      <c r="Z65" s="59"/>
    </row>
    <row r="66" spans="1:26" s="90" customFormat="1" ht="14">
      <c r="A66" s="71">
        <v>41422</v>
      </c>
      <c r="B66" s="64" t="s">
        <v>144</v>
      </c>
      <c r="C66" s="168">
        <v>2013</v>
      </c>
      <c r="D66" s="51">
        <v>2</v>
      </c>
      <c r="E66" s="3" t="s">
        <v>223</v>
      </c>
      <c r="F66" s="3" t="s">
        <v>224</v>
      </c>
      <c r="G66" s="3" t="s">
        <v>225</v>
      </c>
      <c r="H66" s="3" t="s">
        <v>226</v>
      </c>
      <c r="I66" s="3" t="s">
        <v>239</v>
      </c>
      <c r="J66" s="3" t="s">
        <v>258</v>
      </c>
      <c r="K66" s="3" t="s">
        <v>259</v>
      </c>
      <c r="L66" s="3">
        <v>1</v>
      </c>
      <c r="M66" s="3" t="s">
        <v>247</v>
      </c>
      <c r="N66" s="3" t="s">
        <v>260</v>
      </c>
      <c r="O66" s="3">
        <v>40</v>
      </c>
      <c r="P66" s="65">
        <v>2.498819922926661</v>
      </c>
      <c r="Q66" s="3">
        <v>250</v>
      </c>
      <c r="R66" s="3"/>
      <c r="S66" s="3"/>
      <c r="T66" s="36"/>
      <c r="U66" s="59"/>
      <c r="V66" s="59"/>
      <c r="W66" s="59"/>
      <c r="X66" s="59"/>
      <c r="Y66" s="59"/>
      <c r="Z66" s="59"/>
    </row>
    <row r="67" spans="1:26" s="90" customFormat="1" ht="14">
      <c r="A67" s="71">
        <v>41422</v>
      </c>
      <c r="B67" s="72" t="s">
        <v>144</v>
      </c>
      <c r="C67" s="168">
        <v>2013</v>
      </c>
      <c r="D67" s="51">
        <v>4</v>
      </c>
      <c r="E67" s="51" t="s">
        <v>223</v>
      </c>
      <c r="F67" s="3" t="s">
        <v>224</v>
      </c>
      <c r="G67" s="3" t="s">
        <v>225</v>
      </c>
      <c r="H67" s="51" t="s">
        <v>226</v>
      </c>
      <c r="I67" s="51" t="s">
        <v>239</v>
      </c>
      <c r="J67" s="51" t="s">
        <v>258</v>
      </c>
      <c r="K67" s="3" t="s">
        <v>259</v>
      </c>
      <c r="L67" s="3">
        <v>3</v>
      </c>
      <c r="M67" s="3" t="s">
        <v>247</v>
      </c>
      <c r="N67" s="3" t="s">
        <v>260</v>
      </c>
      <c r="O67" s="3">
        <v>106</v>
      </c>
      <c r="P67" s="36">
        <v>2.8260138671231094</v>
      </c>
      <c r="Q67" s="3">
        <v>250</v>
      </c>
      <c r="R67" s="3"/>
      <c r="S67" s="3"/>
      <c r="T67" s="36"/>
      <c r="U67" s="59"/>
      <c r="V67" s="59"/>
      <c r="W67" s="59"/>
      <c r="X67" s="59"/>
      <c r="Y67" s="59"/>
      <c r="Z67" s="59"/>
    </row>
    <row r="68" spans="1:26" s="90" customFormat="1" ht="14">
      <c r="A68" s="71">
        <v>41422</v>
      </c>
      <c r="B68" s="64" t="s">
        <v>144</v>
      </c>
      <c r="C68" s="168">
        <v>2013</v>
      </c>
      <c r="D68" s="51">
        <v>5</v>
      </c>
      <c r="E68" s="51" t="s">
        <v>223</v>
      </c>
      <c r="F68" s="51" t="s">
        <v>224</v>
      </c>
      <c r="G68" s="51" t="s">
        <v>225</v>
      </c>
      <c r="H68" s="51" t="s">
        <v>226</v>
      </c>
      <c r="I68" s="51" t="s">
        <v>239</v>
      </c>
      <c r="J68" s="51" t="s">
        <v>258</v>
      </c>
      <c r="K68" s="3" t="s">
        <v>259</v>
      </c>
      <c r="L68" s="3">
        <v>1</v>
      </c>
      <c r="M68" s="3" t="s">
        <v>247</v>
      </c>
      <c r="N68" s="3" t="s">
        <v>260</v>
      </c>
      <c r="O68" s="3">
        <v>120</v>
      </c>
      <c r="P68" s="36">
        <v>0.83333333333333337</v>
      </c>
      <c r="Q68" s="3">
        <v>250</v>
      </c>
      <c r="R68" s="3"/>
      <c r="S68" s="3"/>
      <c r="T68" s="36"/>
      <c r="U68" s="59"/>
      <c r="V68" s="59"/>
      <c r="W68" s="59"/>
      <c r="X68" s="59"/>
      <c r="Y68" s="59"/>
      <c r="Z68" s="59"/>
    </row>
    <row r="69" spans="1:26" s="90" customFormat="1" ht="14">
      <c r="A69" s="35">
        <v>42634</v>
      </c>
      <c r="B69" s="35" t="s">
        <v>157</v>
      </c>
      <c r="C69" s="168">
        <v>2016</v>
      </c>
      <c r="D69" s="65">
        <v>4</v>
      </c>
      <c r="E69" s="36" t="s">
        <v>223</v>
      </c>
      <c r="F69" s="36" t="s">
        <v>224</v>
      </c>
      <c r="G69" s="36" t="s">
        <v>225</v>
      </c>
      <c r="H69" s="36" t="s">
        <v>226</v>
      </c>
      <c r="I69" s="36" t="s">
        <v>239</v>
      </c>
      <c r="J69" s="36" t="s">
        <v>258</v>
      </c>
      <c r="K69" s="36" t="s">
        <v>259</v>
      </c>
      <c r="L69" s="36">
        <v>1</v>
      </c>
      <c r="M69" s="36" t="s">
        <v>247</v>
      </c>
      <c r="N69" s="36" t="s">
        <v>258</v>
      </c>
      <c r="O69" s="36">
        <v>156</v>
      </c>
      <c r="P69" s="76">
        <v>0.63937497457156689</v>
      </c>
      <c r="Q69" s="36">
        <v>250</v>
      </c>
      <c r="R69" s="36"/>
      <c r="S69" s="36"/>
      <c r="T69" s="36"/>
      <c r="U69" s="59"/>
      <c r="V69" s="59"/>
      <c r="W69" s="59"/>
      <c r="X69" s="59"/>
      <c r="Y69" s="59"/>
      <c r="Z69" s="59"/>
    </row>
    <row r="70" spans="1:26" s="90" customFormat="1" ht="14">
      <c r="A70" s="13">
        <v>42634</v>
      </c>
      <c r="B70" s="64" t="s">
        <v>157</v>
      </c>
      <c r="C70" s="168">
        <v>2016</v>
      </c>
      <c r="D70" s="65">
        <v>5</v>
      </c>
      <c r="E70" s="3" t="s">
        <v>223</v>
      </c>
      <c r="F70" s="3" t="s">
        <v>224</v>
      </c>
      <c r="G70" s="3" t="s">
        <v>225</v>
      </c>
      <c r="H70" s="3" t="s">
        <v>226</v>
      </c>
      <c r="I70" s="3" t="s">
        <v>239</v>
      </c>
      <c r="J70" s="3" t="s">
        <v>258</v>
      </c>
      <c r="K70" s="3" t="s">
        <v>259</v>
      </c>
      <c r="L70" s="3">
        <v>3</v>
      </c>
      <c r="M70" s="3" t="s">
        <v>247</v>
      </c>
      <c r="N70" s="36" t="s">
        <v>258</v>
      </c>
      <c r="O70" s="3">
        <v>203</v>
      </c>
      <c r="P70" s="65">
        <v>1.4765387849693219</v>
      </c>
      <c r="Q70" s="3">
        <v>250</v>
      </c>
      <c r="R70" s="3"/>
      <c r="S70" s="3"/>
      <c r="T70" s="36"/>
      <c r="U70" s="59"/>
      <c r="V70" s="59"/>
      <c r="W70" s="59"/>
      <c r="X70" s="59"/>
      <c r="Y70" s="59"/>
      <c r="Z70" s="59"/>
    </row>
    <row r="71" spans="1:26" s="90" customFormat="1" ht="14">
      <c r="A71" s="35">
        <v>42515</v>
      </c>
      <c r="B71" s="35" t="s">
        <v>144</v>
      </c>
      <c r="C71" s="168">
        <v>2016</v>
      </c>
      <c r="D71" s="65">
        <v>5</v>
      </c>
      <c r="E71" s="36" t="s">
        <v>223</v>
      </c>
      <c r="F71" s="36" t="s">
        <v>224</v>
      </c>
      <c r="G71" s="36" t="s">
        <v>225</v>
      </c>
      <c r="H71" s="36" t="s">
        <v>226</v>
      </c>
      <c r="I71" s="36" t="s">
        <v>239</v>
      </c>
      <c r="J71" s="36" t="s">
        <v>258</v>
      </c>
      <c r="K71" s="36" t="s">
        <v>259</v>
      </c>
      <c r="L71" s="36">
        <v>1</v>
      </c>
      <c r="M71" s="36" t="s">
        <v>247</v>
      </c>
      <c r="N71" s="36" t="s">
        <v>258</v>
      </c>
      <c r="O71" s="36">
        <v>214</v>
      </c>
      <c r="P71" s="65">
        <v>0.46706439191198268</v>
      </c>
      <c r="Q71" s="36">
        <v>250</v>
      </c>
      <c r="R71" s="3"/>
      <c r="S71" s="3"/>
      <c r="T71" s="36"/>
      <c r="U71" s="59"/>
      <c r="V71" s="59"/>
      <c r="W71" s="59"/>
      <c r="X71" s="59"/>
      <c r="Y71" s="59"/>
      <c r="Z71" s="59"/>
    </row>
    <row r="72" spans="1:26" s="90" customFormat="1" ht="14">
      <c r="A72" s="173">
        <v>42515</v>
      </c>
      <c r="B72" s="178" t="s">
        <v>144</v>
      </c>
      <c r="C72" s="176">
        <v>2016</v>
      </c>
      <c r="D72" s="170">
        <v>8</v>
      </c>
      <c r="E72" s="171" t="s">
        <v>223</v>
      </c>
      <c r="F72" s="171" t="s">
        <v>224</v>
      </c>
      <c r="G72" s="171" t="s">
        <v>225</v>
      </c>
      <c r="H72" s="171" t="s">
        <v>226</v>
      </c>
      <c r="I72" s="171" t="s">
        <v>239</v>
      </c>
      <c r="J72" s="171" t="s">
        <v>258</v>
      </c>
      <c r="K72" s="171" t="s">
        <v>259</v>
      </c>
      <c r="L72" s="171">
        <v>1</v>
      </c>
      <c r="M72" s="171" t="s">
        <v>247</v>
      </c>
      <c r="N72" s="171" t="s">
        <v>258</v>
      </c>
      <c r="O72" s="171">
        <v>252</v>
      </c>
      <c r="P72" s="171">
        <v>0.39677710006952888</v>
      </c>
      <c r="Q72" s="171">
        <v>250</v>
      </c>
      <c r="R72" s="171"/>
      <c r="S72" s="171"/>
      <c r="T72" s="36"/>
      <c r="U72" s="59"/>
      <c r="V72" s="59"/>
      <c r="W72" s="59"/>
      <c r="X72" s="59"/>
      <c r="Y72" s="59"/>
      <c r="Z72" s="59"/>
    </row>
    <row r="73" spans="1:26" ht="14">
      <c r="A73" s="71">
        <v>42263</v>
      </c>
      <c r="B73" s="72" t="s">
        <v>157</v>
      </c>
      <c r="C73" s="168">
        <v>2015</v>
      </c>
      <c r="D73" s="65">
        <v>5</v>
      </c>
      <c r="E73" s="51" t="s">
        <v>223</v>
      </c>
      <c r="F73" s="3" t="s">
        <v>224</v>
      </c>
      <c r="G73" s="3" t="s">
        <v>225</v>
      </c>
      <c r="H73" s="51" t="s">
        <v>226</v>
      </c>
      <c r="I73" s="51" t="s">
        <v>239</v>
      </c>
      <c r="J73" s="51" t="s">
        <v>258</v>
      </c>
      <c r="K73" s="3" t="s">
        <v>259</v>
      </c>
      <c r="L73" s="36">
        <v>1</v>
      </c>
      <c r="M73" s="3" t="s">
        <v>247</v>
      </c>
      <c r="N73" s="3" t="s">
        <v>258</v>
      </c>
      <c r="O73" s="3">
        <v>222</v>
      </c>
      <c r="P73" s="36">
        <v>0.45032312577471006</v>
      </c>
      <c r="Q73" s="3">
        <v>250</v>
      </c>
      <c r="R73" s="3"/>
      <c r="S73" s="3"/>
      <c r="T73" s="36"/>
      <c r="U73" s="36"/>
      <c r="V73" s="36"/>
      <c r="W73" s="36"/>
      <c r="X73" s="36"/>
      <c r="Y73" s="36"/>
      <c r="Z73" s="36"/>
    </row>
    <row r="74" spans="1:26" ht="14">
      <c r="A74" s="13">
        <v>42263</v>
      </c>
      <c r="B74" s="64" t="s">
        <v>157</v>
      </c>
      <c r="C74" s="168">
        <v>2015</v>
      </c>
      <c r="D74" s="65">
        <v>8</v>
      </c>
      <c r="E74" s="51" t="s">
        <v>223</v>
      </c>
      <c r="F74" s="51" t="s">
        <v>224</v>
      </c>
      <c r="G74" s="51" t="s">
        <v>225</v>
      </c>
      <c r="H74" s="51" t="s">
        <v>226</v>
      </c>
      <c r="I74" s="51" t="s">
        <v>239</v>
      </c>
      <c r="J74" s="3" t="s">
        <v>258</v>
      </c>
      <c r="K74" s="3" t="s">
        <v>259</v>
      </c>
      <c r="L74" s="3">
        <v>2</v>
      </c>
      <c r="M74" s="3" t="s">
        <v>247</v>
      </c>
      <c r="N74" s="3" t="s">
        <v>258</v>
      </c>
      <c r="O74" s="3">
        <v>244</v>
      </c>
      <c r="P74" s="36">
        <v>0.81967213114754101</v>
      </c>
      <c r="Q74" s="3">
        <v>250</v>
      </c>
      <c r="R74" s="3"/>
      <c r="S74" s="3"/>
      <c r="T74" s="36"/>
      <c r="U74" s="36"/>
      <c r="V74" s="36"/>
      <c r="W74" s="36"/>
      <c r="X74" s="36"/>
      <c r="Y74" s="36"/>
      <c r="Z74" s="36"/>
    </row>
    <row r="75" spans="1:26" ht="14">
      <c r="A75" s="35">
        <v>42206</v>
      </c>
      <c r="B75" s="72" t="s">
        <v>154</v>
      </c>
      <c r="C75" s="168">
        <v>2015</v>
      </c>
      <c r="D75" s="65">
        <v>2</v>
      </c>
      <c r="E75" s="36" t="s">
        <v>223</v>
      </c>
      <c r="F75" s="36" t="s">
        <v>224</v>
      </c>
      <c r="G75" s="36" t="s">
        <v>225</v>
      </c>
      <c r="H75" s="36" t="s">
        <v>226</v>
      </c>
      <c r="I75" s="36" t="s">
        <v>239</v>
      </c>
      <c r="J75" s="36" t="s">
        <v>258</v>
      </c>
      <c r="K75" s="36" t="s">
        <v>259</v>
      </c>
      <c r="L75" s="36">
        <v>3</v>
      </c>
      <c r="M75" s="36" t="s">
        <v>247</v>
      </c>
      <c r="N75" s="36" t="s">
        <v>258</v>
      </c>
      <c r="O75" s="36">
        <v>337</v>
      </c>
      <c r="P75" s="36">
        <v>0.88991434869978547</v>
      </c>
      <c r="Q75" s="36">
        <v>250</v>
      </c>
      <c r="R75" s="36"/>
      <c r="S75" s="36"/>
      <c r="T75" s="36"/>
      <c r="U75" s="36"/>
      <c r="V75" s="36"/>
      <c r="W75" s="36"/>
      <c r="X75" s="36"/>
      <c r="Y75" s="36"/>
      <c r="Z75" s="36"/>
    </row>
    <row r="76" spans="1:26" ht="14">
      <c r="A76" s="71">
        <v>42206</v>
      </c>
      <c r="B76" s="64" t="s">
        <v>154</v>
      </c>
      <c r="C76" s="168">
        <v>2015</v>
      </c>
      <c r="D76" s="65">
        <v>4</v>
      </c>
      <c r="E76" s="51" t="s">
        <v>223</v>
      </c>
      <c r="F76" s="51" t="s">
        <v>224</v>
      </c>
      <c r="G76" s="51" t="s">
        <v>225</v>
      </c>
      <c r="H76" s="51" t="s">
        <v>226</v>
      </c>
      <c r="I76" s="51" t="s">
        <v>239</v>
      </c>
      <c r="J76" s="51" t="s">
        <v>258</v>
      </c>
      <c r="K76" s="3" t="s">
        <v>259</v>
      </c>
      <c r="L76" s="3">
        <v>3</v>
      </c>
      <c r="M76" s="3" t="s">
        <v>247</v>
      </c>
      <c r="N76" s="36" t="s">
        <v>258</v>
      </c>
      <c r="O76" s="3">
        <v>273</v>
      </c>
      <c r="P76" s="65">
        <v>1.0841725575511627</v>
      </c>
      <c r="Q76" s="65">
        <v>250</v>
      </c>
      <c r="R76" s="51"/>
      <c r="S76" s="51"/>
      <c r="T76" s="65"/>
      <c r="U76" s="36"/>
      <c r="V76" s="36"/>
      <c r="W76" s="36"/>
      <c r="X76" s="36"/>
      <c r="Y76" s="36"/>
      <c r="Z76" s="36"/>
    </row>
    <row r="77" spans="1:26" ht="14">
      <c r="A77" s="13">
        <v>42206</v>
      </c>
      <c r="B77" s="35" t="s">
        <v>154</v>
      </c>
      <c r="C77" s="168">
        <v>2015</v>
      </c>
      <c r="D77" s="65">
        <v>5</v>
      </c>
      <c r="E77" s="3" t="s">
        <v>223</v>
      </c>
      <c r="F77" s="3" t="s">
        <v>224</v>
      </c>
      <c r="G77" s="3" t="s">
        <v>225</v>
      </c>
      <c r="H77" s="3" t="s">
        <v>226</v>
      </c>
      <c r="I77" s="3" t="s">
        <v>239</v>
      </c>
      <c r="J77" s="3" t="s">
        <v>258</v>
      </c>
      <c r="K77" s="3" t="s">
        <v>259</v>
      </c>
      <c r="L77" s="3">
        <v>11</v>
      </c>
      <c r="M77" s="3" t="s">
        <v>247</v>
      </c>
      <c r="N77" s="36" t="s">
        <v>258</v>
      </c>
      <c r="O77" s="3">
        <v>251</v>
      </c>
      <c r="P77" s="65">
        <v>4.3814719234075916</v>
      </c>
      <c r="Q77" s="3">
        <v>250</v>
      </c>
      <c r="R77" s="3"/>
      <c r="S77" s="3"/>
      <c r="T77" s="36"/>
      <c r="U77" s="36"/>
      <c r="V77" s="36"/>
      <c r="W77" s="36"/>
      <c r="X77" s="36"/>
      <c r="Y77" s="36"/>
      <c r="Z77" s="36"/>
    </row>
    <row r="78" spans="1:26" ht="14">
      <c r="A78" s="13">
        <v>42206</v>
      </c>
      <c r="B78" s="64" t="s">
        <v>154</v>
      </c>
      <c r="C78" s="168">
        <v>2015</v>
      </c>
      <c r="D78" s="65">
        <v>8</v>
      </c>
      <c r="E78" s="3" t="s">
        <v>223</v>
      </c>
      <c r="F78" s="3" t="s">
        <v>224</v>
      </c>
      <c r="G78" s="3" t="s">
        <v>225</v>
      </c>
      <c r="H78" s="3" t="s">
        <v>226</v>
      </c>
      <c r="I78" s="3" t="s">
        <v>239</v>
      </c>
      <c r="J78" s="3" t="s">
        <v>258</v>
      </c>
      <c r="K78" s="3" t="s">
        <v>259</v>
      </c>
      <c r="L78" s="3">
        <v>15</v>
      </c>
      <c r="M78" s="3" t="s">
        <v>247</v>
      </c>
      <c r="N78" s="36" t="s">
        <v>258</v>
      </c>
      <c r="O78" s="3">
        <v>199</v>
      </c>
      <c r="P78" s="65">
        <v>7.5311437069745013</v>
      </c>
      <c r="Q78" s="36">
        <v>250</v>
      </c>
      <c r="R78" s="3"/>
      <c r="S78" s="3"/>
      <c r="T78" s="36"/>
      <c r="U78" s="36"/>
      <c r="V78" s="36"/>
      <c r="W78" s="36"/>
      <c r="X78" s="36"/>
      <c r="Y78" s="36"/>
      <c r="Z78" s="36"/>
    </row>
    <row r="79" spans="1:26" ht="14">
      <c r="A79" s="35">
        <v>42144</v>
      </c>
      <c r="B79" s="72" t="s">
        <v>144</v>
      </c>
      <c r="C79" s="168">
        <v>2015</v>
      </c>
      <c r="D79" s="65">
        <v>4</v>
      </c>
      <c r="E79" s="36" t="s">
        <v>223</v>
      </c>
      <c r="F79" s="36" t="s">
        <v>224</v>
      </c>
      <c r="G79" s="36" t="s">
        <v>225</v>
      </c>
      <c r="H79" s="36" t="s">
        <v>226</v>
      </c>
      <c r="I79" s="36" t="s">
        <v>239</v>
      </c>
      <c r="J79" s="36" t="s">
        <v>258</v>
      </c>
      <c r="K79" s="36" t="s">
        <v>259</v>
      </c>
      <c r="L79" s="36">
        <v>1</v>
      </c>
      <c r="M79" s="36" t="s">
        <v>247</v>
      </c>
      <c r="N79" s="36" t="s">
        <v>258</v>
      </c>
      <c r="O79" s="36">
        <v>229</v>
      </c>
      <c r="P79" s="65">
        <v>0.43629167816834835</v>
      </c>
      <c r="Q79" s="36">
        <v>250</v>
      </c>
      <c r="R79" s="36"/>
      <c r="S79" s="36"/>
      <c r="T79" s="36"/>
      <c r="U79" s="36"/>
      <c r="V79" s="36"/>
      <c r="W79" s="36"/>
      <c r="X79" s="36"/>
      <c r="Y79" s="36"/>
      <c r="Z79" s="36"/>
    </row>
    <row r="80" spans="1:26" ht="14">
      <c r="A80" s="71">
        <v>41912</v>
      </c>
      <c r="B80" s="64" t="s">
        <v>157</v>
      </c>
      <c r="C80" s="168">
        <v>2014</v>
      </c>
      <c r="D80" s="65">
        <v>4</v>
      </c>
      <c r="E80" s="51" t="s">
        <v>223</v>
      </c>
      <c r="F80" s="51" t="s">
        <v>224</v>
      </c>
      <c r="G80" s="51" t="s">
        <v>225</v>
      </c>
      <c r="H80" s="51" t="s">
        <v>226</v>
      </c>
      <c r="I80" s="51" t="s">
        <v>239</v>
      </c>
      <c r="J80" s="51" t="s">
        <v>258</v>
      </c>
      <c r="K80" s="3" t="s">
        <v>259</v>
      </c>
      <c r="L80" s="3">
        <v>1</v>
      </c>
      <c r="M80" s="3" t="s">
        <v>247</v>
      </c>
      <c r="N80" s="3" t="s">
        <v>258</v>
      </c>
      <c r="O80" s="3">
        <v>237</v>
      </c>
      <c r="P80" s="36">
        <v>0.42109589961806221</v>
      </c>
      <c r="Q80" s="65">
        <v>250</v>
      </c>
      <c r="R80" s="51"/>
      <c r="S80" s="51"/>
      <c r="T80" s="65"/>
      <c r="U80" s="36"/>
      <c r="V80" s="36"/>
      <c r="W80" s="36"/>
      <c r="X80" s="36"/>
      <c r="Y80" s="36"/>
      <c r="Z80" s="36"/>
    </row>
    <row r="81" spans="1:26" ht="14">
      <c r="A81" s="13">
        <v>41912</v>
      </c>
      <c r="B81" s="35" t="s">
        <v>157</v>
      </c>
      <c r="C81" s="168">
        <v>2014</v>
      </c>
      <c r="D81" s="65">
        <v>5</v>
      </c>
      <c r="E81" s="51" t="s">
        <v>223</v>
      </c>
      <c r="F81" s="3" t="s">
        <v>224</v>
      </c>
      <c r="G81" s="3" t="s">
        <v>225</v>
      </c>
      <c r="H81" s="51" t="s">
        <v>226</v>
      </c>
      <c r="I81" s="51" t="s">
        <v>239</v>
      </c>
      <c r="J81" s="51" t="s">
        <v>258</v>
      </c>
      <c r="K81" s="3" t="s">
        <v>259</v>
      </c>
      <c r="L81" s="3">
        <v>9</v>
      </c>
      <c r="M81" s="3" t="s">
        <v>247</v>
      </c>
      <c r="N81" s="3" t="s">
        <v>258</v>
      </c>
      <c r="O81" s="3">
        <v>216</v>
      </c>
      <c r="P81" s="36">
        <v>4.1584890532269503</v>
      </c>
      <c r="Q81" s="36">
        <v>250</v>
      </c>
      <c r="R81" s="3"/>
      <c r="S81" s="3"/>
      <c r="T81" s="36"/>
      <c r="U81" s="36"/>
      <c r="V81" s="36"/>
      <c r="W81" s="36"/>
      <c r="X81" s="36"/>
      <c r="Y81" s="36"/>
      <c r="Z81" s="36"/>
    </row>
    <row r="82" spans="1:26" ht="14">
      <c r="A82" s="13">
        <v>41912</v>
      </c>
      <c r="B82" s="64" t="s">
        <v>157</v>
      </c>
      <c r="C82" s="168">
        <v>2014</v>
      </c>
      <c r="D82" s="65">
        <v>8</v>
      </c>
      <c r="E82" s="3" t="s">
        <v>223</v>
      </c>
      <c r="F82" s="3" t="s">
        <v>224</v>
      </c>
      <c r="G82" s="3" t="s">
        <v>225</v>
      </c>
      <c r="H82" s="3" t="s">
        <v>226</v>
      </c>
      <c r="I82" s="3" t="s">
        <v>239</v>
      </c>
      <c r="J82" s="3" t="s">
        <v>258</v>
      </c>
      <c r="K82" s="3" t="s">
        <v>259</v>
      </c>
      <c r="L82" s="3">
        <v>9</v>
      </c>
      <c r="M82" s="3" t="s">
        <v>247</v>
      </c>
      <c r="N82" s="3" t="s">
        <v>258</v>
      </c>
      <c r="O82" s="3">
        <v>217</v>
      </c>
      <c r="P82" s="36">
        <v>4.1460737191749715</v>
      </c>
      <c r="Q82" s="3">
        <v>250</v>
      </c>
      <c r="R82" s="3"/>
      <c r="S82" s="3"/>
      <c r="T82" s="36"/>
      <c r="U82" s="36"/>
      <c r="V82" s="36"/>
      <c r="W82" s="36"/>
      <c r="X82" s="36"/>
      <c r="Y82" s="36"/>
      <c r="Z82" s="36"/>
    </row>
    <row r="83" spans="1:26" ht="14">
      <c r="A83" s="71">
        <v>41851</v>
      </c>
      <c r="B83" s="72" t="s">
        <v>154</v>
      </c>
      <c r="C83" s="168">
        <v>2014</v>
      </c>
      <c r="D83" s="65">
        <v>4</v>
      </c>
      <c r="E83" s="51" t="s">
        <v>223</v>
      </c>
      <c r="F83" s="51" t="s">
        <v>224</v>
      </c>
      <c r="G83" s="51" t="s">
        <v>225</v>
      </c>
      <c r="H83" s="51" t="s">
        <v>226</v>
      </c>
      <c r="I83" s="51" t="s">
        <v>239</v>
      </c>
      <c r="J83" s="3" t="s">
        <v>258</v>
      </c>
      <c r="K83" s="3" t="s">
        <v>259</v>
      </c>
      <c r="L83" s="3">
        <v>3</v>
      </c>
      <c r="M83" s="3" t="s">
        <v>247</v>
      </c>
      <c r="N83" s="3" t="s">
        <v>258</v>
      </c>
      <c r="O83" s="3">
        <v>188</v>
      </c>
      <c r="P83" s="65">
        <v>1.5538846035074569</v>
      </c>
      <c r="Q83" s="3">
        <v>250</v>
      </c>
      <c r="R83" s="3"/>
      <c r="S83" s="3"/>
      <c r="T83" s="36"/>
      <c r="U83" s="36"/>
      <c r="V83" s="36"/>
      <c r="W83" s="36"/>
      <c r="X83" s="36"/>
      <c r="Y83" s="36"/>
      <c r="Z83" s="36"/>
    </row>
    <row r="84" spans="1:26" ht="14">
      <c r="A84" s="71">
        <v>41851</v>
      </c>
      <c r="B84" s="64" t="s">
        <v>154</v>
      </c>
      <c r="C84" s="168">
        <v>2014</v>
      </c>
      <c r="D84" s="65">
        <v>5</v>
      </c>
      <c r="E84" s="3" t="s">
        <v>223</v>
      </c>
      <c r="F84" s="3" t="s">
        <v>224</v>
      </c>
      <c r="G84" s="3" t="s">
        <v>225</v>
      </c>
      <c r="H84" s="3" t="s">
        <v>226</v>
      </c>
      <c r="I84" s="3" t="s">
        <v>239</v>
      </c>
      <c r="J84" s="3" t="s">
        <v>258</v>
      </c>
      <c r="K84" s="3" t="s">
        <v>259</v>
      </c>
      <c r="L84" s="3">
        <v>1</v>
      </c>
      <c r="M84" s="3" t="s">
        <v>247</v>
      </c>
      <c r="N84" s="3" t="s">
        <v>258</v>
      </c>
      <c r="O84" s="3">
        <v>205</v>
      </c>
      <c r="P84" s="65">
        <v>0.48446622412340401</v>
      </c>
      <c r="Q84" s="3">
        <v>250</v>
      </c>
      <c r="R84" s="3"/>
      <c r="S84" s="3"/>
      <c r="T84" s="36"/>
      <c r="U84" s="36"/>
      <c r="V84" s="36"/>
      <c r="W84" s="36"/>
      <c r="X84" s="36"/>
      <c r="Y84" s="36"/>
      <c r="Z84" s="36"/>
    </row>
    <row r="85" spans="1:26" ht="14">
      <c r="A85" s="13">
        <v>41761</v>
      </c>
      <c r="B85" s="35" t="s">
        <v>144</v>
      </c>
      <c r="C85" s="168">
        <v>2014</v>
      </c>
      <c r="D85" s="65">
        <v>5</v>
      </c>
      <c r="E85" s="51" t="s">
        <v>223</v>
      </c>
      <c r="F85" s="51" t="s">
        <v>224</v>
      </c>
      <c r="G85" s="51" t="s">
        <v>225</v>
      </c>
      <c r="H85" s="51" t="s">
        <v>226</v>
      </c>
      <c r="I85" s="51" t="s">
        <v>239</v>
      </c>
      <c r="J85" s="3" t="s">
        <v>258</v>
      </c>
      <c r="K85" s="3" t="s">
        <v>259</v>
      </c>
      <c r="L85" s="3">
        <v>3</v>
      </c>
      <c r="M85" s="3" t="s">
        <v>247</v>
      </c>
      <c r="N85" s="3" t="s">
        <v>258</v>
      </c>
      <c r="O85" s="3">
        <v>300</v>
      </c>
      <c r="P85" s="65">
        <v>0.99791781443010108</v>
      </c>
      <c r="Q85" s="51">
        <v>250</v>
      </c>
      <c r="R85" s="51"/>
      <c r="S85" s="51"/>
      <c r="T85" s="65"/>
      <c r="U85" s="36"/>
      <c r="V85" s="36"/>
      <c r="W85" s="36"/>
      <c r="X85" s="36"/>
      <c r="Y85" s="36"/>
      <c r="Z85" s="36"/>
    </row>
    <row r="86" spans="1:26" ht="14">
      <c r="A86" s="35">
        <v>42634</v>
      </c>
      <c r="B86" s="64" t="s">
        <v>157</v>
      </c>
      <c r="C86" s="168">
        <v>2016</v>
      </c>
      <c r="D86" s="65">
        <v>5</v>
      </c>
      <c r="E86" s="36" t="s">
        <v>223</v>
      </c>
      <c r="F86" s="82" t="s">
        <v>517</v>
      </c>
      <c r="G86" s="83"/>
      <c r="H86" s="82" t="s">
        <v>518</v>
      </c>
      <c r="I86" s="36"/>
      <c r="J86" s="36"/>
      <c r="K86" s="36"/>
      <c r="L86" s="36">
        <v>1</v>
      </c>
      <c r="M86" s="36" t="s">
        <v>221</v>
      </c>
      <c r="N86" s="36" t="s">
        <v>618</v>
      </c>
      <c r="O86" s="36">
        <v>93</v>
      </c>
      <c r="P86" s="36">
        <v>9.4131416210630576E-4</v>
      </c>
      <c r="Q86" s="36">
        <v>1000</v>
      </c>
      <c r="R86" s="36"/>
      <c r="S86" s="36"/>
      <c r="T86" s="36"/>
      <c r="U86" s="36"/>
      <c r="V86" s="36"/>
      <c r="W86" s="36"/>
      <c r="X86" s="36"/>
      <c r="Y86" s="36"/>
      <c r="Z86" s="36"/>
    </row>
    <row r="87" spans="1:26" ht="14">
      <c r="A87" s="35">
        <v>42928</v>
      </c>
      <c r="B87" s="72" t="s">
        <v>154</v>
      </c>
      <c r="C87" s="168">
        <v>2017</v>
      </c>
      <c r="D87" s="65">
        <v>5</v>
      </c>
      <c r="E87" s="36"/>
      <c r="F87" s="36"/>
      <c r="G87" s="36"/>
      <c r="H87" s="36"/>
      <c r="I87" s="65"/>
      <c r="J87" s="65"/>
      <c r="K87" s="36"/>
      <c r="L87" s="36">
        <v>1</v>
      </c>
      <c r="M87" s="36"/>
      <c r="N87" s="136" t="s">
        <v>656</v>
      </c>
      <c r="O87" s="36">
        <v>385</v>
      </c>
      <c r="P87" s="36">
        <v>0.25962643656433609</v>
      </c>
      <c r="Q87" s="65">
        <v>250</v>
      </c>
      <c r="R87" s="65"/>
      <c r="S87" s="65"/>
      <c r="T87" s="65"/>
      <c r="U87" s="36"/>
      <c r="V87" s="36"/>
      <c r="W87" s="36"/>
      <c r="X87" s="36"/>
      <c r="Y87" s="36"/>
      <c r="Z87" s="36"/>
    </row>
    <row r="88" spans="1:26" ht="14">
      <c r="A88" s="13">
        <v>43019</v>
      </c>
      <c r="B88" s="64" t="s">
        <v>159</v>
      </c>
      <c r="C88" s="168">
        <v>2017</v>
      </c>
      <c r="D88" s="65">
        <v>4</v>
      </c>
      <c r="E88" s="65" t="s">
        <v>223</v>
      </c>
      <c r="F88" s="65" t="s">
        <v>224</v>
      </c>
      <c r="G88" s="65" t="s">
        <v>225</v>
      </c>
      <c r="H88" s="65" t="s">
        <v>226</v>
      </c>
      <c r="I88" s="146" t="s">
        <v>487</v>
      </c>
      <c r="J88" s="36" t="s">
        <v>486</v>
      </c>
      <c r="K88" s="3"/>
      <c r="L88" s="3">
        <v>39</v>
      </c>
      <c r="M88" s="3" t="s">
        <v>229</v>
      </c>
      <c r="N88" s="3" t="s">
        <v>488</v>
      </c>
      <c r="O88" s="3">
        <v>248</v>
      </c>
      <c r="P88" s="36">
        <v>15.513686961629361</v>
      </c>
      <c r="Q88" s="36">
        <v>250</v>
      </c>
      <c r="R88" s="3"/>
      <c r="S88" s="3"/>
      <c r="T88" s="36"/>
      <c r="U88" s="36"/>
      <c r="V88" s="36"/>
      <c r="W88" s="36"/>
      <c r="X88" s="36"/>
      <c r="Y88" s="36"/>
      <c r="Z88" s="36"/>
    </row>
    <row r="89" spans="1:26" ht="14">
      <c r="A89" s="13">
        <v>43019</v>
      </c>
      <c r="B89" s="35" t="s">
        <v>159</v>
      </c>
      <c r="C89" s="168">
        <v>2017</v>
      </c>
      <c r="D89" s="65">
        <v>5</v>
      </c>
      <c r="E89" s="36" t="s">
        <v>223</v>
      </c>
      <c r="F89" s="36" t="s">
        <v>224</v>
      </c>
      <c r="G89" s="36" t="s">
        <v>225</v>
      </c>
      <c r="H89" s="36" t="s">
        <v>226</v>
      </c>
      <c r="I89" s="54" t="s">
        <v>487</v>
      </c>
      <c r="J89" s="36" t="s">
        <v>486</v>
      </c>
      <c r="K89" s="3"/>
      <c r="L89" s="3">
        <v>1</v>
      </c>
      <c r="M89" s="3" t="s">
        <v>229</v>
      </c>
      <c r="N89" s="3" t="s">
        <v>488</v>
      </c>
      <c r="O89" s="3">
        <v>255</v>
      </c>
      <c r="P89" s="36">
        <v>0.39206991221522669</v>
      </c>
      <c r="Q89" s="3">
        <v>250</v>
      </c>
      <c r="R89" s="3"/>
      <c r="S89" s="3"/>
      <c r="T89" s="36"/>
      <c r="U89" s="36"/>
      <c r="V89" s="36"/>
      <c r="W89" s="36"/>
      <c r="X89" s="36"/>
      <c r="Y89" s="36"/>
      <c r="Z89" s="36"/>
    </row>
    <row r="90" spans="1:26" ht="14">
      <c r="A90" s="13">
        <v>42928</v>
      </c>
      <c r="B90" s="64" t="s">
        <v>154</v>
      </c>
      <c r="C90" s="168">
        <v>2017</v>
      </c>
      <c r="D90" s="65">
        <v>4</v>
      </c>
      <c r="E90" s="36" t="s">
        <v>223</v>
      </c>
      <c r="F90" s="36" t="s">
        <v>224</v>
      </c>
      <c r="G90" s="36" t="s">
        <v>225</v>
      </c>
      <c r="H90" s="36" t="s">
        <v>226</v>
      </c>
      <c r="I90" s="54" t="s">
        <v>487</v>
      </c>
      <c r="J90" s="36" t="s">
        <v>486</v>
      </c>
      <c r="K90" s="3"/>
      <c r="L90" s="3">
        <v>1</v>
      </c>
      <c r="M90" s="3" t="s">
        <v>229</v>
      </c>
      <c r="N90" s="3" t="s">
        <v>488</v>
      </c>
      <c r="O90" s="3">
        <v>225</v>
      </c>
      <c r="P90" s="36">
        <v>0.44266164065770053</v>
      </c>
      <c r="Q90" s="36">
        <v>250</v>
      </c>
      <c r="R90" s="3"/>
      <c r="S90" s="3"/>
      <c r="T90" s="36"/>
      <c r="U90" s="36"/>
      <c r="V90" s="36"/>
      <c r="W90" s="36"/>
      <c r="X90" s="36"/>
      <c r="Y90" s="36"/>
      <c r="Z90" s="36"/>
    </row>
    <row r="91" spans="1:26" ht="14">
      <c r="A91" s="35">
        <v>42634</v>
      </c>
      <c r="B91" s="35" t="s">
        <v>157</v>
      </c>
      <c r="C91" s="168">
        <v>2016</v>
      </c>
      <c r="D91" s="65">
        <v>4</v>
      </c>
      <c r="E91" s="65" t="s">
        <v>223</v>
      </c>
      <c r="F91" s="36" t="s">
        <v>224</v>
      </c>
      <c r="G91" s="36" t="s">
        <v>225</v>
      </c>
      <c r="H91" s="65" t="s">
        <v>226</v>
      </c>
      <c r="I91" s="146" t="s">
        <v>487</v>
      </c>
      <c r="J91" s="65" t="s">
        <v>486</v>
      </c>
      <c r="K91" s="36"/>
      <c r="L91" s="36">
        <v>1</v>
      </c>
      <c r="M91" s="36" t="s">
        <v>229</v>
      </c>
      <c r="N91" s="36" t="s">
        <v>488</v>
      </c>
      <c r="O91" s="36">
        <v>156</v>
      </c>
      <c r="P91" s="76">
        <v>0.63937497457156689</v>
      </c>
      <c r="Q91" s="36">
        <v>250</v>
      </c>
      <c r="R91" s="36" t="s">
        <v>470</v>
      </c>
      <c r="S91" s="36"/>
      <c r="T91" s="36"/>
      <c r="U91" s="36"/>
      <c r="V91" s="36"/>
      <c r="W91" s="36"/>
      <c r="X91" s="36"/>
      <c r="Y91" s="36"/>
      <c r="Z91" s="36"/>
    </row>
    <row r="92" spans="1:26" ht="14">
      <c r="A92" s="35">
        <v>42634</v>
      </c>
      <c r="B92" s="64" t="s">
        <v>157</v>
      </c>
      <c r="C92" s="168">
        <v>2016</v>
      </c>
      <c r="D92" s="65">
        <v>8</v>
      </c>
      <c r="E92" s="36" t="s">
        <v>223</v>
      </c>
      <c r="F92" s="36" t="s">
        <v>224</v>
      </c>
      <c r="G92" s="36" t="s">
        <v>225</v>
      </c>
      <c r="H92" s="36" t="s">
        <v>226</v>
      </c>
      <c r="I92" s="54" t="s">
        <v>487</v>
      </c>
      <c r="J92" s="36" t="s">
        <v>486</v>
      </c>
      <c r="K92" s="36"/>
      <c r="L92" s="36">
        <v>7</v>
      </c>
      <c r="M92" s="36" t="s">
        <v>229</v>
      </c>
      <c r="N92" s="36" t="s">
        <v>488</v>
      </c>
      <c r="O92" s="36">
        <v>294</v>
      </c>
      <c r="P92" s="36">
        <v>2.2270399635983766</v>
      </c>
      <c r="Q92" s="36">
        <v>250</v>
      </c>
      <c r="R92" s="36"/>
      <c r="S92" s="36"/>
      <c r="T92" s="36"/>
      <c r="U92" s="36"/>
      <c r="V92" s="36"/>
      <c r="W92" s="36"/>
      <c r="X92" s="36"/>
      <c r="Y92" s="36"/>
      <c r="Z92" s="36"/>
    </row>
    <row r="93" spans="1:26" ht="14">
      <c r="A93" s="13">
        <v>42263</v>
      </c>
      <c r="B93" s="72" t="s">
        <v>157</v>
      </c>
      <c r="C93" s="168">
        <v>2015</v>
      </c>
      <c r="D93" s="65">
        <v>8</v>
      </c>
      <c r="E93" s="36" t="s">
        <v>223</v>
      </c>
      <c r="F93" s="36" t="s">
        <v>224</v>
      </c>
      <c r="G93" s="36" t="s">
        <v>225</v>
      </c>
      <c r="H93" s="36" t="s">
        <v>226</v>
      </c>
      <c r="I93" s="54" t="s">
        <v>487</v>
      </c>
      <c r="J93" s="36" t="s">
        <v>486</v>
      </c>
      <c r="K93" s="3"/>
      <c r="L93" s="3">
        <v>2</v>
      </c>
      <c r="M93" s="3" t="s">
        <v>229</v>
      </c>
      <c r="N93" s="3" t="s">
        <v>488</v>
      </c>
      <c r="O93" s="3">
        <v>244</v>
      </c>
      <c r="P93" s="36">
        <v>0.81967213114754101</v>
      </c>
      <c r="Q93" s="3">
        <v>250</v>
      </c>
      <c r="R93" s="3" t="s">
        <v>493</v>
      </c>
      <c r="S93" s="3"/>
      <c r="T93" s="36"/>
      <c r="U93" s="36"/>
      <c r="V93" s="36"/>
      <c r="W93" s="36"/>
      <c r="X93" s="36"/>
      <c r="Y93" s="36"/>
      <c r="Z93" s="36"/>
    </row>
    <row r="94" spans="1:26" ht="14">
      <c r="A94" s="13">
        <v>43019</v>
      </c>
      <c r="B94" s="64" t="s">
        <v>159</v>
      </c>
      <c r="C94" s="168">
        <v>2017</v>
      </c>
      <c r="D94" s="65">
        <v>4</v>
      </c>
      <c r="E94" s="36" t="s">
        <v>223</v>
      </c>
      <c r="F94" s="36" t="s">
        <v>224</v>
      </c>
      <c r="G94" s="36" t="s">
        <v>225</v>
      </c>
      <c r="H94" s="36" t="s">
        <v>226</v>
      </c>
      <c r="I94" s="36" t="s">
        <v>253</v>
      </c>
      <c r="J94" s="36" t="s">
        <v>256</v>
      </c>
      <c r="K94" s="3"/>
      <c r="L94" s="36">
        <v>4</v>
      </c>
      <c r="M94" s="3" t="s">
        <v>229</v>
      </c>
      <c r="N94" s="36" t="s">
        <v>256</v>
      </c>
      <c r="O94" s="3">
        <v>248</v>
      </c>
      <c r="P94" s="36">
        <v>1.5911473806799346</v>
      </c>
      <c r="Q94" s="36">
        <v>250</v>
      </c>
      <c r="R94" s="3"/>
      <c r="S94" s="3"/>
      <c r="T94" s="36"/>
      <c r="U94" s="36"/>
      <c r="V94" s="36"/>
      <c r="W94" s="36"/>
      <c r="X94" s="36"/>
      <c r="Y94" s="36"/>
      <c r="Z94" s="36"/>
    </row>
    <row r="95" spans="1:26" ht="14">
      <c r="A95" s="13">
        <v>43019</v>
      </c>
      <c r="B95" s="35" t="s">
        <v>159</v>
      </c>
      <c r="C95" s="168">
        <v>2017</v>
      </c>
      <c r="D95" s="65">
        <v>5</v>
      </c>
      <c r="E95" s="36" t="s">
        <v>223</v>
      </c>
      <c r="F95" s="36" t="s">
        <v>224</v>
      </c>
      <c r="G95" s="36" t="s">
        <v>225</v>
      </c>
      <c r="H95" s="36" t="s">
        <v>226</v>
      </c>
      <c r="I95" s="36" t="s">
        <v>253</v>
      </c>
      <c r="J95" s="36" t="s">
        <v>256</v>
      </c>
      <c r="K95" s="3"/>
      <c r="L95" s="36">
        <v>20</v>
      </c>
      <c r="M95" s="3" t="s">
        <v>229</v>
      </c>
      <c r="N95" s="36" t="s">
        <v>256</v>
      </c>
      <c r="O95" s="3">
        <v>255</v>
      </c>
      <c r="P95" s="36">
        <v>7.8413982443045329</v>
      </c>
      <c r="Q95" s="3">
        <v>250</v>
      </c>
      <c r="R95" s="3"/>
      <c r="S95" s="3"/>
      <c r="T95" s="36"/>
      <c r="U95" s="36"/>
      <c r="V95" s="36"/>
      <c r="W95" s="36"/>
      <c r="X95" s="36"/>
      <c r="Y95" s="36"/>
      <c r="Z95" s="36"/>
    </row>
    <row r="96" spans="1:26" ht="14">
      <c r="A96" s="13">
        <v>43019</v>
      </c>
      <c r="B96" s="64" t="s">
        <v>159</v>
      </c>
      <c r="C96" s="168">
        <v>2017</v>
      </c>
      <c r="D96" s="65">
        <v>8</v>
      </c>
      <c r="E96" s="36" t="s">
        <v>223</v>
      </c>
      <c r="F96" s="36" t="s">
        <v>224</v>
      </c>
      <c r="G96" s="36" t="s">
        <v>225</v>
      </c>
      <c r="H96" s="36" t="s">
        <v>226</v>
      </c>
      <c r="I96" s="36" t="s">
        <v>253</v>
      </c>
      <c r="J96" s="36" t="s">
        <v>256</v>
      </c>
      <c r="K96" s="3"/>
      <c r="L96" s="36">
        <v>8</v>
      </c>
      <c r="M96" s="3" t="s">
        <v>229</v>
      </c>
      <c r="N96" s="36" t="s">
        <v>256</v>
      </c>
      <c r="O96" s="3">
        <v>288</v>
      </c>
      <c r="P96" s="36">
        <v>2.6688838496745051</v>
      </c>
      <c r="Q96" s="3">
        <v>250</v>
      </c>
      <c r="R96" s="3"/>
      <c r="S96" s="3"/>
      <c r="T96" s="36"/>
      <c r="U96" s="36"/>
      <c r="V96" s="36"/>
      <c r="W96" s="36"/>
      <c r="X96" s="36"/>
      <c r="Y96" s="36"/>
      <c r="Z96" s="36"/>
    </row>
    <row r="97" spans="1:26" ht="14">
      <c r="A97" s="13">
        <v>42928</v>
      </c>
      <c r="B97" s="35" t="s">
        <v>154</v>
      </c>
      <c r="C97" s="168">
        <v>2017</v>
      </c>
      <c r="D97" s="65">
        <v>2</v>
      </c>
      <c r="E97" s="65" t="s">
        <v>223</v>
      </c>
      <c r="F97" s="65" t="s">
        <v>224</v>
      </c>
      <c r="G97" s="65" t="s">
        <v>225</v>
      </c>
      <c r="H97" s="65" t="s">
        <v>226</v>
      </c>
      <c r="I97" s="65" t="s">
        <v>253</v>
      </c>
      <c r="J97" s="36" t="s">
        <v>256</v>
      </c>
      <c r="K97" s="3"/>
      <c r="L97" s="36">
        <v>2</v>
      </c>
      <c r="M97" s="3" t="s">
        <v>229</v>
      </c>
      <c r="N97" s="36" t="s">
        <v>256</v>
      </c>
      <c r="O97" s="3">
        <v>656</v>
      </c>
      <c r="P97" s="36">
        <v>0.30456865236188441</v>
      </c>
      <c r="Q97" s="36">
        <v>250</v>
      </c>
      <c r="R97" s="3"/>
      <c r="S97" s="3"/>
      <c r="T97" s="36"/>
      <c r="U97" s="36"/>
      <c r="V97" s="36"/>
      <c r="W97" s="36"/>
      <c r="X97" s="36"/>
      <c r="Y97" s="36"/>
      <c r="Z97" s="36"/>
    </row>
    <row r="98" spans="1:26" ht="14">
      <c r="A98" s="13">
        <v>42928</v>
      </c>
      <c r="B98" s="64" t="s">
        <v>154</v>
      </c>
      <c r="C98" s="168">
        <v>2017</v>
      </c>
      <c r="D98" s="65">
        <v>4</v>
      </c>
      <c r="E98" s="36" t="s">
        <v>223</v>
      </c>
      <c r="F98" s="36" t="s">
        <v>224</v>
      </c>
      <c r="G98" s="36" t="s">
        <v>225</v>
      </c>
      <c r="H98" s="36" t="s">
        <v>226</v>
      </c>
      <c r="I98" s="36" t="s">
        <v>253</v>
      </c>
      <c r="J98" s="36" t="s">
        <v>256</v>
      </c>
      <c r="K98" s="3"/>
      <c r="L98" s="36">
        <v>22</v>
      </c>
      <c r="M98" s="3" t="s">
        <v>229</v>
      </c>
      <c r="N98" s="36" t="s">
        <v>256</v>
      </c>
      <c r="O98" s="3">
        <v>225</v>
      </c>
      <c r="P98" s="36">
        <v>9.738556094469411</v>
      </c>
      <c r="Q98" s="36">
        <v>250</v>
      </c>
      <c r="R98" s="3"/>
      <c r="S98" s="3"/>
      <c r="T98" s="36"/>
      <c r="U98" s="36"/>
      <c r="V98" s="36"/>
      <c r="W98" s="36"/>
      <c r="X98" s="36"/>
      <c r="Y98" s="36"/>
      <c r="Z98" s="36"/>
    </row>
    <row r="99" spans="1:26" ht="14">
      <c r="A99" s="72">
        <v>42928</v>
      </c>
      <c r="B99" s="35" t="s">
        <v>154</v>
      </c>
      <c r="C99" s="168">
        <v>2017</v>
      </c>
      <c r="D99" s="65">
        <v>5</v>
      </c>
      <c r="E99" s="36" t="s">
        <v>223</v>
      </c>
      <c r="F99" s="36" t="s">
        <v>224</v>
      </c>
      <c r="G99" s="36" t="s">
        <v>225</v>
      </c>
      <c r="H99" s="36" t="s">
        <v>226</v>
      </c>
      <c r="I99" s="36" t="s">
        <v>253</v>
      </c>
      <c r="J99" s="36" t="s">
        <v>256</v>
      </c>
      <c r="K99" s="36"/>
      <c r="L99" s="36">
        <v>41</v>
      </c>
      <c r="M99" s="36" t="s">
        <v>229</v>
      </c>
      <c r="N99" s="36" t="s">
        <v>256</v>
      </c>
      <c r="O99" s="36">
        <v>385</v>
      </c>
      <c r="P99" s="36">
        <v>10.644683899137778</v>
      </c>
      <c r="Q99" s="36">
        <v>250</v>
      </c>
      <c r="R99" s="36"/>
      <c r="S99" s="36"/>
      <c r="T99" s="36"/>
      <c r="U99" s="36"/>
      <c r="V99" s="36"/>
      <c r="W99" s="36"/>
      <c r="X99" s="36"/>
      <c r="Y99" s="36"/>
      <c r="Z99" s="36"/>
    </row>
    <row r="100" spans="1:26" ht="14">
      <c r="A100" s="13">
        <v>42928</v>
      </c>
      <c r="B100" s="64" t="s">
        <v>154</v>
      </c>
      <c r="C100" s="168">
        <v>2017</v>
      </c>
      <c r="D100" s="65">
        <v>8</v>
      </c>
      <c r="E100" s="36" t="s">
        <v>223</v>
      </c>
      <c r="F100" s="36" t="s">
        <v>224</v>
      </c>
      <c r="G100" s="36" t="s">
        <v>225</v>
      </c>
      <c r="H100" s="36" t="s">
        <v>226</v>
      </c>
      <c r="I100" s="36" t="s">
        <v>253</v>
      </c>
      <c r="J100" s="36" t="s">
        <v>256</v>
      </c>
      <c r="K100" s="3"/>
      <c r="L100" s="36">
        <v>34</v>
      </c>
      <c r="M100" s="3" t="s">
        <v>229</v>
      </c>
      <c r="N100" s="36" t="s">
        <v>256</v>
      </c>
      <c r="O100" s="3">
        <v>319</v>
      </c>
      <c r="P100" s="36">
        <v>10.654266200445257</v>
      </c>
      <c r="Q100" s="36">
        <v>250</v>
      </c>
      <c r="R100" s="3"/>
      <c r="S100" s="3"/>
      <c r="T100" s="36"/>
      <c r="U100" s="36"/>
      <c r="V100" s="36"/>
      <c r="W100" s="36"/>
      <c r="X100" s="36"/>
      <c r="Y100" s="36"/>
      <c r="Z100" s="36"/>
    </row>
    <row r="101" spans="1:26" ht="14">
      <c r="A101" s="13">
        <v>42867</v>
      </c>
      <c r="B101" s="72" t="s">
        <v>144</v>
      </c>
      <c r="C101" s="168">
        <v>2017</v>
      </c>
      <c r="D101" s="65">
        <v>2</v>
      </c>
      <c r="E101" s="36" t="s">
        <v>223</v>
      </c>
      <c r="F101" s="36" t="s">
        <v>224</v>
      </c>
      <c r="G101" s="36" t="s">
        <v>225</v>
      </c>
      <c r="H101" s="36" t="s">
        <v>226</v>
      </c>
      <c r="I101" s="36" t="s">
        <v>253</v>
      </c>
      <c r="J101" s="36" t="s">
        <v>256</v>
      </c>
      <c r="K101" s="3"/>
      <c r="L101" s="36">
        <v>1</v>
      </c>
      <c r="M101" s="3" t="s">
        <v>229</v>
      </c>
      <c r="N101" s="36" t="s">
        <v>256</v>
      </c>
      <c r="O101" s="3">
        <v>216</v>
      </c>
      <c r="P101" s="36">
        <v>0.46296296296296291</v>
      </c>
      <c r="Q101" s="3"/>
      <c r="R101" s="3"/>
      <c r="S101" s="3"/>
      <c r="T101" s="36"/>
      <c r="U101" s="36"/>
      <c r="V101" s="36"/>
      <c r="W101" s="36"/>
      <c r="X101" s="36"/>
      <c r="Y101" s="36"/>
      <c r="Z101" s="36"/>
    </row>
    <row r="102" spans="1:26" ht="14">
      <c r="A102" s="13">
        <v>42867</v>
      </c>
      <c r="B102" s="64" t="s">
        <v>144</v>
      </c>
      <c r="C102" s="168">
        <v>2017</v>
      </c>
      <c r="D102" s="65">
        <v>4</v>
      </c>
      <c r="E102" s="36" t="s">
        <v>223</v>
      </c>
      <c r="F102" s="36" t="s">
        <v>224</v>
      </c>
      <c r="G102" s="36" t="s">
        <v>225</v>
      </c>
      <c r="H102" s="36" t="s">
        <v>226</v>
      </c>
      <c r="I102" s="36" t="s">
        <v>253</v>
      </c>
      <c r="J102" s="36" t="s">
        <v>256</v>
      </c>
      <c r="K102" s="3"/>
      <c r="L102" s="36">
        <v>14</v>
      </c>
      <c r="M102" s="3" t="s">
        <v>229</v>
      </c>
      <c r="N102" s="36" t="s">
        <v>256</v>
      </c>
      <c r="O102" s="3">
        <v>225</v>
      </c>
      <c r="P102" s="36">
        <v>6.1185613160239196</v>
      </c>
      <c r="Q102" s="3"/>
      <c r="R102" s="3"/>
      <c r="S102" s="3"/>
      <c r="T102" s="36"/>
      <c r="U102" s="36"/>
      <c r="V102" s="36"/>
      <c r="W102" s="36"/>
      <c r="X102" s="36"/>
      <c r="Y102" s="36"/>
      <c r="Z102" s="36"/>
    </row>
    <row r="103" spans="1:26" ht="14">
      <c r="A103" s="13">
        <v>42867</v>
      </c>
      <c r="B103" s="72" t="s">
        <v>144</v>
      </c>
      <c r="C103" s="168">
        <v>2017</v>
      </c>
      <c r="D103" s="65">
        <v>5</v>
      </c>
      <c r="E103" s="36" t="s">
        <v>223</v>
      </c>
      <c r="F103" s="36" t="s">
        <v>224</v>
      </c>
      <c r="G103" s="36" t="s">
        <v>225</v>
      </c>
      <c r="H103" s="36" t="s">
        <v>226</v>
      </c>
      <c r="I103" s="36" t="s">
        <v>253</v>
      </c>
      <c r="J103" s="36" t="s">
        <v>256</v>
      </c>
      <c r="K103" s="3"/>
      <c r="L103" s="36">
        <v>11</v>
      </c>
      <c r="M103" s="3" t="s">
        <v>229</v>
      </c>
      <c r="N103" s="36" t="s">
        <v>256</v>
      </c>
      <c r="O103" s="3">
        <v>222</v>
      </c>
      <c r="P103" s="36">
        <v>4.9533468508152056</v>
      </c>
      <c r="Q103" s="3"/>
      <c r="R103" s="3"/>
      <c r="S103" s="3"/>
      <c r="T103" s="36"/>
      <c r="U103" s="36"/>
      <c r="V103" s="36"/>
      <c r="W103" s="36"/>
      <c r="X103" s="36"/>
      <c r="Y103" s="36"/>
      <c r="Z103" s="36"/>
    </row>
    <row r="104" spans="1:26" ht="14">
      <c r="A104" s="13">
        <v>42867</v>
      </c>
      <c r="B104" s="64" t="s">
        <v>144</v>
      </c>
      <c r="C104" s="168">
        <v>2017</v>
      </c>
      <c r="D104" s="65">
        <v>8</v>
      </c>
      <c r="E104" s="36" t="s">
        <v>223</v>
      </c>
      <c r="F104" s="36" t="s">
        <v>224</v>
      </c>
      <c r="G104" s="36" t="s">
        <v>225</v>
      </c>
      <c r="H104" s="36" t="s">
        <v>226</v>
      </c>
      <c r="I104" s="36" t="s">
        <v>253</v>
      </c>
      <c r="J104" s="36" t="s">
        <v>256</v>
      </c>
      <c r="K104" s="3"/>
      <c r="L104" s="36">
        <v>23</v>
      </c>
      <c r="M104" s="3" t="s">
        <v>229</v>
      </c>
      <c r="N104" s="36" t="s">
        <v>256</v>
      </c>
      <c r="O104" s="3">
        <v>268</v>
      </c>
      <c r="P104" s="36">
        <v>8.5673536573625224</v>
      </c>
      <c r="Q104" s="3"/>
      <c r="R104" s="3"/>
      <c r="S104" s="3"/>
      <c r="T104" s="36"/>
      <c r="U104" s="36"/>
      <c r="V104" s="36"/>
      <c r="W104" s="36"/>
      <c r="X104" s="36"/>
      <c r="Y104" s="36"/>
      <c r="Z104" s="36"/>
    </row>
    <row r="105" spans="1:26" ht="14">
      <c r="A105" s="35">
        <v>42634</v>
      </c>
      <c r="B105" s="72" t="s">
        <v>157</v>
      </c>
      <c r="C105" s="168">
        <v>2016</v>
      </c>
      <c r="D105" s="65">
        <v>4</v>
      </c>
      <c r="E105" s="65" t="s">
        <v>223</v>
      </c>
      <c r="F105" s="65" t="s">
        <v>224</v>
      </c>
      <c r="G105" s="65" t="s">
        <v>225</v>
      </c>
      <c r="H105" s="65" t="s">
        <v>226</v>
      </c>
      <c r="I105" s="65" t="s">
        <v>253</v>
      </c>
      <c r="J105" s="36" t="s">
        <v>256</v>
      </c>
      <c r="K105" s="36"/>
      <c r="L105" s="36">
        <v>2</v>
      </c>
      <c r="M105" s="36" t="s">
        <v>229</v>
      </c>
      <c r="N105" s="36" t="s">
        <v>256</v>
      </c>
      <c r="O105" s="36">
        <v>156</v>
      </c>
      <c r="P105" s="76">
        <v>1.2787499491431338</v>
      </c>
      <c r="Q105" s="36">
        <v>250</v>
      </c>
      <c r="R105" s="36"/>
      <c r="S105" s="36"/>
      <c r="T105" s="36"/>
      <c r="U105" s="36"/>
      <c r="V105" s="36"/>
      <c r="W105" s="36"/>
      <c r="X105" s="36"/>
      <c r="Y105" s="36"/>
      <c r="Z105" s="36"/>
    </row>
    <row r="106" spans="1:26" ht="14">
      <c r="A106" s="13">
        <v>42634</v>
      </c>
      <c r="B106" s="64" t="s">
        <v>157</v>
      </c>
      <c r="C106" s="168">
        <v>2016</v>
      </c>
      <c r="D106" s="65">
        <v>5</v>
      </c>
      <c r="E106" s="65" t="s">
        <v>223</v>
      </c>
      <c r="F106" s="65" t="s">
        <v>224</v>
      </c>
      <c r="G106" s="65" t="s">
        <v>225</v>
      </c>
      <c r="H106" s="65" t="s">
        <v>226</v>
      </c>
      <c r="I106" s="65" t="s">
        <v>253</v>
      </c>
      <c r="J106" s="36" t="s">
        <v>256</v>
      </c>
      <c r="K106" s="3"/>
      <c r="L106" s="3">
        <v>1</v>
      </c>
      <c r="M106" s="3" t="s">
        <v>229</v>
      </c>
      <c r="N106" s="36" t="s">
        <v>256</v>
      </c>
      <c r="O106" s="3">
        <v>203</v>
      </c>
      <c r="P106" s="65">
        <v>0.49217959498977393</v>
      </c>
      <c r="Q106" s="36">
        <v>250</v>
      </c>
      <c r="R106" s="3"/>
      <c r="S106" s="3"/>
      <c r="T106" s="36"/>
      <c r="U106" s="36"/>
      <c r="V106" s="36"/>
      <c r="W106" s="36"/>
      <c r="X106" s="36"/>
      <c r="Y106" s="36"/>
      <c r="Z106" s="36"/>
    </row>
    <row r="107" spans="1:26" ht="14">
      <c r="A107" s="35">
        <v>42634</v>
      </c>
      <c r="B107" s="35" t="s">
        <v>157</v>
      </c>
      <c r="C107" s="168">
        <v>2016</v>
      </c>
      <c r="D107" s="65">
        <v>8</v>
      </c>
      <c r="E107" s="65" t="s">
        <v>223</v>
      </c>
      <c r="F107" s="65" t="s">
        <v>224</v>
      </c>
      <c r="G107" s="65" t="s">
        <v>225</v>
      </c>
      <c r="H107" s="65" t="s">
        <v>226</v>
      </c>
      <c r="I107" s="65" t="s">
        <v>253</v>
      </c>
      <c r="J107" s="36" t="s">
        <v>256</v>
      </c>
      <c r="K107" s="36"/>
      <c r="L107" s="36">
        <v>10</v>
      </c>
      <c r="M107" s="3" t="s">
        <v>229</v>
      </c>
      <c r="N107" s="36" t="s">
        <v>256</v>
      </c>
      <c r="O107" s="36">
        <v>294</v>
      </c>
      <c r="P107" s="36">
        <v>3.1814856622833956</v>
      </c>
      <c r="Q107" s="36">
        <v>250</v>
      </c>
      <c r="R107" s="36"/>
      <c r="S107" s="36"/>
      <c r="T107" s="36"/>
      <c r="U107" s="36"/>
      <c r="V107" s="36"/>
      <c r="W107" s="36"/>
      <c r="X107" s="36"/>
      <c r="Y107" s="36"/>
      <c r="Z107" s="36"/>
    </row>
    <row r="108" spans="1:26" ht="14">
      <c r="A108" s="35">
        <v>42571</v>
      </c>
      <c r="B108" s="64" t="s">
        <v>154</v>
      </c>
      <c r="C108" s="168">
        <v>2016</v>
      </c>
      <c r="D108" s="65">
        <v>2</v>
      </c>
      <c r="E108" s="36" t="s">
        <v>223</v>
      </c>
      <c r="F108" s="36" t="s">
        <v>224</v>
      </c>
      <c r="G108" s="36" t="s">
        <v>225</v>
      </c>
      <c r="H108" s="36" t="s">
        <v>226</v>
      </c>
      <c r="I108" s="36" t="s">
        <v>253</v>
      </c>
      <c r="J108" s="36" t="s">
        <v>256</v>
      </c>
      <c r="K108" s="36"/>
      <c r="L108" s="36">
        <v>1</v>
      </c>
      <c r="M108" s="3" t="s">
        <v>229</v>
      </c>
      <c r="N108" s="36" t="s">
        <v>256</v>
      </c>
      <c r="O108" s="36">
        <v>179</v>
      </c>
      <c r="P108" s="36">
        <v>0.55860419823170904</v>
      </c>
      <c r="Q108" s="36">
        <v>250</v>
      </c>
      <c r="R108" s="3"/>
      <c r="S108" s="3"/>
      <c r="T108" s="36"/>
      <c r="U108" s="36"/>
      <c r="V108" s="36"/>
      <c r="W108" s="36"/>
      <c r="X108" s="36"/>
      <c r="Y108" s="36"/>
      <c r="Z108" s="36"/>
    </row>
    <row r="109" spans="1:26" ht="14">
      <c r="A109" s="72">
        <v>42571</v>
      </c>
      <c r="B109" s="72" t="s">
        <v>154</v>
      </c>
      <c r="C109" s="168">
        <v>2016</v>
      </c>
      <c r="D109" s="65">
        <v>4</v>
      </c>
      <c r="E109" s="65" t="s">
        <v>223</v>
      </c>
      <c r="F109" s="65" t="s">
        <v>224</v>
      </c>
      <c r="G109" s="65" t="s">
        <v>225</v>
      </c>
      <c r="H109" s="65" t="s">
        <v>226</v>
      </c>
      <c r="I109" s="65" t="s">
        <v>253</v>
      </c>
      <c r="J109" s="65" t="s">
        <v>256</v>
      </c>
      <c r="K109" s="3"/>
      <c r="L109" s="36">
        <v>14</v>
      </c>
      <c r="M109" s="3" t="s">
        <v>229</v>
      </c>
      <c r="N109" s="36" t="s">
        <v>256</v>
      </c>
      <c r="O109" s="3">
        <v>223</v>
      </c>
      <c r="P109" s="36">
        <v>6.2755682740798129</v>
      </c>
      <c r="Q109" s="51">
        <v>250</v>
      </c>
      <c r="R109" s="51"/>
      <c r="S109" s="51"/>
      <c r="T109" s="166"/>
      <c r="U109" s="36"/>
      <c r="V109" s="36"/>
      <c r="W109" s="36"/>
      <c r="X109" s="36"/>
      <c r="Y109" s="36"/>
      <c r="Z109" s="36"/>
    </row>
    <row r="110" spans="1:26" ht="14">
      <c r="A110" s="72">
        <v>42571</v>
      </c>
      <c r="B110" s="64" t="s">
        <v>154</v>
      </c>
      <c r="C110" s="168">
        <v>2016</v>
      </c>
      <c r="D110" s="65">
        <v>5</v>
      </c>
      <c r="E110" s="65" t="s">
        <v>223</v>
      </c>
      <c r="F110" s="65" t="s">
        <v>224</v>
      </c>
      <c r="G110" s="65" t="s">
        <v>225</v>
      </c>
      <c r="H110" s="65" t="s">
        <v>226</v>
      </c>
      <c r="I110" s="65" t="s">
        <v>253</v>
      </c>
      <c r="J110" s="36" t="s">
        <v>256</v>
      </c>
      <c r="K110" s="3"/>
      <c r="L110" s="36">
        <v>32</v>
      </c>
      <c r="M110" s="3" t="s">
        <v>229</v>
      </c>
      <c r="N110" s="36" t="s">
        <v>256</v>
      </c>
      <c r="O110" s="3">
        <v>211</v>
      </c>
      <c r="P110" s="65">
        <v>15.164432571059356</v>
      </c>
      <c r="Q110" s="36">
        <v>250</v>
      </c>
      <c r="R110" s="3"/>
      <c r="S110" s="3"/>
      <c r="T110" s="36"/>
      <c r="U110" s="36"/>
      <c r="V110" s="36"/>
      <c r="W110" s="36"/>
      <c r="X110" s="36"/>
      <c r="Y110" s="36"/>
      <c r="Z110" s="36"/>
    </row>
    <row r="111" spans="1:26" ht="14">
      <c r="A111" s="72">
        <v>42571</v>
      </c>
      <c r="B111" s="72" t="s">
        <v>154</v>
      </c>
      <c r="C111" s="168">
        <v>2016</v>
      </c>
      <c r="D111" s="65">
        <v>8</v>
      </c>
      <c r="E111" s="36" t="s">
        <v>223</v>
      </c>
      <c r="F111" s="36" t="s">
        <v>224</v>
      </c>
      <c r="G111" s="36" t="s">
        <v>225</v>
      </c>
      <c r="H111" s="36" t="s">
        <v>226</v>
      </c>
      <c r="I111" s="36" t="s">
        <v>253</v>
      </c>
      <c r="J111" s="36" t="s">
        <v>256</v>
      </c>
      <c r="K111" s="3"/>
      <c r="L111" s="36">
        <v>46</v>
      </c>
      <c r="M111" s="3" t="s">
        <v>229</v>
      </c>
      <c r="N111" s="36" t="s">
        <v>256</v>
      </c>
      <c r="O111" s="3">
        <v>237</v>
      </c>
      <c r="P111" s="65">
        <v>19.406584198866859</v>
      </c>
      <c r="Q111" s="36">
        <v>250</v>
      </c>
      <c r="R111" s="3"/>
      <c r="S111" s="3"/>
      <c r="T111" s="36"/>
      <c r="U111" s="36"/>
      <c r="V111" s="36"/>
      <c r="W111" s="36"/>
      <c r="X111" s="36"/>
      <c r="Y111" s="36"/>
      <c r="Z111" s="36"/>
    </row>
    <row r="112" spans="1:26" ht="14">
      <c r="A112" s="13">
        <v>42515</v>
      </c>
      <c r="B112" s="64" t="s">
        <v>144</v>
      </c>
      <c r="C112" s="168">
        <v>2016</v>
      </c>
      <c r="D112" s="51">
        <v>2</v>
      </c>
      <c r="E112" s="3" t="s">
        <v>223</v>
      </c>
      <c r="F112" s="3" t="s">
        <v>224</v>
      </c>
      <c r="G112" s="3" t="s">
        <v>225</v>
      </c>
      <c r="H112" s="3" t="s">
        <v>226</v>
      </c>
      <c r="I112" s="51" t="s">
        <v>253</v>
      </c>
      <c r="J112" s="51" t="s">
        <v>256</v>
      </c>
      <c r="K112" s="3"/>
      <c r="L112" s="3">
        <v>17</v>
      </c>
      <c r="M112" s="3" t="s">
        <v>229</v>
      </c>
      <c r="N112" s="3" t="s">
        <v>256</v>
      </c>
      <c r="O112" s="3">
        <v>194</v>
      </c>
      <c r="P112" s="65">
        <v>8.7584980058155129</v>
      </c>
      <c r="Q112" s="51">
        <v>250</v>
      </c>
      <c r="R112" s="51"/>
      <c r="S112" s="51"/>
      <c r="T112" s="65"/>
      <c r="U112" s="36"/>
      <c r="V112" s="36"/>
      <c r="W112" s="36"/>
      <c r="X112" s="36"/>
      <c r="Y112" s="36"/>
      <c r="Z112" s="36"/>
    </row>
    <row r="113" spans="1:26" ht="14">
      <c r="A113" s="13">
        <v>42515</v>
      </c>
      <c r="B113" s="35" t="s">
        <v>144</v>
      </c>
      <c r="C113" s="168">
        <v>2016</v>
      </c>
      <c r="D113" s="51">
        <v>4</v>
      </c>
      <c r="E113" s="51" t="s">
        <v>223</v>
      </c>
      <c r="F113" s="51" t="s">
        <v>224</v>
      </c>
      <c r="G113" s="51" t="s">
        <v>225</v>
      </c>
      <c r="H113" s="51" t="s">
        <v>226</v>
      </c>
      <c r="I113" s="51" t="s">
        <v>253</v>
      </c>
      <c r="J113" s="3" t="s">
        <v>256</v>
      </c>
      <c r="K113" s="3"/>
      <c r="L113" s="3">
        <v>28</v>
      </c>
      <c r="M113" s="3" t="s">
        <v>229</v>
      </c>
      <c r="N113" s="3" t="s">
        <v>256</v>
      </c>
      <c r="O113" s="3">
        <v>217</v>
      </c>
      <c r="P113" s="36">
        <v>12.893007207351296</v>
      </c>
      <c r="Q113" s="3">
        <v>250</v>
      </c>
      <c r="R113" s="3"/>
      <c r="S113" s="3"/>
      <c r="T113" s="36"/>
      <c r="U113" s="36"/>
      <c r="V113" s="36"/>
      <c r="W113" s="36"/>
      <c r="X113" s="36"/>
      <c r="Y113" s="36"/>
      <c r="Z113" s="36"/>
    </row>
    <row r="114" spans="1:26" ht="14">
      <c r="A114" s="13">
        <v>42515</v>
      </c>
      <c r="B114" s="64" t="s">
        <v>144</v>
      </c>
      <c r="C114" s="168">
        <v>2016</v>
      </c>
      <c r="D114" s="51">
        <v>5</v>
      </c>
      <c r="E114" s="3" t="s">
        <v>223</v>
      </c>
      <c r="F114" s="3" t="s">
        <v>224</v>
      </c>
      <c r="G114" s="3" t="s">
        <v>225</v>
      </c>
      <c r="H114" s="3" t="s">
        <v>226</v>
      </c>
      <c r="I114" s="3" t="s">
        <v>253</v>
      </c>
      <c r="J114" s="3" t="s">
        <v>256</v>
      </c>
      <c r="K114" s="3"/>
      <c r="L114" s="3">
        <v>155</v>
      </c>
      <c r="M114" s="3" t="s">
        <v>229</v>
      </c>
      <c r="N114" s="3" t="s">
        <v>256</v>
      </c>
      <c r="O114" s="3">
        <v>214</v>
      </c>
      <c r="P114" s="65">
        <v>72.394980746357319</v>
      </c>
      <c r="Q114" s="3">
        <v>250</v>
      </c>
      <c r="R114" s="3" t="s">
        <v>363</v>
      </c>
      <c r="S114" s="3"/>
      <c r="T114" s="36"/>
      <c r="U114" s="36"/>
      <c r="V114" s="36"/>
      <c r="W114" s="36"/>
      <c r="X114" s="36"/>
      <c r="Y114" s="36"/>
      <c r="Z114" s="36"/>
    </row>
    <row r="115" spans="1:26" ht="14">
      <c r="A115" s="173">
        <v>42515</v>
      </c>
      <c r="B115" s="169" t="s">
        <v>144</v>
      </c>
      <c r="C115" s="176">
        <v>2016</v>
      </c>
      <c r="D115" s="170">
        <v>8</v>
      </c>
      <c r="E115" s="170" t="s">
        <v>223</v>
      </c>
      <c r="F115" s="170" t="s">
        <v>224</v>
      </c>
      <c r="G115" s="170" t="s">
        <v>225</v>
      </c>
      <c r="H115" s="170" t="s">
        <v>226</v>
      </c>
      <c r="I115" s="170" t="s">
        <v>253</v>
      </c>
      <c r="J115" s="171" t="s">
        <v>256</v>
      </c>
      <c r="K115" s="171"/>
      <c r="L115" s="171">
        <v>94</v>
      </c>
      <c r="M115" s="171" t="s">
        <v>229</v>
      </c>
      <c r="N115" s="171" t="s">
        <v>256</v>
      </c>
      <c r="O115" s="171">
        <v>252</v>
      </c>
      <c r="P115" s="171">
        <v>37.297047406535718</v>
      </c>
      <c r="Q115" s="171">
        <v>250</v>
      </c>
      <c r="R115" s="171" t="s">
        <v>364</v>
      </c>
      <c r="S115" s="171"/>
      <c r="T115" s="36"/>
      <c r="U115" s="36"/>
      <c r="V115" s="36"/>
      <c r="W115" s="36"/>
      <c r="X115" s="36"/>
      <c r="Y115" s="36"/>
      <c r="Z115" s="36"/>
    </row>
    <row r="116" spans="1:26" ht="14">
      <c r="A116" s="13">
        <v>42263</v>
      </c>
      <c r="B116" s="64" t="s">
        <v>157</v>
      </c>
      <c r="C116" s="168">
        <v>2015</v>
      </c>
      <c r="D116" s="65">
        <v>4</v>
      </c>
      <c r="E116" s="36" t="s">
        <v>223</v>
      </c>
      <c r="F116" s="36" t="s">
        <v>224</v>
      </c>
      <c r="G116" s="36" t="s">
        <v>225</v>
      </c>
      <c r="H116" s="36" t="s">
        <v>226</v>
      </c>
      <c r="I116" s="65" t="s">
        <v>253</v>
      </c>
      <c r="J116" s="65" t="s">
        <v>256</v>
      </c>
      <c r="K116" s="3"/>
      <c r="L116" s="3">
        <v>14</v>
      </c>
      <c r="M116" s="3" t="s">
        <v>229</v>
      </c>
      <c r="N116" s="36" t="s">
        <v>256</v>
      </c>
      <c r="O116" s="3">
        <v>161</v>
      </c>
      <c r="P116" s="65">
        <v>8.680509855797812</v>
      </c>
      <c r="Q116" s="65">
        <v>250</v>
      </c>
      <c r="R116" s="51"/>
      <c r="S116" s="51"/>
      <c r="T116" s="65"/>
      <c r="U116" s="36"/>
      <c r="V116" s="36"/>
      <c r="W116" s="36"/>
      <c r="X116" s="36"/>
      <c r="Y116" s="36"/>
      <c r="Z116" s="36"/>
    </row>
    <row r="117" spans="1:26" ht="14">
      <c r="A117" s="71">
        <v>42263</v>
      </c>
      <c r="B117" s="72" t="s">
        <v>157</v>
      </c>
      <c r="C117" s="168">
        <v>2015</v>
      </c>
      <c r="D117" s="65">
        <v>5</v>
      </c>
      <c r="E117" s="65" t="s">
        <v>223</v>
      </c>
      <c r="F117" s="65" t="s">
        <v>224</v>
      </c>
      <c r="G117" s="65" t="s">
        <v>225</v>
      </c>
      <c r="H117" s="65" t="s">
        <v>226</v>
      </c>
      <c r="I117" s="65" t="s">
        <v>253</v>
      </c>
      <c r="J117" s="36" t="s">
        <v>256</v>
      </c>
      <c r="K117" s="3"/>
      <c r="L117" s="36">
        <v>27</v>
      </c>
      <c r="M117" s="3" t="s">
        <v>229</v>
      </c>
      <c r="N117" s="3" t="s">
        <v>256</v>
      </c>
      <c r="O117" s="3">
        <v>222</v>
      </c>
      <c r="P117" s="36">
        <v>12.15872439591717</v>
      </c>
      <c r="Q117" s="3">
        <v>250</v>
      </c>
      <c r="R117" s="3"/>
      <c r="S117" s="3"/>
      <c r="T117" s="36"/>
      <c r="U117" s="36"/>
      <c r="V117" s="36"/>
      <c r="W117" s="36"/>
      <c r="X117" s="36"/>
      <c r="Y117" s="36"/>
      <c r="Z117" s="36"/>
    </row>
    <row r="118" spans="1:26" ht="14">
      <c r="A118" s="13">
        <v>42263</v>
      </c>
      <c r="B118" s="64" t="s">
        <v>157</v>
      </c>
      <c r="C118" s="168">
        <v>2015</v>
      </c>
      <c r="D118" s="65">
        <v>8</v>
      </c>
      <c r="E118" s="65" t="s">
        <v>223</v>
      </c>
      <c r="F118" s="65" t="s">
        <v>224</v>
      </c>
      <c r="G118" s="65" t="s">
        <v>225</v>
      </c>
      <c r="H118" s="65" t="s">
        <v>226</v>
      </c>
      <c r="I118" s="65" t="s">
        <v>253</v>
      </c>
      <c r="J118" s="36" t="s">
        <v>256</v>
      </c>
      <c r="K118" s="3"/>
      <c r="L118" s="3">
        <v>33</v>
      </c>
      <c r="M118" s="3" t="s">
        <v>229</v>
      </c>
      <c r="N118" s="3" t="s">
        <v>256</v>
      </c>
      <c r="O118" s="3">
        <v>244</v>
      </c>
      <c r="P118" s="36">
        <v>13.524590163934427</v>
      </c>
      <c r="Q118" s="3">
        <v>250</v>
      </c>
      <c r="R118" s="3"/>
      <c r="S118" s="3"/>
      <c r="T118" s="36"/>
      <c r="U118" s="36"/>
      <c r="V118" s="36"/>
      <c r="W118" s="36"/>
      <c r="X118" s="36"/>
      <c r="Y118" s="36"/>
      <c r="Z118" s="36"/>
    </row>
    <row r="119" spans="1:26" ht="14">
      <c r="A119" s="35">
        <v>42206</v>
      </c>
      <c r="B119" s="72" t="s">
        <v>154</v>
      </c>
      <c r="C119" s="168">
        <v>2015</v>
      </c>
      <c r="D119" s="65">
        <v>2</v>
      </c>
      <c r="E119" s="65" t="s">
        <v>223</v>
      </c>
      <c r="F119" s="65" t="s">
        <v>224</v>
      </c>
      <c r="G119" s="65" t="s">
        <v>225</v>
      </c>
      <c r="H119" s="65" t="s">
        <v>226</v>
      </c>
      <c r="I119" s="65" t="s">
        <v>253</v>
      </c>
      <c r="J119" s="36" t="s">
        <v>256</v>
      </c>
      <c r="K119" s="36"/>
      <c r="L119" s="36">
        <v>7</v>
      </c>
      <c r="M119" s="36" t="s">
        <v>229</v>
      </c>
      <c r="N119" s="36" t="s">
        <v>256</v>
      </c>
      <c r="O119" s="36">
        <v>337</v>
      </c>
      <c r="P119" s="36">
        <v>2.076466813632833</v>
      </c>
      <c r="Q119" s="36">
        <v>250</v>
      </c>
      <c r="R119" s="36" t="s">
        <v>471</v>
      </c>
      <c r="S119" s="36"/>
      <c r="T119" s="36"/>
      <c r="U119" s="36"/>
      <c r="V119" s="36"/>
      <c r="W119" s="36"/>
      <c r="X119" s="36"/>
      <c r="Y119" s="36"/>
      <c r="Z119" s="36"/>
    </row>
    <row r="120" spans="1:26" ht="14">
      <c r="A120" s="71">
        <v>42206</v>
      </c>
      <c r="B120" s="64" t="s">
        <v>154</v>
      </c>
      <c r="C120" s="168">
        <v>2015</v>
      </c>
      <c r="D120" s="65">
        <v>4</v>
      </c>
      <c r="E120" s="36" t="s">
        <v>223</v>
      </c>
      <c r="F120" s="36" t="s">
        <v>224</v>
      </c>
      <c r="G120" s="36" t="s">
        <v>225</v>
      </c>
      <c r="H120" s="36" t="s">
        <v>226</v>
      </c>
      <c r="I120" s="65" t="s">
        <v>253</v>
      </c>
      <c r="J120" s="65" t="s">
        <v>256</v>
      </c>
      <c r="K120" s="3"/>
      <c r="L120" s="3">
        <v>41</v>
      </c>
      <c r="M120" s="3" t="s">
        <v>229</v>
      </c>
      <c r="N120" s="36" t="s">
        <v>256</v>
      </c>
      <c r="O120" s="3">
        <v>273</v>
      </c>
      <c r="P120" s="65">
        <v>14.817024953199221</v>
      </c>
      <c r="Q120" s="51">
        <v>250</v>
      </c>
      <c r="R120" s="51" t="s">
        <v>473</v>
      </c>
      <c r="S120" s="51"/>
      <c r="T120" s="65"/>
      <c r="U120" s="36"/>
      <c r="V120" s="36"/>
      <c r="W120" s="36"/>
      <c r="X120" s="36"/>
      <c r="Y120" s="36"/>
      <c r="Z120" s="36"/>
    </row>
    <row r="121" spans="1:26" ht="14">
      <c r="A121" s="13">
        <v>42206</v>
      </c>
      <c r="B121" s="35" t="s">
        <v>154</v>
      </c>
      <c r="C121" s="168">
        <v>2015</v>
      </c>
      <c r="D121" s="65">
        <v>5</v>
      </c>
      <c r="E121" s="36" t="s">
        <v>223</v>
      </c>
      <c r="F121" s="36" t="s">
        <v>224</v>
      </c>
      <c r="G121" s="36" t="s">
        <v>225</v>
      </c>
      <c r="H121" s="36" t="s">
        <v>226</v>
      </c>
      <c r="I121" s="36" t="s">
        <v>253</v>
      </c>
      <c r="J121" s="36" t="s">
        <v>256</v>
      </c>
      <c r="K121" s="3"/>
      <c r="L121" s="3">
        <v>121</v>
      </c>
      <c r="M121" s="3" t="s">
        <v>229</v>
      </c>
      <c r="N121" s="36" t="s">
        <v>256</v>
      </c>
      <c r="O121" s="3">
        <v>251</v>
      </c>
      <c r="P121" s="65">
        <v>48.196191157483504</v>
      </c>
      <c r="Q121" s="3">
        <v>250</v>
      </c>
      <c r="R121" s="3"/>
      <c r="S121" s="3"/>
      <c r="T121" s="36"/>
      <c r="U121" s="36"/>
      <c r="V121" s="36"/>
      <c r="W121" s="36"/>
      <c r="X121" s="36"/>
      <c r="Y121" s="36"/>
      <c r="Z121" s="36"/>
    </row>
    <row r="122" spans="1:26" ht="14">
      <c r="A122" s="71">
        <v>42206</v>
      </c>
      <c r="B122" s="64" t="s">
        <v>154</v>
      </c>
      <c r="C122" s="168">
        <v>2015</v>
      </c>
      <c r="D122" s="65">
        <v>8</v>
      </c>
      <c r="E122" s="36" t="s">
        <v>223</v>
      </c>
      <c r="F122" s="36" t="s">
        <v>224</v>
      </c>
      <c r="G122" s="36" t="s">
        <v>225</v>
      </c>
      <c r="H122" s="36" t="s">
        <v>226</v>
      </c>
      <c r="I122" s="36" t="s">
        <v>253</v>
      </c>
      <c r="J122" s="36" t="s">
        <v>256</v>
      </c>
      <c r="K122" s="3"/>
      <c r="L122" s="3">
        <v>8</v>
      </c>
      <c r="M122" s="3" t="s">
        <v>229</v>
      </c>
      <c r="N122" s="36" t="s">
        <v>256</v>
      </c>
      <c r="O122" s="3">
        <v>199</v>
      </c>
      <c r="P122" s="65">
        <v>4.0166099770530668</v>
      </c>
      <c r="Q122" s="3">
        <v>250</v>
      </c>
      <c r="R122" s="3"/>
      <c r="S122" s="3"/>
      <c r="T122" s="36"/>
      <c r="U122" s="36"/>
      <c r="V122" s="36"/>
      <c r="W122" s="36"/>
      <c r="X122" s="36"/>
      <c r="Y122" s="36"/>
      <c r="Z122" s="36"/>
    </row>
    <row r="123" spans="1:26" ht="14">
      <c r="A123" s="71">
        <v>42144</v>
      </c>
      <c r="B123" s="72" t="s">
        <v>144</v>
      </c>
      <c r="C123" s="168">
        <v>2015</v>
      </c>
      <c r="D123" s="65">
        <v>2</v>
      </c>
      <c r="E123" s="36" t="s">
        <v>223</v>
      </c>
      <c r="F123" s="36" t="s">
        <v>224</v>
      </c>
      <c r="G123" s="36" t="s">
        <v>225</v>
      </c>
      <c r="H123" s="36" t="s">
        <v>226</v>
      </c>
      <c r="I123" s="36" t="s">
        <v>253</v>
      </c>
      <c r="J123" s="36" t="s">
        <v>256</v>
      </c>
      <c r="K123" s="3"/>
      <c r="L123" s="3">
        <v>4</v>
      </c>
      <c r="M123" s="3" t="s">
        <v>229</v>
      </c>
      <c r="N123" s="3" t="s">
        <v>256</v>
      </c>
      <c r="O123" s="3">
        <v>333</v>
      </c>
      <c r="P123" s="65">
        <v>1.2008892481762179</v>
      </c>
      <c r="Q123" s="36">
        <v>250</v>
      </c>
      <c r="R123" s="3"/>
      <c r="S123" s="3"/>
      <c r="T123" s="36"/>
      <c r="U123" s="36"/>
      <c r="V123" s="36"/>
      <c r="W123" s="36"/>
      <c r="X123" s="36"/>
      <c r="Y123" s="36"/>
      <c r="Z123" s="36"/>
    </row>
    <row r="124" spans="1:26" ht="14">
      <c r="A124" s="35">
        <v>42144</v>
      </c>
      <c r="B124" s="64" t="s">
        <v>144</v>
      </c>
      <c r="C124" s="168">
        <v>2015</v>
      </c>
      <c r="D124" s="65">
        <v>4</v>
      </c>
      <c r="E124" s="65" t="s">
        <v>223</v>
      </c>
      <c r="F124" s="65" t="s">
        <v>224</v>
      </c>
      <c r="G124" s="65" t="s">
        <v>225</v>
      </c>
      <c r="H124" s="65" t="s">
        <v>226</v>
      </c>
      <c r="I124" s="65" t="s">
        <v>253</v>
      </c>
      <c r="J124" s="65" t="s">
        <v>256</v>
      </c>
      <c r="K124" s="36"/>
      <c r="L124" s="36">
        <v>25</v>
      </c>
      <c r="M124" s="36" t="s">
        <v>229</v>
      </c>
      <c r="N124" s="36" t="s">
        <v>256</v>
      </c>
      <c r="O124" s="36">
        <v>229</v>
      </c>
      <c r="P124" s="65">
        <v>10.907291954208709</v>
      </c>
      <c r="Q124" s="36">
        <v>250</v>
      </c>
      <c r="R124" s="36"/>
      <c r="S124" s="36"/>
      <c r="T124" s="36"/>
      <c r="U124" s="36"/>
      <c r="V124" s="36"/>
      <c r="W124" s="36"/>
      <c r="X124" s="36"/>
      <c r="Y124" s="36"/>
      <c r="Z124" s="36"/>
    </row>
    <row r="125" spans="1:26" ht="14">
      <c r="A125" s="72">
        <v>42144</v>
      </c>
      <c r="B125" s="72" t="s">
        <v>144</v>
      </c>
      <c r="C125" s="168">
        <v>2015</v>
      </c>
      <c r="D125" s="65">
        <v>5</v>
      </c>
      <c r="E125" s="65" t="s">
        <v>223</v>
      </c>
      <c r="F125" s="65" t="s">
        <v>224</v>
      </c>
      <c r="G125" s="65" t="s">
        <v>225</v>
      </c>
      <c r="H125" s="65" t="s">
        <v>226</v>
      </c>
      <c r="I125" s="65" t="s">
        <v>253</v>
      </c>
      <c r="J125" s="36" t="s">
        <v>256</v>
      </c>
      <c r="K125" s="36"/>
      <c r="L125" s="36">
        <v>110</v>
      </c>
      <c r="M125" s="36" t="s">
        <v>229</v>
      </c>
      <c r="N125" s="36" t="s">
        <v>256</v>
      </c>
      <c r="O125" s="36">
        <v>327</v>
      </c>
      <c r="P125" s="36">
        <v>33.626768126647391</v>
      </c>
      <c r="Q125" s="36">
        <v>250</v>
      </c>
      <c r="R125" s="36"/>
      <c r="S125" s="36"/>
      <c r="T125" s="36"/>
      <c r="U125" s="36"/>
      <c r="V125" s="36"/>
      <c r="W125" s="36"/>
      <c r="X125" s="36"/>
      <c r="Y125" s="36"/>
      <c r="Z125" s="36"/>
    </row>
    <row r="126" spans="1:26" ht="14">
      <c r="A126" s="71">
        <v>41912</v>
      </c>
      <c r="B126" s="64" t="s">
        <v>157</v>
      </c>
      <c r="C126" s="168">
        <v>2014</v>
      </c>
      <c r="D126" s="65">
        <v>4</v>
      </c>
      <c r="E126" s="36" t="s">
        <v>223</v>
      </c>
      <c r="F126" s="36" t="s">
        <v>224</v>
      </c>
      <c r="G126" s="36" t="s">
        <v>225</v>
      </c>
      <c r="H126" s="36" t="s">
        <v>226</v>
      </c>
      <c r="I126" s="65" t="s">
        <v>253</v>
      </c>
      <c r="J126" s="65" t="s">
        <v>256</v>
      </c>
      <c r="K126" s="3"/>
      <c r="L126" s="3">
        <v>7</v>
      </c>
      <c r="M126" s="3" t="s">
        <v>229</v>
      </c>
      <c r="N126" s="3" t="s">
        <v>256</v>
      </c>
      <c r="O126" s="3">
        <v>237</v>
      </c>
      <c r="P126" s="36">
        <v>2.9476712973264361</v>
      </c>
      <c r="Q126" s="65">
        <v>250</v>
      </c>
      <c r="R126" s="51"/>
      <c r="S126" s="51"/>
      <c r="T126" s="65"/>
      <c r="U126" s="36"/>
      <c r="V126" s="36"/>
      <c r="W126" s="36"/>
      <c r="X126" s="36"/>
      <c r="Y126" s="36"/>
      <c r="Z126" s="36"/>
    </row>
    <row r="127" spans="1:26" ht="14">
      <c r="A127" s="13">
        <v>41912</v>
      </c>
      <c r="B127" s="35" t="s">
        <v>157</v>
      </c>
      <c r="C127" s="168">
        <v>2014</v>
      </c>
      <c r="D127" s="65">
        <v>5</v>
      </c>
      <c r="E127" s="65" t="s">
        <v>223</v>
      </c>
      <c r="F127" s="65" t="s">
        <v>224</v>
      </c>
      <c r="G127" s="65" t="s">
        <v>225</v>
      </c>
      <c r="H127" s="65" t="s">
        <v>226</v>
      </c>
      <c r="I127" s="65" t="s">
        <v>253</v>
      </c>
      <c r="J127" s="65" t="s">
        <v>256</v>
      </c>
      <c r="K127" s="3"/>
      <c r="L127" s="3">
        <v>17</v>
      </c>
      <c r="M127" s="3" t="s">
        <v>229</v>
      </c>
      <c r="N127" s="3" t="s">
        <v>256</v>
      </c>
      <c r="O127" s="3">
        <v>216</v>
      </c>
      <c r="P127" s="36">
        <v>7.8549237672064649</v>
      </c>
      <c r="Q127" s="36">
        <v>250</v>
      </c>
      <c r="R127" s="3"/>
      <c r="S127" s="3"/>
      <c r="T127" s="36"/>
      <c r="U127" s="36"/>
      <c r="V127" s="36"/>
      <c r="W127" s="36"/>
      <c r="X127" s="36"/>
      <c r="Y127" s="36"/>
      <c r="Z127" s="36"/>
    </row>
    <row r="128" spans="1:26" ht="14">
      <c r="A128" s="13">
        <v>41912</v>
      </c>
      <c r="B128" s="64" t="s">
        <v>157</v>
      </c>
      <c r="C128" s="168">
        <v>2014</v>
      </c>
      <c r="D128" s="65">
        <v>8</v>
      </c>
      <c r="E128" s="65" t="s">
        <v>223</v>
      </c>
      <c r="F128" s="65" t="s">
        <v>224</v>
      </c>
      <c r="G128" s="65" t="s">
        <v>225</v>
      </c>
      <c r="H128" s="65" t="s">
        <v>226</v>
      </c>
      <c r="I128" s="65" t="s">
        <v>253</v>
      </c>
      <c r="J128" s="36" t="s">
        <v>256</v>
      </c>
      <c r="K128" s="3"/>
      <c r="L128" s="3">
        <v>1</v>
      </c>
      <c r="M128" s="3" t="s">
        <v>229</v>
      </c>
      <c r="N128" s="3" t="s">
        <v>256</v>
      </c>
      <c r="O128" s="3">
        <v>217</v>
      </c>
      <c r="P128" s="36">
        <v>0.46067485768610789</v>
      </c>
      <c r="Q128" s="3">
        <v>250</v>
      </c>
      <c r="R128" s="3"/>
      <c r="S128" s="3"/>
      <c r="T128" s="36"/>
      <c r="U128" s="36"/>
      <c r="V128" s="36"/>
      <c r="W128" s="36"/>
      <c r="X128" s="36"/>
      <c r="Y128" s="36"/>
      <c r="Z128" s="36"/>
    </row>
    <row r="129" spans="1:26" ht="14">
      <c r="A129" s="13">
        <v>41851</v>
      </c>
      <c r="B129" s="35" t="s">
        <v>154</v>
      </c>
      <c r="C129" s="168">
        <v>2014</v>
      </c>
      <c r="D129" s="65">
        <v>4</v>
      </c>
      <c r="E129" s="36" t="s">
        <v>223</v>
      </c>
      <c r="F129" s="36" t="s">
        <v>224</v>
      </c>
      <c r="G129" s="36" t="s">
        <v>225</v>
      </c>
      <c r="H129" s="36" t="s">
        <v>226</v>
      </c>
      <c r="I129" s="36" t="s">
        <v>253</v>
      </c>
      <c r="J129" s="36" t="s">
        <v>256</v>
      </c>
      <c r="K129" s="3"/>
      <c r="L129" s="3">
        <v>20</v>
      </c>
      <c r="M129" s="3" t="s">
        <v>229</v>
      </c>
      <c r="N129" s="3" t="s">
        <v>256</v>
      </c>
      <c r="O129" s="3">
        <v>188</v>
      </c>
      <c r="P129" s="65">
        <v>10.359230690049714</v>
      </c>
      <c r="Q129" s="3">
        <v>250</v>
      </c>
      <c r="R129" s="3"/>
      <c r="S129" s="3"/>
      <c r="T129" s="36"/>
      <c r="U129" s="36"/>
      <c r="V129" s="36"/>
      <c r="W129" s="36"/>
      <c r="X129" s="36"/>
      <c r="Y129" s="36"/>
      <c r="Z129" s="36"/>
    </row>
    <row r="130" spans="1:26" ht="14">
      <c r="A130" s="71">
        <v>41851</v>
      </c>
      <c r="B130" s="64" t="s">
        <v>154</v>
      </c>
      <c r="C130" s="168">
        <v>2014</v>
      </c>
      <c r="D130" s="65">
        <v>5</v>
      </c>
      <c r="E130" s="65" t="s">
        <v>223</v>
      </c>
      <c r="F130" s="65" t="s">
        <v>224</v>
      </c>
      <c r="G130" s="65" t="s">
        <v>225</v>
      </c>
      <c r="H130" s="65" t="s">
        <v>226</v>
      </c>
      <c r="I130" s="65" t="s">
        <v>253</v>
      </c>
      <c r="J130" s="36" t="s">
        <v>256</v>
      </c>
      <c r="K130" s="3"/>
      <c r="L130" s="3">
        <v>13</v>
      </c>
      <c r="M130" s="3" t="s">
        <v>229</v>
      </c>
      <c r="N130" s="3" t="s">
        <v>256</v>
      </c>
      <c r="O130" s="3">
        <v>205</v>
      </c>
      <c r="P130" s="65">
        <v>6.2980609136042531</v>
      </c>
      <c r="Q130" s="3">
        <v>250</v>
      </c>
      <c r="R130" s="3"/>
      <c r="S130" s="3"/>
      <c r="T130" s="36"/>
      <c r="U130" s="36"/>
      <c r="V130" s="36"/>
      <c r="W130" s="36"/>
      <c r="X130" s="36"/>
      <c r="Y130" s="36"/>
      <c r="Z130" s="36"/>
    </row>
    <row r="131" spans="1:26" ht="14">
      <c r="A131" s="13">
        <v>41851</v>
      </c>
      <c r="B131" s="72" t="s">
        <v>154</v>
      </c>
      <c r="C131" s="168">
        <v>2014</v>
      </c>
      <c r="D131" s="65">
        <v>8</v>
      </c>
      <c r="E131" s="65" t="s">
        <v>223</v>
      </c>
      <c r="F131" s="65" t="s">
        <v>224</v>
      </c>
      <c r="G131" s="65" t="s">
        <v>225</v>
      </c>
      <c r="H131" s="65" t="s">
        <v>226</v>
      </c>
      <c r="I131" s="65" t="s">
        <v>253</v>
      </c>
      <c r="J131" s="36" t="s">
        <v>256</v>
      </c>
      <c r="K131" s="3"/>
      <c r="L131" s="3">
        <v>14</v>
      </c>
      <c r="M131" s="3" t="s">
        <v>229</v>
      </c>
      <c r="N131" s="3" t="s">
        <v>256</v>
      </c>
      <c r="O131" s="3">
        <v>237</v>
      </c>
      <c r="P131" s="65">
        <v>5.9050566443307089</v>
      </c>
      <c r="Q131" s="3">
        <v>250</v>
      </c>
      <c r="R131" s="3"/>
      <c r="S131" s="3"/>
      <c r="T131" s="36"/>
      <c r="U131" s="36"/>
      <c r="V131" s="36"/>
      <c r="W131" s="36"/>
      <c r="X131" s="36"/>
      <c r="Y131" s="36"/>
      <c r="Z131" s="36"/>
    </row>
    <row r="132" spans="1:26" ht="14">
      <c r="A132" s="35">
        <v>41761</v>
      </c>
      <c r="B132" s="64" t="s">
        <v>144</v>
      </c>
      <c r="C132" s="168">
        <v>2014</v>
      </c>
      <c r="D132" s="65">
        <v>2</v>
      </c>
      <c r="E132" s="65" t="s">
        <v>223</v>
      </c>
      <c r="F132" s="65" t="s">
        <v>224</v>
      </c>
      <c r="G132" s="65" t="s">
        <v>225</v>
      </c>
      <c r="H132" s="65" t="s">
        <v>226</v>
      </c>
      <c r="I132" s="65" t="s">
        <v>253</v>
      </c>
      <c r="J132" s="36" t="s">
        <v>256</v>
      </c>
      <c r="K132" s="36"/>
      <c r="L132" s="36">
        <v>1</v>
      </c>
      <c r="M132" s="36" t="s">
        <v>229</v>
      </c>
      <c r="N132" s="36" t="s">
        <v>256</v>
      </c>
      <c r="O132" s="36">
        <v>29</v>
      </c>
      <c r="P132" s="36">
        <v>3.4266060403794367</v>
      </c>
      <c r="Q132" s="65">
        <v>250</v>
      </c>
      <c r="R132" s="65"/>
      <c r="S132" s="65"/>
      <c r="T132" s="65"/>
      <c r="U132" s="36"/>
      <c r="V132" s="36"/>
      <c r="W132" s="36"/>
      <c r="X132" s="36"/>
      <c r="Y132" s="36"/>
      <c r="Z132" s="36"/>
    </row>
    <row r="133" spans="1:26" ht="14">
      <c r="A133" s="13">
        <v>41761</v>
      </c>
      <c r="B133" s="64" t="s">
        <v>144</v>
      </c>
      <c r="C133" s="168">
        <v>2014</v>
      </c>
      <c r="D133" s="65">
        <v>5</v>
      </c>
      <c r="E133" s="36" t="s">
        <v>223</v>
      </c>
      <c r="F133" s="36" t="s">
        <v>224</v>
      </c>
      <c r="G133" s="36" t="s">
        <v>225</v>
      </c>
      <c r="H133" s="36" t="s">
        <v>226</v>
      </c>
      <c r="I133" s="36" t="s">
        <v>253</v>
      </c>
      <c r="J133" s="36" t="s">
        <v>256</v>
      </c>
      <c r="K133" s="3"/>
      <c r="L133" s="3">
        <v>3</v>
      </c>
      <c r="M133" s="3" t="s">
        <v>229</v>
      </c>
      <c r="N133" s="3" t="s">
        <v>256</v>
      </c>
      <c r="O133" s="3">
        <v>300</v>
      </c>
      <c r="P133" s="65">
        <v>0.99791781443010108</v>
      </c>
      <c r="Q133" s="3">
        <v>250</v>
      </c>
      <c r="R133" s="3"/>
      <c r="S133" s="3"/>
      <c r="T133" s="36"/>
      <c r="U133" s="36"/>
      <c r="V133" s="36"/>
      <c r="W133" s="36"/>
      <c r="X133" s="36"/>
      <c r="Y133" s="36"/>
      <c r="Z133" s="36"/>
    </row>
    <row r="134" spans="1:26" ht="14">
      <c r="A134" s="13">
        <v>41542</v>
      </c>
      <c r="B134" s="64" t="s">
        <v>157</v>
      </c>
      <c r="C134" s="168">
        <v>2013</v>
      </c>
      <c r="D134" s="51">
        <v>4</v>
      </c>
      <c r="E134" s="34" t="s">
        <v>223</v>
      </c>
      <c r="F134" s="34" t="s">
        <v>224</v>
      </c>
      <c r="G134" s="34" t="s">
        <v>225</v>
      </c>
      <c r="H134" s="34" t="s">
        <v>226</v>
      </c>
      <c r="I134" s="34" t="s">
        <v>253</v>
      </c>
      <c r="J134" s="3" t="s">
        <v>256</v>
      </c>
      <c r="K134" s="3"/>
      <c r="L134" s="3">
        <v>21</v>
      </c>
      <c r="M134" s="3" t="s">
        <v>229</v>
      </c>
      <c r="N134" s="3" t="s">
        <v>256</v>
      </c>
      <c r="O134" s="3">
        <v>159</v>
      </c>
      <c r="P134" s="36">
        <v>13.063309102813447</v>
      </c>
      <c r="Q134" s="3">
        <v>250</v>
      </c>
      <c r="R134" s="3"/>
      <c r="S134" s="3"/>
      <c r="T134" s="36"/>
      <c r="U134" s="36"/>
      <c r="V134" s="36"/>
      <c r="W134" s="36"/>
      <c r="X134" s="36"/>
      <c r="Y134" s="36"/>
      <c r="Z134" s="36"/>
    </row>
    <row r="135" spans="1:26" ht="14">
      <c r="A135" s="71">
        <v>41542</v>
      </c>
      <c r="B135" s="64" t="s">
        <v>157</v>
      </c>
      <c r="C135" s="168">
        <v>2013</v>
      </c>
      <c r="D135" s="51">
        <v>5</v>
      </c>
      <c r="E135" s="51" t="s">
        <v>223</v>
      </c>
      <c r="F135" s="51" t="s">
        <v>224</v>
      </c>
      <c r="G135" s="51" t="s">
        <v>225</v>
      </c>
      <c r="H135" s="51" t="s">
        <v>226</v>
      </c>
      <c r="I135" s="51" t="s">
        <v>253</v>
      </c>
      <c r="J135" s="51" t="s">
        <v>256</v>
      </c>
      <c r="K135" s="51"/>
      <c r="L135" s="51">
        <v>19</v>
      </c>
      <c r="M135" s="51" t="s">
        <v>229</v>
      </c>
      <c r="N135" s="51" t="s">
        <v>256</v>
      </c>
      <c r="O135" s="3">
        <v>206</v>
      </c>
      <c r="P135" s="36">
        <v>9.2203298789168713</v>
      </c>
      <c r="Q135" s="3">
        <v>250</v>
      </c>
      <c r="R135" s="3"/>
      <c r="S135" s="3"/>
      <c r="T135" s="36"/>
      <c r="U135" s="36"/>
      <c r="V135" s="36"/>
      <c r="W135" s="36"/>
      <c r="X135" s="36"/>
      <c r="Y135" s="36"/>
      <c r="Z135" s="36"/>
    </row>
    <row r="136" spans="1:26" ht="14">
      <c r="A136" s="13">
        <v>41542</v>
      </c>
      <c r="B136" s="64" t="s">
        <v>157</v>
      </c>
      <c r="C136" s="168">
        <v>2013</v>
      </c>
      <c r="D136" s="51">
        <v>8</v>
      </c>
      <c r="E136" s="3" t="s">
        <v>223</v>
      </c>
      <c r="F136" s="3" t="s">
        <v>224</v>
      </c>
      <c r="G136" s="3" t="s">
        <v>225</v>
      </c>
      <c r="H136" s="3" t="s">
        <v>226</v>
      </c>
      <c r="I136" s="3" t="s">
        <v>253</v>
      </c>
      <c r="J136" s="3" t="s">
        <v>256</v>
      </c>
      <c r="K136" s="3"/>
      <c r="L136" s="3">
        <v>31</v>
      </c>
      <c r="M136" s="3" t="s">
        <v>229</v>
      </c>
      <c r="N136" s="3" t="s">
        <v>256</v>
      </c>
      <c r="O136" s="3">
        <v>183</v>
      </c>
      <c r="P136" s="36">
        <v>16.939376441269694</v>
      </c>
      <c r="Q136" s="3">
        <v>250</v>
      </c>
      <c r="R136" s="3"/>
      <c r="S136" s="3"/>
      <c r="T136" s="36"/>
      <c r="U136" s="36"/>
      <c r="V136" s="36"/>
      <c r="W136" s="36"/>
      <c r="X136" s="36"/>
      <c r="Y136" s="36"/>
      <c r="Z136" s="36"/>
    </row>
    <row r="137" spans="1:26" ht="14">
      <c r="A137" s="72">
        <v>41480</v>
      </c>
      <c r="B137" s="64" t="s">
        <v>154</v>
      </c>
      <c r="C137" s="168">
        <v>2013</v>
      </c>
      <c r="D137" s="65">
        <v>2</v>
      </c>
      <c r="E137" s="36" t="s">
        <v>223</v>
      </c>
      <c r="F137" s="36" t="s">
        <v>224</v>
      </c>
      <c r="G137" s="36" t="s">
        <v>225</v>
      </c>
      <c r="H137" s="36" t="s">
        <v>226</v>
      </c>
      <c r="I137" s="36" t="s">
        <v>253</v>
      </c>
      <c r="J137" s="36" t="s">
        <v>256</v>
      </c>
      <c r="K137" s="36"/>
      <c r="L137" s="36">
        <v>2</v>
      </c>
      <c r="M137" s="36" t="s">
        <v>229</v>
      </c>
      <c r="N137" s="36" t="s">
        <v>256</v>
      </c>
      <c r="O137" s="36">
        <v>125</v>
      </c>
      <c r="P137" s="36">
        <v>1.5979812968543678</v>
      </c>
      <c r="Q137" s="36">
        <v>250</v>
      </c>
      <c r="R137" s="36"/>
      <c r="S137" s="36"/>
      <c r="T137" s="36"/>
      <c r="U137" s="36"/>
      <c r="V137" s="36"/>
      <c r="W137" s="36"/>
      <c r="X137" s="36"/>
      <c r="Y137" s="36"/>
      <c r="Z137" s="36"/>
    </row>
    <row r="138" spans="1:26" ht="14">
      <c r="A138" s="13">
        <v>41480</v>
      </c>
      <c r="B138" s="64" t="s">
        <v>154</v>
      </c>
      <c r="C138" s="168">
        <v>2013</v>
      </c>
      <c r="D138" s="51">
        <v>4</v>
      </c>
      <c r="E138" s="51" t="s">
        <v>223</v>
      </c>
      <c r="F138" s="51" t="s">
        <v>224</v>
      </c>
      <c r="G138" s="51" t="s">
        <v>225</v>
      </c>
      <c r="H138" s="51" t="s">
        <v>226</v>
      </c>
      <c r="I138" s="51" t="s">
        <v>253</v>
      </c>
      <c r="J138" s="3" t="s">
        <v>256</v>
      </c>
      <c r="K138" s="3"/>
      <c r="L138" s="3">
        <v>24</v>
      </c>
      <c r="M138" s="3" t="s">
        <v>229</v>
      </c>
      <c r="N138" s="3" t="s">
        <v>256</v>
      </c>
      <c r="O138" s="3">
        <v>124</v>
      </c>
      <c r="P138" s="65">
        <v>19.301645321552051</v>
      </c>
      <c r="Q138" s="3">
        <v>250</v>
      </c>
      <c r="R138" s="3"/>
      <c r="S138" s="3"/>
      <c r="T138" s="36"/>
      <c r="U138" s="36"/>
      <c r="V138" s="36"/>
      <c r="W138" s="36"/>
      <c r="X138" s="36"/>
      <c r="Y138" s="36"/>
      <c r="Z138" s="36"/>
    </row>
    <row r="139" spans="1:26" ht="14">
      <c r="A139" s="71">
        <v>41480</v>
      </c>
      <c r="B139" s="64" t="s">
        <v>154</v>
      </c>
      <c r="C139" s="168">
        <v>2013</v>
      </c>
      <c r="D139" s="51">
        <v>5</v>
      </c>
      <c r="E139" s="51" t="s">
        <v>223</v>
      </c>
      <c r="F139" s="51" t="s">
        <v>224</v>
      </c>
      <c r="G139" s="51" t="s">
        <v>225</v>
      </c>
      <c r="H139" s="51" t="s">
        <v>226</v>
      </c>
      <c r="I139" s="51" t="s">
        <v>253</v>
      </c>
      <c r="J139" s="51" t="s">
        <v>256</v>
      </c>
      <c r="K139" s="3"/>
      <c r="L139" s="3">
        <v>7</v>
      </c>
      <c r="M139" s="3" t="s">
        <v>229</v>
      </c>
      <c r="N139" s="3" t="s">
        <v>256</v>
      </c>
      <c r="O139" s="3">
        <v>155</v>
      </c>
      <c r="P139" s="65">
        <v>4.5154922469870256</v>
      </c>
      <c r="Q139" s="3">
        <v>250</v>
      </c>
      <c r="R139" s="3"/>
      <c r="S139" s="3"/>
      <c r="T139" s="36"/>
      <c r="U139" s="36"/>
      <c r="V139" s="36"/>
      <c r="W139" s="36"/>
      <c r="X139" s="36"/>
      <c r="Y139" s="36"/>
      <c r="Z139" s="36"/>
    </row>
    <row r="140" spans="1:26" ht="14">
      <c r="A140" s="13">
        <v>41480</v>
      </c>
      <c r="B140" s="64" t="s">
        <v>154</v>
      </c>
      <c r="C140" s="168">
        <v>2013</v>
      </c>
      <c r="D140" s="51">
        <v>8</v>
      </c>
      <c r="E140" s="3" t="s">
        <v>223</v>
      </c>
      <c r="F140" s="3" t="s">
        <v>224</v>
      </c>
      <c r="G140" s="3" t="s">
        <v>225</v>
      </c>
      <c r="H140" s="3" t="s">
        <v>226</v>
      </c>
      <c r="I140" s="3" t="s">
        <v>253</v>
      </c>
      <c r="J140" s="3" t="s">
        <v>256</v>
      </c>
      <c r="K140" s="3"/>
      <c r="L140" s="3">
        <v>25</v>
      </c>
      <c r="M140" s="3" t="s">
        <v>229</v>
      </c>
      <c r="N140" s="3" t="s">
        <v>256</v>
      </c>
      <c r="O140" s="3">
        <v>251</v>
      </c>
      <c r="P140" s="36">
        <v>9.9597163506994004</v>
      </c>
      <c r="Q140" s="3">
        <v>250</v>
      </c>
      <c r="R140" s="3"/>
      <c r="S140" s="3"/>
      <c r="T140" s="36"/>
      <c r="U140" s="36"/>
      <c r="V140" s="36"/>
      <c r="W140" s="36"/>
      <c r="X140" s="36"/>
      <c r="Y140" s="36"/>
      <c r="Z140" s="36"/>
    </row>
    <row r="141" spans="1:26" ht="14">
      <c r="A141" s="71">
        <v>41422</v>
      </c>
      <c r="B141" s="64" t="s">
        <v>144</v>
      </c>
      <c r="C141" s="168">
        <v>2013</v>
      </c>
      <c r="D141" s="51">
        <v>4</v>
      </c>
      <c r="E141" s="3" t="s">
        <v>223</v>
      </c>
      <c r="F141" s="3" t="s">
        <v>224</v>
      </c>
      <c r="G141" s="3" t="s">
        <v>225</v>
      </c>
      <c r="H141" s="3" t="s">
        <v>226</v>
      </c>
      <c r="I141" s="3" t="s">
        <v>253</v>
      </c>
      <c r="J141" s="3" t="s">
        <v>256</v>
      </c>
      <c r="K141" s="3"/>
      <c r="L141" s="3">
        <v>6</v>
      </c>
      <c r="M141" s="3" t="s">
        <v>229</v>
      </c>
      <c r="N141" s="3" t="s">
        <v>256</v>
      </c>
      <c r="O141" s="3">
        <v>106</v>
      </c>
      <c r="P141" s="36">
        <v>5.6520277342462188</v>
      </c>
      <c r="Q141" s="3">
        <v>250</v>
      </c>
      <c r="R141" s="3" t="s">
        <v>255</v>
      </c>
      <c r="S141" s="3"/>
      <c r="T141" s="36"/>
      <c r="U141" s="36"/>
      <c r="V141" s="36"/>
      <c r="W141" s="36"/>
      <c r="X141" s="36"/>
      <c r="Y141" s="36"/>
      <c r="Z141" s="36"/>
    </row>
    <row r="142" spans="1:26" ht="14">
      <c r="A142" s="13">
        <v>41422</v>
      </c>
      <c r="B142" s="64" t="s">
        <v>144</v>
      </c>
      <c r="C142" s="168">
        <v>2013</v>
      </c>
      <c r="D142" s="51">
        <v>5</v>
      </c>
      <c r="E142" s="3" t="s">
        <v>223</v>
      </c>
      <c r="F142" s="3" t="s">
        <v>224</v>
      </c>
      <c r="G142" s="3" t="s">
        <v>225</v>
      </c>
      <c r="H142" s="3" t="s">
        <v>226</v>
      </c>
      <c r="I142" s="3" t="s">
        <v>253</v>
      </c>
      <c r="J142" s="3" t="s">
        <v>256</v>
      </c>
      <c r="K142" s="3"/>
      <c r="L142" s="3">
        <v>11</v>
      </c>
      <c r="M142" s="3" t="s">
        <v>229</v>
      </c>
      <c r="N142" s="3" t="s">
        <v>256</v>
      </c>
      <c r="O142" s="3">
        <v>120</v>
      </c>
      <c r="P142" s="36">
        <v>9.1666666666666661</v>
      </c>
      <c r="Q142" s="3">
        <v>250</v>
      </c>
      <c r="R142" s="3" t="s">
        <v>257</v>
      </c>
      <c r="S142" s="3"/>
      <c r="T142" s="36"/>
      <c r="U142" s="36"/>
      <c r="V142" s="36"/>
      <c r="W142" s="36"/>
      <c r="X142" s="36"/>
      <c r="Y142" s="36"/>
      <c r="Z142" s="36"/>
    </row>
    <row r="143" spans="1:26" ht="14">
      <c r="A143" s="13">
        <v>41422</v>
      </c>
      <c r="B143" s="64" t="s">
        <v>144</v>
      </c>
      <c r="C143" s="168">
        <v>2013</v>
      </c>
      <c r="D143" s="51">
        <v>8</v>
      </c>
      <c r="E143" s="3" t="s">
        <v>223</v>
      </c>
      <c r="F143" s="3" t="s">
        <v>224</v>
      </c>
      <c r="G143" s="3" t="s">
        <v>225</v>
      </c>
      <c r="H143" s="3" t="s">
        <v>226</v>
      </c>
      <c r="I143" s="3" t="s">
        <v>253</v>
      </c>
      <c r="J143" s="3" t="s">
        <v>256</v>
      </c>
      <c r="K143" s="3"/>
      <c r="L143" s="3">
        <v>2</v>
      </c>
      <c r="M143" s="3" t="s">
        <v>229</v>
      </c>
      <c r="N143" s="3" t="s">
        <v>256</v>
      </c>
      <c r="O143" s="3">
        <v>89</v>
      </c>
      <c r="P143" s="65">
        <v>2.2466196971623202</v>
      </c>
      <c r="Q143" s="3">
        <v>250</v>
      </c>
      <c r="R143" s="3" t="s">
        <v>257</v>
      </c>
      <c r="S143" s="3"/>
      <c r="T143" s="36"/>
      <c r="U143" s="36"/>
      <c r="V143" s="36"/>
      <c r="W143" s="36"/>
      <c r="X143" s="36"/>
      <c r="Y143" s="36"/>
      <c r="Z143" s="36"/>
    </row>
    <row r="144" spans="1:26" ht="14">
      <c r="A144" s="35">
        <v>42515</v>
      </c>
      <c r="B144" s="64" t="s">
        <v>144</v>
      </c>
      <c r="C144" s="168">
        <v>2016</v>
      </c>
      <c r="D144" s="65">
        <v>4</v>
      </c>
      <c r="E144" s="36" t="s">
        <v>216</v>
      </c>
      <c r="F144" s="36" t="s">
        <v>217</v>
      </c>
      <c r="G144" s="36"/>
      <c r="H144" s="36"/>
      <c r="I144" s="36"/>
      <c r="J144" s="36" t="s">
        <v>219</v>
      </c>
      <c r="K144" s="36"/>
      <c r="L144" s="36">
        <v>3</v>
      </c>
      <c r="M144" s="36" t="s">
        <v>229</v>
      </c>
      <c r="N144" s="36" t="s">
        <v>619</v>
      </c>
      <c r="O144" s="36">
        <v>217</v>
      </c>
      <c r="P144" s="36">
        <v>1.3813936293590676</v>
      </c>
      <c r="Q144" s="36">
        <v>250</v>
      </c>
      <c r="R144" s="36" t="s">
        <v>222</v>
      </c>
      <c r="S144" s="36"/>
      <c r="T144" s="36"/>
      <c r="U144" s="36"/>
      <c r="V144" s="36"/>
      <c r="W144" s="36"/>
      <c r="X144" s="36"/>
      <c r="Y144" s="36"/>
      <c r="Z144" s="36"/>
    </row>
    <row r="145" spans="1:26" ht="14">
      <c r="A145" s="35">
        <v>42634</v>
      </c>
      <c r="B145" s="64" t="s">
        <v>157</v>
      </c>
      <c r="C145" s="168">
        <v>2016</v>
      </c>
      <c r="D145" s="65">
        <v>5</v>
      </c>
      <c r="E145" s="65" t="s">
        <v>216</v>
      </c>
      <c r="F145" s="65" t="s">
        <v>217</v>
      </c>
      <c r="G145" s="65"/>
      <c r="H145" s="65"/>
      <c r="I145" s="65"/>
      <c r="J145" s="36" t="s">
        <v>219</v>
      </c>
      <c r="K145" s="36"/>
      <c r="L145" s="36">
        <v>3</v>
      </c>
      <c r="M145" s="36" t="s">
        <v>229</v>
      </c>
      <c r="N145" s="36" t="s">
        <v>218</v>
      </c>
      <c r="O145" s="36">
        <v>203</v>
      </c>
      <c r="P145" s="36">
        <v>1.4765387849693219</v>
      </c>
      <c r="Q145" s="36">
        <v>250</v>
      </c>
      <c r="R145" s="36" t="s">
        <v>222</v>
      </c>
      <c r="S145" s="36"/>
      <c r="T145" s="36"/>
      <c r="U145" s="36"/>
      <c r="V145" s="36"/>
      <c r="W145" s="36"/>
      <c r="X145" s="36"/>
      <c r="Y145" s="36"/>
      <c r="Z145" s="36"/>
    </row>
    <row r="146" spans="1:26" ht="14">
      <c r="A146" s="13">
        <v>43019</v>
      </c>
      <c r="B146" s="64" t="s">
        <v>159</v>
      </c>
      <c r="C146" s="168">
        <v>2017</v>
      </c>
      <c r="D146" s="65">
        <v>4</v>
      </c>
      <c r="E146" s="36" t="s">
        <v>216</v>
      </c>
      <c r="F146" s="36" t="s">
        <v>217</v>
      </c>
      <c r="G146" s="36"/>
      <c r="H146" s="36"/>
      <c r="I146" s="36"/>
      <c r="J146" s="36"/>
      <c r="K146" s="36"/>
      <c r="L146" s="36">
        <v>3</v>
      </c>
      <c r="M146" s="36" t="s">
        <v>221</v>
      </c>
      <c r="N146" s="36" t="s">
        <v>219</v>
      </c>
      <c r="O146" s="3">
        <v>248</v>
      </c>
      <c r="P146" s="36">
        <v>1.1933605355099508</v>
      </c>
      <c r="Q146" s="36">
        <v>250</v>
      </c>
      <c r="R146" s="3"/>
      <c r="S146" s="3"/>
      <c r="T146" s="36"/>
      <c r="U146" s="36"/>
      <c r="V146" s="36"/>
      <c r="W146" s="36"/>
      <c r="X146" s="36"/>
      <c r="Y146" s="36"/>
      <c r="Z146" s="36"/>
    </row>
    <row r="147" spans="1:26" ht="14">
      <c r="A147" s="13">
        <v>43019</v>
      </c>
      <c r="B147" s="64" t="s">
        <v>159</v>
      </c>
      <c r="C147" s="168">
        <v>2017</v>
      </c>
      <c r="D147" s="65">
        <v>5</v>
      </c>
      <c r="E147" s="65" t="s">
        <v>216</v>
      </c>
      <c r="F147" s="65" t="s">
        <v>217</v>
      </c>
      <c r="G147" s="65"/>
      <c r="H147" s="65"/>
      <c r="I147" s="65"/>
      <c r="J147" s="36"/>
      <c r="K147" s="36"/>
      <c r="L147" s="36">
        <v>26</v>
      </c>
      <c r="M147" s="36" t="s">
        <v>221</v>
      </c>
      <c r="N147" s="36" t="s">
        <v>219</v>
      </c>
      <c r="O147" s="3">
        <v>255</v>
      </c>
      <c r="P147" s="36">
        <v>10.193817717595893</v>
      </c>
      <c r="Q147" s="3">
        <v>250</v>
      </c>
      <c r="R147" s="3"/>
      <c r="S147" s="3"/>
      <c r="T147" s="36"/>
      <c r="U147" s="36"/>
      <c r="V147" s="36"/>
      <c r="W147" s="36"/>
      <c r="X147" s="36"/>
      <c r="Y147" s="36"/>
      <c r="Z147" s="36"/>
    </row>
    <row r="148" spans="1:26" ht="14">
      <c r="A148" s="13">
        <v>43019</v>
      </c>
      <c r="B148" s="64" t="s">
        <v>159</v>
      </c>
      <c r="C148" s="168">
        <v>2017</v>
      </c>
      <c r="D148" s="65">
        <v>8</v>
      </c>
      <c r="E148" s="36" t="s">
        <v>216</v>
      </c>
      <c r="F148" s="36" t="s">
        <v>217</v>
      </c>
      <c r="G148" s="36"/>
      <c r="H148" s="36"/>
      <c r="I148" s="36"/>
      <c r="J148" s="36"/>
      <c r="K148" s="36"/>
      <c r="L148" s="36">
        <v>10</v>
      </c>
      <c r="M148" s="36" t="s">
        <v>221</v>
      </c>
      <c r="N148" s="36" t="s">
        <v>219</v>
      </c>
      <c r="O148" s="3">
        <v>288</v>
      </c>
      <c r="P148" s="36">
        <v>3.3361048120931311</v>
      </c>
      <c r="Q148" s="3">
        <v>250</v>
      </c>
      <c r="R148" s="3"/>
      <c r="S148" s="3"/>
      <c r="T148" s="36"/>
      <c r="U148" s="36"/>
      <c r="V148" s="36"/>
      <c r="W148" s="36"/>
      <c r="X148" s="36"/>
      <c r="Y148" s="36"/>
      <c r="Z148" s="36"/>
    </row>
    <row r="149" spans="1:26" ht="14">
      <c r="A149" s="13">
        <v>42928</v>
      </c>
      <c r="B149" s="64" t="s">
        <v>154</v>
      </c>
      <c r="C149" s="168">
        <v>2017</v>
      </c>
      <c r="D149" s="65">
        <v>2</v>
      </c>
      <c r="E149" s="36" t="s">
        <v>216</v>
      </c>
      <c r="F149" s="36" t="s">
        <v>217</v>
      </c>
      <c r="G149" s="36"/>
      <c r="H149" s="36"/>
      <c r="I149" s="36"/>
      <c r="J149" s="36"/>
      <c r="K149" s="36"/>
      <c r="L149" s="36">
        <v>3</v>
      </c>
      <c r="M149" s="36" t="s">
        <v>221</v>
      </c>
      <c r="N149" s="36" t="s">
        <v>219</v>
      </c>
      <c r="O149" s="3">
        <v>656</v>
      </c>
      <c r="P149" s="36">
        <v>0.45685297854282658</v>
      </c>
      <c r="Q149" s="36">
        <v>250</v>
      </c>
      <c r="R149" s="3"/>
      <c r="S149" s="3"/>
      <c r="T149" s="36"/>
      <c r="U149" s="36"/>
      <c r="V149" s="36"/>
      <c r="W149" s="36"/>
      <c r="X149" s="36"/>
      <c r="Y149" s="36"/>
      <c r="Z149" s="36"/>
    </row>
    <row r="150" spans="1:26" ht="14">
      <c r="A150" s="13">
        <v>42928</v>
      </c>
      <c r="B150" s="64" t="s">
        <v>154</v>
      </c>
      <c r="C150" s="168">
        <v>2017</v>
      </c>
      <c r="D150" s="65">
        <v>4</v>
      </c>
      <c r="E150" s="36" t="s">
        <v>216</v>
      </c>
      <c r="F150" s="36" t="s">
        <v>217</v>
      </c>
      <c r="G150" s="36"/>
      <c r="H150" s="36"/>
      <c r="I150" s="36"/>
      <c r="J150" s="36"/>
      <c r="K150" s="36"/>
      <c r="L150" s="36">
        <v>6</v>
      </c>
      <c r="M150" s="36" t="s">
        <v>221</v>
      </c>
      <c r="N150" s="36" t="s">
        <v>219</v>
      </c>
      <c r="O150" s="3">
        <v>225</v>
      </c>
      <c r="P150" s="36">
        <v>2.6559698439462029</v>
      </c>
      <c r="Q150" s="36">
        <v>250</v>
      </c>
      <c r="R150" s="3"/>
      <c r="S150" s="3"/>
      <c r="T150" s="36"/>
      <c r="U150" s="36"/>
      <c r="V150" s="36"/>
      <c r="W150" s="36"/>
      <c r="X150" s="36"/>
      <c r="Y150" s="36"/>
      <c r="Z150" s="36"/>
    </row>
    <row r="151" spans="1:26" ht="14">
      <c r="A151" s="72">
        <v>42928</v>
      </c>
      <c r="B151" s="64" t="s">
        <v>154</v>
      </c>
      <c r="C151" s="168">
        <v>2017</v>
      </c>
      <c r="D151" s="65">
        <v>5</v>
      </c>
      <c r="E151" s="36" t="s">
        <v>216</v>
      </c>
      <c r="F151" s="36" t="s">
        <v>217</v>
      </c>
      <c r="G151" s="36"/>
      <c r="H151" s="36"/>
      <c r="I151" s="36"/>
      <c r="J151" s="36"/>
      <c r="K151" s="36"/>
      <c r="L151" s="36">
        <v>10</v>
      </c>
      <c r="M151" s="36" t="s">
        <v>221</v>
      </c>
      <c r="N151" s="36" t="s">
        <v>219</v>
      </c>
      <c r="O151" s="36">
        <v>385</v>
      </c>
      <c r="P151" s="36">
        <v>2.5962643656433615</v>
      </c>
      <c r="Q151" s="36">
        <v>250</v>
      </c>
      <c r="R151" s="36"/>
      <c r="S151" s="36"/>
      <c r="T151" s="36"/>
      <c r="U151" s="36"/>
      <c r="V151" s="36"/>
      <c r="W151" s="36"/>
      <c r="X151" s="36"/>
      <c r="Y151" s="36"/>
      <c r="Z151" s="36"/>
    </row>
    <row r="152" spans="1:26" ht="14">
      <c r="A152" s="13">
        <v>42928</v>
      </c>
      <c r="B152" s="64" t="s">
        <v>154</v>
      </c>
      <c r="C152" s="168">
        <v>2017</v>
      </c>
      <c r="D152" s="65">
        <v>8</v>
      </c>
      <c r="E152" s="36" t="s">
        <v>216</v>
      </c>
      <c r="F152" s="36" t="s">
        <v>217</v>
      </c>
      <c r="G152" s="36"/>
      <c r="H152" s="36"/>
      <c r="I152" s="36"/>
      <c r="J152" s="36"/>
      <c r="K152" s="36"/>
      <c r="L152" s="36">
        <v>13</v>
      </c>
      <c r="M152" s="36" t="s">
        <v>221</v>
      </c>
      <c r="N152" s="36" t="s">
        <v>219</v>
      </c>
      <c r="O152" s="3">
        <v>319</v>
      </c>
      <c r="P152" s="36">
        <v>4.0736900178173032</v>
      </c>
      <c r="Q152" s="36">
        <v>250</v>
      </c>
      <c r="R152" s="3"/>
      <c r="S152" s="3"/>
      <c r="T152" s="36"/>
      <c r="U152" s="36"/>
      <c r="V152" s="36"/>
      <c r="W152" s="36"/>
      <c r="X152" s="36"/>
      <c r="Y152" s="36"/>
      <c r="Z152" s="36"/>
    </row>
    <row r="153" spans="1:26" ht="14">
      <c r="A153" s="13">
        <v>42867</v>
      </c>
      <c r="B153" s="64" t="s">
        <v>144</v>
      </c>
      <c r="C153" s="168">
        <v>2017</v>
      </c>
      <c r="D153" s="65">
        <v>2</v>
      </c>
      <c r="E153" s="51" t="s">
        <v>216</v>
      </c>
      <c r="F153" s="51" t="s">
        <v>217</v>
      </c>
      <c r="G153" s="51"/>
      <c r="H153" s="51"/>
      <c r="I153" s="51"/>
      <c r="J153" s="3" t="s">
        <v>647</v>
      </c>
      <c r="K153" s="3"/>
      <c r="L153" s="3">
        <v>1</v>
      </c>
      <c r="M153" s="36" t="s">
        <v>229</v>
      </c>
      <c r="N153" s="3" t="s">
        <v>219</v>
      </c>
      <c r="O153" s="3">
        <v>216</v>
      </c>
      <c r="P153" s="36">
        <v>0.46296296296296291</v>
      </c>
      <c r="Q153" s="3"/>
      <c r="R153" s="3"/>
      <c r="S153" s="3"/>
      <c r="T153" s="36"/>
      <c r="U153" s="36"/>
      <c r="V153" s="36"/>
      <c r="W153" s="36"/>
      <c r="X153" s="36"/>
      <c r="Y153" s="36"/>
      <c r="Z153" s="36"/>
    </row>
    <row r="154" spans="1:26" ht="14">
      <c r="A154" s="13">
        <v>42867</v>
      </c>
      <c r="B154" s="64" t="s">
        <v>144</v>
      </c>
      <c r="C154" s="168">
        <v>2017</v>
      </c>
      <c r="D154" s="65">
        <v>4</v>
      </c>
      <c r="E154" s="51" t="s">
        <v>216</v>
      </c>
      <c r="F154" s="51" t="s">
        <v>217</v>
      </c>
      <c r="G154" s="51"/>
      <c r="H154" s="51"/>
      <c r="I154" s="51"/>
      <c r="J154" s="3" t="s">
        <v>647</v>
      </c>
      <c r="K154" s="3"/>
      <c r="L154" s="3">
        <v>107</v>
      </c>
      <c r="M154" s="36" t="s">
        <v>229</v>
      </c>
      <c r="N154" s="3" t="s">
        <v>219</v>
      </c>
      <c r="O154" s="3">
        <v>225</v>
      </c>
      <c r="P154" s="36">
        <v>46.763290058182818</v>
      </c>
      <c r="Q154" s="3"/>
      <c r="R154" s="3"/>
      <c r="S154" s="3"/>
      <c r="T154" s="36"/>
      <c r="U154" s="36"/>
      <c r="V154" s="36"/>
      <c r="W154" s="36"/>
      <c r="X154" s="36"/>
      <c r="Y154" s="36"/>
      <c r="Z154" s="36"/>
    </row>
    <row r="155" spans="1:26" ht="14">
      <c r="A155" s="13">
        <v>42867</v>
      </c>
      <c r="B155" s="64" t="s">
        <v>144</v>
      </c>
      <c r="C155" s="168">
        <v>2017</v>
      </c>
      <c r="D155" s="65">
        <v>5</v>
      </c>
      <c r="E155" s="51" t="s">
        <v>216</v>
      </c>
      <c r="F155" s="51" t="s">
        <v>217</v>
      </c>
      <c r="G155" s="51"/>
      <c r="H155" s="51"/>
      <c r="I155" s="51"/>
      <c r="J155" s="3" t="s">
        <v>647</v>
      </c>
      <c r="K155" s="3"/>
      <c r="L155" s="3">
        <v>156</v>
      </c>
      <c r="M155" s="36" t="s">
        <v>229</v>
      </c>
      <c r="N155" s="3" t="s">
        <v>219</v>
      </c>
      <c r="O155" s="3">
        <v>222</v>
      </c>
      <c r="P155" s="36">
        <v>70.247464429742919</v>
      </c>
      <c r="Q155" s="3"/>
      <c r="R155" s="3"/>
      <c r="S155" s="3"/>
      <c r="T155" s="36"/>
      <c r="U155" s="36"/>
      <c r="V155" s="36"/>
      <c r="W155" s="36"/>
      <c r="X155" s="36"/>
      <c r="Y155" s="36"/>
      <c r="Z155" s="36"/>
    </row>
    <row r="156" spans="1:26" ht="14">
      <c r="A156" s="13">
        <v>42867</v>
      </c>
      <c r="B156" s="64" t="s">
        <v>144</v>
      </c>
      <c r="C156" s="168">
        <v>2017</v>
      </c>
      <c r="D156" s="65">
        <v>5</v>
      </c>
      <c r="E156" s="51" t="s">
        <v>216</v>
      </c>
      <c r="F156" s="3" t="s">
        <v>217</v>
      </c>
      <c r="G156" s="3"/>
      <c r="H156" s="51"/>
      <c r="I156" s="51"/>
      <c r="J156" s="51" t="s">
        <v>653</v>
      </c>
      <c r="K156" s="3"/>
      <c r="L156" s="3">
        <v>2</v>
      </c>
      <c r="M156" s="36" t="s">
        <v>229</v>
      </c>
      <c r="N156" s="3" t="s">
        <v>219</v>
      </c>
      <c r="O156" s="3">
        <v>222</v>
      </c>
      <c r="P156" s="36">
        <v>0.90060851833003741</v>
      </c>
      <c r="Q156" s="3"/>
      <c r="R156" s="3"/>
      <c r="S156" s="3"/>
      <c r="T156" s="36"/>
      <c r="U156" s="36"/>
      <c r="V156" s="36"/>
      <c r="W156" s="36"/>
      <c r="X156" s="36"/>
      <c r="Y156" s="36"/>
      <c r="Z156" s="36"/>
    </row>
    <row r="157" spans="1:26" ht="14">
      <c r="A157" s="13">
        <v>42867</v>
      </c>
      <c r="B157" s="64" t="s">
        <v>144</v>
      </c>
      <c r="C157" s="168">
        <v>2017</v>
      </c>
      <c r="D157" s="65">
        <v>8</v>
      </c>
      <c r="E157" s="51" t="s">
        <v>216</v>
      </c>
      <c r="F157" s="51" t="s">
        <v>217</v>
      </c>
      <c r="G157" s="51"/>
      <c r="H157" s="51"/>
      <c r="I157" s="51"/>
      <c r="J157" s="3" t="s">
        <v>647</v>
      </c>
      <c r="K157" s="3"/>
      <c r="L157" s="3">
        <v>120</v>
      </c>
      <c r="M157" s="36" t="s">
        <v>229</v>
      </c>
      <c r="N157" s="3" t="s">
        <v>219</v>
      </c>
      <c r="O157" s="3">
        <v>268</v>
      </c>
      <c r="P157" s="36">
        <v>44.699236473195768</v>
      </c>
      <c r="Q157" s="3"/>
      <c r="R157" s="3"/>
      <c r="S157" s="3"/>
      <c r="T157" s="36"/>
      <c r="U157" s="36"/>
      <c r="V157" s="36"/>
      <c r="W157" s="36"/>
      <c r="X157" s="36"/>
      <c r="Y157" s="36"/>
      <c r="Z157" s="36"/>
    </row>
    <row r="158" spans="1:26" ht="14">
      <c r="A158" s="71">
        <v>42634</v>
      </c>
      <c r="B158" s="64" t="s">
        <v>157</v>
      </c>
      <c r="C158" s="168">
        <v>2016</v>
      </c>
      <c r="D158" s="65">
        <v>2</v>
      </c>
      <c r="E158" s="3" t="s">
        <v>216</v>
      </c>
      <c r="F158" s="3" t="s">
        <v>217</v>
      </c>
      <c r="G158" s="3"/>
      <c r="H158" s="3"/>
      <c r="I158" s="3"/>
      <c r="J158" s="3" t="s">
        <v>219</v>
      </c>
      <c r="K158" s="3"/>
      <c r="L158" s="36">
        <v>1</v>
      </c>
      <c r="M158" s="36" t="s">
        <v>229</v>
      </c>
      <c r="N158" s="36" t="s">
        <v>219</v>
      </c>
      <c r="O158" s="3">
        <v>233</v>
      </c>
      <c r="P158" s="36">
        <v>0.42912644794155391</v>
      </c>
      <c r="Q158" s="36">
        <v>250</v>
      </c>
      <c r="R158" s="3"/>
      <c r="S158" s="3"/>
      <c r="T158" s="36"/>
      <c r="U158" s="36"/>
      <c r="V158" s="36"/>
      <c r="W158" s="36"/>
      <c r="X158" s="36"/>
      <c r="Y158" s="36"/>
      <c r="Z158" s="36"/>
    </row>
    <row r="159" spans="1:26" ht="14">
      <c r="A159" s="35">
        <v>42634</v>
      </c>
      <c r="B159" s="64" t="s">
        <v>157</v>
      </c>
      <c r="C159" s="168">
        <v>2016</v>
      </c>
      <c r="D159" s="65">
        <v>4</v>
      </c>
      <c r="E159" s="36" t="s">
        <v>216</v>
      </c>
      <c r="F159" s="36" t="s">
        <v>217</v>
      </c>
      <c r="G159" s="36"/>
      <c r="H159" s="36"/>
      <c r="I159" s="36"/>
      <c r="J159" s="36" t="s">
        <v>219</v>
      </c>
      <c r="K159" s="36"/>
      <c r="L159" s="36">
        <v>1</v>
      </c>
      <c r="M159" s="36" t="s">
        <v>229</v>
      </c>
      <c r="N159" s="36" t="s">
        <v>219</v>
      </c>
      <c r="O159" s="36">
        <v>156</v>
      </c>
      <c r="P159" s="76">
        <v>0.63937497457156689</v>
      </c>
      <c r="Q159" s="36">
        <v>250</v>
      </c>
      <c r="R159" s="36"/>
      <c r="S159" s="36"/>
      <c r="T159" s="36"/>
      <c r="U159" s="36"/>
      <c r="V159" s="36"/>
      <c r="W159" s="36"/>
      <c r="X159" s="36"/>
      <c r="Y159" s="36"/>
      <c r="Z159" s="36"/>
    </row>
    <row r="160" spans="1:26" ht="14">
      <c r="A160" s="35">
        <v>42634</v>
      </c>
      <c r="B160" s="64" t="s">
        <v>157</v>
      </c>
      <c r="C160" s="168">
        <v>2016</v>
      </c>
      <c r="D160" s="65">
        <v>5</v>
      </c>
      <c r="E160" s="36" t="s">
        <v>216</v>
      </c>
      <c r="F160" s="36" t="s">
        <v>217</v>
      </c>
      <c r="G160" s="36"/>
      <c r="H160" s="36"/>
      <c r="I160" s="36"/>
      <c r="J160" s="36" t="s">
        <v>219</v>
      </c>
      <c r="K160" s="36"/>
      <c r="L160" s="36">
        <v>5</v>
      </c>
      <c r="M160" s="36" t="s">
        <v>229</v>
      </c>
      <c r="N160" s="36" t="s">
        <v>219</v>
      </c>
      <c r="O160" s="36">
        <v>203</v>
      </c>
      <c r="P160" s="36">
        <v>2.4608979749488702</v>
      </c>
      <c r="Q160" s="36">
        <v>250</v>
      </c>
      <c r="R160" s="36"/>
      <c r="S160" s="36"/>
      <c r="T160" s="36"/>
      <c r="U160" s="36"/>
      <c r="V160" s="36"/>
      <c r="W160" s="36"/>
      <c r="X160" s="36"/>
      <c r="Y160" s="36"/>
      <c r="Z160" s="36"/>
    </row>
    <row r="161" spans="1:26" ht="14">
      <c r="A161" s="35">
        <v>42634</v>
      </c>
      <c r="B161" s="64" t="s">
        <v>157</v>
      </c>
      <c r="C161" s="168">
        <v>2016</v>
      </c>
      <c r="D161" s="65">
        <v>8</v>
      </c>
      <c r="E161" s="36" t="s">
        <v>216</v>
      </c>
      <c r="F161" s="36" t="s">
        <v>217</v>
      </c>
      <c r="G161" s="36"/>
      <c r="H161" s="36"/>
      <c r="I161" s="36"/>
      <c r="J161" s="3" t="s">
        <v>653</v>
      </c>
      <c r="K161" s="36"/>
      <c r="L161" s="36">
        <v>16</v>
      </c>
      <c r="M161" s="36" t="s">
        <v>229</v>
      </c>
      <c r="N161" s="36" t="s">
        <v>219</v>
      </c>
      <c r="O161" s="36">
        <v>294</v>
      </c>
      <c r="P161" s="36">
        <v>5.0903770596534317</v>
      </c>
      <c r="Q161" s="3">
        <v>250</v>
      </c>
      <c r="R161" s="36" t="s">
        <v>492</v>
      </c>
      <c r="S161" s="36"/>
      <c r="T161" s="36"/>
      <c r="U161" s="36"/>
      <c r="V161" s="36"/>
      <c r="W161" s="36"/>
      <c r="X161" s="36"/>
      <c r="Y161" s="36"/>
      <c r="Z161" s="36"/>
    </row>
    <row r="162" spans="1:26" ht="14">
      <c r="A162" s="72">
        <v>42571</v>
      </c>
      <c r="B162" s="64" t="s">
        <v>154</v>
      </c>
      <c r="C162" s="168">
        <v>2016</v>
      </c>
      <c r="D162" s="65">
        <v>4</v>
      </c>
      <c r="E162" s="3" t="s">
        <v>216</v>
      </c>
      <c r="F162" s="3" t="s">
        <v>217</v>
      </c>
      <c r="G162" s="3"/>
      <c r="H162" s="3"/>
      <c r="I162" s="51"/>
      <c r="J162" s="51" t="s">
        <v>219</v>
      </c>
      <c r="K162" s="3"/>
      <c r="L162" s="36">
        <v>1</v>
      </c>
      <c r="M162" s="36" t="s">
        <v>229</v>
      </c>
      <c r="N162" s="36" t="s">
        <v>219</v>
      </c>
      <c r="O162" s="3">
        <v>223</v>
      </c>
      <c r="P162" s="36">
        <v>0.44825487671998654</v>
      </c>
      <c r="Q162" s="65">
        <v>250</v>
      </c>
      <c r="R162" s="51"/>
      <c r="S162" s="51"/>
      <c r="T162" s="166"/>
      <c r="U162" s="36"/>
      <c r="V162" s="36"/>
      <c r="W162" s="36"/>
      <c r="X162" s="36"/>
      <c r="Y162" s="36"/>
      <c r="Z162" s="36"/>
    </row>
    <row r="163" spans="1:26" ht="14">
      <c r="A163" s="72">
        <v>42571</v>
      </c>
      <c r="B163" s="64" t="s">
        <v>154</v>
      </c>
      <c r="C163" s="168">
        <v>2016</v>
      </c>
      <c r="D163" s="65">
        <v>8</v>
      </c>
      <c r="E163" s="3" t="s">
        <v>216</v>
      </c>
      <c r="F163" s="3" t="s">
        <v>217</v>
      </c>
      <c r="G163" s="3"/>
      <c r="H163" s="3"/>
      <c r="I163" s="3"/>
      <c r="J163" s="3" t="s">
        <v>219</v>
      </c>
      <c r="K163" s="3"/>
      <c r="L163" s="36">
        <v>1</v>
      </c>
      <c r="M163" s="36" t="s">
        <v>229</v>
      </c>
      <c r="N163" s="36" t="s">
        <v>219</v>
      </c>
      <c r="O163" s="3">
        <v>237</v>
      </c>
      <c r="P163" s="65">
        <v>0.42188226519275773</v>
      </c>
      <c r="Q163" s="3">
        <v>250</v>
      </c>
      <c r="R163" s="3"/>
      <c r="S163" s="3"/>
      <c r="T163" s="36"/>
      <c r="U163" s="36"/>
      <c r="V163" s="36"/>
      <c r="W163" s="36"/>
      <c r="X163" s="36"/>
      <c r="Y163" s="36"/>
      <c r="Z163" s="36"/>
    </row>
    <row r="164" spans="1:26" ht="14">
      <c r="A164" s="13">
        <v>42263</v>
      </c>
      <c r="B164" s="64" t="s">
        <v>157</v>
      </c>
      <c r="C164" s="168">
        <v>2015</v>
      </c>
      <c r="D164" s="36">
        <v>4</v>
      </c>
      <c r="E164" s="3" t="s">
        <v>216</v>
      </c>
      <c r="F164" s="3" t="s">
        <v>217</v>
      </c>
      <c r="G164" s="3"/>
      <c r="H164" s="3"/>
      <c r="I164" s="51"/>
      <c r="J164" s="51" t="s">
        <v>219</v>
      </c>
      <c r="K164" s="3"/>
      <c r="L164" s="3">
        <v>1</v>
      </c>
      <c r="M164" s="36" t="s">
        <v>229</v>
      </c>
      <c r="N164" s="3" t="s">
        <v>219</v>
      </c>
      <c r="O164" s="3">
        <v>161</v>
      </c>
      <c r="P164" s="65">
        <v>0.6200364182712722</v>
      </c>
      <c r="Q164" s="51">
        <v>250</v>
      </c>
      <c r="R164" s="51"/>
      <c r="S164" s="51"/>
      <c r="T164" s="65"/>
      <c r="U164" s="36"/>
      <c r="V164" s="36"/>
      <c r="W164" s="36"/>
      <c r="X164" s="36"/>
      <c r="Y164" s="36"/>
      <c r="Z164" s="36"/>
    </row>
    <row r="165" spans="1:26" ht="14">
      <c r="A165" s="71">
        <v>42263</v>
      </c>
      <c r="B165" s="64" t="s">
        <v>157</v>
      </c>
      <c r="C165" s="168">
        <v>2015</v>
      </c>
      <c r="D165" s="65">
        <v>5</v>
      </c>
      <c r="E165" s="3" t="s">
        <v>216</v>
      </c>
      <c r="F165" s="3" t="s">
        <v>217</v>
      </c>
      <c r="G165" s="3"/>
      <c r="H165" s="3"/>
      <c r="I165" s="3"/>
      <c r="J165" s="3" t="s">
        <v>219</v>
      </c>
      <c r="K165" s="3"/>
      <c r="L165" s="36">
        <v>2</v>
      </c>
      <c r="M165" s="36" t="s">
        <v>229</v>
      </c>
      <c r="N165" s="3" t="s">
        <v>219</v>
      </c>
      <c r="O165" s="3">
        <v>222</v>
      </c>
      <c r="P165" s="36">
        <v>0.90064625154942013</v>
      </c>
      <c r="Q165" s="36">
        <v>250</v>
      </c>
      <c r="R165" s="3"/>
      <c r="S165" s="3"/>
      <c r="T165" s="36"/>
      <c r="U165" s="36"/>
      <c r="V165" s="36"/>
      <c r="W165" s="36"/>
      <c r="X165" s="36"/>
      <c r="Y165" s="36"/>
      <c r="Z165" s="36"/>
    </row>
    <row r="166" spans="1:26" ht="14">
      <c r="A166" s="13">
        <v>42263</v>
      </c>
      <c r="B166" s="64" t="s">
        <v>157</v>
      </c>
      <c r="C166" s="168">
        <v>2015</v>
      </c>
      <c r="D166" s="65">
        <v>8</v>
      </c>
      <c r="E166" s="51" t="s">
        <v>216</v>
      </c>
      <c r="F166" s="3" t="s">
        <v>217</v>
      </c>
      <c r="G166" s="3"/>
      <c r="H166" s="51"/>
      <c r="I166" s="51"/>
      <c r="J166" s="51" t="s">
        <v>653</v>
      </c>
      <c r="K166" s="3"/>
      <c r="L166" s="3">
        <v>7</v>
      </c>
      <c r="M166" s="36" t="s">
        <v>229</v>
      </c>
      <c r="N166" s="3" t="s">
        <v>219</v>
      </c>
      <c r="O166" s="3">
        <v>244</v>
      </c>
      <c r="P166" s="36">
        <v>2.8688524590163933</v>
      </c>
      <c r="Q166" s="3">
        <v>250</v>
      </c>
      <c r="R166" s="3"/>
      <c r="S166" s="3"/>
      <c r="T166" s="36"/>
      <c r="U166" s="36"/>
      <c r="V166" s="36"/>
      <c r="W166" s="36"/>
      <c r="X166" s="36"/>
      <c r="Y166" s="36"/>
      <c r="Z166" s="36"/>
    </row>
    <row r="167" spans="1:26" ht="14">
      <c r="A167" s="71">
        <v>42206</v>
      </c>
      <c r="B167" s="64" t="s">
        <v>154</v>
      </c>
      <c r="C167" s="168">
        <v>2015</v>
      </c>
      <c r="D167" s="65">
        <v>4</v>
      </c>
      <c r="E167" s="51" t="s">
        <v>216</v>
      </c>
      <c r="F167" s="51" t="s">
        <v>217</v>
      </c>
      <c r="G167" s="51"/>
      <c r="H167" s="51"/>
      <c r="I167" s="51"/>
      <c r="J167" s="3" t="s">
        <v>219</v>
      </c>
      <c r="K167" s="3"/>
      <c r="L167" s="3">
        <v>2</v>
      </c>
      <c r="M167" s="36" t="s">
        <v>229</v>
      </c>
      <c r="N167" s="36" t="s">
        <v>219</v>
      </c>
      <c r="O167" s="3">
        <v>273</v>
      </c>
      <c r="P167" s="65">
        <v>0.72278170503410832</v>
      </c>
      <c r="Q167" s="65">
        <v>250</v>
      </c>
      <c r="R167" s="51"/>
      <c r="S167" s="51"/>
      <c r="T167" s="65"/>
      <c r="U167" s="36"/>
      <c r="V167" s="36"/>
      <c r="W167" s="36"/>
      <c r="X167" s="36"/>
      <c r="Y167" s="36"/>
      <c r="Z167" s="36"/>
    </row>
    <row r="168" spans="1:26" ht="14">
      <c r="A168" s="71">
        <v>42206</v>
      </c>
      <c r="B168" s="64" t="s">
        <v>154</v>
      </c>
      <c r="C168" s="168">
        <v>2015</v>
      </c>
      <c r="D168" s="65">
        <v>5</v>
      </c>
      <c r="E168" s="3" t="s">
        <v>216</v>
      </c>
      <c r="F168" s="3" t="s">
        <v>217</v>
      </c>
      <c r="G168" s="3"/>
      <c r="H168" s="3"/>
      <c r="I168" s="3"/>
      <c r="J168" s="3" t="s">
        <v>219</v>
      </c>
      <c r="K168" s="3"/>
      <c r="L168" s="3">
        <v>6</v>
      </c>
      <c r="M168" s="36" t="s">
        <v>229</v>
      </c>
      <c r="N168" s="36" t="s">
        <v>219</v>
      </c>
      <c r="O168" s="3">
        <v>251</v>
      </c>
      <c r="P168" s="65">
        <v>2.3898937764041408</v>
      </c>
      <c r="Q168" s="3">
        <v>250</v>
      </c>
      <c r="R168" s="3"/>
      <c r="S168" s="3"/>
      <c r="T168" s="36"/>
      <c r="U168" s="36"/>
      <c r="V168" s="36"/>
      <c r="W168" s="36"/>
      <c r="X168" s="36"/>
      <c r="Y168" s="36"/>
      <c r="Z168" s="36"/>
    </row>
    <row r="169" spans="1:26" ht="14">
      <c r="A169" s="71">
        <v>42206</v>
      </c>
      <c r="B169" s="64" t="s">
        <v>154</v>
      </c>
      <c r="C169" s="168">
        <v>2015</v>
      </c>
      <c r="D169" s="65">
        <v>8</v>
      </c>
      <c r="E169" s="3" t="s">
        <v>216</v>
      </c>
      <c r="F169" s="3" t="s">
        <v>217</v>
      </c>
      <c r="G169" s="3"/>
      <c r="H169" s="3"/>
      <c r="I169" s="3"/>
      <c r="J169" s="3" t="s">
        <v>219</v>
      </c>
      <c r="K169" s="3"/>
      <c r="L169" s="3">
        <v>1</v>
      </c>
      <c r="M169" s="36" t="s">
        <v>229</v>
      </c>
      <c r="N169" s="36" t="s">
        <v>219</v>
      </c>
      <c r="O169" s="3">
        <v>199</v>
      </c>
      <c r="P169" s="65">
        <v>0.50207624713163335</v>
      </c>
      <c r="Q169" s="36">
        <v>250</v>
      </c>
      <c r="R169" s="3"/>
      <c r="S169" s="3"/>
      <c r="T169" s="36"/>
      <c r="U169" s="36"/>
      <c r="V169" s="36"/>
      <c r="W169" s="36"/>
      <c r="X169" s="36"/>
      <c r="Y169" s="36"/>
      <c r="Z169" s="36"/>
    </row>
    <row r="170" spans="1:26" ht="14">
      <c r="A170" s="71">
        <v>42144</v>
      </c>
      <c r="B170" s="64" t="s">
        <v>144</v>
      </c>
      <c r="C170" s="168">
        <v>2015</v>
      </c>
      <c r="D170" s="65">
        <v>2</v>
      </c>
      <c r="E170" s="51" t="s">
        <v>216</v>
      </c>
      <c r="F170" s="51" t="s">
        <v>217</v>
      </c>
      <c r="G170" s="51"/>
      <c r="H170" s="51"/>
      <c r="I170" s="51"/>
      <c r="J170" s="3" t="s">
        <v>647</v>
      </c>
      <c r="K170" s="3"/>
      <c r="L170" s="3">
        <v>37</v>
      </c>
      <c r="M170" s="36" t="s">
        <v>229</v>
      </c>
      <c r="N170" s="3" t="s">
        <v>219</v>
      </c>
      <c r="O170" s="3">
        <v>333</v>
      </c>
      <c r="P170" s="65">
        <v>11.108225545630015</v>
      </c>
      <c r="Q170" s="3">
        <v>250</v>
      </c>
      <c r="R170" s="3"/>
      <c r="S170" s="3"/>
      <c r="T170" s="36"/>
      <c r="U170" s="36"/>
      <c r="V170" s="36"/>
      <c r="W170" s="36"/>
      <c r="X170" s="36"/>
      <c r="Y170" s="36"/>
      <c r="Z170" s="36"/>
    </row>
    <row r="171" spans="1:26" ht="14">
      <c r="A171" s="35">
        <v>42144</v>
      </c>
      <c r="B171" s="64" t="s">
        <v>144</v>
      </c>
      <c r="C171" s="168">
        <v>2015</v>
      </c>
      <c r="D171" s="36">
        <v>4</v>
      </c>
      <c r="E171" s="65" t="s">
        <v>216</v>
      </c>
      <c r="F171" s="65" t="s">
        <v>217</v>
      </c>
      <c r="G171" s="65"/>
      <c r="H171" s="65"/>
      <c r="I171" s="65"/>
      <c r="J171" s="36" t="s">
        <v>647</v>
      </c>
      <c r="K171" s="36"/>
      <c r="L171" s="36">
        <v>8</v>
      </c>
      <c r="M171" s="36" t="s">
        <v>229</v>
      </c>
      <c r="N171" s="36" t="s">
        <v>219</v>
      </c>
      <c r="O171" s="36">
        <v>229</v>
      </c>
      <c r="P171" s="65">
        <v>3.4903334253467868</v>
      </c>
      <c r="Q171" s="36">
        <v>250</v>
      </c>
      <c r="R171" s="36"/>
      <c r="S171" s="36"/>
      <c r="T171" s="36"/>
      <c r="U171" s="36"/>
      <c r="V171" s="36"/>
      <c r="W171" s="36"/>
      <c r="X171" s="36"/>
      <c r="Y171" s="36"/>
      <c r="Z171" s="36"/>
    </row>
    <row r="172" spans="1:26" ht="14">
      <c r="A172" s="72">
        <v>42144</v>
      </c>
      <c r="B172" s="64" t="s">
        <v>144</v>
      </c>
      <c r="C172" s="168">
        <v>2015</v>
      </c>
      <c r="D172" s="65">
        <v>5</v>
      </c>
      <c r="E172" s="65" t="s">
        <v>216</v>
      </c>
      <c r="F172" s="65" t="s">
        <v>217</v>
      </c>
      <c r="G172" s="65"/>
      <c r="H172" s="65"/>
      <c r="I172" s="65"/>
      <c r="J172" s="36" t="s">
        <v>647</v>
      </c>
      <c r="K172" s="36"/>
      <c r="L172" s="36">
        <v>97</v>
      </c>
      <c r="M172" s="36" t="s">
        <v>229</v>
      </c>
      <c r="N172" s="36" t="s">
        <v>219</v>
      </c>
      <c r="O172" s="36">
        <v>327</v>
      </c>
      <c r="P172" s="36">
        <v>29.652695529861788</v>
      </c>
      <c r="Q172" s="36">
        <v>250</v>
      </c>
      <c r="R172" s="36"/>
      <c r="S172" s="36"/>
      <c r="T172" s="36"/>
      <c r="U172" s="36"/>
      <c r="V172" s="36"/>
      <c r="W172" s="36"/>
      <c r="X172" s="36"/>
      <c r="Y172" s="36"/>
      <c r="Z172" s="36"/>
    </row>
    <row r="173" spans="1:26" ht="14">
      <c r="A173" s="63">
        <v>41912</v>
      </c>
      <c r="B173" s="64" t="s">
        <v>157</v>
      </c>
      <c r="C173" s="168">
        <v>2014</v>
      </c>
      <c r="D173" s="65">
        <v>2</v>
      </c>
      <c r="E173" s="51" t="s">
        <v>216</v>
      </c>
      <c r="F173" s="3" t="s">
        <v>217</v>
      </c>
      <c r="G173" s="3"/>
      <c r="H173" s="51"/>
      <c r="I173" s="51"/>
      <c r="J173" s="51" t="s">
        <v>219</v>
      </c>
      <c r="K173" s="51"/>
      <c r="L173" s="51">
        <v>2</v>
      </c>
      <c r="M173" s="65" t="s">
        <v>229</v>
      </c>
      <c r="N173" s="51" t="s">
        <v>219</v>
      </c>
      <c r="O173" s="3">
        <v>232</v>
      </c>
      <c r="P173" s="36">
        <v>0.86102756471793196</v>
      </c>
      <c r="Q173" s="3">
        <v>250</v>
      </c>
      <c r="R173" s="3"/>
      <c r="S173" s="3"/>
      <c r="T173" s="36"/>
      <c r="U173" s="36"/>
      <c r="V173" s="36"/>
      <c r="W173" s="36"/>
      <c r="X173" s="36"/>
      <c r="Y173" s="36"/>
      <c r="Z173" s="36"/>
    </row>
    <row r="174" spans="1:26" ht="14">
      <c r="A174" s="71">
        <v>41912</v>
      </c>
      <c r="B174" s="64" t="s">
        <v>157</v>
      </c>
      <c r="C174" s="168">
        <v>2014</v>
      </c>
      <c r="D174" s="65">
        <v>4</v>
      </c>
      <c r="E174" s="51" t="s">
        <v>216</v>
      </c>
      <c r="F174" s="51" t="s">
        <v>217</v>
      </c>
      <c r="G174" s="51"/>
      <c r="H174" s="51"/>
      <c r="I174" s="51"/>
      <c r="J174" s="3" t="s">
        <v>219</v>
      </c>
      <c r="K174" s="3"/>
      <c r="L174" s="3">
        <v>1</v>
      </c>
      <c r="M174" s="36" t="s">
        <v>229</v>
      </c>
      <c r="N174" s="3" t="s">
        <v>219</v>
      </c>
      <c r="O174" s="3">
        <v>237</v>
      </c>
      <c r="P174" s="36">
        <v>0.42109589961806221</v>
      </c>
      <c r="Q174" s="65">
        <v>250</v>
      </c>
      <c r="R174" s="51"/>
      <c r="S174" s="51"/>
      <c r="T174" s="65"/>
      <c r="U174" s="36"/>
      <c r="V174" s="36"/>
      <c r="W174" s="36"/>
      <c r="X174" s="36"/>
      <c r="Y174" s="36"/>
      <c r="Z174" s="36"/>
    </row>
    <row r="175" spans="1:26" ht="14">
      <c r="A175" s="13">
        <v>41912</v>
      </c>
      <c r="B175" s="64" t="s">
        <v>157</v>
      </c>
      <c r="C175" s="168">
        <v>2014</v>
      </c>
      <c r="D175" s="65">
        <v>5</v>
      </c>
      <c r="E175" s="51" t="s">
        <v>216</v>
      </c>
      <c r="F175" s="51" t="s">
        <v>217</v>
      </c>
      <c r="G175" s="51"/>
      <c r="H175" s="51"/>
      <c r="I175" s="51"/>
      <c r="J175" s="3" t="s">
        <v>219</v>
      </c>
      <c r="K175" s="3"/>
      <c r="L175" s="3">
        <v>2</v>
      </c>
      <c r="M175" s="36" t="s">
        <v>229</v>
      </c>
      <c r="N175" s="3" t="s">
        <v>219</v>
      </c>
      <c r="O175" s="3">
        <v>216</v>
      </c>
      <c r="P175" s="36">
        <v>0.92410867849487799</v>
      </c>
      <c r="Q175" s="3">
        <v>250</v>
      </c>
      <c r="R175" s="3"/>
      <c r="S175" s="3"/>
      <c r="T175" s="36"/>
      <c r="U175" s="36"/>
      <c r="V175" s="36"/>
      <c r="W175" s="36"/>
      <c r="X175" s="36"/>
      <c r="Y175" s="36"/>
      <c r="Z175" s="36"/>
    </row>
    <row r="176" spans="1:26" ht="14">
      <c r="A176" s="13">
        <v>41912</v>
      </c>
      <c r="B176" s="64" t="s">
        <v>157</v>
      </c>
      <c r="C176" s="168">
        <v>2014</v>
      </c>
      <c r="D176" s="65">
        <v>8</v>
      </c>
      <c r="E176" s="3" t="s">
        <v>216</v>
      </c>
      <c r="F176" s="3" t="s">
        <v>217</v>
      </c>
      <c r="G176" s="3"/>
      <c r="H176" s="3"/>
      <c r="I176" s="3"/>
      <c r="J176" s="3" t="s">
        <v>219</v>
      </c>
      <c r="K176" s="3"/>
      <c r="L176" s="3">
        <v>1</v>
      </c>
      <c r="M176" s="36" t="s">
        <v>229</v>
      </c>
      <c r="N176" s="3" t="s">
        <v>219</v>
      </c>
      <c r="O176" s="3">
        <v>217</v>
      </c>
      <c r="P176" s="36">
        <v>0.46067485768610789</v>
      </c>
      <c r="Q176" s="36">
        <v>250</v>
      </c>
      <c r="R176" s="3"/>
      <c r="S176" s="3"/>
      <c r="T176" s="36"/>
      <c r="U176" s="36"/>
      <c r="V176" s="36"/>
      <c r="W176" s="36"/>
      <c r="X176" s="36"/>
      <c r="Y176" s="36"/>
      <c r="Z176" s="36"/>
    </row>
    <row r="177" spans="1:26" ht="14">
      <c r="A177" s="13">
        <v>41851</v>
      </c>
      <c r="B177" s="64" t="s">
        <v>154</v>
      </c>
      <c r="C177" s="168">
        <v>2014</v>
      </c>
      <c r="D177" s="65">
        <v>4</v>
      </c>
      <c r="E177" s="51" t="s">
        <v>216</v>
      </c>
      <c r="F177" s="51" t="s">
        <v>217</v>
      </c>
      <c r="G177" s="51"/>
      <c r="H177" s="51"/>
      <c r="I177" s="51"/>
      <c r="J177" s="3" t="s">
        <v>219</v>
      </c>
      <c r="K177" s="3"/>
      <c r="L177" s="3">
        <v>3</v>
      </c>
      <c r="M177" s="36" t="s">
        <v>229</v>
      </c>
      <c r="N177" s="3" t="s">
        <v>219</v>
      </c>
      <c r="O177" s="3">
        <v>188</v>
      </c>
      <c r="P177" s="65">
        <v>1.5538846035074569</v>
      </c>
      <c r="Q177" s="3">
        <v>250</v>
      </c>
      <c r="R177" s="3" t="s">
        <v>498</v>
      </c>
      <c r="S177" s="3"/>
      <c r="T177" s="36"/>
      <c r="U177" s="36"/>
      <c r="V177" s="36"/>
      <c r="W177" s="36"/>
      <c r="X177" s="36"/>
      <c r="Y177" s="36"/>
      <c r="Z177" s="36"/>
    </row>
    <row r="178" spans="1:26" ht="14">
      <c r="A178" s="35">
        <v>41761</v>
      </c>
      <c r="B178" s="64" t="s">
        <v>144</v>
      </c>
      <c r="C178" s="168">
        <v>2014</v>
      </c>
      <c r="D178" s="65">
        <v>2</v>
      </c>
      <c r="E178" s="65" t="s">
        <v>216</v>
      </c>
      <c r="F178" s="65" t="s">
        <v>217</v>
      </c>
      <c r="G178" s="65"/>
      <c r="H178" s="65"/>
      <c r="I178" s="65"/>
      <c r="J178" s="36" t="s">
        <v>647</v>
      </c>
      <c r="K178" s="36"/>
      <c r="L178" s="36">
        <v>4</v>
      </c>
      <c r="M178" s="36" t="s">
        <v>229</v>
      </c>
      <c r="N178" s="36" t="s">
        <v>219</v>
      </c>
      <c r="O178" s="36">
        <v>29</v>
      </c>
      <c r="P178" s="36">
        <v>13.706424161517747</v>
      </c>
      <c r="Q178" s="65">
        <v>250</v>
      </c>
      <c r="R178" s="65"/>
      <c r="S178" s="65"/>
      <c r="T178" s="65"/>
      <c r="U178" s="36"/>
      <c r="V178" s="36"/>
      <c r="W178" s="36"/>
      <c r="X178" s="36"/>
      <c r="Y178" s="36"/>
      <c r="Z178" s="36"/>
    </row>
    <row r="179" spans="1:26" ht="14">
      <c r="A179" s="71">
        <v>41761</v>
      </c>
      <c r="B179" s="64" t="s">
        <v>144</v>
      </c>
      <c r="C179" s="168">
        <v>2014</v>
      </c>
      <c r="D179" s="65">
        <v>4</v>
      </c>
      <c r="E179" s="3" t="s">
        <v>216</v>
      </c>
      <c r="F179" s="3" t="s">
        <v>217</v>
      </c>
      <c r="G179" s="3"/>
      <c r="H179" s="3"/>
      <c r="I179" s="3"/>
      <c r="J179" s="3" t="s">
        <v>647</v>
      </c>
      <c r="K179" s="3"/>
      <c r="L179" s="3">
        <v>106</v>
      </c>
      <c r="M179" s="36" t="s">
        <v>229</v>
      </c>
      <c r="N179" s="3" t="s">
        <v>219</v>
      </c>
      <c r="O179" s="3">
        <v>256</v>
      </c>
      <c r="P179" s="36">
        <v>40.41693853252977</v>
      </c>
      <c r="Q179" s="36">
        <v>250</v>
      </c>
      <c r="R179" s="3"/>
      <c r="S179" s="3"/>
      <c r="T179" s="36"/>
      <c r="U179" s="36"/>
      <c r="V179" s="36"/>
      <c r="W179" s="36"/>
      <c r="X179" s="36"/>
      <c r="Y179" s="36"/>
      <c r="Z179" s="36"/>
    </row>
    <row r="180" spans="1:26" ht="14">
      <c r="A180" s="13">
        <v>41761</v>
      </c>
      <c r="B180" s="64" t="s">
        <v>144</v>
      </c>
      <c r="C180" s="168">
        <v>2014</v>
      </c>
      <c r="D180" s="65">
        <v>5</v>
      </c>
      <c r="E180" s="3" t="s">
        <v>216</v>
      </c>
      <c r="F180" s="3" t="s">
        <v>217</v>
      </c>
      <c r="G180" s="3"/>
      <c r="H180" s="3"/>
      <c r="I180" s="3"/>
      <c r="J180" s="3" t="s">
        <v>647</v>
      </c>
      <c r="K180" s="3"/>
      <c r="L180" s="3">
        <v>195</v>
      </c>
      <c r="M180" s="36" t="s">
        <v>229</v>
      </c>
      <c r="N180" s="3" t="s">
        <v>219</v>
      </c>
      <c r="O180" s="3">
        <v>300</v>
      </c>
      <c r="P180" s="65">
        <v>64.864657937956579</v>
      </c>
      <c r="Q180" s="36">
        <v>250</v>
      </c>
      <c r="R180" s="3"/>
      <c r="S180" s="3"/>
      <c r="T180" s="36"/>
      <c r="U180" s="36"/>
      <c r="V180" s="36"/>
      <c r="W180" s="36"/>
      <c r="X180" s="36"/>
      <c r="Y180" s="36"/>
      <c r="Z180" s="36"/>
    </row>
    <row r="181" spans="1:26" ht="14">
      <c r="A181" s="13">
        <v>41761</v>
      </c>
      <c r="B181" s="64" t="s">
        <v>144</v>
      </c>
      <c r="C181" s="168">
        <v>2014</v>
      </c>
      <c r="D181" s="65">
        <v>8</v>
      </c>
      <c r="E181" s="51" t="s">
        <v>216</v>
      </c>
      <c r="F181" s="51" t="s">
        <v>217</v>
      </c>
      <c r="G181" s="51"/>
      <c r="H181" s="51"/>
      <c r="I181" s="51"/>
      <c r="J181" s="51" t="s">
        <v>647</v>
      </c>
      <c r="K181" s="3"/>
      <c r="L181" s="3">
        <v>76</v>
      </c>
      <c r="M181" s="36" t="s">
        <v>229</v>
      </c>
      <c r="N181" s="3" t="s">
        <v>219</v>
      </c>
      <c r="O181" s="3">
        <v>129</v>
      </c>
      <c r="P181" s="36">
        <v>58.760781776083363</v>
      </c>
      <c r="Q181" s="65">
        <v>250</v>
      </c>
      <c r="R181" s="51"/>
      <c r="S181" s="51"/>
      <c r="T181" s="65"/>
      <c r="U181" s="36"/>
      <c r="V181" s="36"/>
      <c r="W181" s="36"/>
      <c r="X181" s="36"/>
      <c r="Y181" s="36"/>
      <c r="Z181" s="36"/>
    </row>
    <row r="182" spans="1:26" ht="14">
      <c r="A182" s="13">
        <v>41422</v>
      </c>
      <c r="B182" s="64" t="s">
        <v>144</v>
      </c>
      <c r="C182" s="168">
        <v>2013</v>
      </c>
      <c r="D182" s="51">
        <v>2</v>
      </c>
      <c r="E182" s="51" t="s">
        <v>216</v>
      </c>
      <c r="F182" s="51" t="s">
        <v>217</v>
      </c>
      <c r="G182" s="51"/>
      <c r="H182" s="51"/>
      <c r="I182" s="51"/>
      <c r="J182" s="3" t="s">
        <v>220</v>
      </c>
      <c r="K182" s="3"/>
      <c r="L182" s="3">
        <v>5</v>
      </c>
      <c r="M182" s="36" t="s">
        <v>229</v>
      </c>
      <c r="N182" s="3" t="s">
        <v>219</v>
      </c>
      <c r="O182" s="3">
        <v>40</v>
      </c>
      <c r="P182" s="65">
        <v>12.494099614633303</v>
      </c>
      <c r="Q182" s="3">
        <v>250</v>
      </c>
      <c r="R182" s="3" t="s">
        <v>222</v>
      </c>
      <c r="S182" s="3"/>
      <c r="T182" s="36"/>
      <c r="U182" s="36"/>
      <c r="V182" s="36"/>
      <c r="W182" s="36"/>
      <c r="X182" s="36"/>
      <c r="Y182" s="36"/>
      <c r="Z182" s="36"/>
    </row>
    <row r="183" spans="1:26" ht="14">
      <c r="A183" s="71">
        <v>41422</v>
      </c>
      <c r="B183" s="64" t="s">
        <v>144</v>
      </c>
      <c r="C183" s="168">
        <v>2013</v>
      </c>
      <c r="D183" s="51">
        <v>4</v>
      </c>
      <c r="E183" s="3" t="s">
        <v>216</v>
      </c>
      <c r="F183" s="3" t="s">
        <v>217</v>
      </c>
      <c r="G183" s="3"/>
      <c r="H183" s="3"/>
      <c r="I183" s="3"/>
      <c r="J183" s="3" t="s">
        <v>219</v>
      </c>
      <c r="K183" s="3"/>
      <c r="L183" s="3">
        <v>9</v>
      </c>
      <c r="M183" s="36" t="s">
        <v>229</v>
      </c>
      <c r="N183" s="3" t="s">
        <v>219</v>
      </c>
      <c r="O183" s="3">
        <v>106</v>
      </c>
      <c r="P183" s="36">
        <v>8.4780416013693287</v>
      </c>
      <c r="Q183" s="3">
        <v>250</v>
      </c>
      <c r="R183" s="3" t="s">
        <v>222</v>
      </c>
      <c r="S183" s="3"/>
      <c r="T183" s="36"/>
      <c r="U183" s="36"/>
      <c r="V183" s="36"/>
      <c r="W183" s="36"/>
      <c r="X183" s="36"/>
      <c r="Y183" s="36"/>
      <c r="Z183" s="36"/>
    </row>
    <row r="184" spans="1:26" ht="14">
      <c r="A184" s="13">
        <v>41422</v>
      </c>
      <c r="B184" s="64" t="s">
        <v>144</v>
      </c>
      <c r="C184" s="168">
        <v>2013</v>
      </c>
      <c r="D184" s="51">
        <v>5</v>
      </c>
      <c r="E184" s="3" t="s">
        <v>216</v>
      </c>
      <c r="F184" s="3" t="s">
        <v>217</v>
      </c>
      <c r="G184" s="3"/>
      <c r="H184" s="3"/>
      <c r="I184" s="3"/>
      <c r="J184" s="3" t="s">
        <v>219</v>
      </c>
      <c r="K184" s="3"/>
      <c r="L184" s="3">
        <v>3</v>
      </c>
      <c r="M184" s="36" t="s">
        <v>229</v>
      </c>
      <c r="N184" s="3" t="s">
        <v>219</v>
      </c>
      <c r="O184" s="3">
        <v>120</v>
      </c>
      <c r="P184" s="36">
        <v>2.5000000000000004</v>
      </c>
      <c r="Q184" s="3">
        <v>250</v>
      </c>
      <c r="R184" s="3"/>
      <c r="S184" s="3"/>
      <c r="T184" s="36"/>
      <c r="U184" s="36"/>
      <c r="V184" s="36"/>
      <c r="W184" s="36"/>
      <c r="X184" s="36"/>
      <c r="Y184" s="36"/>
      <c r="Z184" s="36"/>
    </row>
    <row r="185" spans="1:26" ht="14">
      <c r="A185" s="35">
        <v>41422</v>
      </c>
      <c r="B185" s="35" t="s">
        <v>144</v>
      </c>
      <c r="C185" s="168">
        <v>2013</v>
      </c>
      <c r="D185" s="65">
        <v>8</v>
      </c>
      <c r="E185" s="65" t="s">
        <v>216</v>
      </c>
      <c r="F185" s="65" t="s">
        <v>217</v>
      </c>
      <c r="G185" s="65"/>
      <c r="H185" s="65"/>
      <c r="I185" s="65"/>
      <c r="J185" s="36"/>
      <c r="K185" s="36"/>
      <c r="L185" s="36">
        <v>8</v>
      </c>
      <c r="M185" s="36" t="s">
        <v>533</v>
      </c>
      <c r="N185" s="36" t="s">
        <v>219</v>
      </c>
      <c r="O185" s="36">
        <v>89</v>
      </c>
      <c r="P185" s="36">
        <v>8.986478788649281</v>
      </c>
      <c r="Q185" s="36">
        <v>250</v>
      </c>
      <c r="R185" s="36" t="s">
        <v>222</v>
      </c>
      <c r="S185" s="36"/>
      <c r="T185" s="36"/>
      <c r="U185" s="36"/>
      <c r="V185" s="36"/>
      <c r="W185" s="36"/>
      <c r="X185" s="36"/>
      <c r="Y185" s="36"/>
      <c r="Z185" s="36"/>
    </row>
    <row r="186" spans="1:26" ht="14">
      <c r="A186" s="35">
        <v>42571</v>
      </c>
      <c r="B186" s="35" t="s">
        <v>154</v>
      </c>
      <c r="C186" s="168">
        <v>2016</v>
      </c>
      <c r="D186" s="65">
        <v>2</v>
      </c>
      <c r="E186" s="36" t="s">
        <v>323</v>
      </c>
      <c r="F186" s="36" t="s">
        <v>324</v>
      </c>
      <c r="G186" s="36"/>
      <c r="H186" s="36" t="s">
        <v>560</v>
      </c>
      <c r="I186" s="36" t="s">
        <v>561</v>
      </c>
      <c r="J186" s="36" t="s">
        <v>562</v>
      </c>
      <c r="K186" s="36"/>
      <c r="L186" s="36">
        <v>1</v>
      </c>
      <c r="M186" s="36" t="s">
        <v>229</v>
      </c>
      <c r="N186" s="36" t="s">
        <v>563</v>
      </c>
      <c r="O186" s="36">
        <v>5</v>
      </c>
      <c r="P186" s="36">
        <v>1.9697033048130049E-3</v>
      </c>
      <c r="Q186" s="36">
        <v>1000</v>
      </c>
      <c r="R186" s="36"/>
      <c r="S186" s="36"/>
      <c r="T186" s="36"/>
      <c r="U186" s="36"/>
      <c r="V186" s="36"/>
      <c r="W186" s="36"/>
      <c r="X186" s="36"/>
      <c r="Y186" s="36"/>
      <c r="Z186" s="36"/>
    </row>
    <row r="187" spans="1:26" ht="14">
      <c r="A187" s="13">
        <v>42515</v>
      </c>
      <c r="B187" s="35" t="s">
        <v>144</v>
      </c>
      <c r="C187" s="168">
        <v>2016</v>
      </c>
      <c r="D187" s="51">
        <v>5</v>
      </c>
      <c r="E187" s="51" t="s">
        <v>223</v>
      </c>
      <c r="F187" s="51" t="s">
        <v>224</v>
      </c>
      <c r="G187" s="51" t="s">
        <v>225</v>
      </c>
      <c r="H187" s="51" t="s">
        <v>226</v>
      </c>
      <c r="I187" s="51" t="s">
        <v>253</v>
      </c>
      <c r="J187" s="3" t="s">
        <v>254</v>
      </c>
      <c r="K187" s="3"/>
      <c r="L187" s="3">
        <v>1</v>
      </c>
      <c r="M187" s="3"/>
      <c r="N187" s="3" t="s">
        <v>254</v>
      </c>
      <c r="O187" s="3">
        <v>214</v>
      </c>
      <c r="P187" s="65">
        <v>0.46706439191198268</v>
      </c>
      <c r="Q187" s="36">
        <v>250</v>
      </c>
      <c r="R187" s="3"/>
      <c r="S187" s="3"/>
      <c r="T187" s="36"/>
      <c r="U187" s="36"/>
      <c r="V187" s="36"/>
      <c r="W187" s="36"/>
      <c r="X187" s="36"/>
      <c r="Y187" s="36"/>
      <c r="Z187" s="36"/>
    </row>
    <row r="188" spans="1:26" ht="14">
      <c r="A188" s="13">
        <v>41542</v>
      </c>
      <c r="B188" s="72" t="s">
        <v>157</v>
      </c>
      <c r="C188" s="168">
        <v>2013</v>
      </c>
      <c r="D188" s="51">
        <v>4</v>
      </c>
      <c r="E188" s="51" t="s">
        <v>223</v>
      </c>
      <c r="F188" s="51" t="s">
        <v>224</v>
      </c>
      <c r="G188" s="51" t="s">
        <v>225</v>
      </c>
      <c r="H188" s="51" t="s">
        <v>226</v>
      </c>
      <c r="I188" s="51" t="s">
        <v>253</v>
      </c>
      <c r="J188" s="3" t="s">
        <v>254</v>
      </c>
      <c r="K188" s="3"/>
      <c r="L188" s="3">
        <v>2</v>
      </c>
      <c r="M188" s="3"/>
      <c r="N188" s="3" t="s">
        <v>254</v>
      </c>
      <c r="O188" s="3">
        <v>159</v>
      </c>
      <c r="P188" s="36">
        <v>1.2441246764584237</v>
      </c>
      <c r="Q188" s="3">
        <v>250</v>
      </c>
      <c r="R188" s="3"/>
      <c r="S188" s="3"/>
      <c r="T188" s="36"/>
      <c r="U188" s="36"/>
      <c r="V188" s="36"/>
      <c r="W188" s="36"/>
      <c r="X188" s="36"/>
      <c r="Y188" s="36"/>
      <c r="Z188" s="36"/>
    </row>
    <row r="189" spans="1:26" ht="14">
      <c r="A189" s="71">
        <v>41422</v>
      </c>
      <c r="B189" s="72" t="s">
        <v>144</v>
      </c>
      <c r="C189" s="168">
        <v>2013</v>
      </c>
      <c r="D189" s="51">
        <v>2</v>
      </c>
      <c r="E189" s="51" t="s">
        <v>223</v>
      </c>
      <c r="F189" s="51" t="s">
        <v>224</v>
      </c>
      <c r="G189" s="51" t="s">
        <v>225</v>
      </c>
      <c r="H189" s="51" t="s">
        <v>226</v>
      </c>
      <c r="I189" s="51" t="s">
        <v>253</v>
      </c>
      <c r="J189" s="3" t="s">
        <v>254</v>
      </c>
      <c r="K189" s="3"/>
      <c r="L189" s="3">
        <v>1</v>
      </c>
      <c r="M189" s="3" t="s">
        <v>229</v>
      </c>
      <c r="N189" s="3" t="s">
        <v>254</v>
      </c>
      <c r="O189" s="3">
        <v>40</v>
      </c>
      <c r="P189" s="65">
        <v>2.498819922926661</v>
      </c>
      <c r="Q189" s="3">
        <v>250</v>
      </c>
      <c r="R189" s="3" t="s">
        <v>255</v>
      </c>
      <c r="S189" s="3"/>
      <c r="T189" s="36"/>
      <c r="U189" s="36"/>
      <c r="V189" s="36"/>
      <c r="W189" s="36"/>
      <c r="X189" s="36"/>
      <c r="Y189" s="36"/>
      <c r="Z189" s="36"/>
    </row>
    <row r="190" spans="1:26" ht="14">
      <c r="A190" s="13">
        <v>42928</v>
      </c>
      <c r="B190" s="72" t="s">
        <v>154</v>
      </c>
      <c r="C190" s="168">
        <v>2017</v>
      </c>
      <c r="D190" s="65">
        <v>4</v>
      </c>
      <c r="E190" s="51" t="s">
        <v>223</v>
      </c>
      <c r="F190" s="51" t="s">
        <v>224</v>
      </c>
      <c r="G190" s="51" t="s">
        <v>225</v>
      </c>
      <c r="H190" s="51" t="s">
        <v>226</v>
      </c>
      <c r="I190" s="51" t="s">
        <v>355</v>
      </c>
      <c r="J190" s="3" t="s">
        <v>356</v>
      </c>
      <c r="K190" s="3"/>
      <c r="L190" s="3">
        <v>3</v>
      </c>
      <c r="M190" s="3" t="s">
        <v>229</v>
      </c>
      <c r="N190" s="3" t="s">
        <v>356</v>
      </c>
      <c r="O190" s="3">
        <v>225</v>
      </c>
      <c r="P190" s="36">
        <v>1.3279849219731015</v>
      </c>
      <c r="Q190" s="36">
        <v>250</v>
      </c>
      <c r="R190" s="3"/>
      <c r="S190" s="3"/>
      <c r="T190" s="36"/>
      <c r="U190" s="36"/>
      <c r="V190" s="36"/>
      <c r="W190" s="36"/>
      <c r="X190" s="36"/>
      <c r="Y190" s="36"/>
      <c r="Z190" s="36"/>
    </row>
    <row r="191" spans="1:26" ht="14">
      <c r="A191" s="13">
        <v>42928</v>
      </c>
      <c r="B191" s="72" t="s">
        <v>154</v>
      </c>
      <c r="C191" s="168">
        <v>2017</v>
      </c>
      <c r="D191" s="65">
        <v>8</v>
      </c>
      <c r="E191" s="51" t="s">
        <v>223</v>
      </c>
      <c r="F191" s="51" t="s">
        <v>224</v>
      </c>
      <c r="G191" s="51" t="s">
        <v>225</v>
      </c>
      <c r="H191" s="51" t="s">
        <v>226</v>
      </c>
      <c r="I191" s="51" t="s">
        <v>355</v>
      </c>
      <c r="J191" s="3" t="s">
        <v>356</v>
      </c>
      <c r="K191" s="3"/>
      <c r="L191" s="3">
        <v>2</v>
      </c>
      <c r="M191" s="3" t="s">
        <v>229</v>
      </c>
      <c r="N191" s="3" t="s">
        <v>356</v>
      </c>
      <c r="O191" s="3">
        <v>319</v>
      </c>
      <c r="P191" s="36">
        <v>0.6267215412026621</v>
      </c>
      <c r="Q191" s="36">
        <v>250</v>
      </c>
      <c r="R191" s="3"/>
      <c r="S191" s="3"/>
      <c r="T191" s="36"/>
      <c r="U191" s="36"/>
      <c r="V191" s="36"/>
      <c r="W191" s="36"/>
      <c r="X191" s="36"/>
      <c r="Y191" s="36"/>
      <c r="Z191" s="36"/>
    </row>
    <row r="192" spans="1:26" ht="14">
      <c r="A192" s="71">
        <v>42206</v>
      </c>
      <c r="B192" s="72" t="s">
        <v>154</v>
      </c>
      <c r="C192" s="168">
        <v>2015</v>
      </c>
      <c r="D192" s="65">
        <v>4</v>
      </c>
      <c r="E192" s="51" t="s">
        <v>223</v>
      </c>
      <c r="F192" s="51" t="s">
        <v>224</v>
      </c>
      <c r="G192" s="51" t="s">
        <v>225</v>
      </c>
      <c r="H192" s="51" t="s">
        <v>226</v>
      </c>
      <c r="I192" s="51" t="s">
        <v>355</v>
      </c>
      <c r="J192" s="3" t="s">
        <v>356</v>
      </c>
      <c r="K192" s="3"/>
      <c r="L192" s="3">
        <v>3</v>
      </c>
      <c r="M192" s="3" t="s">
        <v>229</v>
      </c>
      <c r="N192" s="36" t="s">
        <v>356</v>
      </c>
      <c r="O192" s="3">
        <v>273</v>
      </c>
      <c r="P192" s="65">
        <v>1.0841725575511627</v>
      </c>
      <c r="Q192" s="51">
        <v>250</v>
      </c>
      <c r="R192" s="51"/>
      <c r="S192" s="51"/>
      <c r="T192" s="65"/>
      <c r="U192" s="36"/>
      <c r="V192" s="36"/>
      <c r="W192" s="36"/>
      <c r="X192" s="36"/>
      <c r="Y192" s="36"/>
      <c r="Z192" s="36"/>
    </row>
    <row r="193" spans="1:26" ht="14">
      <c r="A193" s="71">
        <v>42206</v>
      </c>
      <c r="B193" s="35" t="s">
        <v>154</v>
      </c>
      <c r="C193" s="168">
        <v>2015</v>
      </c>
      <c r="D193" s="65">
        <v>5</v>
      </c>
      <c r="E193" s="65" t="s">
        <v>223</v>
      </c>
      <c r="F193" s="65" t="s">
        <v>224</v>
      </c>
      <c r="G193" s="65" t="s">
        <v>225</v>
      </c>
      <c r="H193" s="65" t="s">
        <v>226</v>
      </c>
      <c r="I193" s="65" t="s">
        <v>355</v>
      </c>
      <c r="J193" s="36" t="s">
        <v>356</v>
      </c>
      <c r="K193" s="36"/>
      <c r="L193" s="36">
        <v>1</v>
      </c>
      <c r="M193" s="36" t="s">
        <v>229</v>
      </c>
      <c r="N193" s="36" t="s">
        <v>356</v>
      </c>
      <c r="O193" s="3">
        <v>251</v>
      </c>
      <c r="P193" s="65">
        <v>0.3983156294006901</v>
      </c>
      <c r="Q193" s="36">
        <v>250</v>
      </c>
      <c r="R193" s="3"/>
      <c r="S193" s="3"/>
      <c r="T193" s="36"/>
      <c r="U193" s="36"/>
      <c r="V193" s="36"/>
      <c r="W193" s="36"/>
      <c r="X193" s="36"/>
      <c r="Y193" s="36"/>
      <c r="Z193" s="36"/>
    </row>
    <row r="194" spans="1:26" ht="14">
      <c r="A194" s="35">
        <v>42144</v>
      </c>
      <c r="B194" s="72" t="s">
        <v>144</v>
      </c>
      <c r="C194" s="168">
        <v>2015</v>
      </c>
      <c r="D194" s="65">
        <v>4</v>
      </c>
      <c r="E194" s="65" t="s">
        <v>223</v>
      </c>
      <c r="F194" s="65" t="s">
        <v>224</v>
      </c>
      <c r="G194" s="65" t="s">
        <v>225</v>
      </c>
      <c r="H194" s="65" t="s">
        <v>226</v>
      </c>
      <c r="I194" s="65" t="s">
        <v>355</v>
      </c>
      <c r="J194" s="36" t="s">
        <v>356</v>
      </c>
      <c r="K194" s="36"/>
      <c r="L194" s="36">
        <v>1</v>
      </c>
      <c r="M194" s="36" t="s">
        <v>229</v>
      </c>
      <c r="N194" s="36" t="s">
        <v>356</v>
      </c>
      <c r="O194" s="36">
        <v>229</v>
      </c>
      <c r="P194" s="65">
        <v>0.43629167816834835</v>
      </c>
      <c r="Q194" s="36">
        <v>250</v>
      </c>
      <c r="R194" s="36"/>
      <c r="S194" s="36"/>
      <c r="T194" s="36"/>
      <c r="U194" s="36"/>
      <c r="V194" s="36"/>
      <c r="W194" s="36"/>
      <c r="X194" s="36"/>
      <c r="Y194" s="36"/>
      <c r="Z194" s="36"/>
    </row>
    <row r="195" spans="1:26" ht="14">
      <c r="A195" s="71">
        <v>41912</v>
      </c>
      <c r="B195" s="35" t="s">
        <v>157</v>
      </c>
      <c r="C195" s="168">
        <v>2014</v>
      </c>
      <c r="D195" s="65">
        <v>4</v>
      </c>
      <c r="E195" s="51" t="s">
        <v>223</v>
      </c>
      <c r="F195" s="51" t="s">
        <v>224</v>
      </c>
      <c r="G195" s="51" t="s">
        <v>225</v>
      </c>
      <c r="H195" s="51" t="s">
        <v>226</v>
      </c>
      <c r="I195" s="51" t="s">
        <v>355</v>
      </c>
      <c r="J195" s="3" t="s">
        <v>356</v>
      </c>
      <c r="K195" s="3"/>
      <c r="L195" s="51">
        <v>2</v>
      </c>
      <c r="M195" s="51" t="s">
        <v>229</v>
      </c>
      <c r="N195" s="51" t="s">
        <v>356</v>
      </c>
      <c r="O195" s="3">
        <v>237</v>
      </c>
      <c r="P195" s="36">
        <v>0.84219179923612442</v>
      </c>
      <c r="Q195" s="51">
        <v>250</v>
      </c>
      <c r="R195" s="51"/>
      <c r="S195" s="51"/>
      <c r="T195" s="65"/>
      <c r="U195" s="36"/>
      <c r="V195" s="36"/>
      <c r="W195" s="36"/>
      <c r="X195" s="36"/>
      <c r="Y195" s="36"/>
      <c r="Z195" s="36"/>
    </row>
    <row r="196" spans="1:26" ht="14">
      <c r="A196" s="13">
        <v>41542</v>
      </c>
      <c r="B196" s="72" t="s">
        <v>157</v>
      </c>
      <c r="C196" s="168">
        <v>2013</v>
      </c>
      <c r="D196" s="51">
        <v>2</v>
      </c>
      <c r="E196" s="51" t="s">
        <v>223</v>
      </c>
      <c r="F196" s="51" t="s">
        <v>224</v>
      </c>
      <c r="G196" s="51" t="s">
        <v>225</v>
      </c>
      <c r="H196" s="51" t="s">
        <v>226</v>
      </c>
      <c r="I196" s="51" t="s">
        <v>355</v>
      </c>
      <c r="J196" s="3" t="s">
        <v>356</v>
      </c>
      <c r="K196" s="3"/>
      <c r="L196" s="3">
        <v>1</v>
      </c>
      <c r="M196" s="3"/>
      <c r="N196" s="3" t="s">
        <v>356</v>
      </c>
      <c r="O196" s="3">
        <v>110</v>
      </c>
      <c r="P196" s="36">
        <v>0.90090212217539389</v>
      </c>
      <c r="Q196" s="3">
        <v>250</v>
      </c>
      <c r="R196" s="3"/>
      <c r="S196" s="3"/>
      <c r="T196" s="36"/>
      <c r="U196" s="36"/>
      <c r="V196" s="36"/>
      <c r="W196" s="36"/>
      <c r="X196" s="36"/>
      <c r="Y196" s="36"/>
      <c r="Z196" s="36"/>
    </row>
    <row r="197" spans="1:26" ht="14">
      <c r="A197" s="35">
        <v>42263</v>
      </c>
      <c r="B197" s="35" t="s">
        <v>157</v>
      </c>
      <c r="C197" s="168">
        <v>2015</v>
      </c>
      <c r="D197" s="76">
        <v>4</v>
      </c>
      <c r="E197" s="36" t="s">
        <v>223</v>
      </c>
      <c r="F197" s="36" t="s">
        <v>576</v>
      </c>
      <c r="G197" s="36"/>
      <c r="H197" s="36"/>
      <c r="I197" s="65"/>
      <c r="J197" s="65"/>
      <c r="K197" s="36"/>
      <c r="L197" s="36">
        <v>1</v>
      </c>
      <c r="M197" s="36" t="s">
        <v>221</v>
      </c>
      <c r="N197" s="36" t="s">
        <v>577</v>
      </c>
      <c r="O197" s="36">
        <v>36</v>
      </c>
      <c r="P197" s="36">
        <v>4.8371293979212306E-3</v>
      </c>
      <c r="Q197" s="65">
        <v>1000</v>
      </c>
      <c r="R197" s="65"/>
      <c r="S197" s="65"/>
      <c r="T197" s="65"/>
      <c r="U197" s="36"/>
      <c r="V197" s="36"/>
      <c r="W197" s="36"/>
      <c r="X197" s="36"/>
      <c r="Y197" s="36"/>
      <c r="Z197" s="36"/>
    </row>
    <row r="198" spans="1:26" ht="14">
      <c r="A198" s="35">
        <v>41912</v>
      </c>
      <c r="B198" s="35" t="s">
        <v>157</v>
      </c>
      <c r="C198" s="168">
        <v>2014</v>
      </c>
      <c r="D198" s="76">
        <v>5</v>
      </c>
      <c r="E198" s="36" t="s">
        <v>223</v>
      </c>
      <c r="F198" s="36" t="s">
        <v>576</v>
      </c>
      <c r="G198" s="36"/>
      <c r="H198" s="36"/>
      <c r="I198" s="36"/>
      <c r="J198" s="36"/>
      <c r="K198" s="36"/>
      <c r="L198" s="36">
        <v>2</v>
      </c>
      <c r="M198" s="36" t="s">
        <v>221</v>
      </c>
      <c r="N198" s="36" t="s">
        <v>577</v>
      </c>
      <c r="O198" s="36">
        <v>176</v>
      </c>
      <c r="P198" s="36">
        <v>2.2302582108311301E-3</v>
      </c>
      <c r="Q198" s="36">
        <v>1000</v>
      </c>
      <c r="R198" s="36"/>
      <c r="S198" s="36"/>
      <c r="T198" s="36"/>
      <c r="U198" s="36"/>
      <c r="V198" s="36"/>
      <c r="W198" s="36"/>
      <c r="X198" s="36"/>
      <c r="Y198" s="36"/>
      <c r="Z198" s="36"/>
    </row>
    <row r="199" spans="1:26" ht="14">
      <c r="A199" s="13">
        <v>43019</v>
      </c>
      <c r="B199" s="72" t="s">
        <v>159</v>
      </c>
      <c r="C199" s="168">
        <v>2017</v>
      </c>
      <c r="D199" s="65">
        <v>4</v>
      </c>
      <c r="E199" s="3" t="s">
        <v>223</v>
      </c>
      <c r="F199" s="3" t="s">
        <v>224</v>
      </c>
      <c r="G199" s="3" t="s">
        <v>225</v>
      </c>
      <c r="H199" s="3" t="s">
        <v>248</v>
      </c>
      <c r="I199" s="3" t="s">
        <v>249</v>
      </c>
      <c r="J199" s="3" t="s">
        <v>250</v>
      </c>
      <c r="K199" s="3"/>
      <c r="L199" s="3">
        <v>1</v>
      </c>
      <c r="M199" s="3" t="s">
        <v>229</v>
      </c>
      <c r="N199" s="3" t="s">
        <v>713</v>
      </c>
      <c r="O199" s="3">
        <v>248</v>
      </c>
      <c r="P199" s="36">
        <v>0.39778684516998364</v>
      </c>
      <c r="Q199" s="36">
        <v>250</v>
      </c>
      <c r="R199" s="3"/>
      <c r="S199" s="3"/>
      <c r="T199" s="36"/>
      <c r="U199" s="36"/>
      <c r="V199" s="36"/>
      <c r="W199" s="36"/>
      <c r="X199" s="36"/>
      <c r="Y199" s="36"/>
      <c r="Z199" s="36"/>
    </row>
    <row r="200" spans="1:26" ht="14">
      <c r="A200" s="71">
        <v>43019</v>
      </c>
      <c r="B200" s="72" t="s">
        <v>159</v>
      </c>
      <c r="C200" s="168">
        <v>2017</v>
      </c>
      <c r="D200" s="65">
        <v>5</v>
      </c>
      <c r="E200" s="3" t="s">
        <v>223</v>
      </c>
      <c r="F200" s="3" t="s">
        <v>224</v>
      </c>
      <c r="G200" s="3" t="s">
        <v>225</v>
      </c>
      <c r="H200" s="3" t="s">
        <v>248</v>
      </c>
      <c r="I200" s="3" t="s">
        <v>249</v>
      </c>
      <c r="J200" s="3" t="s">
        <v>250</v>
      </c>
      <c r="K200" s="3"/>
      <c r="L200" s="3">
        <v>7</v>
      </c>
      <c r="M200" s="3" t="s">
        <v>229</v>
      </c>
      <c r="N200" s="3" t="s">
        <v>713</v>
      </c>
      <c r="O200" s="3">
        <v>255</v>
      </c>
      <c r="P200" s="36">
        <v>2.7444893855065864</v>
      </c>
      <c r="Q200" s="3">
        <v>250</v>
      </c>
      <c r="R200" s="3"/>
      <c r="S200" s="3"/>
      <c r="T200" s="36"/>
      <c r="U200" s="36"/>
      <c r="V200" s="36"/>
      <c r="W200" s="36"/>
      <c r="X200" s="36"/>
      <c r="Y200" s="36"/>
      <c r="Z200" s="36"/>
    </row>
    <row r="201" spans="1:26" ht="14">
      <c r="A201" s="13">
        <v>43019</v>
      </c>
      <c r="B201" s="35" t="s">
        <v>159</v>
      </c>
      <c r="C201" s="168">
        <v>2017</v>
      </c>
      <c r="D201" s="65">
        <v>8</v>
      </c>
      <c r="E201" s="3" t="s">
        <v>223</v>
      </c>
      <c r="F201" s="3" t="s">
        <v>224</v>
      </c>
      <c r="G201" s="3" t="s">
        <v>225</v>
      </c>
      <c r="H201" s="3" t="s">
        <v>248</v>
      </c>
      <c r="I201" s="3" t="s">
        <v>249</v>
      </c>
      <c r="J201" s="3" t="s">
        <v>250</v>
      </c>
      <c r="K201" s="3"/>
      <c r="L201" s="3">
        <v>12</v>
      </c>
      <c r="M201" s="3" t="s">
        <v>229</v>
      </c>
      <c r="N201" s="3" t="s">
        <v>713</v>
      </c>
      <c r="O201" s="3">
        <v>288</v>
      </c>
      <c r="P201" s="36">
        <v>4.0033257745117563</v>
      </c>
      <c r="Q201" s="3">
        <v>250</v>
      </c>
      <c r="R201" s="3"/>
      <c r="S201" s="3"/>
      <c r="T201" s="36"/>
      <c r="U201" s="36"/>
      <c r="V201" s="36"/>
      <c r="W201" s="36"/>
      <c r="X201" s="36"/>
      <c r="Y201" s="36"/>
      <c r="Z201" s="36"/>
    </row>
    <row r="202" spans="1:26" ht="14">
      <c r="A202" s="13">
        <v>42928</v>
      </c>
      <c r="B202" s="72" t="s">
        <v>154</v>
      </c>
      <c r="C202" s="168">
        <v>2017</v>
      </c>
      <c r="D202" s="65">
        <v>4</v>
      </c>
      <c r="E202" s="3" t="s">
        <v>223</v>
      </c>
      <c r="F202" s="3" t="s">
        <v>224</v>
      </c>
      <c r="G202" s="3" t="s">
        <v>225</v>
      </c>
      <c r="H202" s="3" t="s">
        <v>248</v>
      </c>
      <c r="I202" s="3" t="s">
        <v>249</v>
      </c>
      <c r="J202" s="3" t="s">
        <v>250</v>
      </c>
      <c r="K202" s="3"/>
      <c r="L202" s="3">
        <v>1</v>
      </c>
      <c r="M202" s="3" t="s">
        <v>229</v>
      </c>
      <c r="N202" s="3" t="s">
        <v>713</v>
      </c>
      <c r="O202" s="3">
        <v>225</v>
      </c>
      <c r="P202" s="36">
        <v>0.44266164065770053</v>
      </c>
      <c r="Q202" s="36">
        <v>250</v>
      </c>
      <c r="R202" s="3"/>
      <c r="S202" s="3"/>
      <c r="T202" s="36"/>
      <c r="U202" s="36"/>
      <c r="V202" s="36"/>
      <c r="W202" s="36"/>
      <c r="X202" s="36"/>
      <c r="Y202" s="36"/>
      <c r="Z202" s="36"/>
    </row>
    <row r="203" spans="1:26" ht="14">
      <c r="A203" s="35">
        <v>42928</v>
      </c>
      <c r="B203" s="72" t="s">
        <v>154</v>
      </c>
      <c r="C203" s="168">
        <v>2017</v>
      </c>
      <c r="D203" s="65">
        <v>5</v>
      </c>
      <c r="E203" s="36" t="s">
        <v>223</v>
      </c>
      <c r="F203" s="36" t="s">
        <v>224</v>
      </c>
      <c r="G203" s="36" t="s">
        <v>225</v>
      </c>
      <c r="H203" s="36" t="s">
        <v>248</v>
      </c>
      <c r="I203" s="65" t="s">
        <v>249</v>
      </c>
      <c r="J203" s="65" t="s">
        <v>250</v>
      </c>
      <c r="K203" s="36"/>
      <c r="L203" s="36">
        <v>17</v>
      </c>
      <c r="M203" s="36" t="s">
        <v>229</v>
      </c>
      <c r="N203" s="3" t="s">
        <v>713</v>
      </c>
      <c r="O203" s="36">
        <v>385</v>
      </c>
      <c r="P203" s="36">
        <v>4.4136494215937141</v>
      </c>
      <c r="Q203" s="65">
        <v>250</v>
      </c>
      <c r="R203" s="65"/>
      <c r="S203" s="65"/>
      <c r="T203" s="65"/>
      <c r="U203" s="36"/>
      <c r="V203" s="36"/>
      <c r="W203" s="36"/>
      <c r="X203" s="36"/>
      <c r="Y203" s="36"/>
      <c r="Z203" s="36"/>
    </row>
    <row r="204" spans="1:26" ht="14">
      <c r="A204" s="13">
        <v>42867</v>
      </c>
      <c r="B204" s="72" t="s">
        <v>144</v>
      </c>
      <c r="C204" s="168">
        <v>2017</v>
      </c>
      <c r="D204" s="65">
        <v>4</v>
      </c>
      <c r="E204" s="3" t="s">
        <v>223</v>
      </c>
      <c r="F204" s="3" t="s">
        <v>224</v>
      </c>
      <c r="G204" s="3" t="s">
        <v>225</v>
      </c>
      <c r="H204" s="3" t="s">
        <v>248</v>
      </c>
      <c r="I204" s="3" t="s">
        <v>249</v>
      </c>
      <c r="J204" s="3" t="s">
        <v>250</v>
      </c>
      <c r="K204" s="3"/>
      <c r="L204" s="3">
        <v>14</v>
      </c>
      <c r="M204" s="3" t="s">
        <v>229</v>
      </c>
      <c r="N204" s="3" t="s">
        <v>713</v>
      </c>
      <c r="O204" s="3">
        <v>225</v>
      </c>
      <c r="P204" s="36">
        <v>6.1185613160239196</v>
      </c>
      <c r="Q204" s="3"/>
      <c r="R204" s="3"/>
      <c r="S204" s="3"/>
      <c r="T204" s="36"/>
      <c r="U204" s="36"/>
      <c r="V204" s="36"/>
      <c r="W204" s="36"/>
      <c r="X204" s="36"/>
      <c r="Y204" s="36"/>
      <c r="Z204" s="36"/>
    </row>
    <row r="205" spans="1:26" ht="14">
      <c r="A205" s="71">
        <v>42867</v>
      </c>
      <c r="B205" s="72" t="s">
        <v>144</v>
      </c>
      <c r="C205" s="168">
        <v>2017</v>
      </c>
      <c r="D205" s="65">
        <v>5</v>
      </c>
      <c r="E205" s="3" t="s">
        <v>223</v>
      </c>
      <c r="F205" s="3" t="s">
        <v>224</v>
      </c>
      <c r="G205" s="3" t="s">
        <v>225</v>
      </c>
      <c r="H205" s="3" t="s">
        <v>248</v>
      </c>
      <c r="I205" s="3" t="s">
        <v>249</v>
      </c>
      <c r="J205" s="3" t="s">
        <v>250</v>
      </c>
      <c r="K205" s="3"/>
      <c r="L205" s="3">
        <v>13</v>
      </c>
      <c r="M205" s="3" t="s">
        <v>229</v>
      </c>
      <c r="N205" s="3" t="s">
        <v>713</v>
      </c>
      <c r="O205" s="3">
        <v>222</v>
      </c>
      <c r="P205" s="36">
        <v>5.8539553691452424</v>
      </c>
      <c r="Q205" s="3"/>
      <c r="R205" s="3"/>
      <c r="S205" s="3"/>
      <c r="T205" s="36"/>
      <c r="U205" s="36"/>
      <c r="V205" s="36"/>
      <c r="W205" s="36"/>
      <c r="X205" s="36"/>
      <c r="Y205" s="36"/>
      <c r="Z205" s="36"/>
    </row>
    <row r="206" spans="1:26" ht="14">
      <c r="A206" s="13">
        <v>42867</v>
      </c>
      <c r="B206" s="72" t="s">
        <v>144</v>
      </c>
      <c r="C206" s="168">
        <v>2017</v>
      </c>
      <c r="D206" s="65">
        <v>8</v>
      </c>
      <c r="E206" s="3" t="s">
        <v>223</v>
      </c>
      <c r="F206" s="3" t="s">
        <v>224</v>
      </c>
      <c r="G206" s="3" t="s">
        <v>225</v>
      </c>
      <c r="H206" s="3" t="s">
        <v>248</v>
      </c>
      <c r="I206" s="3" t="s">
        <v>249</v>
      </c>
      <c r="J206" s="3" t="s">
        <v>250</v>
      </c>
      <c r="K206" s="3"/>
      <c r="L206" s="3">
        <v>28</v>
      </c>
      <c r="M206" s="3" t="s">
        <v>229</v>
      </c>
      <c r="N206" s="3" t="s">
        <v>713</v>
      </c>
      <c r="O206" s="3">
        <v>268</v>
      </c>
      <c r="P206" s="36">
        <v>10.429821843745678</v>
      </c>
      <c r="Q206" s="3"/>
      <c r="R206" s="3"/>
      <c r="S206" s="3"/>
      <c r="T206" s="36"/>
      <c r="U206" s="36"/>
      <c r="V206" s="36"/>
      <c r="W206" s="36"/>
      <c r="X206" s="36"/>
      <c r="Y206" s="36"/>
      <c r="Z206" s="36"/>
    </row>
    <row r="207" spans="1:26" ht="14">
      <c r="A207" s="35">
        <v>42634</v>
      </c>
      <c r="B207" s="35" t="s">
        <v>157</v>
      </c>
      <c r="C207" s="168">
        <v>2016</v>
      </c>
      <c r="D207" s="65">
        <v>8</v>
      </c>
      <c r="E207" s="36" t="s">
        <v>223</v>
      </c>
      <c r="F207" s="36" t="s">
        <v>224</v>
      </c>
      <c r="G207" s="36" t="s">
        <v>225</v>
      </c>
      <c r="H207" s="36" t="s">
        <v>248</v>
      </c>
      <c r="I207" s="36" t="s">
        <v>249</v>
      </c>
      <c r="J207" s="36" t="s">
        <v>250</v>
      </c>
      <c r="K207" s="36"/>
      <c r="L207" s="36">
        <v>1</v>
      </c>
      <c r="M207" s="3" t="s">
        <v>229</v>
      </c>
      <c r="N207" s="3" t="s">
        <v>713</v>
      </c>
      <c r="O207" s="36">
        <v>294</v>
      </c>
      <c r="P207" s="36">
        <v>0.31814856622833948</v>
      </c>
      <c r="Q207" s="3">
        <v>250</v>
      </c>
      <c r="R207" s="36"/>
      <c r="S207" s="36"/>
      <c r="T207" s="36"/>
      <c r="U207" s="36"/>
      <c r="V207" s="36"/>
      <c r="W207" s="36"/>
      <c r="X207" s="36"/>
      <c r="Y207" s="36"/>
      <c r="Z207" s="36"/>
    </row>
    <row r="208" spans="1:26" ht="14">
      <c r="A208" s="72">
        <v>42571</v>
      </c>
      <c r="B208" s="72" t="s">
        <v>154</v>
      </c>
      <c r="C208" s="168">
        <v>2016</v>
      </c>
      <c r="D208" s="65">
        <v>4</v>
      </c>
      <c r="E208" s="51" t="s">
        <v>223</v>
      </c>
      <c r="F208" s="51" t="s">
        <v>224</v>
      </c>
      <c r="G208" s="51" t="s">
        <v>225</v>
      </c>
      <c r="H208" s="51" t="s">
        <v>248</v>
      </c>
      <c r="I208" s="51" t="s">
        <v>249</v>
      </c>
      <c r="J208" s="51" t="s">
        <v>250</v>
      </c>
      <c r="K208" s="3"/>
      <c r="L208" s="36">
        <v>1</v>
      </c>
      <c r="M208" s="3" t="s">
        <v>229</v>
      </c>
      <c r="N208" s="3" t="s">
        <v>713</v>
      </c>
      <c r="O208" s="3">
        <v>223</v>
      </c>
      <c r="P208" s="36">
        <v>0.44825487671998654</v>
      </c>
      <c r="Q208" s="65">
        <v>250</v>
      </c>
      <c r="R208" s="51"/>
      <c r="S208" s="51"/>
      <c r="T208" s="166"/>
      <c r="U208" s="36"/>
      <c r="V208" s="36"/>
      <c r="W208" s="36"/>
      <c r="X208" s="36"/>
      <c r="Y208" s="36"/>
      <c r="Z208" s="36"/>
    </row>
    <row r="209" spans="1:26" ht="14">
      <c r="A209" s="72">
        <v>42571</v>
      </c>
      <c r="B209" s="35" t="s">
        <v>154</v>
      </c>
      <c r="C209" s="168">
        <v>2016</v>
      </c>
      <c r="D209" s="65">
        <v>5</v>
      </c>
      <c r="E209" s="51" t="s">
        <v>223</v>
      </c>
      <c r="F209" s="51" t="s">
        <v>224</v>
      </c>
      <c r="G209" s="51" t="s">
        <v>225</v>
      </c>
      <c r="H209" s="51" t="s">
        <v>248</v>
      </c>
      <c r="I209" s="51" t="s">
        <v>249</v>
      </c>
      <c r="J209" s="3" t="s">
        <v>250</v>
      </c>
      <c r="K209" s="3"/>
      <c r="L209" s="36">
        <v>4</v>
      </c>
      <c r="M209" s="3" t="s">
        <v>229</v>
      </c>
      <c r="N209" s="3" t="s">
        <v>713</v>
      </c>
      <c r="O209" s="3">
        <v>211</v>
      </c>
      <c r="P209" s="65">
        <v>1.8955540713824195</v>
      </c>
      <c r="Q209" s="3">
        <v>250</v>
      </c>
      <c r="R209" s="3"/>
      <c r="S209" s="3"/>
      <c r="T209" s="36"/>
      <c r="U209" s="36"/>
      <c r="V209" s="36"/>
      <c r="W209" s="36"/>
      <c r="X209" s="36"/>
      <c r="Y209" s="36"/>
      <c r="Z209" s="36"/>
    </row>
    <row r="210" spans="1:26" ht="14">
      <c r="A210" s="71">
        <v>42515</v>
      </c>
      <c r="B210" s="35" t="s">
        <v>144</v>
      </c>
      <c r="C210" s="168">
        <v>2016</v>
      </c>
      <c r="D210" s="51">
        <v>2</v>
      </c>
      <c r="E210" s="3" t="s">
        <v>223</v>
      </c>
      <c r="F210" s="3" t="s">
        <v>224</v>
      </c>
      <c r="G210" s="3" t="s">
        <v>225</v>
      </c>
      <c r="H210" s="3" t="s">
        <v>248</v>
      </c>
      <c r="I210" s="51" t="s">
        <v>249</v>
      </c>
      <c r="J210" s="51" t="s">
        <v>250</v>
      </c>
      <c r="K210" s="3"/>
      <c r="L210" s="3">
        <v>1</v>
      </c>
      <c r="M210" s="3" t="s">
        <v>229</v>
      </c>
      <c r="N210" s="3" t="s">
        <v>713</v>
      </c>
      <c r="O210" s="36">
        <v>194</v>
      </c>
      <c r="P210" s="65">
        <v>0.51520576504797122</v>
      </c>
      <c r="Q210" s="65">
        <v>250</v>
      </c>
      <c r="R210" s="51"/>
      <c r="S210" s="51"/>
      <c r="T210" s="65"/>
      <c r="U210" s="36"/>
      <c r="V210" s="36"/>
      <c r="W210" s="36"/>
      <c r="X210" s="36"/>
      <c r="Y210" s="36"/>
      <c r="Z210" s="36"/>
    </row>
    <row r="211" spans="1:26" ht="14">
      <c r="A211" s="13">
        <v>42515</v>
      </c>
      <c r="B211" s="35" t="s">
        <v>144</v>
      </c>
      <c r="C211" s="168">
        <v>2016</v>
      </c>
      <c r="D211" s="51">
        <v>4</v>
      </c>
      <c r="E211" s="3" t="s">
        <v>223</v>
      </c>
      <c r="F211" s="3" t="s">
        <v>224</v>
      </c>
      <c r="G211" s="3" t="s">
        <v>225</v>
      </c>
      <c r="H211" s="3" t="s">
        <v>248</v>
      </c>
      <c r="I211" s="3" t="s">
        <v>249</v>
      </c>
      <c r="J211" s="3" t="s">
        <v>250</v>
      </c>
      <c r="K211" s="3"/>
      <c r="L211" s="3">
        <v>2</v>
      </c>
      <c r="M211" s="3" t="s">
        <v>229</v>
      </c>
      <c r="N211" s="3" t="s">
        <v>713</v>
      </c>
      <c r="O211" s="3">
        <v>217</v>
      </c>
      <c r="P211" s="36">
        <v>0.9209290862393783</v>
      </c>
      <c r="Q211" s="36">
        <v>250</v>
      </c>
      <c r="R211" s="3"/>
      <c r="S211" s="3"/>
      <c r="T211" s="36"/>
      <c r="U211" s="36"/>
      <c r="V211" s="36"/>
      <c r="W211" s="36"/>
      <c r="X211" s="36"/>
      <c r="Y211" s="36"/>
      <c r="Z211" s="36"/>
    </row>
    <row r="212" spans="1:26" ht="14">
      <c r="A212" s="13">
        <v>42515</v>
      </c>
      <c r="B212" s="35" t="s">
        <v>144</v>
      </c>
      <c r="C212" s="168">
        <v>2016</v>
      </c>
      <c r="D212" s="51">
        <v>5</v>
      </c>
      <c r="E212" s="34" t="s">
        <v>223</v>
      </c>
      <c r="F212" s="34" t="s">
        <v>224</v>
      </c>
      <c r="G212" s="34" t="s">
        <v>225</v>
      </c>
      <c r="H212" s="34" t="s">
        <v>248</v>
      </c>
      <c r="I212" s="34" t="s">
        <v>249</v>
      </c>
      <c r="J212" s="3" t="s">
        <v>250</v>
      </c>
      <c r="K212" s="3"/>
      <c r="L212" s="3">
        <v>7</v>
      </c>
      <c r="M212" s="3" t="s">
        <v>229</v>
      </c>
      <c r="N212" s="3" t="s">
        <v>713</v>
      </c>
      <c r="O212" s="3">
        <v>214</v>
      </c>
      <c r="P212" s="65">
        <v>3.2694507433838789</v>
      </c>
      <c r="Q212" s="3">
        <v>250</v>
      </c>
      <c r="R212" s="3"/>
      <c r="S212" s="3"/>
      <c r="T212" s="36"/>
      <c r="U212" s="36"/>
      <c r="V212" s="36"/>
      <c r="W212" s="36"/>
      <c r="X212" s="36"/>
      <c r="Y212" s="36"/>
      <c r="Z212" s="36"/>
    </row>
    <row r="213" spans="1:26" ht="14">
      <c r="A213" s="169">
        <v>42515</v>
      </c>
      <c r="B213" s="169" t="s">
        <v>144</v>
      </c>
      <c r="C213" s="176">
        <v>2016</v>
      </c>
      <c r="D213" s="170">
        <v>8</v>
      </c>
      <c r="E213" s="171" t="s">
        <v>223</v>
      </c>
      <c r="F213" s="171" t="s">
        <v>224</v>
      </c>
      <c r="G213" s="171" t="s">
        <v>225</v>
      </c>
      <c r="H213" s="171" t="s">
        <v>248</v>
      </c>
      <c r="I213" s="171" t="s">
        <v>249</v>
      </c>
      <c r="J213" s="171" t="s">
        <v>250</v>
      </c>
      <c r="K213" s="171"/>
      <c r="L213" s="171">
        <v>12</v>
      </c>
      <c r="M213" s="171" t="s">
        <v>229</v>
      </c>
      <c r="N213" s="3" t="s">
        <v>713</v>
      </c>
      <c r="O213" s="171">
        <v>252</v>
      </c>
      <c r="P213" s="171">
        <v>4.7613252008343467</v>
      </c>
      <c r="Q213" s="171">
        <v>250</v>
      </c>
      <c r="R213" s="171"/>
      <c r="S213" s="171"/>
      <c r="T213" s="36"/>
      <c r="U213" s="36"/>
      <c r="V213" s="36"/>
      <c r="W213" s="36"/>
      <c r="X213" s="36"/>
      <c r="Y213" s="36"/>
      <c r="Z213" s="36"/>
    </row>
    <row r="214" spans="1:26" ht="14">
      <c r="A214" s="13">
        <v>42263</v>
      </c>
      <c r="B214" s="35" t="s">
        <v>157</v>
      </c>
      <c r="C214" s="168">
        <v>2015</v>
      </c>
      <c r="D214" s="36">
        <v>4</v>
      </c>
      <c r="E214" s="3" t="s">
        <v>223</v>
      </c>
      <c r="F214" s="3" t="s">
        <v>224</v>
      </c>
      <c r="G214" s="3" t="s">
        <v>225</v>
      </c>
      <c r="H214" s="3" t="s">
        <v>248</v>
      </c>
      <c r="I214" s="3" t="s">
        <v>249</v>
      </c>
      <c r="J214" s="3" t="s">
        <v>250</v>
      </c>
      <c r="K214" s="3"/>
      <c r="L214" s="3">
        <v>2</v>
      </c>
      <c r="M214" s="3" t="s">
        <v>229</v>
      </c>
      <c r="N214" s="3" t="s">
        <v>713</v>
      </c>
      <c r="O214" s="3">
        <v>161</v>
      </c>
      <c r="P214" s="65">
        <v>1.2400728365425444</v>
      </c>
      <c r="Q214" s="51">
        <v>250</v>
      </c>
      <c r="R214" s="51"/>
      <c r="S214" s="51"/>
      <c r="T214" s="65"/>
      <c r="U214" s="36"/>
      <c r="V214" s="36"/>
      <c r="W214" s="36"/>
      <c r="X214" s="36"/>
      <c r="Y214" s="36"/>
      <c r="Z214" s="36"/>
    </row>
    <row r="215" spans="1:26" ht="14">
      <c r="A215" s="71">
        <v>42263</v>
      </c>
      <c r="B215" s="35" t="s">
        <v>157</v>
      </c>
      <c r="C215" s="168">
        <v>2015</v>
      </c>
      <c r="D215" s="36">
        <v>5</v>
      </c>
      <c r="E215" s="3" t="s">
        <v>223</v>
      </c>
      <c r="F215" s="3" t="s">
        <v>224</v>
      </c>
      <c r="G215" s="3" t="s">
        <v>225</v>
      </c>
      <c r="H215" s="3" t="s">
        <v>248</v>
      </c>
      <c r="I215" s="3" t="s">
        <v>249</v>
      </c>
      <c r="J215" s="3" t="s">
        <v>250</v>
      </c>
      <c r="K215" s="3"/>
      <c r="L215" s="36">
        <v>3</v>
      </c>
      <c r="M215" s="3" t="s">
        <v>229</v>
      </c>
      <c r="N215" s="3" t="s">
        <v>713</v>
      </c>
      <c r="O215" s="3">
        <v>222</v>
      </c>
      <c r="P215" s="36">
        <v>1.35096937732413</v>
      </c>
      <c r="Q215" s="36">
        <v>250</v>
      </c>
      <c r="R215" s="3"/>
      <c r="S215" s="3"/>
      <c r="T215" s="36"/>
      <c r="U215" s="36"/>
      <c r="V215" s="36"/>
      <c r="W215" s="36"/>
      <c r="X215" s="36"/>
      <c r="Y215" s="36"/>
      <c r="Z215" s="36"/>
    </row>
    <row r="216" spans="1:26" ht="14">
      <c r="A216" s="71">
        <v>42263</v>
      </c>
      <c r="B216" s="72" t="s">
        <v>157</v>
      </c>
      <c r="C216" s="168">
        <v>2015</v>
      </c>
      <c r="D216" s="65">
        <v>8</v>
      </c>
      <c r="E216" s="3" t="s">
        <v>223</v>
      </c>
      <c r="F216" s="3" t="s">
        <v>224</v>
      </c>
      <c r="G216" s="3" t="s">
        <v>225</v>
      </c>
      <c r="H216" s="3" t="s">
        <v>248</v>
      </c>
      <c r="I216" s="3" t="s">
        <v>249</v>
      </c>
      <c r="J216" s="3" t="s">
        <v>250</v>
      </c>
      <c r="K216" s="3"/>
      <c r="L216" s="3">
        <v>4</v>
      </c>
      <c r="M216" s="3" t="s">
        <v>229</v>
      </c>
      <c r="N216" s="3" t="s">
        <v>713</v>
      </c>
      <c r="O216" s="3">
        <v>244</v>
      </c>
      <c r="P216" s="36">
        <v>1.639344262295082</v>
      </c>
      <c r="Q216" s="36">
        <v>250</v>
      </c>
      <c r="R216" s="3"/>
      <c r="S216" s="3"/>
      <c r="T216" s="36"/>
      <c r="U216" s="36"/>
      <c r="V216" s="36"/>
      <c r="W216" s="36"/>
      <c r="X216" s="36"/>
      <c r="Y216" s="36"/>
      <c r="Z216" s="36"/>
    </row>
    <row r="217" spans="1:26" ht="14">
      <c r="A217" s="71">
        <v>42206</v>
      </c>
      <c r="B217" s="72" t="s">
        <v>154</v>
      </c>
      <c r="C217" s="168">
        <v>2015</v>
      </c>
      <c r="D217" s="36">
        <v>4</v>
      </c>
      <c r="E217" s="51" t="s">
        <v>223</v>
      </c>
      <c r="F217" s="51" t="s">
        <v>224</v>
      </c>
      <c r="G217" s="51" t="s">
        <v>225</v>
      </c>
      <c r="H217" s="51" t="s">
        <v>248</v>
      </c>
      <c r="I217" s="51" t="s">
        <v>249</v>
      </c>
      <c r="J217" s="51" t="s">
        <v>250</v>
      </c>
      <c r="K217" s="3"/>
      <c r="L217" s="3">
        <v>2</v>
      </c>
      <c r="M217" s="3" t="s">
        <v>229</v>
      </c>
      <c r="N217" s="3" t="s">
        <v>713</v>
      </c>
      <c r="O217" s="3">
        <v>273</v>
      </c>
      <c r="P217" s="65">
        <v>0.72278170503410832</v>
      </c>
      <c r="Q217" s="51">
        <v>250</v>
      </c>
      <c r="R217" s="51"/>
      <c r="S217" s="51"/>
      <c r="T217" s="65"/>
      <c r="U217" s="36"/>
      <c r="V217" s="36"/>
      <c r="W217" s="36"/>
      <c r="X217" s="36"/>
      <c r="Y217" s="36"/>
      <c r="Z217" s="36"/>
    </row>
    <row r="218" spans="1:26" ht="14">
      <c r="A218" s="71">
        <v>42206</v>
      </c>
      <c r="B218" s="35" t="s">
        <v>154</v>
      </c>
      <c r="C218" s="168">
        <v>2015</v>
      </c>
      <c r="D218" s="36">
        <v>5</v>
      </c>
      <c r="E218" s="65" t="s">
        <v>223</v>
      </c>
      <c r="F218" s="65" t="s">
        <v>224</v>
      </c>
      <c r="G218" s="65" t="s">
        <v>225</v>
      </c>
      <c r="H218" s="65" t="s">
        <v>248</v>
      </c>
      <c r="I218" s="65" t="s">
        <v>249</v>
      </c>
      <c r="J218" s="36" t="s">
        <v>250</v>
      </c>
      <c r="K218" s="36"/>
      <c r="L218" s="36">
        <v>2</v>
      </c>
      <c r="M218" s="36" t="s">
        <v>229</v>
      </c>
      <c r="N218" s="3" t="s">
        <v>713</v>
      </c>
      <c r="O218" s="3">
        <v>251</v>
      </c>
      <c r="P218" s="65">
        <v>0.79663125880138019</v>
      </c>
      <c r="Q218" s="36">
        <v>250</v>
      </c>
      <c r="R218" s="3"/>
      <c r="S218" s="3"/>
      <c r="T218" s="36"/>
      <c r="U218" s="36"/>
      <c r="V218" s="36"/>
      <c r="W218" s="36"/>
      <c r="X218" s="36"/>
      <c r="Y218" s="36"/>
      <c r="Z218" s="36"/>
    </row>
    <row r="219" spans="1:26" ht="14">
      <c r="A219" s="71">
        <v>42206</v>
      </c>
      <c r="B219" s="35" t="s">
        <v>154</v>
      </c>
      <c r="C219" s="168">
        <v>2015</v>
      </c>
      <c r="D219" s="65">
        <v>8</v>
      </c>
      <c r="E219" s="3" t="s">
        <v>223</v>
      </c>
      <c r="F219" s="3" t="s">
        <v>224</v>
      </c>
      <c r="G219" s="3" t="s">
        <v>225</v>
      </c>
      <c r="H219" s="3" t="s">
        <v>248</v>
      </c>
      <c r="I219" s="3" t="s">
        <v>249</v>
      </c>
      <c r="J219" s="3" t="s">
        <v>250</v>
      </c>
      <c r="K219" s="3"/>
      <c r="L219" s="3">
        <v>26</v>
      </c>
      <c r="M219" s="3" t="s">
        <v>229</v>
      </c>
      <c r="N219" s="3" t="s">
        <v>713</v>
      </c>
      <c r="O219" s="3">
        <v>199</v>
      </c>
      <c r="P219" s="65">
        <v>13.05398242542247</v>
      </c>
      <c r="Q219" s="3">
        <v>250</v>
      </c>
      <c r="R219" s="3"/>
      <c r="S219" s="3"/>
      <c r="T219" s="36"/>
      <c r="U219" s="36"/>
      <c r="V219" s="36"/>
      <c r="W219" s="36"/>
      <c r="X219" s="36"/>
      <c r="Y219" s="36"/>
      <c r="Z219" s="36"/>
    </row>
    <row r="220" spans="1:26" ht="14">
      <c r="A220" s="71">
        <v>42144</v>
      </c>
      <c r="B220" s="72" t="s">
        <v>144</v>
      </c>
      <c r="C220" s="168">
        <v>2015</v>
      </c>
      <c r="D220" s="65">
        <v>2</v>
      </c>
      <c r="E220" s="3" t="s">
        <v>223</v>
      </c>
      <c r="F220" s="3" t="s">
        <v>224</v>
      </c>
      <c r="G220" s="3" t="s">
        <v>225</v>
      </c>
      <c r="H220" s="3" t="s">
        <v>248</v>
      </c>
      <c r="I220" s="3" t="s">
        <v>249</v>
      </c>
      <c r="J220" s="3" t="s">
        <v>250</v>
      </c>
      <c r="K220" s="3"/>
      <c r="L220" s="3">
        <v>1</v>
      </c>
      <c r="M220" s="3" t="s">
        <v>229</v>
      </c>
      <c r="N220" s="3" t="s">
        <v>713</v>
      </c>
      <c r="O220" s="3">
        <v>333</v>
      </c>
      <c r="P220" s="65">
        <v>0.30022231204405447</v>
      </c>
      <c r="Q220" s="36">
        <v>250</v>
      </c>
      <c r="R220" s="3" t="s">
        <v>503</v>
      </c>
      <c r="S220" s="3"/>
      <c r="T220" s="36"/>
      <c r="U220" s="36"/>
      <c r="V220" s="36"/>
      <c r="W220" s="36"/>
      <c r="X220" s="36"/>
      <c r="Y220" s="36"/>
      <c r="Z220" s="36"/>
    </row>
    <row r="221" spans="1:26" ht="14">
      <c r="A221" s="35">
        <v>42144</v>
      </c>
      <c r="B221" s="72" t="s">
        <v>144</v>
      </c>
      <c r="C221" s="168">
        <v>2015</v>
      </c>
      <c r="D221" s="36">
        <v>4</v>
      </c>
      <c r="E221" s="36" t="s">
        <v>223</v>
      </c>
      <c r="F221" s="36" t="s">
        <v>224</v>
      </c>
      <c r="G221" s="36" t="s">
        <v>225</v>
      </c>
      <c r="H221" s="36" t="s">
        <v>248</v>
      </c>
      <c r="I221" s="36" t="s">
        <v>249</v>
      </c>
      <c r="J221" s="36" t="s">
        <v>250</v>
      </c>
      <c r="K221" s="36"/>
      <c r="L221" s="36">
        <v>5</v>
      </c>
      <c r="M221" s="36" t="s">
        <v>229</v>
      </c>
      <c r="N221" s="3" t="s">
        <v>713</v>
      </c>
      <c r="O221" s="36">
        <v>229</v>
      </c>
      <c r="P221" s="65">
        <v>2.1814583908417413</v>
      </c>
      <c r="Q221" s="36">
        <v>250</v>
      </c>
      <c r="R221" s="36"/>
      <c r="S221" s="36"/>
      <c r="T221" s="36"/>
      <c r="U221" s="36"/>
      <c r="V221" s="36"/>
      <c r="W221" s="36"/>
      <c r="X221" s="36"/>
      <c r="Y221" s="36"/>
      <c r="Z221" s="36"/>
    </row>
    <row r="222" spans="1:26" ht="14">
      <c r="A222" s="72">
        <v>42144</v>
      </c>
      <c r="B222" s="72" t="s">
        <v>144</v>
      </c>
      <c r="C222" s="168">
        <v>2015</v>
      </c>
      <c r="D222" s="36">
        <v>5</v>
      </c>
      <c r="E222" s="65" t="s">
        <v>223</v>
      </c>
      <c r="F222" s="65" t="s">
        <v>224</v>
      </c>
      <c r="G222" s="65" t="s">
        <v>225</v>
      </c>
      <c r="H222" s="65" t="s">
        <v>248</v>
      </c>
      <c r="I222" s="65" t="s">
        <v>249</v>
      </c>
      <c r="J222" s="65" t="s">
        <v>250</v>
      </c>
      <c r="K222" s="36"/>
      <c r="L222" s="36">
        <v>15</v>
      </c>
      <c r="M222" s="36" t="s">
        <v>229</v>
      </c>
      <c r="N222" s="3" t="s">
        <v>713</v>
      </c>
      <c r="O222" s="36">
        <v>327</v>
      </c>
      <c r="P222" s="36">
        <v>4.5854683809064625</v>
      </c>
      <c r="Q222" s="36">
        <v>250</v>
      </c>
      <c r="R222" s="36"/>
      <c r="S222" s="36"/>
      <c r="T222" s="36"/>
      <c r="U222" s="36"/>
      <c r="V222" s="36"/>
      <c r="W222" s="36"/>
      <c r="X222" s="36"/>
      <c r="Y222" s="36"/>
      <c r="Z222" s="36"/>
    </row>
    <row r="223" spans="1:26" ht="14">
      <c r="A223" s="13">
        <v>41912</v>
      </c>
      <c r="B223" s="72" t="s">
        <v>157</v>
      </c>
      <c r="C223" s="168">
        <v>2014</v>
      </c>
      <c r="D223" s="36">
        <v>5</v>
      </c>
      <c r="E223" s="3" t="s">
        <v>223</v>
      </c>
      <c r="F223" s="3" t="s">
        <v>224</v>
      </c>
      <c r="G223" s="3" t="s">
        <v>225</v>
      </c>
      <c r="H223" s="3" t="s">
        <v>248</v>
      </c>
      <c r="I223" s="3" t="s">
        <v>249</v>
      </c>
      <c r="J223" s="3" t="s">
        <v>250</v>
      </c>
      <c r="K223" s="3"/>
      <c r="L223" s="3">
        <v>1</v>
      </c>
      <c r="M223" s="3" t="s">
        <v>229</v>
      </c>
      <c r="N223" s="3" t="s">
        <v>713</v>
      </c>
      <c r="O223" s="3">
        <v>216</v>
      </c>
      <c r="P223" s="36">
        <v>0.46205433924743899</v>
      </c>
      <c r="Q223" s="36">
        <v>250</v>
      </c>
      <c r="R223" s="3"/>
      <c r="S223" s="3"/>
      <c r="T223" s="36"/>
      <c r="U223" s="36"/>
      <c r="V223" s="36"/>
      <c r="W223" s="36"/>
      <c r="X223" s="36"/>
      <c r="Y223" s="36"/>
      <c r="Z223" s="36"/>
    </row>
    <row r="224" spans="1:26" ht="14">
      <c r="A224" s="13">
        <v>41912</v>
      </c>
      <c r="B224" s="35" t="s">
        <v>157</v>
      </c>
      <c r="C224" s="168">
        <v>2014</v>
      </c>
      <c r="D224" s="65">
        <v>8</v>
      </c>
      <c r="E224" s="51" t="s">
        <v>223</v>
      </c>
      <c r="F224" s="51" t="s">
        <v>224</v>
      </c>
      <c r="G224" s="51" t="s">
        <v>225</v>
      </c>
      <c r="H224" s="51" t="s">
        <v>248</v>
      </c>
      <c r="I224" s="51" t="s">
        <v>249</v>
      </c>
      <c r="J224" s="3" t="s">
        <v>250</v>
      </c>
      <c r="K224" s="3"/>
      <c r="L224" s="3">
        <v>1</v>
      </c>
      <c r="M224" s="3" t="s">
        <v>229</v>
      </c>
      <c r="N224" s="3" t="s">
        <v>713</v>
      </c>
      <c r="O224" s="3">
        <v>217</v>
      </c>
      <c r="P224" s="36">
        <v>0.46067485768610789</v>
      </c>
      <c r="Q224" s="36">
        <v>250</v>
      </c>
      <c r="R224" s="3"/>
      <c r="S224" s="3"/>
      <c r="T224" s="36"/>
      <c r="U224" s="36"/>
      <c r="V224" s="36"/>
      <c r="W224" s="36"/>
      <c r="X224" s="36"/>
      <c r="Y224" s="36"/>
      <c r="Z224" s="36"/>
    </row>
    <row r="225" spans="1:37" ht="20.25" customHeight="1">
      <c r="A225" s="71">
        <v>41851</v>
      </c>
      <c r="B225" s="35" t="s">
        <v>154</v>
      </c>
      <c r="C225" s="168">
        <v>2014</v>
      </c>
      <c r="D225" s="36">
        <v>4</v>
      </c>
      <c r="E225" s="3" t="s">
        <v>223</v>
      </c>
      <c r="F225" s="3" t="s">
        <v>224</v>
      </c>
      <c r="G225" s="3" t="s">
        <v>225</v>
      </c>
      <c r="H225" s="3" t="s">
        <v>248</v>
      </c>
      <c r="I225" s="3" t="s">
        <v>249</v>
      </c>
      <c r="J225" s="3" t="s">
        <v>250</v>
      </c>
      <c r="K225" s="3"/>
      <c r="L225" s="3">
        <v>3</v>
      </c>
      <c r="M225" s="3" t="s">
        <v>229</v>
      </c>
      <c r="N225" s="3" t="s">
        <v>713</v>
      </c>
      <c r="O225" s="3">
        <v>188</v>
      </c>
      <c r="P225" s="65">
        <v>1.5538846035074569</v>
      </c>
      <c r="Q225" s="36">
        <v>250</v>
      </c>
      <c r="R225" s="3"/>
      <c r="S225" s="3"/>
      <c r="T225" s="36"/>
      <c r="U225" s="36"/>
      <c r="V225" s="36"/>
      <c r="W225" s="36"/>
      <c r="X225" s="36"/>
      <c r="Y225" s="36"/>
      <c r="Z225" s="36"/>
    </row>
    <row r="226" spans="1:37" ht="20.25" customHeight="1">
      <c r="A226" s="71">
        <v>41851</v>
      </c>
      <c r="B226" s="72" t="s">
        <v>154</v>
      </c>
      <c r="C226" s="168">
        <v>2014</v>
      </c>
      <c r="D226" s="36">
        <v>5</v>
      </c>
      <c r="E226" s="3" t="s">
        <v>223</v>
      </c>
      <c r="F226" s="3" t="s">
        <v>224</v>
      </c>
      <c r="G226" s="3" t="s">
        <v>225</v>
      </c>
      <c r="H226" s="3" t="s">
        <v>248</v>
      </c>
      <c r="I226" s="3" t="s">
        <v>249</v>
      </c>
      <c r="J226" s="3" t="s">
        <v>250</v>
      </c>
      <c r="K226" s="3" t="s">
        <v>501</v>
      </c>
      <c r="L226" s="3">
        <v>6</v>
      </c>
      <c r="M226" s="3" t="s">
        <v>247</v>
      </c>
      <c r="N226" s="3" t="s">
        <v>713</v>
      </c>
      <c r="O226" s="3">
        <v>205</v>
      </c>
      <c r="P226" s="65">
        <v>2.9067973447404247</v>
      </c>
      <c r="Q226" s="36">
        <v>250</v>
      </c>
      <c r="R226" s="3"/>
      <c r="S226" s="3"/>
      <c r="T226" s="36"/>
      <c r="U226" s="36"/>
      <c r="V226" s="36"/>
      <c r="W226" s="36"/>
      <c r="X226" s="36"/>
      <c r="Y226" s="36"/>
      <c r="Z226" s="36"/>
    </row>
    <row r="227" spans="1:37" ht="20.25" customHeight="1">
      <c r="A227" s="13">
        <v>41851</v>
      </c>
      <c r="B227" s="35" t="s">
        <v>154</v>
      </c>
      <c r="C227" s="168">
        <v>2014</v>
      </c>
      <c r="D227" s="65">
        <v>8</v>
      </c>
      <c r="E227" s="51" t="s">
        <v>223</v>
      </c>
      <c r="F227" s="51" t="s">
        <v>224</v>
      </c>
      <c r="G227" s="51" t="s">
        <v>225</v>
      </c>
      <c r="H227" s="51" t="s">
        <v>248</v>
      </c>
      <c r="I227" s="51" t="s">
        <v>249</v>
      </c>
      <c r="J227" s="3" t="s">
        <v>250</v>
      </c>
      <c r="K227" s="3" t="s">
        <v>501</v>
      </c>
      <c r="L227" s="3">
        <v>18</v>
      </c>
      <c r="M227" s="3" t="s">
        <v>247</v>
      </c>
      <c r="N227" s="3" t="s">
        <v>713</v>
      </c>
      <c r="O227" s="3">
        <v>237</v>
      </c>
      <c r="P227" s="65">
        <v>7.5922156855680543</v>
      </c>
      <c r="Q227" s="36">
        <v>250</v>
      </c>
      <c r="R227" s="3"/>
      <c r="S227" s="3"/>
      <c r="T227" s="36"/>
      <c r="U227" s="36"/>
      <c r="V227" s="36"/>
      <c r="W227" s="36"/>
      <c r="X227" s="36"/>
      <c r="Y227" s="36"/>
      <c r="Z227" s="36"/>
    </row>
    <row r="228" spans="1:37" ht="20.25" customHeight="1">
      <c r="A228" s="13">
        <v>41761</v>
      </c>
      <c r="B228" s="72" t="s">
        <v>144</v>
      </c>
      <c r="C228" s="168">
        <v>2014</v>
      </c>
      <c r="D228" s="65">
        <v>4</v>
      </c>
      <c r="E228" s="3" t="s">
        <v>223</v>
      </c>
      <c r="F228" s="3" t="s">
        <v>224</v>
      </c>
      <c r="G228" s="3" t="s">
        <v>225</v>
      </c>
      <c r="H228" s="3" t="s">
        <v>248</v>
      </c>
      <c r="I228" s="3" t="s">
        <v>249</v>
      </c>
      <c r="J228" s="3" t="s">
        <v>250</v>
      </c>
      <c r="K228" s="3"/>
      <c r="L228" s="3">
        <v>17</v>
      </c>
      <c r="M228" s="3" t="s">
        <v>229</v>
      </c>
      <c r="N228" s="3" t="s">
        <v>713</v>
      </c>
      <c r="O228" s="3">
        <v>256</v>
      </c>
      <c r="P228" s="36">
        <v>6.4819618401226995</v>
      </c>
      <c r="Q228" s="36">
        <v>250</v>
      </c>
      <c r="R228" s="3"/>
      <c r="S228" s="3"/>
      <c r="T228" s="36"/>
      <c r="U228" s="36"/>
      <c r="V228" s="36"/>
      <c r="W228" s="36"/>
      <c r="X228" s="36"/>
      <c r="Y228" s="36"/>
      <c r="Z228" s="36"/>
    </row>
    <row r="229" spans="1:37" ht="20.25" customHeight="1">
      <c r="A229" s="13">
        <v>41761</v>
      </c>
      <c r="B229" s="72" t="s">
        <v>144</v>
      </c>
      <c r="C229" s="168">
        <v>2014</v>
      </c>
      <c r="D229" s="65">
        <v>5</v>
      </c>
      <c r="E229" s="51" t="s">
        <v>223</v>
      </c>
      <c r="F229" s="51" t="s">
        <v>224</v>
      </c>
      <c r="G229" s="51" t="s">
        <v>225</v>
      </c>
      <c r="H229" s="51" t="s">
        <v>248</v>
      </c>
      <c r="I229" s="51" t="s">
        <v>249</v>
      </c>
      <c r="J229" s="3" t="s">
        <v>250</v>
      </c>
      <c r="K229" s="3"/>
      <c r="L229" s="3">
        <v>11</v>
      </c>
      <c r="M229" s="3" t="s">
        <v>229</v>
      </c>
      <c r="N229" s="3" t="s">
        <v>713</v>
      </c>
      <c r="O229" s="3">
        <v>300</v>
      </c>
      <c r="P229" s="65">
        <v>3.6590319862437033</v>
      </c>
      <c r="Q229" s="62">
        <v>250</v>
      </c>
      <c r="R229" s="157"/>
      <c r="S229" s="157"/>
      <c r="T229" s="62"/>
      <c r="U229" s="62"/>
      <c r="V229" s="62"/>
      <c r="W229" s="62"/>
      <c r="X229" s="62"/>
      <c r="Y229" s="62"/>
      <c r="Z229" s="62"/>
      <c r="AA229" s="62"/>
      <c r="AB229" s="62"/>
      <c r="AC229" s="36"/>
      <c r="AD229" s="36"/>
      <c r="AE229" s="36"/>
      <c r="AF229" s="36"/>
      <c r="AG229" s="36"/>
      <c r="AH229" s="36"/>
      <c r="AI229" s="36"/>
      <c r="AJ229" s="36"/>
      <c r="AK229" s="36"/>
    </row>
    <row r="230" spans="1:37" ht="20.25" customHeight="1">
      <c r="A230" s="13">
        <v>41761</v>
      </c>
      <c r="B230" s="72" t="s">
        <v>144</v>
      </c>
      <c r="C230" s="168">
        <v>2014</v>
      </c>
      <c r="D230" s="65">
        <v>8</v>
      </c>
      <c r="E230" s="51" t="s">
        <v>223</v>
      </c>
      <c r="F230" s="51" t="s">
        <v>224</v>
      </c>
      <c r="G230" s="51" t="s">
        <v>225</v>
      </c>
      <c r="H230" s="51" t="s">
        <v>248</v>
      </c>
      <c r="I230" s="51" t="s">
        <v>249</v>
      </c>
      <c r="J230" s="51" t="s">
        <v>250</v>
      </c>
      <c r="K230" s="3"/>
      <c r="L230" s="3">
        <v>7</v>
      </c>
      <c r="M230" s="3" t="s">
        <v>229</v>
      </c>
      <c r="N230" s="3" t="s">
        <v>713</v>
      </c>
      <c r="O230" s="3">
        <v>129</v>
      </c>
      <c r="P230" s="36">
        <v>5.4121772688497822</v>
      </c>
      <c r="Q230" s="157">
        <v>250</v>
      </c>
      <c r="R230" s="157"/>
      <c r="S230" s="157"/>
      <c r="T230" s="62"/>
      <c r="U230" s="62"/>
      <c r="V230" s="62"/>
      <c r="W230" s="62"/>
      <c r="X230" s="62"/>
      <c r="Y230" s="62"/>
      <c r="Z230" s="62"/>
      <c r="AA230" s="62"/>
      <c r="AB230" s="62"/>
      <c r="AC230" s="36"/>
      <c r="AD230" s="36"/>
      <c r="AE230" s="36"/>
      <c r="AF230" s="36"/>
      <c r="AG230" s="36"/>
      <c r="AH230" s="36"/>
      <c r="AI230" s="36"/>
      <c r="AJ230" s="36"/>
      <c r="AK230" s="36"/>
    </row>
    <row r="231" spans="1:37" ht="20.25" customHeight="1">
      <c r="A231" s="13">
        <v>41542</v>
      </c>
      <c r="B231" s="72" t="s">
        <v>157</v>
      </c>
      <c r="C231" s="168">
        <v>2013</v>
      </c>
      <c r="D231" s="51">
        <v>2</v>
      </c>
      <c r="E231" s="3" t="s">
        <v>223</v>
      </c>
      <c r="F231" s="3" t="s">
        <v>224</v>
      </c>
      <c r="G231" s="3" t="s">
        <v>225</v>
      </c>
      <c r="H231" s="3" t="s">
        <v>248</v>
      </c>
      <c r="I231" s="3" t="s">
        <v>249</v>
      </c>
      <c r="J231" s="3" t="s">
        <v>250</v>
      </c>
      <c r="K231" s="3" t="s">
        <v>251</v>
      </c>
      <c r="L231" s="34">
        <v>5</v>
      </c>
      <c r="M231" s="34" t="s">
        <v>247</v>
      </c>
      <c r="N231" s="3" t="s">
        <v>713</v>
      </c>
      <c r="O231" s="3">
        <v>110</v>
      </c>
      <c r="P231" s="36">
        <v>4.5045106108769692</v>
      </c>
      <c r="Q231" s="157">
        <v>250</v>
      </c>
      <c r="R231" s="157"/>
      <c r="S231" s="157"/>
      <c r="T231" s="62"/>
      <c r="U231" s="62"/>
      <c r="V231" s="62"/>
      <c r="W231" s="62"/>
      <c r="X231" s="62"/>
      <c r="Y231" s="62"/>
      <c r="Z231" s="62"/>
      <c r="AA231" s="62"/>
      <c r="AB231" s="62"/>
      <c r="AC231" s="36"/>
      <c r="AD231" s="36"/>
      <c r="AE231" s="36"/>
      <c r="AF231" s="36"/>
      <c r="AG231" s="36"/>
      <c r="AH231" s="36"/>
      <c r="AI231" s="36"/>
      <c r="AJ231" s="36"/>
      <c r="AK231" s="36"/>
    </row>
    <row r="232" spans="1:37" ht="20.25" customHeight="1">
      <c r="A232" s="13">
        <v>41542</v>
      </c>
      <c r="B232" s="72" t="s">
        <v>157</v>
      </c>
      <c r="C232" s="168">
        <v>2013</v>
      </c>
      <c r="D232" s="51">
        <v>4</v>
      </c>
      <c r="E232" s="3" t="s">
        <v>223</v>
      </c>
      <c r="F232" s="3" t="s">
        <v>224</v>
      </c>
      <c r="G232" s="3" t="s">
        <v>225</v>
      </c>
      <c r="H232" s="3" t="s">
        <v>248</v>
      </c>
      <c r="I232" s="3" t="s">
        <v>249</v>
      </c>
      <c r="J232" s="3" t="s">
        <v>250</v>
      </c>
      <c r="K232" s="3" t="s">
        <v>251</v>
      </c>
      <c r="L232" s="3">
        <v>7</v>
      </c>
      <c r="M232" s="3" t="s">
        <v>247</v>
      </c>
      <c r="N232" s="3" t="s">
        <v>713</v>
      </c>
      <c r="O232" s="3">
        <v>159</v>
      </c>
      <c r="P232" s="36">
        <v>4.3544363676044817</v>
      </c>
      <c r="Q232" s="157">
        <v>250</v>
      </c>
      <c r="R232" s="157"/>
      <c r="S232" s="157"/>
      <c r="T232" s="62"/>
      <c r="U232" s="62"/>
      <c r="V232" s="62"/>
      <c r="W232" s="62"/>
      <c r="X232" s="62"/>
      <c r="Y232" s="62"/>
      <c r="Z232" s="62"/>
      <c r="AA232" s="62"/>
      <c r="AB232" s="62"/>
      <c r="AC232" s="36"/>
      <c r="AD232" s="36"/>
      <c r="AE232" s="36"/>
      <c r="AF232" s="36"/>
      <c r="AG232" s="36"/>
      <c r="AH232" s="36"/>
      <c r="AI232" s="36"/>
      <c r="AJ232" s="36"/>
      <c r="AK232" s="36"/>
    </row>
    <row r="233" spans="1:37" ht="20.25" customHeight="1">
      <c r="A233" s="71">
        <v>41542</v>
      </c>
      <c r="B233" s="72" t="s">
        <v>157</v>
      </c>
      <c r="C233" s="168">
        <v>2013</v>
      </c>
      <c r="D233" s="51">
        <v>5</v>
      </c>
      <c r="E233" s="3" t="s">
        <v>223</v>
      </c>
      <c r="F233" s="3" t="s">
        <v>224</v>
      </c>
      <c r="G233" s="3" t="s">
        <v>225</v>
      </c>
      <c r="H233" s="3" t="s">
        <v>248</v>
      </c>
      <c r="I233" s="34" t="s">
        <v>249</v>
      </c>
      <c r="J233" s="34" t="s">
        <v>250</v>
      </c>
      <c r="K233" s="3" t="s">
        <v>251</v>
      </c>
      <c r="L233" s="3">
        <v>22</v>
      </c>
      <c r="M233" s="3" t="s">
        <v>247</v>
      </c>
      <c r="N233" s="3" t="s">
        <v>713</v>
      </c>
      <c r="O233" s="3">
        <v>206</v>
      </c>
      <c r="P233" s="36">
        <v>10.676171438745852</v>
      </c>
      <c r="Q233" s="157">
        <v>250</v>
      </c>
      <c r="R233" s="157"/>
      <c r="S233" s="157"/>
      <c r="T233" s="62"/>
      <c r="U233" s="62"/>
      <c r="V233" s="62"/>
      <c r="W233" s="62"/>
      <c r="X233" s="62"/>
      <c r="Y233" s="62"/>
      <c r="Z233" s="62"/>
      <c r="AA233" s="62"/>
      <c r="AB233" s="62"/>
      <c r="AC233" s="36"/>
      <c r="AD233" s="36"/>
      <c r="AE233" s="36"/>
      <c r="AF233" s="36"/>
      <c r="AG233" s="36"/>
      <c r="AH233" s="36"/>
      <c r="AI233" s="36"/>
      <c r="AJ233" s="36"/>
      <c r="AK233" s="36"/>
    </row>
    <row r="234" spans="1:37" ht="20.25" customHeight="1">
      <c r="A234" s="13">
        <v>41542</v>
      </c>
      <c r="B234" s="72" t="s">
        <v>157</v>
      </c>
      <c r="C234" s="168">
        <v>2013</v>
      </c>
      <c r="D234" s="51">
        <v>8</v>
      </c>
      <c r="E234" s="3" t="s">
        <v>223</v>
      </c>
      <c r="F234" s="3" t="s">
        <v>224</v>
      </c>
      <c r="G234" s="3" t="s">
        <v>225</v>
      </c>
      <c r="H234" s="3" t="s">
        <v>248</v>
      </c>
      <c r="I234" s="34" t="s">
        <v>249</v>
      </c>
      <c r="J234" s="34" t="s">
        <v>250</v>
      </c>
      <c r="K234" s="3" t="s">
        <v>251</v>
      </c>
      <c r="L234" s="3">
        <v>24</v>
      </c>
      <c r="M234" s="3" t="s">
        <v>247</v>
      </c>
      <c r="N234" s="3" t="s">
        <v>713</v>
      </c>
      <c r="O234" s="3">
        <v>183</v>
      </c>
      <c r="P234" s="36">
        <v>13.114355954531376</v>
      </c>
      <c r="Q234" s="157">
        <v>250</v>
      </c>
      <c r="R234" s="157"/>
      <c r="S234" s="157"/>
      <c r="T234" s="62"/>
      <c r="U234" s="62"/>
      <c r="V234" s="62"/>
      <c r="W234" s="62"/>
      <c r="X234" s="62"/>
      <c r="Y234" s="62"/>
      <c r="Z234" s="62"/>
      <c r="AA234" s="62"/>
      <c r="AB234" s="62"/>
      <c r="AC234" s="36"/>
      <c r="AD234" s="36"/>
      <c r="AE234" s="36"/>
      <c r="AF234" s="36"/>
      <c r="AG234" s="36"/>
      <c r="AH234" s="36"/>
      <c r="AI234" s="36"/>
      <c r="AJ234" s="36"/>
      <c r="AK234" s="36"/>
    </row>
    <row r="235" spans="1:37" ht="20.25" customHeight="1">
      <c r="A235" s="72">
        <v>41480</v>
      </c>
      <c r="B235" s="72" t="s">
        <v>154</v>
      </c>
      <c r="C235" s="168">
        <v>2013</v>
      </c>
      <c r="D235" s="65">
        <v>2</v>
      </c>
      <c r="E235" s="36" t="s">
        <v>223</v>
      </c>
      <c r="F235" s="36" t="s">
        <v>224</v>
      </c>
      <c r="G235" s="36" t="s">
        <v>225</v>
      </c>
      <c r="H235" s="36" t="s">
        <v>248</v>
      </c>
      <c r="I235" s="53" t="s">
        <v>249</v>
      </c>
      <c r="J235" s="53" t="s">
        <v>250</v>
      </c>
      <c r="K235" s="36" t="s">
        <v>251</v>
      </c>
      <c r="L235" s="36">
        <v>1</v>
      </c>
      <c r="M235" s="36" t="s">
        <v>247</v>
      </c>
      <c r="N235" s="3" t="s">
        <v>713</v>
      </c>
      <c r="O235" s="36">
        <v>125</v>
      </c>
      <c r="P235" s="36">
        <v>0.79899064842718392</v>
      </c>
      <c r="Q235" s="62">
        <v>250</v>
      </c>
      <c r="R235" s="62"/>
      <c r="S235" s="62"/>
      <c r="T235" s="62"/>
      <c r="U235" s="62"/>
      <c r="V235" s="62"/>
      <c r="W235" s="62"/>
      <c r="X235" s="62"/>
      <c r="Y235" s="62"/>
      <c r="Z235" s="62"/>
      <c r="AA235" s="62"/>
      <c r="AB235" s="62"/>
      <c r="AC235" s="36"/>
      <c r="AD235" s="36"/>
      <c r="AE235" s="36"/>
      <c r="AF235" s="36"/>
      <c r="AG235" s="36"/>
      <c r="AH235" s="36"/>
      <c r="AI235" s="36"/>
      <c r="AJ235" s="36"/>
      <c r="AK235" s="36"/>
    </row>
    <row r="236" spans="1:37" ht="20.25" customHeight="1">
      <c r="A236" s="13">
        <v>41480</v>
      </c>
      <c r="B236" s="72" t="s">
        <v>154</v>
      </c>
      <c r="C236" s="168">
        <v>2013</v>
      </c>
      <c r="D236" s="51">
        <v>4</v>
      </c>
      <c r="E236" s="3" t="s">
        <v>223</v>
      </c>
      <c r="F236" s="3" t="s">
        <v>224</v>
      </c>
      <c r="G236" s="3" t="s">
        <v>225</v>
      </c>
      <c r="H236" s="3" t="s">
        <v>248</v>
      </c>
      <c r="I236" s="3" t="s">
        <v>249</v>
      </c>
      <c r="J236" s="3" t="s">
        <v>250</v>
      </c>
      <c r="K236" s="3" t="s">
        <v>251</v>
      </c>
      <c r="L236" s="3">
        <v>8</v>
      </c>
      <c r="M236" s="3" t="s">
        <v>247</v>
      </c>
      <c r="N236" s="3" t="s">
        <v>713</v>
      </c>
      <c r="O236" s="3">
        <v>124</v>
      </c>
      <c r="P236" s="65">
        <v>6.4338817738506862</v>
      </c>
      <c r="Q236" s="157">
        <v>250</v>
      </c>
      <c r="R236" s="157"/>
      <c r="S236" s="157"/>
      <c r="T236" s="62"/>
      <c r="U236" s="62"/>
      <c r="V236" s="62"/>
      <c r="W236" s="62"/>
      <c r="X236" s="62"/>
      <c r="Y236" s="62"/>
      <c r="Z236" s="62"/>
      <c r="AA236" s="62"/>
      <c r="AB236" s="62"/>
      <c r="AC236" s="36"/>
      <c r="AD236" s="36"/>
      <c r="AE236" s="36"/>
      <c r="AF236" s="36"/>
      <c r="AG236" s="36"/>
      <c r="AH236" s="36"/>
      <c r="AI236" s="36"/>
      <c r="AJ236" s="36"/>
      <c r="AK236" s="36"/>
    </row>
    <row r="237" spans="1:37" ht="20.25" customHeight="1">
      <c r="A237" s="71">
        <v>41480</v>
      </c>
      <c r="B237" s="72" t="s">
        <v>154</v>
      </c>
      <c r="C237" s="168">
        <v>2013</v>
      </c>
      <c r="D237" s="51">
        <v>5</v>
      </c>
      <c r="E237" s="51" t="s">
        <v>223</v>
      </c>
      <c r="F237" s="51" t="s">
        <v>224</v>
      </c>
      <c r="G237" s="51" t="s">
        <v>225</v>
      </c>
      <c r="H237" s="51" t="s">
        <v>248</v>
      </c>
      <c r="I237" s="51" t="s">
        <v>249</v>
      </c>
      <c r="J237" s="3" t="s">
        <v>250</v>
      </c>
      <c r="K237" s="3" t="s">
        <v>251</v>
      </c>
      <c r="L237" s="3">
        <v>4</v>
      </c>
      <c r="M237" s="3" t="s">
        <v>247</v>
      </c>
      <c r="N237" s="3" t="s">
        <v>713</v>
      </c>
      <c r="O237" s="3">
        <v>155</v>
      </c>
      <c r="P237" s="65">
        <v>2.5802812839925862</v>
      </c>
      <c r="Q237" s="157">
        <v>250</v>
      </c>
      <c r="R237" s="157"/>
      <c r="S237" s="157"/>
      <c r="T237" s="62"/>
      <c r="U237" s="62"/>
      <c r="V237" s="62"/>
      <c r="W237" s="62"/>
      <c r="X237" s="62"/>
      <c r="Y237" s="62"/>
      <c r="Z237" s="62"/>
      <c r="AA237" s="62"/>
      <c r="AB237" s="62"/>
      <c r="AC237" s="36"/>
      <c r="AD237" s="36"/>
      <c r="AE237" s="36"/>
      <c r="AF237" s="36"/>
      <c r="AG237" s="36"/>
      <c r="AH237" s="36"/>
      <c r="AI237" s="36"/>
      <c r="AJ237" s="36"/>
      <c r="AK237" s="36"/>
    </row>
    <row r="238" spans="1:37" ht="20.25" customHeight="1">
      <c r="A238" s="13">
        <v>41480</v>
      </c>
      <c r="B238" s="72" t="s">
        <v>154</v>
      </c>
      <c r="C238" s="168">
        <v>2013</v>
      </c>
      <c r="D238" s="51">
        <v>8</v>
      </c>
      <c r="E238" s="51" t="s">
        <v>223</v>
      </c>
      <c r="F238" s="51" t="s">
        <v>224</v>
      </c>
      <c r="G238" s="51" t="s">
        <v>225</v>
      </c>
      <c r="H238" s="51" t="s">
        <v>248</v>
      </c>
      <c r="I238" s="34" t="s">
        <v>249</v>
      </c>
      <c r="J238" s="34" t="s">
        <v>250</v>
      </c>
      <c r="K238" s="3" t="s">
        <v>251</v>
      </c>
      <c r="L238" s="3">
        <v>25</v>
      </c>
      <c r="M238" s="3" t="s">
        <v>247</v>
      </c>
      <c r="N238" s="3" t="s">
        <v>713</v>
      </c>
      <c r="O238" s="3">
        <v>251</v>
      </c>
      <c r="P238" s="36">
        <v>9.9597163506994004</v>
      </c>
      <c r="Q238" s="157">
        <v>250</v>
      </c>
      <c r="R238" s="157"/>
      <c r="S238" s="157"/>
      <c r="T238" s="62"/>
      <c r="U238" s="62"/>
      <c r="V238" s="62"/>
      <c r="W238" s="62"/>
      <c r="X238" s="62"/>
      <c r="Y238" s="62"/>
      <c r="Z238" s="62"/>
      <c r="AA238" s="62"/>
      <c r="AB238" s="62"/>
      <c r="AC238" s="36"/>
      <c r="AD238" s="36"/>
      <c r="AE238" s="36"/>
      <c r="AF238" s="36"/>
      <c r="AG238" s="36"/>
      <c r="AH238" s="36"/>
      <c r="AI238" s="36"/>
      <c r="AJ238" s="36"/>
      <c r="AK238" s="36"/>
    </row>
    <row r="239" spans="1:37" ht="20.25" customHeight="1">
      <c r="A239" s="71">
        <v>41422</v>
      </c>
      <c r="B239" s="72" t="s">
        <v>144</v>
      </c>
      <c r="C239" s="168">
        <v>2013</v>
      </c>
      <c r="D239" s="51">
        <v>4</v>
      </c>
      <c r="E239" s="51" t="s">
        <v>223</v>
      </c>
      <c r="F239" s="51" t="s">
        <v>224</v>
      </c>
      <c r="G239" s="51" t="s">
        <v>225</v>
      </c>
      <c r="H239" s="51" t="s">
        <v>248</v>
      </c>
      <c r="I239" s="34" t="s">
        <v>249</v>
      </c>
      <c r="J239" s="34" t="s">
        <v>250</v>
      </c>
      <c r="K239" s="3" t="s">
        <v>251</v>
      </c>
      <c r="L239" s="3">
        <v>18</v>
      </c>
      <c r="M239" s="3" t="s">
        <v>247</v>
      </c>
      <c r="N239" s="3" t="s">
        <v>713</v>
      </c>
      <c r="O239" s="3">
        <v>106</v>
      </c>
      <c r="P239" s="65">
        <v>16.956083202738657</v>
      </c>
      <c r="Q239" s="157">
        <v>250</v>
      </c>
      <c r="R239" s="157"/>
      <c r="S239" s="157"/>
      <c r="T239" s="62"/>
      <c r="U239" s="62"/>
      <c r="V239" s="62"/>
      <c r="W239" s="62"/>
      <c r="X239" s="62"/>
      <c r="Y239" s="62"/>
      <c r="Z239" s="62"/>
      <c r="AA239" s="62"/>
      <c r="AB239" s="62"/>
      <c r="AC239" s="36"/>
      <c r="AD239" s="36"/>
      <c r="AE239" s="36"/>
      <c r="AF239" s="36"/>
      <c r="AG239" s="36"/>
      <c r="AH239" s="36"/>
      <c r="AI239" s="36"/>
      <c r="AJ239" s="36"/>
      <c r="AK239" s="36"/>
    </row>
    <row r="240" spans="1:37" ht="20.25" customHeight="1">
      <c r="A240" s="71">
        <v>41422</v>
      </c>
      <c r="B240" s="72" t="s">
        <v>144</v>
      </c>
      <c r="C240" s="168">
        <v>2013</v>
      </c>
      <c r="D240" s="51">
        <v>5</v>
      </c>
      <c r="E240" s="51" t="s">
        <v>223</v>
      </c>
      <c r="F240" s="51" t="s">
        <v>224</v>
      </c>
      <c r="G240" s="51" t="s">
        <v>225</v>
      </c>
      <c r="H240" s="51" t="s">
        <v>248</v>
      </c>
      <c r="I240" s="34" t="s">
        <v>249</v>
      </c>
      <c r="J240" s="34" t="s">
        <v>250</v>
      </c>
      <c r="K240" s="3" t="s">
        <v>251</v>
      </c>
      <c r="L240" s="3">
        <v>15</v>
      </c>
      <c r="M240" s="3" t="s">
        <v>247</v>
      </c>
      <c r="N240" s="3" t="s">
        <v>713</v>
      </c>
      <c r="O240" s="3">
        <v>120</v>
      </c>
      <c r="P240" s="36">
        <v>12.5</v>
      </c>
      <c r="Q240" s="157">
        <v>250</v>
      </c>
      <c r="R240" s="157"/>
      <c r="S240" s="157"/>
      <c r="T240" s="62"/>
      <c r="U240" s="62"/>
      <c r="V240" s="62"/>
      <c r="W240" s="62"/>
      <c r="X240" s="62"/>
      <c r="Y240" s="62"/>
      <c r="Z240" s="62"/>
      <c r="AA240" s="62"/>
      <c r="AB240" s="62"/>
      <c r="AC240" s="36"/>
      <c r="AD240" s="36"/>
      <c r="AE240" s="36"/>
      <c r="AF240" s="36"/>
      <c r="AG240" s="36"/>
      <c r="AH240" s="36"/>
      <c r="AI240" s="36"/>
      <c r="AJ240" s="36"/>
      <c r="AK240" s="36"/>
    </row>
    <row r="241" spans="1:37" ht="20.25" customHeight="1">
      <c r="A241" s="13">
        <v>41422</v>
      </c>
      <c r="B241" s="35" t="s">
        <v>144</v>
      </c>
      <c r="C241" s="168">
        <v>2013</v>
      </c>
      <c r="D241" s="51">
        <v>8</v>
      </c>
      <c r="E241" s="3" t="s">
        <v>223</v>
      </c>
      <c r="F241" s="3" t="s">
        <v>224</v>
      </c>
      <c r="G241" s="3" t="s">
        <v>225</v>
      </c>
      <c r="H241" s="3" t="s">
        <v>248</v>
      </c>
      <c r="I241" s="3" t="s">
        <v>249</v>
      </c>
      <c r="J241" s="3" t="s">
        <v>250</v>
      </c>
      <c r="K241" s="3" t="s">
        <v>251</v>
      </c>
      <c r="L241" s="3">
        <v>20</v>
      </c>
      <c r="M241" s="3" t="s">
        <v>247</v>
      </c>
      <c r="N241" s="3" t="s">
        <v>713</v>
      </c>
      <c r="O241" s="3">
        <v>89</v>
      </c>
      <c r="P241" s="65">
        <v>22.466196971623198</v>
      </c>
      <c r="Q241" s="157">
        <v>250</v>
      </c>
      <c r="R241" s="157" t="s">
        <v>252</v>
      </c>
      <c r="S241" s="157"/>
      <c r="T241" s="62"/>
      <c r="U241" s="62"/>
      <c r="V241" s="62" t="e">
        <f>(#REF!/100)</f>
        <v>#REF!</v>
      </c>
      <c r="W241" s="62" t="e">
        <f t="shared" ref="W241" si="0">LN(V241)</f>
        <v>#REF!</v>
      </c>
      <c r="X241" s="62" t="e">
        <f t="shared" ref="X241" si="1">(V241*W241)</f>
        <v>#REF!</v>
      </c>
      <c r="Y241" s="62"/>
      <c r="Z241" s="62"/>
      <c r="AA241" s="62"/>
      <c r="AB241" s="62"/>
      <c r="AC241" s="36"/>
      <c r="AD241" s="36"/>
      <c r="AE241" s="36"/>
      <c r="AF241" s="36"/>
      <c r="AG241" s="36"/>
      <c r="AH241" s="36"/>
      <c r="AI241" s="36"/>
      <c r="AJ241" s="36"/>
      <c r="AK241" s="36"/>
    </row>
    <row r="242" spans="1:37" ht="20.25" customHeight="1">
      <c r="A242" s="13">
        <v>43019</v>
      </c>
      <c r="B242" s="72" t="s">
        <v>159</v>
      </c>
      <c r="C242" s="168">
        <v>2017</v>
      </c>
      <c r="D242" s="65">
        <v>4</v>
      </c>
      <c r="E242" s="36" t="s">
        <v>323</v>
      </c>
      <c r="F242" s="36" t="s">
        <v>489</v>
      </c>
      <c r="G242" s="36"/>
      <c r="H242" s="36" t="s">
        <v>490</v>
      </c>
      <c r="I242" s="36" t="s">
        <v>491</v>
      </c>
      <c r="J242" s="36" t="s">
        <v>371</v>
      </c>
      <c r="K242" s="3" t="s">
        <v>372</v>
      </c>
      <c r="L242" s="3">
        <v>14</v>
      </c>
      <c r="M242" s="3" t="s">
        <v>247</v>
      </c>
      <c r="N242" s="3" t="s">
        <v>371</v>
      </c>
      <c r="O242" s="3">
        <v>248</v>
      </c>
      <c r="P242" s="36">
        <v>5.5690158323797689</v>
      </c>
      <c r="Q242" s="36">
        <v>250</v>
      </c>
      <c r="R242" s="3"/>
      <c r="S242" s="3"/>
      <c r="T242" s="36"/>
      <c r="U242" s="36"/>
      <c r="V242" s="36"/>
      <c r="W242" s="36"/>
      <c r="X242" s="36"/>
      <c r="Y242" s="36"/>
      <c r="Z242" s="36"/>
    </row>
    <row r="243" spans="1:37" ht="20.25" customHeight="1">
      <c r="A243" s="71">
        <v>43019</v>
      </c>
      <c r="B243" s="72" t="s">
        <v>159</v>
      </c>
      <c r="C243" s="168">
        <v>2017</v>
      </c>
      <c r="D243" s="65">
        <v>5</v>
      </c>
      <c r="E243" s="36" t="s">
        <v>323</v>
      </c>
      <c r="F243" s="36" t="s">
        <v>489</v>
      </c>
      <c r="G243" s="36"/>
      <c r="H243" s="36" t="s">
        <v>490</v>
      </c>
      <c r="I243" s="36" t="s">
        <v>491</v>
      </c>
      <c r="J243" s="36" t="s">
        <v>371</v>
      </c>
      <c r="K243" s="3" t="s">
        <v>372</v>
      </c>
      <c r="L243" s="3">
        <v>4</v>
      </c>
      <c r="M243" s="3" t="s">
        <v>247</v>
      </c>
      <c r="N243" s="3" t="s">
        <v>371</v>
      </c>
      <c r="O243" s="3">
        <v>255</v>
      </c>
      <c r="P243" s="36">
        <v>1.5682796488609068</v>
      </c>
      <c r="Q243" s="3">
        <v>250</v>
      </c>
      <c r="R243" s="3"/>
      <c r="S243" s="3"/>
      <c r="T243" s="36"/>
      <c r="U243" s="36"/>
      <c r="V243" s="36"/>
      <c r="W243" s="36"/>
      <c r="X243" s="36"/>
      <c r="Y243" s="36"/>
      <c r="Z243" s="36"/>
    </row>
    <row r="244" spans="1:37" ht="20.25" customHeight="1">
      <c r="A244" s="13">
        <v>43019</v>
      </c>
      <c r="B244" s="72" t="s">
        <v>159</v>
      </c>
      <c r="C244" s="168">
        <v>2017</v>
      </c>
      <c r="D244" s="65">
        <v>8</v>
      </c>
      <c r="E244" s="36" t="s">
        <v>323</v>
      </c>
      <c r="F244" s="36" t="s">
        <v>489</v>
      </c>
      <c r="G244" s="36"/>
      <c r="H244" s="36" t="s">
        <v>490</v>
      </c>
      <c r="I244" s="36" t="s">
        <v>491</v>
      </c>
      <c r="J244" s="36" t="s">
        <v>371</v>
      </c>
      <c r="K244" s="3" t="s">
        <v>372</v>
      </c>
      <c r="L244" s="3">
        <v>7</v>
      </c>
      <c r="M244" s="3" t="s">
        <v>247</v>
      </c>
      <c r="N244" s="3" t="s">
        <v>371</v>
      </c>
      <c r="O244" s="3">
        <v>288</v>
      </c>
      <c r="P244" s="36">
        <v>2.3352733684651921</v>
      </c>
      <c r="Q244" s="3">
        <v>250</v>
      </c>
      <c r="R244" s="3"/>
      <c r="S244" s="3"/>
      <c r="T244" s="36"/>
      <c r="U244" s="36"/>
      <c r="V244" s="36"/>
      <c r="W244" s="36"/>
      <c r="X244" s="36"/>
      <c r="Y244" s="36"/>
      <c r="Z244" s="36"/>
    </row>
    <row r="245" spans="1:37" ht="20.25" customHeight="1">
      <c r="A245" s="13">
        <v>42867</v>
      </c>
      <c r="B245" s="72" t="s">
        <v>144</v>
      </c>
      <c r="C245" s="168">
        <v>2017</v>
      </c>
      <c r="D245" s="65">
        <v>4</v>
      </c>
      <c r="E245" s="36" t="s">
        <v>323</v>
      </c>
      <c r="F245" s="36" t="s">
        <v>489</v>
      </c>
      <c r="G245" s="36"/>
      <c r="H245" s="36" t="s">
        <v>490</v>
      </c>
      <c r="I245" s="36" t="s">
        <v>491</v>
      </c>
      <c r="J245" s="36" t="s">
        <v>371</v>
      </c>
      <c r="K245" s="3" t="s">
        <v>372</v>
      </c>
      <c r="L245" s="3">
        <v>2</v>
      </c>
      <c r="M245" s="3" t="s">
        <v>247</v>
      </c>
      <c r="N245" s="3" t="s">
        <v>371</v>
      </c>
      <c r="O245" s="3">
        <v>225</v>
      </c>
      <c r="P245" s="36">
        <v>0.87408018800341714</v>
      </c>
      <c r="Q245" s="3"/>
      <c r="R245" s="3"/>
      <c r="S245" s="3"/>
      <c r="T245" s="36"/>
      <c r="U245" s="36"/>
      <c r="V245" s="36"/>
      <c r="W245" s="36"/>
      <c r="X245" s="36"/>
      <c r="Y245" s="36"/>
      <c r="Z245" s="36"/>
    </row>
    <row r="246" spans="1:37" ht="20.25" customHeight="1">
      <c r="A246" s="35">
        <v>42634</v>
      </c>
      <c r="B246" s="72" t="s">
        <v>157</v>
      </c>
      <c r="C246" s="168">
        <v>2016</v>
      </c>
      <c r="D246" s="65">
        <v>4</v>
      </c>
      <c r="E246" s="65" t="s">
        <v>323</v>
      </c>
      <c r="F246" s="65" t="s">
        <v>489</v>
      </c>
      <c r="G246" s="65"/>
      <c r="H246" s="65" t="s">
        <v>490</v>
      </c>
      <c r="I246" s="65" t="s">
        <v>491</v>
      </c>
      <c r="J246" s="36" t="s">
        <v>371</v>
      </c>
      <c r="K246" s="36" t="s">
        <v>372</v>
      </c>
      <c r="L246" s="36">
        <v>1</v>
      </c>
      <c r="M246" s="36" t="s">
        <v>247</v>
      </c>
      <c r="N246" s="36" t="s">
        <v>371</v>
      </c>
      <c r="O246" s="36">
        <v>156</v>
      </c>
      <c r="P246" s="76">
        <v>0.63937497457156689</v>
      </c>
      <c r="Q246" s="36">
        <v>250</v>
      </c>
      <c r="R246" s="36"/>
      <c r="S246" s="36"/>
      <c r="T246" s="36"/>
      <c r="U246" s="36"/>
      <c r="V246" s="36"/>
      <c r="W246" s="36"/>
      <c r="X246" s="36"/>
      <c r="Y246" s="36"/>
      <c r="Z246" s="36"/>
    </row>
    <row r="247" spans="1:37" ht="20.25" customHeight="1">
      <c r="A247" s="13">
        <v>42634</v>
      </c>
      <c r="B247" s="35" t="s">
        <v>157</v>
      </c>
      <c r="C247" s="168">
        <v>2016</v>
      </c>
      <c r="D247" s="65">
        <v>5</v>
      </c>
      <c r="E247" s="36" t="s">
        <v>323</v>
      </c>
      <c r="F247" s="36" t="s">
        <v>489</v>
      </c>
      <c r="G247" s="36"/>
      <c r="H247" s="36" t="s">
        <v>490</v>
      </c>
      <c r="I247" s="36" t="s">
        <v>491</v>
      </c>
      <c r="J247" s="36" t="s">
        <v>371</v>
      </c>
      <c r="K247" s="36" t="s">
        <v>372</v>
      </c>
      <c r="L247" s="3">
        <v>4</v>
      </c>
      <c r="M247" s="3" t="s">
        <v>247</v>
      </c>
      <c r="N247" s="36" t="s">
        <v>371</v>
      </c>
      <c r="O247" s="3">
        <v>203</v>
      </c>
      <c r="P247" s="36">
        <v>1.9687183799590957</v>
      </c>
      <c r="Q247" s="36">
        <v>250</v>
      </c>
      <c r="R247" s="3"/>
      <c r="S247" s="3"/>
      <c r="T247" s="36"/>
      <c r="U247" s="36"/>
      <c r="V247" s="36"/>
      <c r="W247" s="36"/>
      <c r="X247" s="36"/>
      <c r="Y247" s="36"/>
      <c r="Z247" s="36"/>
    </row>
    <row r="248" spans="1:37" ht="20.25" customHeight="1">
      <c r="A248" s="35">
        <v>42634</v>
      </c>
      <c r="B248" s="72" t="s">
        <v>157</v>
      </c>
      <c r="C248" s="168">
        <v>2016</v>
      </c>
      <c r="D248" s="65">
        <v>8</v>
      </c>
      <c r="E248" s="36" t="s">
        <v>323</v>
      </c>
      <c r="F248" s="36" t="s">
        <v>489</v>
      </c>
      <c r="G248" s="36"/>
      <c r="H248" s="36" t="s">
        <v>490</v>
      </c>
      <c r="I248" s="36" t="s">
        <v>491</v>
      </c>
      <c r="J248" s="36" t="s">
        <v>371</v>
      </c>
      <c r="K248" s="36" t="s">
        <v>372</v>
      </c>
      <c r="L248" s="36">
        <v>9</v>
      </c>
      <c r="M248" s="3" t="s">
        <v>247</v>
      </c>
      <c r="N248" s="36" t="s">
        <v>371</v>
      </c>
      <c r="O248" s="36">
        <v>294</v>
      </c>
      <c r="P248" s="36">
        <v>2.8633370960550555</v>
      </c>
      <c r="Q248" s="3">
        <v>250</v>
      </c>
      <c r="R248" s="36"/>
      <c r="S248" s="36"/>
      <c r="T248" s="36"/>
      <c r="U248" s="36"/>
      <c r="V248" s="36"/>
      <c r="W248" s="36"/>
      <c r="X248" s="36"/>
      <c r="Y248" s="36"/>
      <c r="Z248" s="36"/>
    </row>
    <row r="249" spans="1:37" ht="20.25" customHeight="1">
      <c r="A249" s="169">
        <v>42515</v>
      </c>
      <c r="B249" s="169" t="s">
        <v>144</v>
      </c>
      <c r="C249" s="176">
        <v>2016</v>
      </c>
      <c r="D249" s="170">
        <v>8</v>
      </c>
      <c r="E249" s="171" t="s">
        <v>323</v>
      </c>
      <c r="F249" s="171" t="s">
        <v>489</v>
      </c>
      <c r="G249" s="171"/>
      <c r="H249" s="171" t="s">
        <v>490</v>
      </c>
      <c r="I249" s="171" t="s">
        <v>491</v>
      </c>
      <c r="J249" s="171" t="s">
        <v>371</v>
      </c>
      <c r="K249" s="171" t="s">
        <v>372</v>
      </c>
      <c r="L249" s="171">
        <v>1</v>
      </c>
      <c r="M249" s="171" t="s">
        <v>247</v>
      </c>
      <c r="N249" s="171" t="s">
        <v>371</v>
      </c>
      <c r="O249" s="171">
        <v>252</v>
      </c>
      <c r="P249" s="171">
        <v>0.39677710006952888</v>
      </c>
      <c r="Q249" s="171">
        <v>250</v>
      </c>
      <c r="R249" s="171"/>
      <c r="S249" s="171"/>
      <c r="T249" s="36"/>
      <c r="U249" s="36"/>
      <c r="V249" s="36"/>
      <c r="W249" s="36"/>
      <c r="X249" s="36"/>
      <c r="Y249" s="36"/>
      <c r="Z249" s="36"/>
    </row>
    <row r="250" spans="1:37" ht="20.25" customHeight="1">
      <c r="A250" s="71">
        <v>41912</v>
      </c>
      <c r="B250" s="35" t="s">
        <v>157</v>
      </c>
      <c r="C250" s="168">
        <v>2014</v>
      </c>
      <c r="D250" s="36">
        <v>4</v>
      </c>
      <c r="E250" s="65" t="s">
        <v>323</v>
      </c>
      <c r="F250" s="65" t="s">
        <v>489</v>
      </c>
      <c r="G250" s="65"/>
      <c r="H250" s="65" t="s">
        <v>490</v>
      </c>
      <c r="I250" s="65" t="s">
        <v>491</v>
      </c>
      <c r="J250" s="36" t="s">
        <v>371</v>
      </c>
      <c r="K250" s="36" t="s">
        <v>372</v>
      </c>
      <c r="L250" s="3">
        <v>5</v>
      </c>
      <c r="M250" s="3" t="s">
        <v>247</v>
      </c>
      <c r="N250" s="3" t="s">
        <v>371</v>
      </c>
      <c r="O250" s="3">
        <v>237</v>
      </c>
      <c r="P250" s="36">
        <v>2.1054794980903115</v>
      </c>
      <c r="Q250" s="65">
        <v>250</v>
      </c>
      <c r="R250" s="51"/>
      <c r="S250" s="51"/>
      <c r="T250" s="65"/>
      <c r="U250" s="36"/>
      <c r="V250" s="36"/>
      <c r="W250" s="36"/>
      <c r="X250" s="36"/>
      <c r="Y250" s="36"/>
      <c r="Z250" s="36"/>
    </row>
    <row r="251" spans="1:37" ht="20.25" customHeight="1">
      <c r="A251" s="13">
        <v>41912</v>
      </c>
      <c r="B251" s="72" t="s">
        <v>157</v>
      </c>
      <c r="C251" s="168">
        <v>2014</v>
      </c>
      <c r="D251" s="36">
        <v>5</v>
      </c>
      <c r="E251" s="36" t="s">
        <v>323</v>
      </c>
      <c r="F251" s="36" t="s">
        <v>489</v>
      </c>
      <c r="G251" s="36"/>
      <c r="H251" s="36" t="s">
        <v>490</v>
      </c>
      <c r="I251" s="36" t="s">
        <v>491</v>
      </c>
      <c r="J251" s="36" t="s">
        <v>371</v>
      </c>
      <c r="K251" s="3" t="s">
        <v>372</v>
      </c>
      <c r="L251" s="3">
        <v>2</v>
      </c>
      <c r="M251" s="3" t="s">
        <v>247</v>
      </c>
      <c r="N251" s="3" t="s">
        <v>371</v>
      </c>
      <c r="O251" s="3">
        <v>216</v>
      </c>
      <c r="P251" s="36">
        <v>0.92410867849487799</v>
      </c>
      <c r="Q251" s="3">
        <v>250</v>
      </c>
      <c r="R251" s="3"/>
      <c r="S251" s="3"/>
      <c r="T251" s="36"/>
      <c r="U251" s="36"/>
      <c r="V251" s="36"/>
      <c r="W251" s="36"/>
      <c r="X251" s="36"/>
      <c r="Y251" s="36"/>
      <c r="Z251" s="36"/>
    </row>
    <row r="252" spans="1:37" ht="20.25" customHeight="1">
      <c r="A252" s="35">
        <v>41761</v>
      </c>
      <c r="B252" s="72" t="s">
        <v>144</v>
      </c>
      <c r="C252" s="168">
        <v>2014</v>
      </c>
      <c r="D252" s="65">
        <v>5</v>
      </c>
      <c r="E252" s="36" t="s">
        <v>677</v>
      </c>
      <c r="F252" s="36"/>
      <c r="G252" s="36"/>
      <c r="H252" s="36"/>
      <c r="I252" s="36"/>
      <c r="J252" s="36"/>
      <c r="K252" s="36"/>
      <c r="L252" s="36">
        <v>1</v>
      </c>
      <c r="M252" s="36"/>
      <c r="N252" s="36" t="s">
        <v>505</v>
      </c>
      <c r="O252" s="36">
        <v>300</v>
      </c>
      <c r="P252" s="65">
        <v>0.33263927147670036</v>
      </c>
      <c r="Q252" s="36">
        <v>250</v>
      </c>
      <c r="R252" s="36"/>
      <c r="S252" s="36"/>
      <c r="T252" s="36"/>
      <c r="U252" s="36"/>
      <c r="V252" s="36"/>
      <c r="W252" s="36"/>
      <c r="X252" s="36"/>
      <c r="Y252" s="36"/>
      <c r="Z252" s="36"/>
    </row>
    <row r="253" spans="1:37" ht="20.25" customHeight="1">
      <c r="A253" s="35">
        <v>43019</v>
      </c>
      <c r="B253" s="35" t="s">
        <v>159</v>
      </c>
      <c r="C253" s="168">
        <v>2017</v>
      </c>
      <c r="D253" s="65">
        <v>2</v>
      </c>
      <c r="E253" s="65" t="s">
        <v>223</v>
      </c>
      <c r="F253" s="65" t="s">
        <v>267</v>
      </c>
      <c r="G253" s="65" t="s">
        <v>278</v>
      </c>
      <c r="H253" s="65" t="s">
        <v>279</v>
      </c>
      <c r="I253" s="65" t="s">
        <v>280</v>
      </c>
      <c r="J253" s="36" t="s">
        <v>284</v>
      </c>
      <c r="K253" s="36" t="s">
        <v>285</v>
      </c>
      <c r="L253" s="36">
        <v>299</v>
      </c>
      <c r="M253" s="36" t="s">
        <v>247</v>
      </c>
      <c r="N253" s="36" t="s">
        <v>24</v>
      </c>
      <c r="O253" s="36">
        <v>317</v>
      </c>
      <c r="P253" s="36">
        <v>1.0072146097154706</v>
      </c>
      <c r="Q253" s="36">
        <v>1000</v>
      </c>
      <c r="R253" s="36"/>
      <c r="S253" s="36"/>
      <c r="T253" s="36"/>
      <c r="U253" s="36"/>
      <c r="V253" s="36"/>
      <c r="W253" s="36"/>
      <c r="X253" s="36"/>
      <c r="Y253" s="36"/>
      <c r="Z253" s="36"/>
    </row>
    <row r="254" spans="1:37" ht="20.25" customHeight="1">
      <c r="A254" s="13">
        <v>43019</v>
      </c>
      <c r="B254" s="72" t="s">
        <v>159</v>
      </c>
      <c r="C254" s="168">
        <v>2017</v>
      </c>
      <c r="D254" s="65">
        <v>4</v>
      </c>
      <c r="E254" s="65" t="s">
        <v>223</v>
      </c>
      <c r="F254" s="65" t="s">
        <v>267</v>
      </c>
      <c r="G254" s="65" t="s">
        <v>278</v>
      </c>
      <c r="H254" s="65" t="s">
        <v>279</v>
      </c>
      <c r="I254" s="65" t="s">
        <v>280</v>
      </c>
      <c r="J254" s="36" t="s">
        <v>284</v>
      </c>
      <c r="K254" s="36" t="s">
        <v>285</v>
      </c>
      <c r="L254" s="36">
        <v>193</v>
      </c>
      <c r="M254" s="36" t="s">
        <v>247</v>
      </c>
      <c r="N254" s="36" t="s">
        <v>24</v>
      </c>
      <c r="O254" s="3">
        <v>214</v>
      </c>
      <c r="P254" s="36">
        <v>1.2164973961864765</v>
      </c>
      <c r="Q254" s="36">
        <v>1000</v>
      </c>
      <c r="R254" s="3"/>
      <c r="S254" s="3"/>
      <c r="T254" s="36"/>
      <c r="U254" s="36"/>
      <c r="V254" s="36"/>
      <c r="W254" s="36"/>
      <c r="X254" s="36"/>
      <c r="Y254" s="36"/>
      <c r="Z254" s="36"/>
    </row>
    <row r="255" spans="1:37" ht="20.25" customHeight="1">
      <c r="A255" s="13">
        <v>43019</v>
      </c>
      <c r="B255" s="35" t="s">
        <v>159</v>
      </c>
      <c r="C255" s="168">
        <v>2017</v>
      </c>
      <c r="D255" s="65">
        <v>8</v>
      </c>
      <c r="E255" s="36" t="s">
        <v>223</v>
      </c>
      <c r="F255" s="36" t="s">
        <v>267</v>
      </c>
      <c r="G255" s="36" t="s">
        <v>278</v>
      </c>
      <c r="H255" s="36" t="s">
        <v>279</v>
      </c>
      <c r="I255" s="36" t="s">
        <v>280</v>
      </c>
      <c r="J255" s="36" t="s">
        <v>284</v>
      </c>
      <c r="K255" s="36" t="s">
        <v>285</v>
      </c>
      <c r="L255" s="36">
        <v>313</v>
      </c>
      <c r="M255" s="36" t="s">
        <v>247</v>
      </c>
      <c r="N255" s="36" t="s">
        <v>24</v>
      </c>
      <c r="O255" s="3">
        <v>313</v>
      </c>
      <c r="P255" s="36">
        <v>3.9201814117177531</v>
      </c>
      <c r="Q255" s="36">
        <v>1000</v>
      </c>
      <c r="R255" s="3"/>
      <c r="S255" s="3"/>
      <c r="T255" s="36"/>
      <c r="U255" s="36"/>
      <c r="V255" s="36"/>
      <c r="W255" s="36"/>
      <c r="X255" s="36"/>
      <c r="Y255" s="36"/>
      <c r="Z255" s="36"/>
    </row>
    <row r="256" spans="1:37" ht="20.25" customHeight="1">
      <c r="A256" s="13">
        <v>42928</v>
      </c>
      <c r="B256" s="35" t="s">
        <v>154</v>
      </c>
      <c r="C256" s="168">
        <v>2017</v>
      </c>
      <c r="D256" s="65">
        <v>2</v>
      </c>
      <c r="E256" s="36" t="s">
        <v>223</v>
      </c>
      <c r="F256" s="36" t="s">
        <v>267</v>
      </c>
      <c r="G256" s="36" t="s">
        <v>278</v>
      </c>
      <c r="H256" s="36" t="s">
        <v>279</v>
      </c>
      <c r="I256" s="36" t="s">
        <v>280</v>
      </c>
      <c r="J256" s="36" t="s">
        <v>284</v>
      </c>
      <c r="K256" s="36" t="s">
        <v>285</v>
      </c>
      <c r="L256" s="36">
        <v>98</v>
      </c>
      <c r="M256" s="36" t="s">
        <v>247</v>
      </c>
      <c r="N256" s="36" t="s">
        <v>24</v>
      </c>
      <c r="O256" s="3">
        <v>116</v>
      </c>
      <c r="P256" s="36">
        <v>8.5734814479222599E-2</v>
      </c>
      <c r="Q256" s="36">
        <v>1000</v>
      </c>
      <c r="R256" s="3"/>
      <c r="S256" s="3"/>
      <c r="T256" s="36"/>
      <c r="U256" s="36"/>
      <c r="V256" s="36"/>
      <c r="W256" s="36"/>
      <c r="X256" s="36"/>
      <c r="Y256" s="36"/>
      <c r="Z256" s="36"/>
    </row>
    <row r="257" spans="1:26" ht="14">
      <c r="A257" s="13">
        <v>42928</v>
      </c>
      <c r="B257" s="72" t="s">
        <v>154</v>
      </c>
      <c r="C257" s="168">
        <v>2017</v>
      </c>
      <c r="D257" s="65">
        <v>4</v>
      </c>
      <c r="E257" s="36" t="s">
        <v>223</v>
      </c>
      <c r="F257" s="36" t="s">
        <v>267</v>
      </c>
      <c r="G257" s="36" t="s">
        <v>278</v>
      </c>
      <c r="H257" s="36" t="s">
        <v>279</v>
      </c>
      <c r="I257" s="36" t="s">
        <v>280</v>
      </c>
      <c r="J257" s="36" t="s">
        <v>284</v>
      </c>
      <c r="K257" s="36" t="s">
        <v>285</v>
      </c>
      <c r="L257" s="36">
        <v>88</v>
      </c>
      <c r="M257" s="36" t="s">
        <v>247</v>
      </c>
      <c r="N257" s="36" t="s">
        <v>24</v>
      </c>
      <c r="O257" s="3">
        <v>92</v>
      </c>
      <c r="P257" s="53">
        <v>0.38369038019046181</v>
      </c>
      <c r="Q257" s="36">
        <v>1000</v>
      </c>
      <c r="R257" s="3"/>
      <c r="S257" s="3"/>
      <c r="T257" s="36"/>
      <c r="U257" s="36"/>
      <c r="V257" s="36"/>
      <c r="W257" s="36"/>
      <c r="X257" s="36"/>
      <c r="Y257" s="36"/>
      <c r="Z257" s="36"/>
    </row>
    <row r="258" spans="1:26" ht="14">
      <c r="A258" s="13">
        <v>42928</v>
      </c>
      <c r="B258" s="72" t="s">
        <v>154</v>
      </c>
      <c r="C258" s="168">
        <v>2017</v>
      </c>
      <c r="D258" s="65">
        <v>5</v>
      </c>
      <c r="E258" s="36" t="s">
        <v>223</v>
      </c>
      <c r="F258" s="36" t="s">
        <v>267</v>
      </c>
      <c r="G258" s="36" t="s">
        <v>278</v>
      </c>
      <c r="H258" s="36" t="s">
        <v>279</v>
      </c>
      <c r="I258" s="36" t="s">
        <v>280</v>
      </c>
      <c r="J258" s="36" t="s">
        <v>284</v>
      </c>
      <c r="K258" s="36" t="s">
        <v>285</v>
      </c>
      <c r="L258" s="36">
        <v>1</v>
      </c>
      <c r="M258" s="36" t="s">
        <v>247</v>
      </c>
      <c r="N258" s="36" t="s">
        <v>24</v>
      </c>
      <c r="O258" s="3">
        <v>6</v>
      </c>
      <c r="P258" s="53">
        <v>7.3036537884469521E-3</v>
      </c>
      <c r="Q258" s="36">
        <v>1000</v>
      </c>
      <c r="R258" s="3"/>
      <c r="S258" s="3"/>
      <c r="T258" s="36"/>
      <c r="U258" s="36"/>
      <c r="V258" s="36"/>
      <c r="W258" s="36"/>
      <c r="X258" s="36"/>
      <c r="Y258" s="36"/>
      <c r="Z258" s="36"/>
    </row>
    <row r="259" spans="1:26" ht="14">
      <c r="A259" s="13">
        <v>42928</v>
      </c>
      <c r="B259" s="72" t="s">
        <v>154</v>
      </c>
      <c r="C259" s="168">
        <v>2017</v>
      </c>
      <c r="D259" s="65">
        <v>8</v>
      </c>
      <c r="E259" s="36" t="s">
        <v>223</v>
      </c>
      <c r="F259" s="36" t="s">
        <v>267</v>
      </c>
      <c r="G259" s="36" t="s">
        <v>278</v>
      </c>
      <c r="H259" s="36" t="s">
        <v>279</v>
      </c>
      <c r="I259" s="36" t="s">
        <v>280</v>
      </c>
      <c r="J259" s="36" t="s">
        <v>284</v>
      </c>
      <c r="K259" s="36" t="s">
        <v>285</v>
      </c>
      <c r="L259" s="36">
        <v>15</v>
      </c>
      <c r="M259" s="36" t="s">
        <v>247</v>
      </c>
      <c r="N259" s="36" t="s">
        <v>24</v>
      </c>
      <c r="O259" s="3">
        <v>26</v>
      </c>
      <c r="P259" s="53">
        <v>2.1873564331919289E-2</v>
      </c>
      <c r="Q259" s="36">
        <v>1000</v>
      </c>
      <c r="R259" s="3"/>
      <c r="S259" s="3"/>
      <c r="T259" s="36"/>
      <c r="U259" s="36"/>
      <c r="V259" s="36"/>
      <c r="W259" s="36"/>
      <c r="X259" s="36"/>
      <c r="Y259" s="36"/>
      <c r="Z259" s="36"/>
    </row>
    <row r="260" spans="1:26" ht="14">
      <c r="A260" s="13">
        <v>42867</v>
      </c>
      <c r="B260" s="72" t="s">
        <v>144</v>
      </c>
      <c r="C260" s="168">
        <v>2017</v>
      </c>
      <c r="D260" s="65">
        <v>4</v>
      </c>
      <c r="E260" s="36" t="s">
        <v>223</v>
      </c>
      <c r="F260" s="36" t="s">
        <v>267</v>
      </c>
      <c r="G260" s="36" t="s">
        <v>278</v>
      </c>
      <c r="H260" s="36" t="s">
        <v>279</v>
      </c>
      <c r="I260" s="36" t="s">
        <v>280</v>
      </c>
      <c r="J260" s="36" t="s">
        <v>284</v>
      </c>
      <c r="K260" s="36" t="s">
        <v>285</v>
      </c>
      <c r="L260" s="36">
        <v>640</v>
      </c>
      <c r="M260" s="36" t="s">
        <v>247</v>
      </c>
      <c r="N260" s="36" t="s">
        <v>24</v>
      </c>
      <c r="O260" s="3">
        <v>664</v>
      </c>
      <c r="P260" s="53">
        <v>1.6057627466172855</v>
      </c>
      <c r="Q260" s="36">
        <v>1000</v>
      </c>
      <c r="R260" s="3"/>
      <c r="S260" s="3"/>
      <c r="T260" s="36"/>
      <c r="U260" s="36"/>
      <c r="V260" s="36"/>
      <c r="W260" s="36"/>
      <c r="X260" s="36"/>
      <c r="Y260" s="36"/>
      <c r="Z260" s="36"/>
    </row>
    <row r="261" spans="1:26" ht="14">
      <c r="A261" s="13">
        <v>42867</v>
      </c>
      <c r="B261" s="72" t="s">
        <v>144</v>
      </c>
      <c r="C261" s="168">
        <v>2017</v>
      </c>
      <c r="D261" s="65">
        <v>5</v>
      </c>
      <c r="E261" s="36" t="s">
        <v>223</v>
      </c>
      <c r="F261" s="36" t="s">
        <v>267</v>
      </c>
      <c r="G261" s="36" t="s">
        <v>278</v>
      </c>
      <c r="H261" s="36" t="s">
        <v>279</v>
      </c>
      <c r="I261" s="65" t="s">
        <v>280</v>
      </c>
      <c r="J261" s="65" t="s">
        <v>284</v>
      </c>
      <c r="K261" s="36" t="s">
        <v>285</v>
      </c>
      <c r="L261" s="36">
        <v>2</v>
      </c>
      <c r="M261" s="36" t="s">
        <v>247</v>
      </c>
      <c r="N261" s="36" t="s">
        <v>24</v>
      </c>
      <c r="O261" s="3">
        <v>16</v>
      </c>
      <c r="P261" s="53">
        <v>4.0568081707308325E-3</v>
      </c>
      <c r="Q261" s="65">
        <v>1000</v>
      </c>
      <c r="R261" s="51"/>
      <c r="S261" s="51"/>
      <c r="T261" s="65"/>
      <c r="U261" s="36"/>
      <c r="V261" s="36"/>
      <c r="W261" s="36"/>
      <c r="X261" s="36"/>
      <c r="Y261" s="36"/>
      <c r="Z261" s="36"/>
    </row>
    <row r="262" spans="1:26" ht="14">
      <c r="A262" s="35">
        <v>42634</v>
      </c>
      <c r="B262" s="72" t="s">
        <v>157</v>
      </c>
      <c r="C262" s="168">
        <v>2016</v>
      </c>
      <c r="D262" s="65">
        <v>2</v>
      </c>
      <c r="E262" s="36" t="s">
        <v>223</v>
      </c>
      <c r="F262" s="36" t="s">
        <v>267</v>
      </c>
      <c r="G262" s="36" t="s">
        <v>278</v>
      </c>
      <c r="H262" s="36" t="s">
        <v>279</v>
      </c>
      <c r="I262" s="36" t="s">
        <v>280</v>
      </c>
      <c r="J262" s="36" t="s">
        <v>284</v>
      </c>
      <c r="K262" s="36" t="s">
        <v>285</v>
      </c>
      <c r="L262" s="36">
        <v>5</v>
      </c>
      <c r="M262" s="36" t="s">
        <v>247</v>
      </c>
      <c r="N262" s="36" t="s">
        <v>24</v>
      </c>
      <c r="O262" s="36">
        <v>19</v>
      </c>
      <c r="P262" s="53">
        <v>3.5625341099838493E-3</v>
      </c>
      <c r="Q262" s="36">
        <v>1000</v>
      </c>
      <c r="R262" s="36"/>
      <c r="S262" s="36"/>
      <c r="T262" s="36"/>
      <c r="U262" s="36"/>
      <c r="V262" s="36"/>
      <c r="W262" s="36"/>
      <c r="X262" s="36"/>
      <c r="Y262" s="36"/>
      <c r="Z262" s="36"/>
    </row>
    <row r="263" spans="1:26" ht="14">
      <c r="A263" s="35">
        <v>42634</v>
      </c>
      <c r="B263" s="72" t="s">
        <v>157</v>
      </c>
      <c r="C263" s="168">
        <v>2016</v>
      </c>
      <c r="D263" s="65">
        <v>4</v>
      </c>
      <c r="E263" s="36" t="s">
        <v>223</v>
      </c>
      <c r="F263" s="36" t="s">
        <v>267</v>
      </c>
      <c r="G263" s="36" t="s">
        <v>278</v>
      </c>
      <c r="H263" s="36" t="s">
        <v>279</v>
      </c>
      <c r="I263" s="36" t="s">
        <v>280</v>
      </c>
      <c r="J263" s="36" t="s">
        <v>284</v>
      </c>
      <c r="K263" s="36" t="s">
        <v>285</v>
      </c>
      <c r="L263" s="36">
        <v>117</v>
      </c>
      <c r="M263" s="36" t="s">
        <v>247</v>
      </c>
      <c r="N263" s="36" t="s">
        <v>24</v>
      </c>
      <c r="O263" s="36">
        <v>127</v>
      </c>
      <c r="P263" s="53">
        <v>0.23722806393514126</v>
      </c>
      <c r="Q263" s="36">
        <v>1000</v>
      </c>
      <c r="R263" s="36"/>
      <c r="S263" s="36"/>
      <c r="T263" s="36"/>
      <c r="U263" s="36"/>
      <c r="V263" s="36"/>
      <c r="W263" s="36"/>
      <c r="X263" s="36"/>
      <c r="Y263" s="36"/>
      <c r="Z263" s="36"/>
    </row>
    <row r="264" spans="1:26" ht="14">
      <c r="A264" s="35">
        <v>42634</v>
      </c>
      <c r="B264" s="35" t="s">
        <v>157</v>
      </c>
      <c r="C264" s="168">
        <v>2016</v>
      </c>
      <c r="D264" s="65">
        <v>5</v>
      </c>
      <c r="E264" s="36" t="s">
        <v>223</v>
      </c>
      <c r="F264" s="36" t="s">
        <v>267</v>
      </c>
      <c r="G264" s="36" t="s">
        <v>278</v>
      </c>
      <c r="H264" s="36" t="s">
        <v>279</v>
      </c>
      <c r="I264" s="36" t="s">
        <v>280</v>
      </c>
      <c r="J264" s="36" t="s">
        <v>284</v>
      </c>
      <c r="K264" s="36" t="s">
        <v>285</v>
      </c>
      <c r="L264" s="36">
        <v>46</v>
      </c>
      <c r="M264" s="36" t="s">
        <v>247</v>
      </c>
      <c r="N264" s="36" t="s">
        <v>24</v>
      </c>
      <c r="O264" s="36">
        <v>93</v>
      </c>
      <c r="P264" s="53">
        <v>4.3300451456890064E-2</v>
      </c>
      <c r="Q264" s="36">
        <v>1000</v>
      </c>
      <c r="R264" s="36" t="s">
        <v>511</v>
      </c>
      <c r="S264" s="36"/>
      <c r="T264" s="36"/>
      <c r="U264" s="36"/>
      <c r="V264" s="36"/>
      <c r="W264" s="36"/>
      <c r="X264" s="36"/>
      <c r="Y264" s="36"/>
      <c r="Z264" s="36"/>
    </row>
    <row r="265" spans="1:26" ht="14">
      <c r="A265" s="35">
        <v>42571</v>
      </c>
      <c r="B265" s="35" t="s">
        <v>154</v>
      </c>
      <c r="C265" s="168">
        <v>2016</v>
      </c>
      <c r="D265" s="36">
        <v>4</v>
      </c>
      <c r="E265" s="36" t="s">
        <v>223</v>
      </c>
      <c r="F265" s="36" t="s">
        <v>267</v>
      </c>
      <c r="G265" s="36" t="s">
        <v>278</v>
      </c>
      <c r="H265" s="36" t="s">
        <v>279</v>
      </c>
      <c r="I265" s="65" t="s">
        <v>280</v>
      </c>
      <c r="J265" s="65" t="s">
        <v>284</v>
      </c>
      <c r="K265" s="36" t="s">
        <v>285</v>
      </c>
      <c r="L265" s="36">
        <v>9</v>
      </c>
      <c r="M265" s="36" t="s">
        <v>247</v>
      </c>
      <c r="N265" s="36" t="s">
        <v>24</v>
      </c>
      <c r="O265" s="36">
        <v>13</v>
      </c>
      <c r="P265" s="53">
        <v>2.7112494075920045E-2</v>
      </c>
      <c r="Q265" s="65">
        <v>1000</v>
      </c>
      <c r="R265" s="65"/>
      <c r="S265" s="65"/>
      <c r="T265" s="166"/>
      <c r="U265" s="36"/>
      <c r="V265" s="36"/>
      <c r="W265" s="36"/>
      <c r="X265" s="36"/>
      <c r="Y265" s="36"/>
      <c r="Z265" s="36"/>
    </row>
    <row r="266" spans="1:26" ht="14">
      <c r="A266" s="35">
        <v>41851</v>
      </c>
      <c r="B266" s="35" t="s">
        <v>154</v>
      </c>
      <c r="C266" s="168">
        <v>2014</v>
      </c>
      <c r="D266" s="65">
        <v>4</v>
      </c>
      <c r="E266" s="36" t="s">
        <v>223</v>
      </c>
      <c r="F266" s="36" t="s">
        <v>267</v>
      </c>
      <c r="G266" s="36" t="s">
        <v>278</v>
      </c>
      <c r="H266" s="36" t="s">
        <v>279</v>
      </c>
      <c r="I266" s="36" t="s">
        <v>280</v>
      </c>
      <c r="J266" s="36" t="s">
        <v>284</v>
      </c>
      <c r="K266" s="36" t="s">
        <v>285</v>
      </c>
      <c r="L266" s="36">
        <v>100</v>
      </c>
      <c r="M266" s="36" t="s">
        <v>247</v>
      </c>
      <c r="N266" s="36" t="s">
        <v>24</v>
      </c>
      <c r="O266" s="36">
        <v>678</v>
      </c>
      <c r="P266" s="53">
        <v>0.38690730288093339</v>
      </c>
      <c r="Q266" s="36">
        <v>1000</v>
      </c>
      <c r="R266" s="36" t="s">
        <v>593</v>
      </c>
      <c r="S266" s="36"/>
      <c r="T266" s="36"/>
      <c r="U266" s="36"/>
      <c r="V266" s="36"/>
      <c r="W266" s="36"/>
      <c r="X266" s="36"/>
      <c r="Y266" s="36"/>
      <c r="Z266" s="36"/>
    </row>
    <row r="267" spans="1:26" ht="14">
      <c r="A267" s="35">
        <v>41851</v>
      </c>
      <c r="B267" s="72" t="s">
        <v>154</v>
      </c>
      <c r="C267" s="168">
        <v>2014</v>
      </c>
      <c r="D267" s="36">
        <v>4</v>
      </c>
      <c r="E267" s="65" t="s">
        <v>223</v>
      </c>
      <c r="F267" s="65" t="s">
        <v>267</v>
      </c>
      <c r="G267" s="65" t="s">
        <v>278</v>
      </c>
      <c r="H267" s="65" t="s">
        <v>279</v>
      </c>
      <c r="I267" s="65" t="s">
        <v>280</v>
      </c>
      <c r="J267" s="36"/>
      <c r="K267" s="36"/>
      <c r="L267" s="36">
        <v>157</v>
      </c>
      <c r="M267" s="36" t="s">
        <v>509</v>
      </c>
      <c r="N267" s="36" t="s">
        <v>24</v>
      </c>
      <c r="O267" s="36">
        <v>678</v>
      </c>
      <c r="P267" s="53">
        <v>0.60744446552306541</v>
      </c>
      <c r="Q267" s="36">
        <v>1000</v>
      </c>
      <c r="R267" s="36" t="s">
        <v>592</v>
      </c>
      <c r="S267" s="36"/>
      <c r="T267" s="36"/>
      <c r="U267" s="36"/>
      <c r="V267" s="36"/>
      <c r="W267" s="36"/>
      <c r="X267" s="36"/>
      <c r="Y267" s="36"/>
      <c r="Z267" s="36"/>
    </row>
    <row r="268" spans="1:26" ht="14">
      <c r="A268" s="35">
        <v>42634</v>
      </c>
      <c r="B268" s="35" t="s">
        <v>157</v>
      </c>
      <c r="C268" s="168">
        <v>2016</v>
      </c>
      <c r="D268" s="65">
        <v>8</v>
      </c>
      <c r="E268" s="36" t="s">
        <v>223</v>
      </c>
      <c r="F268" s="36" t="s">
        <v>267</v>
      </c>
      <c r="G268" s="36" t="s">
        <v>278</v>
      </c>
      <c r="H268" s="36" t="s">
        <v>279</v>
      </c>
      <c r="I268" s="36" t="s">
        <v>280</v>
      </c>
      <c r="J268" s="36" t="s">
        <v>284</v>
      </c>
      <c r="K268" s="36" t="s">
        <v>285</v>
      </c>
      <c r="L268" s="36">
        <v>3601</v>
      </c>
      <c r="M268" s="36" t="s">
        <v>247</v>
      </c>
      <c r="N268" s="36" t="s">
        <v>283</v>
      </c>
      <c r="O268" s="36">
        <v>3658</v>
      </c>
      <c r="P268" s="36">
        <v>6.3635926258759916</v>
      </c>
      <c r="Q268" s="36">
        <v>1000</v>
      </c>
      <c r="R268" s="36"/>
      <c r="S268" s="36"/>
      <c r="T268" s="36"/>
      <c r="U268" s="36"/>
      <c r="V268" s="36"/>
      <c r="W268" s="36"/>
      <c r="X268" s="36"/>
      <c r="Y268" s="36"/>
      <c r="Z268" s="36"/>
    </row>
    <row r="269" spans="1:26" s="56" customFormat="1" ht="14">
      <c r="A269" s="86">
        <v>42571</v>
      </c>
      <c r="B269" s="35" t="s">
        <v>154</v>
      </c>
      <c r="C269" s="168">
        <v>2016</v>
      </c>
      <c r="D269" s="76">
        <v>5</v>
      </c>
      <c r="E269" s="36" t="s">
        <v>223</v>
      </c>
      <c r="F269" s="36" t="s">
        <v>267</v>
      </c>
      <c r="G269" s="36" t="s">
        <v>278</v>
      </c>
      <c r="H269" s="36" t="s">
        <v>279</v>
      </c>
      <c r="I269" s="65" t="s">
        <v>280</v>
      </c>
      <c r="J269" s="65" t="s">
        <v>284</v>
      </c>
      <c r="K269" s="36" t="s">
        <v>285</v>
      </c>
      <c r="L269" s="36">
        <v>1</v>
      </c>
      <c r="M269" s="36" t="s">
        <v>247</v>
      </c>
      <c r="N269" s="36" t="s">
        <v>283</v>
      </c>
      <c r="O269" s="36">
        <v>2</v>
      </c>
      <c r="P269" s="65">
        <v>4.7613672886955352E-3</v>
      </c>
      <c r="Q269" s="65">
        <v>1000</v>
      </c>
      <c r="R269" s="65"/>
      <c r="S269" s="65"/>
      <c r="T269" s="65"/>
      <c r="U269" s="55"/>
      <c r="V269" s="55"/>
      <c r="W269" s="55"/>
      <c r="X269" s="55"/>
      <c r="Y269" s="55"/>
      <c r="Z269" s="55"/>
    </row>
    <row r="270" spans="1:26" s="56" customFormat="1" ht="14">
      <c r="A270" s="35">
        <v>42515</v>
      </c>
      <c r="B270" s="35" t="s">
        <v>144</v>
      </c>
      <c r="C270" s="168">
        <v>2016</v>
      </c>
      <c r="D270" s="76">
        <v>4</v>
      </c>
      <c r="E270" s="36" t="s">
        <v>223</v>
      </c>
      <c r="F270" s="36" t="s">
        <v>267</v>
      </c>
      <c r="G270" s="36" t="s">
        <v>278</v>
      </c>
      <c r="H270" s="36" t="s">
        <v>279</v>
      </c>
      <c r="I270" s="65" t="s">
        <v>280</v>
      </c>
      <c r="J270" s="65" t="s">
        <v>284</v>
      </c>
      <c r="K270" s="36" t="s">
        <v>285</v>
      </c>
      <c r="L270" s="36">
        <v>12</v>
      </c>
      <c r="M270" s="36" t="s">
        <v>247</v>
      </c>
      <c r="N270" s="36" t="s">
        <v>283</v>
      </c>
      <c r="O270" s="36">
        <v>17</v>
      </c>
      <c r="P270" s="36">
        <v>5.5901748019376946E-2</v>
      </c>
      <c r="Q270" s="65">
        <v>1000</v>
      </c>
      <c r="R270" s="65"/>
      <c r="S270" s="65"/>
      <c r="T270" s="65"/>
      <c r="U270" s="55"/>
      <c r="V270" s="55"/>
      <c r="W270" s="55"/>
      <c r="X270" s="55"/>
      <c r="Y270" s="55"/>
      <c r="Z270" s="55"/>
    </row>
    <row r="271" spans="1:26" ht="14">
      <c r="A271" s="169">
        <v>42515</v>
      </c>
      <c r="B271" s="169" t="s">
        <v>144</v>
      </c>
      <c r="C271" s="176">
        <v>2016</v>
      </c>
      <c r="D271" s="172">
        <v>8</v>
      </c>
      <c r="E271" s="171" t="s">
        <v>223</v>
      </c>
      <c r="F271" s="171" t="s">
        <v>267</v>
      </c>
      <c r="G271" s="171" t="s">
        <v>278</v>
      </c>
      <c r="H271" s="171" t="s">
        <v>279</v>
      </c>
      <c r="I271" s="171" t="s">
        <v>280</v>
      </c>
      <c r="J271" s="171" t="s">
        <v>284</v>
      </c>
      <c r="K271" s="171" t="s">
        <v>285</v>
      </c>
      <c r="L271" s="171">
        <v>2</v>
      </c>
      <c r="M271" s="171" t="s">
        <v>247</v>
      </c>
      <c r="N271" s="171" t="s">
        <v>283</v>
      </c>
      <c r="O271" s="171">
        <v>6</v>
      </c>
      <c r="P271" s="171">
        <v>4.0569274929027309E-3</v>
      </c>
      <c r="Q271" s="171">
        <v>1000</v>
      </c>
      <c r="R271" s="171"/>
      <c r="S271" s="171"/>
      <c r="T271" s="36"/>
      <c r="U271" s="36"/>
      <c r="V271" s="36"/>
      <c r="W271" s="36"/>
      <c r="X271" s="36"/>
      <c r="Y271" s="36"/>
      <c r="Z271" s="36"/>
    </row>
    <row r="272" spans="1:26" ht="14">
      <c r="A272" s="35">
        <v>42263</v>
      </c>
      <c r="B272" s="35" t="s">
        <v>157</v>
      </c>
      <c r="C272" s="168">
        <v>2015</v>
      </c>
      <c r="D272" s="36">
        <v>4</v>
      </c>
      <c r="E272" s="36" t="s">
        <v>223</v>
      </c>
      <c r="F272" s="36" t="s">
        <v>267</v>
      </c>
      <c r="G272" s="36" t="s">
        <v>278</v>
      </c>
      <c r="H272" s="36" t="s">
        <v>279</v>
      </c>
      <c r="I272" s="36" t="s">
        <v>280</v>
      </c>
      <c r="J272" s="36" t="s">
        <v>284</v>
      </c>
      <c r="K272" s="36" t="s">
        <v>285</v>
      </c>
      <c r="L272" s="36">
        <v>27</v>
      </c>
      <c r="M272" s="36" t="s">
        <v>247</v>
      </c>
      <c r="N272" s="36" t="s">
        <v>283</v>
      </c>
      <c r="O272" s="36">
        <v>36</v>
      </c>
      <c r="P272" s="36">
        <v>0.13060249374387323</v>
      </c>
      <c r="Q272" s="65">
        <v>1000</v>
      </c>
      <c r="R272" s="65"/>
      <c r="S272" s="65"/>
      <c r="T272" s="65"/>
      <c r="U272" s="36"/>
      <c r="V272" s="36"/>
      <c r="W272" s="36"/>
      <c r="X272" s="36"/>
      <c r="Y272" s="36"/>
      <c r="Z272" s="36"/>
    </row>
    <row r="273" spans="1:26" ht="14">
      <c r="A273" s="35">
        <v>42206</v>
      </c>
      <c r="B273" s="72" t="s">
        <v>154</v>
      </c>
      <c r="C273" s="168">
        <v>2015</v>
      </c>
      <c r="D273" s="36">
        <v>4</v>
      </c>
      <c r="E273" s="36" t="s">
        <v>223</v>
      </c>
      <c r="F273" s="36" t="s">
        <v>267</v>
      </c>
      <c r="G273" s="36" t="s">
        <v>278</v>
      </c>
      <c r="H273" s="36" t="s">
        <v>279</v>
      </c>
      <c r="I273" s="36" t="s">
        <v>280</v>
      </c>
      <c r="J273" s="36" t="s">
        <v>284</v>
      </c>
      <c r="K273" s="36" t="s">
        <v>285</v>
      </c>
      <c r="L273" s="36">
        <v>100</v>
      </c>
      <c r="M273" s="36" t="s">
        <v>247</v>
      </c>
      <c r="N273" s="36" t="s">
        <v>283</v>
      </c>
      <c r="O273" s="36">
        <v>249</v>
      </c>
      <c r="P273" s="36">
        <v>0.53827199311011842</v>
      </c>
      <c r="Q273" s="36">
        <v>1000</v>
      </c>
      <c r="R273" s="36" t="s">
        <v>599</v>
      </c>
      <c r="S273" s="36"/>
      <c r="T273" s="36"/>
      <c r="U273" s="36"/>
      <c r="V273" s="36"/>
      <c r="W273" s="36"/>
      <c r="X273" s="36"/>
      <c r="Y273" s="36"/>
      <c r="Z273" s="36"/>
    </row>
    <row r="274" spans="1:26" ht="14">
      <c r="A274" s="72">
        <v>42206</v>
      </c>
      <c r="B274" s="72" t="s">
        <v>154</v>
      </c>
      <c r="C274" s="168">
        <v>2015</v>
      </c>
      <c r="D274" s="36">
        <v>4</v>
      </c>
      <c r="E274" s="36" t="s">
        <v>223</v>
      </c>
      <c r="F274" s="36" t="s">
        <v>267</v>
      </c>
      <c r="G274" s="36" t="s">
        <v>278</v>
      </c>
      <c r="H274" s="36" t="s">
        <v>279</v>
      </c>
      <c r="I274" s="36" t="s">
        <v>280</v>
      </c>
      <c r="J274" s="36" t="s">
        <v>284</v>
      </c>
      <c r="K274" s="36" t="s">
        <v>285</v>
      </c>
      <c r="L274" s="36">
        <v>143</v>
      </c>
      <c r="M274" s="36" t="s">
        <v>247</v>
      </c>
      <c r="N274" s="36" t="s">
        <v>283</v>
      </c>
      <c r="O274" s="36">
        <v>249</v>
      </c>
      <c r="P274" s="65">
        <v>0.76972895014746945</v>
      </c>
      <c r="Q274" s="65">
        <v>1000</v>
      </c>
      <c r="R274" s="65" t="s">
        <v>599</v>
      </c>
      <c r="S274" s="65"/>
      <c r="T274" s="65"/>
      <c r="U274" s="36"/>
      <c r="V274" s="36"/>
      <c r="W274" s="36"/>
      <c r="X274" s="36"/>
      <c r="Y274" s="36"/>
      <c r="Z274" s="36"/>
    </row>
    <row r="275" spans="1:26" ht="14">
      <c r="A275" s="72">
        <v>42206</v>
      </c>
      <c r="B275" s="35" t="s">
        <v>154</v>
      </c>
      <c r="C275" s="168">
        <v>2015</v>
      </c>
      <c r="D275" s="65">
        <v>5</v>
      </c>
      <c r="E275" s="36" t="s">
        <v>223</v>
      </c>
      <c r="F275" s="36" t="s">
        <v>267</v>
      </c>
      <c r="G275" s="36" t="s">
        <v>278</v>
      </c>
      <c r="H275" s="36" t="s">
        <v>279</v>
      </c>
      <c r="I275" s="36" t="s">
        <v>280</v>
      </c>
      <c r="J275" s="36"/>
      <c r="K275" s="36"/>
      <c r="L275" s="36">
        <v>4</v>
      </c>
      <c r="M275" s="36" t="s">
        <v>509</v>
      </c>
      <c r="N275" s="36" t="s">
        <v>283</v>
      </c>
      <c r="O275" s="36">
        <v>12</v>
      </c>
      <c r="P275" s="36">
        <v>7.5923401422614712E-3</v>
      </c>
      <c r="Q275" s="36">
        <v>1000</v>
      </c>
      <c r="R275" s="36"/>
      <c r="S275" s="36"/>
      <c r="T275" s="36"/>
      <c r="U275" s="36"/>
      <c r="V275" s="36"/>
      <c r="W275" s="36"/>
      <c r="X275" s="36"/>
      <c r="Y275" s="36"/>
      <c r="Z275" s="36"/>
    </row>
    <row r="276" spans="1:26" ht="14">
      <c r="A276" s="35">
        <v>42206</v>
      </c>
      <c r="B276" s="35" t="s">
        <v>154</v>
      </c>
      <c r="C276" s="168">
        <v>2015</v>
      </c>
      <c r="D276" s="36">
        <v>5</v>
      </c>
      <c r="E276" s="65" t="s">
        <v>223</v>
      </c>
      <c r="F276" s="65" t="s">
        <v>267</v>
      </c>
      <c r="G276" s="65" t="s">
        <v>278</v>
      </c>
      <c r="H276" s="65" t="s">
        <v>279</v>
      </c>
      <c r="I276" s="65" t="s">
        <v>280</v>
      </c>
      <c r="J276" s="36" t="s">
        <v>284</v>
      </c>
      <c r="K276" s="36" t="s">
        <v>285</v>
      </c>
      <c r="L276" s="36">
        <v>3</v>
      </c>
      <c r="M276" s="36" t="s">
        <v>247</v>
      </c>
      <c r="N276" s="36" t="s">
        <v>283</v>
      </c>
      <c r="O276" s="36">
        <v>12</v>
      </c>
      <c r="P276" s="36">
        <v>5.6942551066961047E-3</v>
      </c>
      <c r="Q276" s="36">
        <v>1000</v>
      </c>
      <c r="R276" s="36"/>
      <c r="S276" s="36"/>
      <c r="T276" s="36"/>
      <c r="U276" s="36"/>
      <c r="V276" s="36"/>
      <c r="W276" s="36"/>
      <c r="X276" s="36"/>
      <c r="Y276" s="36"/>
      <c r="Z276" s="36"/>
    </row>
    <row r="277" spans="1:26" ht="14">
      <c r="A277" s="35">
        <v>42206</v>
      </c>
      <c r="B277" s="35" t="s">
        <v>154</v>
      </c>
      <c r="C277" s="168">
        <v>2015</v>
      </c>
      <c r="D277" s="65">
        <v>8</v>
      </c>
      <c r="E277" s="65" t="s">
        <v>223</v>
      </c>
      <c r="F277" s="65" t="s">
        <v>267</v>
      </c>
      <c r="G277" s="65" t="s">
        <v>278</v>
      </c>
      <c r="H277" s="65" t="s">
        <v>279</v>
      </c>
      <c r="I277" s="65" t="s">
        <v>280</v>
      </c>
      <c r="J277" s="36" t="s">
        <v>284</v>
      </c>
      <c r="K277" s="36" t="s">
        <v>285</v>
      </c>
      <c r="L277" s="36">
        <v>3</v>
      </c>
      <c r="M277" s="36" t="s">
        <v>247</v>
      </c>
      <c r="N277" s="36" t="s">
        <v>283</v>
      </c>
      <c r="O277" s="36">
        <v>7</v>
      </c>
      <c r="P277" s="36">
        <v>3.7211494630691413E-2</v>
      </c>
      <c r="Q277" s="36">
        <v>1000</v>
      </c>
      <c r="R277" s="36"/>
      <c r="S277" s="36"/>
      <c r="T277" s="36"/>
      <c r="U277" s="36"/>
      <c r="V277" s="36"/>
      <c r="W277" s="36"/>
      <c r="X277" s="36"/>
      <c r="Y277" s="36"/>
      <c r="Z277" s="36"/>
    </row>
    <row r="278" spans="1:26" ht="14">
      <c r="A278" s="72">
        <v>42144</v>
      </c>
      <c r="B278" s="72" t="s">
        <v>144</v>
      </c>
      <c r="C278" s="168">
        <v>2015</v>
      </c>
      <c r="D278" s="65">
        <v>2</v>
      </c>
      <c r="E278" s="65" t="s">
        <v>223</v>
      </c>
      <c r="F278" s="65" t="s">
        <v>267</v>
      </c>
      <c r="G278" s="65" t="s">
        <v>278</v>
      </c>
      <c r="H278" s="65" t="s">
        <v>279</v>
      </c>
      <c r="I278" s="65" t="s">
        <v>280</v>
      </c>
      <c r="J278" s="36" t="s">
        <v>284</v>
      </c>
      <c r="K278" s="36" t="s">
        <v>285</v>
      </c>
      <c r="L278" s="36">
        <v>2</v>
      </c>
      <c r="M278" s="36" t="s">
        <v>544</v>
      </c>
      <c r="N278" s="36" t="s">
        <v>283</v>
      </c>
      <c r="O278" s="36">
        <v>7</v>
      </c>
      <c r="P278" s="65">
        <v>7.4200255228170928E-3</v>
      </c>
      <c r="Q278" s="36">
        <v>1000</v>
      </c>
      <c r="R278" s="36"/>
      <c r="S278" s="36"/>
      <c r="T278" s="36"/>
      <c r="U278" s="36"/>
      <c r="V278" s="36"/>
      <c r="W278" s="36"/>
      <c r="X278" s="36"/>
      <c r="Y278" s="36"/>
      <c r="Z278" s="36"/>
    </row>
    <row r="279" spans="1:26" ht="14">
      <c r="A279" s="35">
        <v>42144</v>
      </c>
      <c r="B279" s="72" t="s">
        <v>144</v>
      </c>
      <c r="C279" s="168">
        <v>2015</v>
      </c>
      <c r="D279" s="36">
        <v>4</v>
      </c>
      <c r="E279" s="36" t="s">
        <v>223</v>
      </c>
      <c r="F279" s="36" t="s">
        <v>267</v>
      </c>
      <c r="G279" s="36" t="s">
        <v>278</v>
      </c>
      <c r="H279" s="36" t="s">
        <v>279</v>
      </c>
      <c r="I279" s="65" t="s">
        <v>280</v>
      </c>
      <c r="J279" s="65"/>
      <c r="K279" s="36"/>
      <c r="L279" s="36">
        <v>1</v>
      </c>
      <c r="M279" s="36" t="s">
        <v>509</v>
      </c>
      <c r="N279" s="36" t="s">
        <v>283</v>
      </c>
      <c r="O279" s="36">
        <v>21</v>
      </c>
      <c r="P279" s="65">
        <v>4.2478904499221705E-3</v>
      </c>
      <c r="Q279" s="65">
        <v>1000</v>
      </c>
      <c r="R279" s="65"/>
      <c r="S279" s="65"/>
      <c r="T279" s="65"/>
      <c r="U279" s="36"/>
      <c r="V279" s="36"/>
      <c r="W279" s="36"/>
      <c r="X279" s="36"/>
      <c r="Y279" s="36"/>
      <c r="Z279" s="36"/>
    </row>
    <row r="280" spans="1:26" ht="14">
      <c r="A280" s="35">
        <v>42144</v>
      </c>
      <c r="B280" s="72" t="s">
        <v>144</v>
      </c>
      <c r="C280" s="168">
        <v>2015</v>
      </c>
      <c r="D280" s="65">
        <v>4</v>
      </c>
      <c r="E280" s="65" t="s">
        <v>223</v>
      </c>
      <c r="F280" s="65" t="s">
        <v>267</v>
      </c>
      <c r="G280" s="65" t="s">
        <v>278</v>
      </c>
      <c r="H280" s="65" t="s">
        <v>279</v>
      </c>
      <c r="I280" s="65" t="s">
        <v>280</v>
      </c>
      <c r="J280" s="65" t="s">
        <v>284</v>
      </c>
      <c r="K280" s="36" t="s">
        <v>285</v>
      </c>
      <c r="L280" s="36">
        <v>8</v>
      </c>
      <c r="M280" s="36" t="s">
        <v>247</v>
      </c>
      <c r="N280" s="36" t="s">
        <v>283</v>
      </c>
      <c r="O280" s="36">
        <v>21</v>
      </c>
      <c r="P280" s="65">
        <v>3.3983123599377364E-2</v>
      </c>
      <c r="Q280" s="65">
        <v>1000</v>
      </c>
      <c r="R280" s="65"/>
      <c r="S280" s="65"/>
      <c r="T280" s="65"/>
      <c r="U280" s="36"/>
      <c r="V280" s="36"/>
      <c r="W280" s="36"/>
      <c r="X280" s="36"/>
      <c r="Y280" s="36"/>
      <c r="Z280" s="36"/>
    </row>
    <row r="281" spans="1:26" ht="14">
      <c r="A281" s="35">
        <v>42144</v>
      </c>
      <c r="B281" s="72" t="s">
        <v>144</v>
      </c>
      <c r="C281" s="168">
        <v>2015</v>
      </c>
      <c r="D281" s="65">
        <v>5</v>
      </c>
      <c r="E281" s="36" t="s">
        <v>223</v>
      </c>
      <c r="F281" s="36" t="s">
        <v>267</v>
      </c>
      <c r="G281" s="36" t="s">
        <v>278</v>
      </c>
      <c r="H281" s="36" t="s">
        <v>279</v>
      </c>
      <c r="I281" s="36" t="s">
        <v>280</v>
      </c>
      <c r="J281" s="36" t="s">
        <v>284</v>
      </c>
      <c r="K281" s="36" t="s">
        <v>285</v>
      </c>
      <c r="L281" s="36">
        <v>1</v>
      </c>
      <c r="M281" s="36" t="s">
        <v>247</v>
      </c>
      <c r="N281" s="36" t="s">
        <v>283</v>
      </c>
      <c r="O281" s="36">
        <v>8</v>
      </c>
      <c r="P281" s="65">
        <v>4.5986620298947003E-3</v>
      </c>
      <c r="Q281" s="36">
        <v>1000</v>
      </c>
      <c r="R281" s="36"/>
      <c r="S281" s="36"/>
      <c r="T281" s="36"/>
      <c r="U281" s="36"/>
      <c r="V281" s="36"/>
      <c r="W281" s="36"/>
      <c r="X281" s="36"/>
      <c r="Y281" s="36"/>
      <c r="Z281" s="36"/>
    </row>
    <row r="282" spans="1:26" ht="14">
      <c r="A282" s="35">
        <v>42144</v>
      </c>
      <c r="B282" s="72" t="s">
        <v>144</v>
      </c>
      <c r="C282" s="168">
        <v>2015</v>
      </c>
      <c r="D282" s="36">
        <v>5</v>
      </c>
      <c r="E282" s="36" t="s">
        <v>223</v>
      </c>
      <c r="F282" s="36" t="s">
        <v>267</v>
      </c>
      <c r="G282" s="36" t="s">
        <v>278</v>
      </c>
      <c r="H282" s="36" t="s">
        <v>279</v>
      </c>
      <c r="I282" s="36" t="s">
        <v>280</v>
      </c>
      <c r="J282" s="36"/>
      <c r="K282" s="36"/>
      <c r="L282" s="36">
        <v>1</v>
      </c>
      <c r="M282" s="36" t="s">
        <v>594</v>
      </c>
      <c r="N282" s="36" t="s">
        <v>283</v>
      </c>
      <c r="O282" s="36">
        <v>8</v>
      </c>
      <c r="P282" s="65">
        <v>4.5986620298947003E-3</v>
      </c>
      <c r="Q282" s="36">
        <v>1000</v>
      </c>
      <c r="R282" s="36"/>
      <c r="S282" s="36"/>
      <c r="T282" s="36"/>
      <c r="U282" s="36"/>
      <c r="V282" s="36"/>
      <c r="W282" s="36"/>
      <c r="X282" s="36"/>
      <c r="Y282" s="36"/>
      <c r="Z282" s="36"/>
    </row>
    <row r="283" spans="1:26" ht="14">
      <c r="A283" s="35">
        <v>41912</v>
      </c>
      <c r="B283" s="35" t="s">
        <v>157</v>
      </c>
      <c r="C283" s="168">
        <v>2014</v>
      </c>
      <c r="D283" s="76">
        <v>2</v>
      </c>
      <c r="E283" s="36" t="s">
        <v>223</v>
      </c>
      <c r="F283" s="36" t="s">
        <v>267</v>
      </c>
      <c r="G283" s="36" t="s">
        <v>278</v>
      </c>
      <c r="H283" s="36" t="s">
        <v>279</v>
      </c>
      <c r="I283" s="36" t="s">
        <v>280</v>
      </c>
      <c r="J283" s="36" t="s">
        <v>284</v>
      </c>
      <c r="K283" s="36" t="s">
        <v>285</v>
      </c>
      <c r="L283" s="36">
        <v>55</v>
      </c>
      <c r="M283" s="36" t="s">
        <v>247</v>
      </c>
      <c r="N283" s="36" t="s">
        <v>283</v>
      </c>
      <c r="O283" s="36">
        <v>97</v>
      </c>
      <c r="P283" s="36">
        <v>6.8496258758681774E-2</v>
      </c>
      <c r="Q283" s="36">
        <v>1000</v>
      </c>
      <c r="R283" s="36"/>
      <c r="S283" s="36"/>
      <c r="T283" s="36"/>
      <c r="U283" s="36"/>
      <c r="V283" s="36"/>
      <c r="W283" s="36"/>
      <c r="X283" s="36"/>
      <c r="Y283" s="36"/>
      <c r="Z283" s="36"/>
    </row>
    <row r="284" spans="1:26" ht="14">
      <c r="A284" s="35">
        <v>41912</v>
      </c>
      <c r="B284" s="72" t="s">
        <v>157</v>
      </c>
      <c r="C284" s="168">
        <v>2014</v>
      </c>
      <c r="D284" s="76">
        <v>2</v>
      </c>
      <c r="E284" s="65" t="s">
        <v>223</v>
      </c>
      <c r="F284" s="65" t="s">
        <v>267</v>
      </c>
      <c r="G284" s="65" t="s">
        <v>278</v>
      </c>
      <c r="H284" s="65" t="s">
        <v>279</v>
      </c>
      <c r="I284" s="65" t="s">
        <v>280</v>
      </c>
      <c r="J284" s="36"/>
      <c r="K284" s="36"/>
      <c r="L284" s="36">
        <v>8</v>
      </c>
      <c r="M284" s="36" t="s">
        <v>594</v>
      </c>
      <c r="N284" s="36" t="s">
        <v>283</v>
      </c>
      <c r="O284" s="36">
        <v>97</v>
      </c>
      <c r="P284" s="36">
        <v>9.9630921830809842E-3</v>
      </c>
      <c r="Q284" s="36">
        <v>1000</v>
      </c>
      <c r="R284" s="36" t="s">
        <v>579</v>
      </c>
      <c r="S284" s="36"/>
      <c r="T284" s="36"/>
      <c r="U284" s="36"/>
      <c r="V284" s="36"/>
      <c r="W284" s="36"/>
      <c r="X284" s="36"/>
      <c r="Y284" s="36"/>
      <c r="Z284" s="36"/>
    </row>
    <row r="285" spans="1:26" ht="14">
      <c r="A285" s="72">
        <v>41912</v>
      </c>
      <c r="B285" s="35" t="s">
        <v>157</v>
      </c>
      <c r="C285" s="168">
        <v>2014</v>
      </c>
      <c r="D285" s="76">
        <v>4</v>
      </c>
      <c r="E285" s="65" t="s">
        <v>223</v>
      </c>
      <c r="F285" s="65" t="s">
        <v>267</v>
      </c>
      <c r="G285" s="65" t="s">
        <v>278</v>
      </c>
      <c r="H285" s="65" t="s">
        <v>279</v>
      </c>
      <c r="I285" s="65" t="s">
        <v>280</v>
      </c>
      <c r="J285" s="36" t="s">
        <v>284</v>
      </c>
      <c r="K285" s="36" t="s">
        <v>285</v>
      </c>
      <c r="L285" s="36">
        <v>93</v>
      </c>
      <c r="M285" s="36" t="s">
        <v>247</v>
      </c>
      <c r="N285" s="36" t="s">
        <v>283</v>
      </c>
      <c r="O285" s="36">
        <v>108</v>
      </c>
      <c r="P285" s="65">
        <v>0.17245626405828682</v>
      </c>
      <c r="Q285" s="36">
        <v>1000</v>
      </c>
      <c r="R285" s="36"/>
      <c r="S285" s="36"/>
      <c r="T285" s="36"/>
      <c r="U285" s="36"/>
      <c r="V285" s="36"/>
      <c r="W285" s="36"/>
      <c r="X285" s="36"/>
      <c r="Y285" s="36"/>
      <c r="Z285" s="36"/>
    </row>
    <row r="286" spans="1:26" ht="14">
      <c r="A286" s="72">
        <v>41912</v>
      </c>
      <c r="B286" s="35" t="s">
        <v>157</v>
      </c>
      <c r="C286" s="168">
        <v>2014</v>
      </c>
      <c r="D286" s="76">
        <v>4</v>
      </c>
      <c r="E286" s="36" t="s">
        <v>223</v>
      </c>
      <c r="F286" s="36" t="s">
        <v>267</v>
      </c>
      <c r="G286" s="36" t="s">
        <v>278</v>
      </c>
      <c r="H286" s="36" t="s">
        <v>279</v>
      </c>
      <c r="I286" s="36" t="s">
        <v>280</v>
      </c>
      <c r="J286" s="36"/>
      <c r="K286" s="36"/>
      <c r="L286" s="36">
        <v>4</v>
      </c>
      <c r="M286" s="36" t="s">
        <v>247</v>
      </c>
      <c r="N286" s="36" t="s">
        <v>283</v>
      </c>
      <c r="O286" s="36">
        <v>108</v>
      </c>
      <c r="P286" s="65">
        <v>7.4174737229370661E-3</v>
      </c>
      <c r="Q286" s="36">
        <v>1000</v>
      </c>
      <c r="R286" s="36"/>
      <c r="S286" s="36"/>
      <c r="T286" s="36"/>
      <c r="U286" s="36"/>
      <c r="V286" s="36"/>
      <c r="W286" s="36"/>
      <c r="X286" s="36"/>
      <c r="Y286" s="36"/>
      <c r="Z286" s="36"/>
    </row>
    <row r="287" spans="1:26" ht="14">
      <c r="A287" s="35">
        <v>41912</v>
      </c>
      <c r="B287" s="35" t="s">
        <v>157</v>
      </c>
      <c r="C287" s="168">
        <v>2014</v>
      </c>
      <c r="D287" s="76">
        <v>5</v>
      </c>
      <c r="E287" s="36" t="s">
        <v>223</v>
      </c>
      <c r="F287" s="36" t="s">
        <v>267</v>
      </c>
      <c r="G287" s="36" t="s">
        <v>278</v>
      </c>
      <c r="H287" s="36" t="s">
        <v>279</v>
      </c>
      <c r="I287" s="36" t="s">
        <v>280</v>
      </c>
      <c r="J287" s="36" t="s">
        <v>284</v>
      </c>
      <c r="K287" s="36" t="s">
        <v>285</v>
      </c>
      <c r="L287" s="36">
        <v>52</v>
      </c>
      <c r="M287" s="36" t="s">
        <v>247</v>
      </c>
      <c r="N287" s="36" t="s">
        <v>283</v>
      </c>
      <c r="O287" s="36">
        <v>176</v>
      </c>
      <c r="P287" s="36">
        <v>5.7986713481609393E-2</v>
      </c>
      <c r="Q287" s="36">
        <v>1000</v>
      </c>
      <c r="R287" s="36" t="s">
        <v>595</v>
      </c>
      <c r="S287" s="36"/>
      <c r="T287" s="36"/>
      <c r="U287" s="36"/>
      <c r="V287" s="36"/>
      <c r="W287" s="36"/>
      <c r="X287" s="36"/>
      <c r="Y287" s="36"/>
      <c r="Z287" s="36"/>
    </row>
    <row r="288" spans="1:26" ht="14">
      <c r="A288" s="35">
        <v>41912</v>
      </c>
      <c r="B288" s="35" t="s">
        <v>157</v>
      </c>
      <c r="C288" s="168">
        <v>2014</v>
      </c>
      <c r="D288" s="76">
        <v>5</v>
      </c>
      <c r="E288" s="65" t="s">
        <v>223</v>
      </c>
      <c r="F288" s="65" t="s">
        <v>267</v>
      </c>
      <c r="G288" s="65" t="s">
        <v>278</v>
      </c>
      <c r="H288" s="65" t="s">
        <v>279</v>
      </c>
      <c r="I288" s="65" t="s">
        <v>280</v>
      </c>
      <c r="J288" s="36" t="s">
        <v>284</v>
      </c>
      <c r="K288" s="36" t="s">
        <v>285</v>
      </c>
      <c r="L288" s="36">
        <v>1</v>
      </c>
      <c r="M288" s="36" t="s">
        <v>247</v>
      </c>
      <c r="N288" s="36" t="s">
        <v>283</v>
      </c>
      <c r="O288" s="36">
        <v>176</v>
      </c>
      <c r="P288" s="36">
        <v>1.115129105415565E-3</v>
      </c>
      <c r="Q288" s="36">
        <v>1000</v>
      </c>
      <c r="R288" s="36" t="s">
        <v>596</v>
      </c>
      <c r="S288" s="36"/>
      <c r="T288" s="36"/>
      <c r="U288" s="36"/>
      <c r="V288" s="36"/>
      <c r="W288" s="36"/>
      <c r="X288" s="36"/>
      <c r="Y288" s="36"/>
      <c r="Z288" s="36"/>
    </row>
    <row r="289" spans="1:26" ht="14">
      <c r="A289" s="35">
        <v>41851</v>
      </c>
      <c r="B289" s="72" t="s">
        <v>154</v>
      </c>
      <c r="C289" s="168">
        <v>2014</v>
      </c>
      <c r="D289" s="65">
        <v>2</v>
      </c>
      <c r="E289" s="36" t="s">
        <v>223</v>
      </c>
      <c r="F289" s="36" t="s">
        <v>267</v>
      </c>
      <c r="G289" s="36" t="s">
        <v>278</v>
      </c>
      <c r="H289" s="36" t="s">
        <v>279</v>
      </c>
      <c r="I289" s="36" t="s">
        <v>280</v>
      </c>
      <c r="J289" s="36" t="s">
        <v>284</v>
      </c>
      <c r="K289" s="36" t="s">
        <v>285</v>
      </c>
      <c r="L289" s="36">
        <v>36</v>
      </c>
      <c r="M289" s="36" t="s">
        <v>247</v>
      </c>
      <c r="N289" s="36" t="s">
        <v>283</v>
      </c>
      <c r="O289" s="36">
        <v>53</v>
      </c>
      <c r="P289" s="65">
        <v>0.82613369869532194</v>
      </c>
      <c r="Q289" s="36">
        <v>1000</v>
      </c>
      <c r="R289" s="36"/>
      <c r="S289" s="36"/>
      <c r="T289" s="36"/>
      <c r="U289" s="36"/>
      <c r="V289" s="36"/>
      <c r="W289" s="36"/>
      <c r="X289" s="36"/>
      <c r="Y289" s="36"/>
      <c r="Z289" s="36"/>
    </row>
    <row r="290" spans="1:26" ht="14">
      <c r="A290" s="35">
        <v>41851</v>
      </c>
      <c r="B290" s="72" t="s">
        <v>154</v>
      </c>
      <c r="C290" s="168">
        <v>2014</v>
      </c>
      <c r="D290" s="65">
        <v>5</v>
      </c>
      <c r="E290" s="36" t="s">
        <v>223</v>
      </c>
      <c r="F290" s="36" t="s">
        <v>267</v>
      </c>
      <c r="G290" s="36" t="s">
        <v>278</v>
      </c>
      <c r="H290" s="36" t="s">
        <v>279</v>
      </c>
      <c r="I290" s="36" t="s">
        <v>280</v>
      </c>
      <c r="J290" s="36" t="s">
        <v>284</v>
      </c>
      <c r="K290" s="36" t="s">
        <v>285</v>
      </c>
      <c r="L290" s="36">
        <v>6</v>
      </c>
      <c r="M290" s="36" t="s">
        <v>247</v>
      </c>
      <c r="N290" s="36" t="s">
        <v>283</v>
      </c>
      <c r="O290" s="36">
        <v>138</v>
      </c>
      <c r="P290" s="65">
        <v>2.9757567595743765E-2</v>
      </c>
      <c r="Q290" s="36">
        <v>1000</v>
      </c>
      <c r="R290" s="36"/>
      <c r="S290" s="36"/>
      <c r="T290" s="36"/>
      <c r="U290" s="36"/>
      <c r="V290" s="36"/>
      <c r="W290" s="36"/>
      <c r="X290" s="36"/>
      <c r="Y290" s="36"/>
      <c r="Z290" s="36"/>
    </row>
    <row r="291" spans="1:26" ht="14">
      <c r="A291" s="35">
        <v>41761</v>
      </c>
      <c r="B291" s="72" t="s">
        <v>144</v>
      </c>
      <c r="C291" s="168">
        <v>2014</v>
      </c>
      <c r="D291" s="65">
        <v>2</v>
      </c>
      <c r="E291" s="65" t="s">
        <v>223</v>
      </c>
      <c r="F291" s="65" t="s">
        <v>267</v>
      </c>
      <c r="G291" s="65" t="s">
        <v>278</v>
      </c>
      <c r="H291" s="65" t="s">
        <v>279</v>
      </c>
      <c r="I291" s="65" t="s">
        <v>280</v>
      </c>
      <c r="J291" s="36" t="s">
        <v>284</v>
      </c>
      <c r="K291" s="36" t="s">
        <v>285</v>
      </c>
      <c r="L291" s="36">
        <v>1</v>
      </c>
      <c r="M291" s="36" t="s">
        <v>247</v>
      </c>
      <c r="N291" s="36" t="s">
        <v>283</v>
      </c>
      <c r="O291" s="36">
        <v>1</v>
      </c>
      <c r="P291" s="36">
        <v>0.6284248289959361</v>
      </c>
      <c r="Q291" s="36">
        <v>1000</v>
      </c>
      <c r="R291" s="36"/>
      <c r="S291" s="36"/>
      <c r="T291" s="36"/>
      <c r="U291" s="36"/>
      <c r="V291" s="36"/>
      <c r="W291" s="36"/>
      <c r="X291" s="36"/>
      <c r="Y291" s="36"/>
      <c r="Z291" s="36"/>
    </row>
    <row r="292" spans="1:26" ht="14">
      <c r="A292" s="72">
        <v>41761</v>
      </c>
      <c r="B292" s="35" t="s">
        <v>144</v>
      </c>
      <c r="C292" s="168">
        <v>2014</v>
      </c>
      <c r="D292" s="65">
        <v>4</v>
      </c>
      <c r="E292" s="65" t="s">
        <v>223</v>
      </c>
      <c r="F292" s="65" t="s">
        <v>267</v>
      </c>
      <c r="G292" s="65" t="s">
        <v>278</v>
      </c>
      <c r="H292" s="65" t="s">
        <v>279</v>
      </c>
      <c r="I292" s="65" t="s">
        <v>280</v>
      </c>
      <c r="J292" s="36"/>
      <c r="K292" s="36"/>
      <c r="L292" s="36">
        <v>13</v>
      </c>
      <c r="M292" s="36" t="s">
        <v>509</v>
      </c>
      <c r="N292" s="36" t="s">
        <v>283</v>
      </c>
      <c r="O292" s="36">
        <v>864</v>
      </c>
      <c r="P292" s="65">
        <v>3.5949822717298408E-2</v>
      </c>
      <c r="Q292" s="36">
        <v>1000</v>
      </c>
      <c r="R292" s="36"/>
      <c r="S292" s="36"/>
      <c r="T292" s="36"/>
      <c r="U292" s="36"/>
      <c r="V292" s="36"/>
      <c r="W292" s="36"/>
      <c r="X292" s="36"/>
      <c r="Y292" s="36"/>
      <c r="Z292" s="36"/>
    </row>
    <row r="293" spans="1:26" ht="14">
      <c r="A293" s="72">
        <v>41761</v>
      </c>
      <c r="B293" s="35" t="s">
        <v>144</v>
      </c>
      <c r="C293" s="168">
        <v>2014</v>
      </c>
      <c r="D293" s="65">
        <v>4</v>
      </c>
      <c r="E293" s="36" t="s">
        <v>223</v>
      </c>
      <c r="F293" s="36" t="s">
        <v>267</v>
      </c>
      <c r="G293" s="36" t="s">
        <v>278</v>
      </c>
      <c r="H293" s="36" t="s">
        <v>279</v>
      </c>
      <c r="I293" s="36" t="s">
        <v>280</v>
      </c>
      <c r="J293" s="36" t="s">
        <v>284</v>
      </c>
      <c r="K293" s="36" t="s">
        <v>285</v>
      </c>
      <c r="L293" s="36">
        <v>792</v>
      </c>
      <c r="M293" s="36" t="s">
        <v>247</v>
      </c>
      <c r="N293" s="36" t="s">
        <v>283</v>
      </c>
      <c r="O293" s="36">
        <v>864</v>
      </c>
      <c r="P293" s="65">
        <v>2.1901738147769487</v>
      </c>
      <c r="Q293" s="36">
        <v>1000</v>
      </c>
      <c r="R293" s="36"/>
      <c r="S293" s="36"/>
      <c r="T293" s="36"/>
      <c r="U293" s="36"/>
      <c r="V293" s="36"/>
      <c r="W293" s="36"/>
      <c r="X293" s="36"/>
      <c r="Y293" s="36"/>
      <c r="Z293" s="36"/>
    </row>
    <row r="294" spans="1:26" ht="14">
      <c r="A294" s="35">
        <v>41761</v>
      </c>
      <c r="B294" s="35" t="s">
        <v>144</v>
      </c>
      <c r="C294" s="168">
        <v>2014</v>
      </c>
      <c r="D294" s="65">
        <v>5</v>
      </c>
      <c r="E294" s="53" t="s">
        <v>223</v>
      </c>
      <c r="F294" s="53" t="s">
        <v>267</v>
      </c>
      <c r="G294" s="53" t="s">
        <v>278</v>
      </c>
      <c r="H294" s="53" t="s">
        <v>279</v>
      </c>
      <c r="I294" s="53" t="s">
        <v>280</v>
      </c>
      <c r="J294" s="36" t="s">
        <v>284</v>
      </c>
      <c r="K294" s="36" t="s">
        <v>285</v>
      </c>
      <c r="L294" s="36">
        <v>76</v>
      </c>
      <c r="M294" s="36" t="s">
        <v>247</v>
      </c>
      <c r="N294" s="36" t="s">
        <v>283</v>
      </c>
      <c r="O294" s="36">
        <v>87</v>
      </c>
      <c r="P294" s="36">
        <v>0.18189207277282332</v>
      </c>
      <c r="Q294" s="36">
        <v>1000</v>
      </c>
      <c r="R294" s="36"/>
      <c r="S294" s="36"/>
      <c r="T294" s="36"/>
      <c r="U294" s="36"/>
      <c r="V294" s="36"/>
      <c r="W294" s="36"/>
      <c r="X294" s="36"/>
      <c r="Y294" s="36"/>
      <c r="Z294" s="36"/>
    </row>
    <row r="295" spans="1:26" ht="14">
      <c r="A295" s="35">
        <v>41761</v>
      </c>
      <c r="B295" s="35" t="s">
        <v>144</v>
      </c>
      <c r="C295" s="168">
        <v>2014</v>
      </c>
      <c r="D295" s="65">
        <v>8</v>
      </c>
      <c r="E295" s="36" t="s">
        <v>223</v>
      </c>
      <c r="F295" s="36" t="s">
        <v>267</v>
      </c>
      <c r="G295" s="36" t="s">
        <v>278</v>
      </c>
      <c r="H295" s="36" t="s">
        <v>279</v>
      </c>
      <c r="I295" s="65" t="s">
        <v>280</v>
      </c>
      <c r="J295" s="65" t="s">
        <v>284</v>
      </c>
      <c r="K295" s="36" t="s">
        <v>285</v>
      </c>
      <c r="L295" s="36">
        <v>69</v>
      </c>
      <c r="M295" s="36" t="s">
        <v>247</v>
      </c>
      <c r="N295" s="36" t="s">
        <v>283</v>
      </c>
      <c r="O295" s="36">
        <v>91</v>
      </c>
      <c r="P295" s="36">
        <v>0.19813207216332956</v>
      </c>
      <c r="Q295" s="65">
        <v>1000</v>
      </c>
      <c r="R295" s="65"/>
      <c r="S295" s="65"/>
      <c r="T295" s="65"/>
      <c r="U295" s="36"/>
      <c r="V295" s="36"/>
      <c r="W295" s="36"/>
      <c r="X295" s="36"/>
      <c r="Y295" s="36"/>
      <c r="Z295" s="36"/>
    </row>
    <row r="296" spans="1:26" ht="14">
      <c r="A296" s="35">
        <v>41542</v>
      </c>
      <c r="B296" s="72" t="s">
        <v>157</v>
      </c>
      <c r="C296" s="168">
        <v>2013</v>
      </c>
      <c r="D296" s="65">
        <v>2</v>
      </c>
      <c r="E296" s="65" t="s">
        <v>223</v>
      </c>
      <c r="F296" s="36" t="s">
        <v>267</v>
      </c>
      <c r="G296" s="36" t="s">
        <v>278</v>
      </c>
      <c r="H296" s="65" t="s">
        <v>279</v>
      </c>
      <c r="I296" s="65" t="s">
        <v>280</v>
      </c>
      <c r="J296" s="65" t="s">
        <v>284</v>
      </c>
      <c r="K296" s="65" t="s">
        <v>285</v>
      </c>
      <c r="L296" s="65">
        <v>243</v>
      </c>
      <c r="M296" s="65" t="s">
        <v>247</v>
      </c>
      <c r="N296" s="65" t="s">
        <v>283</v>
      </c>
      <c r="O296" s="36">
        <v>244</v>
      </c>
      <c r="P296" s="36">
        <v>0.89707489447428901</v>
      </c>
      <c r="Q296" s="36">
        <v>1000</v>
      </c>
      <c r="R296" s="36"/>
      <c r="S296" s="36"/>
      <c r="T296" s="36"/>
      <c r="U296" s="36"/>
      <c r="V296" s="36"/>
      <c r="W296" s="36"/>
      <c r="X296" s="36"/>
      <c r="Y296" s="36"/>
      <c r="Z296" s="36"/>
    </row>
    <row r="297" spans="1:26" ht="14">
      <c r="A297" s="72">
        <v>41542</v>
      </c>
      <c r="B297" s="72" t="s">
        <v>157</v>
      </c>
      <c r="C297" s="168">
        <v>2013</v>
      </c>
      <c r="D297" s="65">
        <v>4</v>
      </c>
      <c r="E297" s="65" t="s">
        <v>223</v>
      </c>
      <c r="F297" s="65" t="s">
        <v>267</v>
      </c>
      <c r="G297" s="65" t="s">
        <v>278</v>
      </c>
      <c r="H297" s="65" t="s">
        <v>279</v>
      </c>
      <c r="I297" s="65" t="s">
        <v>280</v>
      </c>
      <c r="J297" s="36" t="s">
        <v>281</v>
      </c>
      <c r="K297" s="36" t="s">
        <v>282</v>
      </c>
      <c r="L297" s="36">
        <v>1</v>
      </c>
      <c r="M297" s="36" t="s">
        <v>247</v>
      </c>
      <c r="N297" s="36" t="s">
        <v>283</v>
      </c>
      <c r="O297" s="36">
        <v>522</v>
      </c>
      <c r="P297" s="36">
        <v>2.092123029799455E-3</v>
      </c>
      <c r="Q297" s="36">
        <v>1000</v>
      </c>
      <c r="R297" s="36"/>
      <c r="S297" s="36"/>
      <c r="T297" s="36"/>
      <c r="U297" s="36"/>
      <c r="V297" s="36"/>
      <c r="W297" s="36"/>
      <c r="X297" s="36"/>
      <c r="Y297" s="36"/>
      <c r="Z297" s="36"/>
    </row>
    <row r="298" spans="1:26" ht="14">
      <c r="A298" s="35">
        <v>41542</v>
      </c>
      <c r="B298" s="72" t="s">
        <v>157</v>
      </c>
      <c r="C298" s="168">
        <v>2013</v>
      </c>
      <c r="D298" s="65">
        <v>4</v>
      </c>
      <c r="E298" s="36" t="s">
        <v>223</v>
      </c>
      <c r="F298" s="36" t="s">
        <v>267</v>
      </c>
      <c r="G298" s="36" t="s">
        <v>278</v>
      </c>
      <c r="H298" s="36" t="s">
        <v>279</v>
      </c>
      <c r="I298" s="36" t="s">
        <v>280</v>
      </c>
      <c r="J298" s="36" t="s">
        <v>284</v>
      </c>
      <c r="K298" s="36" t="s">
        <v>285</v>
      </c>
      <c r="L298" s="36">
        <v>511</v>
      </c>
      <c r="M298" s="36" t="s">
        <v>247</v>
      </c>
      <c r="N298" s="36" t="s">
        <v>283</v>
      </c>
      <c r="O298" s="36">
        <v>522</v>
      </c>
      <c r="P298" s="36">
        <v>1.0690748682275217</v>
      </c>
      <c r="Q298" s="36">
        <v>1000</v>
      </c>
      <c r="R298" s="36" t="s">
        <v>605</v>
      </c>
      <c r="S298" s="36"/>
      <c r="T298" s="36"/>
      <c r="U298" s="36"/>
      <c r="V298" s="36"/>
      <c r="W298" s="36"/>
      <c r="X298" s="36"/>
      <c r="Y298" s="36"/>
      <c r="Z298" s="36"/>
    </row>
    <row r="299" spans="1:26" ht="14">
      <c r="A299" s="35">
        <v>41542</v>
      </c>
      <c r="B299" s="72" t="s">
        <v>157</v>
      </c>
      <c r="C299" s="168">
        <v>2013</v>
      </c>
      <c r="D299" s="65">
        <v>5</v>
      </c>
      <c r="E299" s="36" t="s">
        <v>223</v>
      </c>
      <c r="F299" s="36" t="s">
        <v>267</v>
      </c>
      <c r="G299" s="36" t="s">
        <v>278</v>
      </c>
      <c r="H299" s="36" t="s">
        <v>279</v>
      </c>
      <c r="I299" s="36" t="s">
        <v>280</v>
      </c>
      <c r="J299" s="36" t="s">
        <v>284</v>
      </c>
      <c r="K299" s="36" t="s">
        <v>285</v>
      </c>
      <c r="L299" s="36">
        <v>16</v>
      </c>
      <c r="M299" s="36" t="s">
        <v>247</v>
      </c>
      <c r="N299" s="36" t="s">
        <v>283</v>
      </c>
      <c r="O299" s="36">
        <v>41</v>
      </c>
      <c r="P299" s="36">
        <v>1.2570884582787054E-2</v>
      </c>
      <c r="Q299" s="36">
        <v>1000</v>
      </c>
      <c r="R299" s="36"/>
      <c r="S299" s="36"/>
      <c r="T299" s="36"/>
      <c r="U299" s="36"/>
      <c r="V299" s="36"/>
      <c r="W299" s="36"/>
      <c r="X299" s="36"/>
      <c r="Y299" s="36"/>
      <c r="Z299" s="36"/>
    </row>
    <row r="300" spans="1:26" ht="14">
      <c r="A300" s="35">
        <v>41480</v>
      </c>
      <c r="B300" s="72" t="s">
        <v>154</v>
      </c>
      <c r="C300" s="168">
        <v>2013</v>
      </c>
      <c r="D300" s="65">
        <v>2</v>
      </c>
      <c r="E300" s="36" t="s">
        <v>223</v>
      </c>
      <c r="F300" s="36" t="s">
        <v>267</v>
      </c>
      <c r="G300" s="36" t="s">
        <v>278</v>
      </c>
      <c r="H300" s="36" t="s">
        <v>279</v>
      </c>
      <c r="I300" s="36" t="s">
        <v>280</v>
      </c>
      <c r="J300" s="36" t="s">
        <v>284</v>
      </c>
      <c r="K300" s="36" t="s">
        <v>285</v>
      </c>
      <c r="L300" s="36">
        <v>101</v>
      </c>
      <c r="M300" s="36" t="s">
        <v>247</v>
      </c>
      <c r="N300" s="36" t="s">
        <v>283</v>
      </c>
      <c r="O300" s="36">
        <v>126</v>
      </c>
      <c r="P300" s="36">
        <v>0.1011354254504446</v>
      </c>
      <c r="Q300" s="36">
        <v>1000</v>
      </c>
      <c r="R300" s="36"/>
      <c r="S300" s="36"/>
      <c r="T300" s="36"/>
      <c r="U300" s="36"/>
      <c r="V300" s="36"/>
      <c r="W300" s="36"/>
      <c r="X300" s="36"/>
      <c r="Y300" s="36"/>
      <c r="Z300" s="36"/>
    </row>
    <row r="301" spans="1:26" ht="14">
      <c r="A301" s="35">
        <v>41480</v>
      </c>
      <c r="B301" s="72" t="s">
        <v>154</v>
      </c>
      <c r="C301" s="168">
        <v>2013</v>
      </c>
      <c r="D301" s="65">
        <v>4</v>
      </c>
      <c r="E301" s="53" t="s">
        <v>223</v>
      </c>
      <c r="F301" s="53" t="s">
        <v>267</v>
      </c>
      <c r="G301" s="53" t="s">
        <v>278</v>
      </c>
      <c r="H301" s="53" t="s">
        <v>279</v>
      </c>
      <c r="I301" s="53" t="s">
        <v>280</v>
      </c>
      <c r="J301" s="36" t="s">
        <v>281</v>
      </c>
      <c r="K301" s="36" t="s">
        <v>282</v>
      </c>
      <c r="L301" s="36">
        <v>1</v>
      </c>
      <c r="M301" s="36" t="s">
        <v>247</v>
      </c>
      <c r="N301" s="36" t="s">
        <v>283</v>
      </c>
      <c r="O301" s="36">
        <v>113</v>
      </c>
      <c r="P301" s="36">
        <v>2.4321460647296414E-3</v>
      </c>
      <c r="Q301" s="36">
        <v>1000</v>
      </c>
      <c r="R301" s="36"/>
      <c r="S301" s="36"/>
      <c r="T301" s="36"/>
      <c r="U301" s="36"/>
      <c r="V301" s="36"/>
      <c r="W301" s="36"/>
      <c r="X301" s="36"/>
      <c r="Y301" s="36"/>
      <c r="Z301" s="36"/>
    </row>
    <row r="302" spans="1:26" ht="14">
      <c r="A302" s="35">
        <v>41480</v>
      </c>
      <c r="B302" s="72" t="s">
        <v>154</v>
      </c>
      <c r="C302" s="168">
        <v>2013</v>
      </c>
      <c r="D302" s="65">
        <v>4</v>
      </c>
      <c r="E302" s="36" t="s">
        <v>223</v>
      </c>
      <c r="F302" s="36" t="s">
        <v>267</v>
      </c>
      <c r="G302" s="36" t="s">
        <v>278</v>
      </c>
      <c r="H302" s="36" t="s">
        <v>279</v>
      </c>
      <c r="I302" s="36" t="s">
        <v>280</v>
      </c>
      <c r="J302" s="36" t="s">
        <v>284</v>
      </c>
      <c r="K302" s="36" t="s">
        <v>285</v>
      </c>
      <c r="L302" s="36">
        <v>107</v>
      </c>
      <c r="M302" s="36" t="s">
        <v>247</v>
      </c>
      <c r="N302" s="36" t="s">
        <v>283</v>
      </c>
      <c r="O302" s="36">
        <v>113</v>
      </c>
      <c r="P302" s="36">
        <v>0.26023962892607161</v>
      </c>
      <c r="Q302" s="36">
        <v>1000</v>
      </c>
      <c r="R302" s="36"/>
      <c r="S302" s="36"/>
      <c r="T302" s="36"/>
      <c r="U302" s="36"/>
      <c r="V302" s="36"/>
      <c r="W302" s="36"/>
      <c r="X302" s="36"/>
      <c r="Y302" s="36"/>
      <c r="Z302" s="36"/>
    </row>
    <row r="303" spans="1:26" ht="14">
      <c r="A303" s="35">
        <v>41480</v>
      </c>
      <c r="B303" s="72" t="s">
        <v>154</v>
      </c>
      <c r="C303" s="168">
        <v>2013</v>
      </c>
      <c r="D303" s="65">
        <v>5</v>
      </c>
      <c r="E303" s="36" t="s">
        <v>223</v>
      </c>
      <c r="F303" s="36" t="s">
        <v>267</v>
      </c>
      <c r="G303" s="36" t="s">
        <v>278</v>
      </c>
      <c r="H303" s="36" t="s">
        <v>279</v>
      </c>
      <c r="I303" s="36" t="s">
        <v>280</v>
      </c>
      <c r="J303" s="36" t="s">
        <v>281</v>
      </c>
      <c r="K303" s="36" t="s">
        <v>282</v>
      </c>
      <c r="L303" s="36">
        <v>3</v>
      </c>
      <c r="M303" s="36" t="s">
        <v>247</v>
      </c>
      <c r="N303" s="36" t="s">
        <v>283</v>
      </c>
      <c r="O303" s="36">
        <v>45</v>
      </c>
      <c r="P303" s="36">
        <v>9.4001635249862828E-4</v>
      </c>
      <c r="Q303" s="36">
        <v>1000</v>
      </c>
      <c r="R303" s="36"/>
      <c r="S303" s="36"/>
      <c r="T303" s="36"/>
      <c r="U303" s="36"/>
      <c r="V303" s="36"/>
      <c r="W303" s="36"/>
      <c r="X303" s="36"/>
      <c r="Y303" s="36"/>
      <c r="Z303" s="36"/>
    </row>
    <row r="304" spans="1:26" ht="14">
      <c r="A304" s="35">
        <v>41480</v>
      </c>
      <c r="B304" s="72" t="s">
        <v>154</v>
      </c>
      <c r="C304" s="168">
        <v>2013</v>
      </c>
      <c r="D304" s="65">
        <v>5</v>
      </c>
      <c r="E304" s="65" t="s">
        <v>223</v>
      </c>
      <c r="F304" s="65" t="s">
        <v>267</v>
      </c>
      <c r="G304" s="65" t="s">
        <v>278</v>
      </c>
      <c r="H304" s="65" t="s">
        <v>279</v>
      </c>
      <c r="I304" s="65" t="s">
        <v>280</v>
      </c>
      <c r="J304" s="36" t="s">
        <v>284</v>
      </c>
      <c r="K304" s="36" t="s">
        <v>285</v>
      </c>
      <c r="L304" s="36">
        <v>23</v>
      </c>
      <c r="M304" s="36" t="s">
        <v>247</v>
      </c>
      <c r="N304" s="36" t="s">
        <v>283</v>
      </c>
      <c r="O304" s="36">
        <v>45</v>
      </c>
      <c r="P304" s="36">
        <v>7.206792035822817E-3</v>
      </c>
      <c r="Q304" s="36">
        <v>1000</v>
      </c>
      <c r="R304" s="36"/>
      <c r="S304" s="36"/>
      <c r="T304" s="36"/>
      <c r="U304" s="36"/>
      <c r="V304" s="36"/>
      <c r="W304" s="36"/>
      <c r="X304" s="36"/>
      <c r="Y304" s="36"/>
      <c r="Z304" s="36"/>
    </row>
    <row r="305" spans="1:26" ht="14">
      <c r="A305" s="35">
        <v>41422</v>
      </c>
      <c r="B305" s="72" t="s">
        <v>144</v>
      </c>
      <c r="C305" s="168">
        <v>2013</v>
      </c>
      <c r="D305" s="65">
        <v>4</v>
      </c>
      <c r="E305" s="65" t="s">
        <v>223</v>
      </c>
      <c r="F305" s="65" t="s">
        <v>267</v>
      </c>
      <c r="G305" s="65" t="s">
        <v>278</v>
      </c>
      <c r="H305" s="65" t="s">
        <v>279</v>
      </c>
      <c r="I305" s="65" t="s">
        <v>280</v>
      </c>
      <c r="J305" s="65" t="s">
        <v>284</v>
      </c>
      <c r="K305" s="36" t="s">
        <v>285</v>
      </c>
      <c r="L305" s="36">
        <v>51</v>
      </c>
      <c r="M305" s="36" t="s">
        <v>247</v>
      </c>
      <c r="N305" s="36" t="s">
        <v>283</v>
      </c>
      <c r="O305" s="36">
        <v>88</v>
      </c>
      <c r="P305" s="36">
        <v>8.5488766410839495E-2</v>
      </c>
      <c r="Q305" s="36">
        <v>1000</v>
      </c>
      <c r="R305" s="36"/>
      <c r="S305" s="36"/>
      <c r="T305" s="36"/>
      <c r="U305" s="36"/>
      <c r="V305" s="36"/>
      <c r="W305" s="36"/>
      <c r="X305" s="36"/>
      <c r="Y305" s="36"/>
      <c r="Z305" s="36"/>
    </row>
    <row r="306" spans="1:26" ht="14">
      <c r="A306" s="35">
        <v>41422</v>
      </c>
      <c r="B306" s="35" t="s">
        <v>144</v>
      </c>
      <c r="C306" s="168">
        <v>2013</v>
      </c>
      <c r="D306" s="65">
        <v>8</v>
      </c>
      <c r="E306" s="36" t="s">
        <v>223</v>
      </c>
      <c r="F306" s="36" t="s">
        <v>267</v>
      </c>
      <c r="G306" s="36" t="s">
        <v>278</v>
      </c>
      <c r="H306" s="36" t="s">
        <v>279</v>
      </c>
      <c r="I306" s="36" t="s">
        <v>280</v>
      </c>
      <c r="J306" s="36" t="s">
        <v>281</v>
      </c>
      <c r="K306" s="36" t="s">
        <v>282</v>
      </c>
      <c r="L306" s="36">
        <v>1</v>
      </c>
      <c r="M306" s="36" t="s">
        <v>247</v>
      </c>
      <c r="N306" s="36" t="s">
        <v>283</v>
      </c>
      <c r="O306" s="36">
        <v>19</v>
      </c>
      <c r="P306" s="36">
        <v>1.3380776987786771E-3</v>
      </c>
      <c r="Q306" s="36">
        <v>1000</v>
      </c>
      <c r="R306" s="36"/>
      <c r="S306" s="36"/>
      <c r="T306" s="36"/>
      <c r="U306" s="36"/>
      <c r="V306" s="36"/>
      <c r="W306" s="36"/>
      <c r="X306" s="36"/>
      <c r="Y306" s="36"/>
      <c r="Z306" s="36"/>
    </row>
    <row r="307" spans="1:26" ht="14">
      <c r="A307" s="35">
        <v>41422</v>
      </c>
      <c r="B307" s="35" t="s">
        <v>144</v>
      </c>
      <c r="C307" s="168">
        <v>2013</v>
      </c>
      <c r="D307" s="65">
        <v>8</v>
      </c>
      <c r="E307" s="36" t="s">
        <v>223</v>
      </c>
      <c r="F307" s="36" t="s">
        <v>267</v>
      </c>
      <c r="G307" s="36" t="s">
        <v>278</v>
      </c>
      <c r="H307" s="36" t="s">
        <v>279</v>
      </c>
      <c r="I307" s="36" t="s">
        <v>280</v>
      </c>
      <c r="J307" s="36" t="s">
        <v>284</v>
      </c>
      <c r="K307" s="36" t="s">
        <v>285</v>
      </c>
      <c r="L307" s="36">
        <v>14</v>
      </c>
      <c r="M307" s="36" t="s">
        <v>247</v>
      </c>
      <c r="N307" s="36" t="s">
        <v>283</v>
      </c>
      <c r="O307" s="36">
        <v>19</v>
      </c>
      <c r="P307" s="36">
        <v>1.8733087782901479E-2</v>
      </c>
      <c r="Q307" s="36">
        <v>1000</v>
      </c>
      <c r="R307" s="36"/>
      <c r="S307" s="36"/>
      <c r="T307" s="36"/>
      <c r="U307" s="36"/>
      <c r="V307" s="36"/>
      <c r="W307" s="36"/>
      <c r="X307" s="36"/>
      <c r="Y307" s="36"/>
      <c r="Z307" s="36"/>
    </row>
    <row r="308" spans="1:26" ht="14">
      <c r="A308" s="35">
        <v>43019</v>
      </c>
      <c r="B308" s="35" t="s">
        <v>159</v>
      </c>
      <c r="C308" s="168">
        <v>2017</v>
      </c>
      <c r="D308" s="65">
        <v>2</v>
      </c>
      <c r="E308" s="36" t="s">
        <v>223</v>
      </c>
      <c r="F308" s="36" t="s">
        <v>224</v>
      </c>
      <c r="G308" s="36" t="s">
        <v>225</v>
      </c>
      <c r="H308" s="36" t="s">
        <v>521</v>
      </c>
      <c r="I308" s="36" t="s">
        <v>522</v>
      </c>
      <c r="J308" s="36" t="s">
        <v>523</v>
      </c>
      <c r="K308" s="36" t="s">
        <v>551</v>
      </c>
      <c r="L308" s="36">
        <v>1</v>
      </c>
      <c r="M308" s="36" t="s">
        <v>247</v>
      </c>
      <c r="N308" s="36" t="s">
        <v>524</v>
      </c>
      <c r="O308" s="36">
        <v>317</v>
      </c>
      <c r="P308" s="36">
        <v>3.3686107348343502E-3</v>
      </c>
      <c r="Q308" s="36">
        <v>1000</v>
      </c>
      <c r="R308" s="36"/>
      <c r="S308" s="36"/>
      <c r="T308" s="36"/>
      <c r="U308" s="36"/>
      <c r="V308" s="36"/>
      <c r="W308" s="36"/>
      <c r="X308" s="36"/>
      <c r="Y308" s="36"/>
      <c r="Z308" s="36"/>
    </row>
    <row r="309" spans="1:26" ht="14">
      <c r="A309" s="13">
        <v>43019</v>
      </c>
      <c r="B309" s="72" t="s">
        <v>159</v>
      </c>
      <c r="C309" s="168">
        <v>2017</v>
      </c>
      <c r="D309" s="65">
        <v>4</v>
      </c>
      <c r="E309" s="36" t="s">
        <v>223</v>
      </c>
      <c r="F309" s="36" t="s">
        <v>224</v>
      </c>
      <c r="G309" s="36" t="s">
        <v>225</v>
      </c>
      <c r="H309" s="36" t="s">
        <v>521</v>
      </c>
      <c r="I309" s="36" t="s">
        <v>522</v>
      </c>
      <c r="J309" s="36" t="s">
        <v>523</v>
      </c>
      <c r="K309" s="36" t="s">
        <v>551</v>
      </c>
      <c r="L309" s="36">
        <v>1</v>
      </c>
      <c r="M309" s="36" t="s">
        <v>247</v>
      </c>
      <c r="N309" s="36" t="s">
        <v>524</v>
      </c>
      <c r="O309" s="3">
        <v>214</v>
      </c>
      <c r="P309" s="36">
        <v>6.303095317028373E-3</v>
      </c>
      <c r="Q309" s="36">
        <v>1000</v>
      </c>
      <c r="R309" s="3"/>
      <c r="S309" s="3"/>
      <c r="T309" s="36"/>
      <c r="U309" s="36"/>
      <c r="V309" s="36"/>
      <c r="W309" s="36"/>
      <c r="X309" s="36"/>
      <c r="Y309" s="36"/>
      <c r="Z309" s="36"/>
    </row>
    <row r="310" spans="1:26" ht="14">
      <c r="A310" s="35">
        <v>42634</v>
      </c>
      <c r="B310" s="72" t="s">
        <v>157</v>
      </c>
      <c r="C310" s="168">
        <v>2016</v>
      </c>
      <c r="D310" s="65">
        <v>4</v>
      </c>
      <c r="E310" s="36" t="s">
        <v>223</v>
      </c>
      <c r="F310" s="36" t="s">
        <v>224</v>
      </c>
      <c r="G310" s="36" t="s">
        <v>225</v>
      </c>
      <c r="H310" s="36" t="s">
        <v>521</v>
      </c>
      <c r="I310" s="36" t="s">
        <v>522</v>
      </c>
      <c r="J310" s="36" t="s">
        <v>523</v>
      </c>
      <c r="K310" s="36" t="s">
        <v>551</v>
      </c>
      <c r="L310" s="36">
        <v>1</v>
      </c>
      <c r="M310" s="36" t="s">
        <v>247</v>
      </c>
      <c r="N310" s="36" t="s">
        <v>524</v>
      </c>
      <c r="O310" s="36">
        <v>127</v>
      </c>
      <c r="P310" s="65">
        <v>2.0275902900439425E-3</v>
      </c>
      <c r="Q310" s="36">
        <v>1000</v>
      </c>
      <c r="R310" s="36"/>
      <c r="S310" s="36"/>
      <c r="T310" s="36"/>
      <c r="U310" s="36"/>
      <c r="V310" s="36"/>
      <c r="W310" s="36"/>
      <c r="X310" s="36"/>
      <c r="Y310" s="36"/>
      <c r="Z310" s="36"/>
    </row>
    <row r="311" spans="1:26" ht="14">
      <c r="A311" s="72">
        <v>42634</v>
      </c>
      <c r="B311" s="35" t="s">
        <v>157</v>
      </c>
      <c r="C311" s="168">
        <v>2016</v>
      </c>
      <c r="D311" s="65">
        <v>8</v>
      </c>
      <c r="E311" s="36" t="s">
        <v>223</v>
      </c>
      <c r="F311" s="36" t="s">
        <v>224</v>
      </c>
      <c r="G311" s="36" t="s">
        <v>225</v>
      </c>
      <c r="H311" s="36" t="s">
        <v>521</v>
      </c>
      <c r="I311" s="36" t="s">
        <v>522</v>
      </c>
      <c r="J311" s="36" t="s">
        <v>523</v>
      </c>
      <c r="K311" s="36" t="s">
        <v>551</v>
      </c>
      <c r="L311" s="36">
        <v>1</v>
      </c>
      <c r="M311" s="36" t="s">
        <v>544</v>
      </c>
      <c r="N311" s="36" t="s">
        <v>524</v>
      </c>
      <c r="O311" s="36">
        <v>3658</v>
      </c>
      <c r="P311" s="36">
        <v>1.7671737367053572E-3</v>
      </c>
      <c r="Q311" s="36">
        <v>1000</v>
      </c>
      <c r="R311" s="36" t="s">
        <v>525</v>
      </c>
      <c r="S311" s="36"/>
      <c r="T311" s="36"/>
      <c r="U311" s="36"/>
      <c r="V311" s="36"/>
      <c r="W311" s="36"/>
      <c r="X311" s="36"/>
      <c r="Y311" s="36"/>
      <c r="Z311" s="36"/>
    </row>
    <row r="312" spans="1:26" ht="14">
      <c r="A312" s="35">
        <v>42571</v>
      </c>
      <c r="B312" s="35" t="s">
        <v>154</v>
      </c>
      <c r="C312" s="168">
        <v>2016</v>
      </c>
      <c r="D312" s="65">
        <v>8</v>
      </c>
      <c r="E312" s="36" t="s">
        <v>223</v>
      </c>
      <c r="F312" s="36" t="s">
        <v>224</v>
      </c>
      <c r="G312" s="36" t="s">
        <v>225</v>
      </c>
      <c r="H312" s="36" t="s">
        <v>521</v>
      </c>
      <c r="I312" s="36" t="s">
        <v>522</v>
      </c>
      <c r="J312" s="36" t="s">
        <v>523</v>
      </c>
      <c r="K312" s="36" t="s">
        <v>551</v>
      </c>
      <c r="L312" s="36">
        <v>1</v>
      </c>
      <c r="M312" s="36" t="s">
        <v>544</v>
      </c>
      <c r="N312" s="36" t="s">
        <v>524</v>
      </c>
      <c r="O312" s="36">
        <v>3</v>
      </c>
      <c r="P312" s="65">
        <v>4.6343831054653072E-3</v>
      </c>
      <c r="Q312" s="36">
        <v>1000</v>
      </c>
      <c r="R312" s="36"/>
      <c r="S312" s="36"/>
      <c r="T312" s="36"/>
      <c r="U312" s="36"/>
      <c r="V312" s="36"/>
      <c r="W312" s="36"/>
      <c r="X312" s="36"/>
      <c r="Y312" s="36"/>
      <c r="Z312" s="36"/>
    </row>
    <row r="313" spans="1:26" ht="14">
      <c r="A313" s="35">
        <v>42263</v>
      </c>
      <c r="B313" s="35" t="s">
        <v>157</v>
      </c>
      <c r="C313" s="168">
        <v>2015</v>
      </c>
      <c r="D313" s="76">
        <v>5</v>
      </c>
      <c r="E313" s="36" t="s">
        <v>223</v>
      </c>
      <c r="F313" s="36" t="s">
        <v>224</v>
      </c>
      <c r="G313" s="36" t="s">
        <v>225</v>
      </c>
      <c r="H313" s="36" t="s">
        <v>521</v>
      </c>
      <c r="I313" s="36" t="s">
        <v>522</v>
      </c>
      <c r="J313" s="36" t="s">
        <v>523</v>
      </c>
      <c r="K313" s="36" t="s">
        <v>551</v>
      </c>
      <c r="L313" s="36">
        <v>1</v>
      </c>
      <c r="M313" s="36" t="s">
        <v>544</v>
      </c>
      <c r="N313" s="36" t="s">
        <v>524</v>
      </c>
      <c r="O313" s="36">
        <v>3</v>
      </c>
      <c r="P313" s="36">
        <v>9.4220260047917694E-3</v>
      </c>
      <c r="Q313" s="36">
        <v>1000</v>
      </c>
      <c r="R313" s="36"/>
      <c r="S313" s="36"/>
      <c r="T313" s="36"/>
      <c r="U313" s="36"/>
      <c r="V313" s="36"/>
      <c r="W313" s="36"/>
      <c r="X313" s="36"/>
      <c r="Y313" s="36"/>
      <c r="Z313" s="36"/>
    </row>
    <row r="314" spans="1:26" ht="14">
      <c r="A314" s="35">
        <v>42206</v>
      </c>
      <c r="B314" s="72" t="s">
        <v>154</v>
      </c>
      <c r="C314" s="168">
        <v>2015</v>
      </c>
      <c r="D314" s="36">
        <v>4</v>
      </c>
      <c r="E314" s="36" t="s">
        <v>223</v>
      </c>
      <c r="F314" s="36" t="s">
        <v>224</v>
      </c>
      <c r="G314" s="36" t="s">
        <v>225</v>
      </c>
      <c r="H314" s="36" t="s">
        <v>521</v>
      </c>
      <c r="I314" s="36" t="s">
        <v>522</v>
      </c>
      <c r="J314" s="36" t="s">
        <v>523</v>
      </c>
      <c r="K314" s="36" t="s">
        <v>551</v>
      </c>
      <c r="L314" s="36">
        <v>1</v>
      </c>
      <c r="M314" s="36" t="s">
        <v>247</v>
      </c>
      <c r="N314" s="36" t="s">
        <v>524</v>
      </c>
      <c r="O314" s="36">
        <v>249</v>
      </c>
      <c r="P314" s="36">
        <v>5.3827199311011851E-3</v>
      </c>
      <c r="Q314" s="36">
        <v>1000</v>
      </c>
      <c r="R314" s="36"/>
      <c r="S314" s="36"/>
      <c r="T314" s="36"/>
      <c r="U314" s="36"/>
      <c r="V314" s="36"/>
      <c r="W314" s="36"/>
      <c r="X314" s="36"/>
      <c r="Y314" s="36"/>
      <c r="Z314" s="36"/>
    </row>
    <row r="315" spans="1:26" ht="14">
      <c r="A315" s="35">
        <v>41761</v>
      </c>
      <c r="B315" s="35" t="s">
        <v>144</v>
      </c>
      <c r="C315" s="168">
        <v>2014</v>
      </c>
      <c r="D315" s="65">
        <v>2</v>
      </c>
      <c r="E315" s="65" t="s">
        <v>223</v>
      </c>
      <c r="F315" s="65" t="s">
        <v>224</v>
      </c>
      <c r="G315" s="65" t="s">
        <v>225</v>
      </c>
      <c r="H315" s="65" t="s">
        <v>248</v>
      </c>
      <c r="I315" s="65" t="s">
        <v>359</v>
      </c>
      <c r="J315" s="65" t="s">
        <v>670</v>
      </c>
      <c r="K315" s="36"/>
      <c r="L315" s="36">
        <v>3</v>
      </c>
      <c r="M315" s="36" t="s">
        <v>229</v>
      </c>
      <c r="N315" s="36" t="s">
        <v>713</v>
      </c>
      <c r="O315" s="36">
        <v>29</v>
      </c>
      <c r="P315" s="36">
        <v>10.279818121138311</v>
      </c>
      <c r="Q315" s="65">
        <v>250</v>
      </c>
      <c r="R315" s="65"/>
      <c r="S315" s="65"/>
      <c r="T315" s="65"/>
      <c r="U315" s="36"/>
      <c r="V315" s="36"/>
      <c r="W315" s="36"/>
      <c r="X315" s="36"/>
      <c r="Y315" s="36"/>
      <c r="Z315" s="36"/>
    </row>
    <row r="316" spans="1:26" ht="14">
      <c r="A316" s="13">
        <v>42206</v>
      </c>
      <c r="B316" s="35" t="s">
        <v>154</v>
      </c>
      <c r="C316" s="168">
        <v>2015</v>
      </c>
      <c r="D316" s="36">
        <v>5</v>
      </c>
      <c r="E316" s="65" t="s">
        <v>223</v>
      </c>
      <c r="F316" s="65" t="s">
        <v>224</v>
      </c>
      <c r="G316" s="65" t="s">
        <v>225</v>
      </c>
      <c r="H316" s="65"/>
      <c r="I316" s="65"/>
      <c r="J316" s="36" t="s">
        <v>476</v>
      </c>
      <c r="K316" s="36"/>
      <c r="L316" s="36">
        <v>1</v>
      </c>
      <c r="M316" s="36" t="s">
        <v>229</v>
      </c>
      <c r="N316" s="36" t="s">
        <v>476</v>
      </c>
      <c r="O316" s="3">
        <v>251</v>
      </c>
      <c r="P316" s="65">
        <v>0.3983156294006901</v>
      </c>
      <c r="Q316" s="3">
        <v>250</v>
      </c>
      <c r="R316" s="32"/>
      <c r="S316" s="32"/>
      <c r="T316" s="36"/>
      <c r="U316" s="36"/>
      <c r="V316" s="36"/>
      <c r="W316" s="36"/>
      <c r="X316" s="36"/>
      <c r="Y316" s="36"/>
      <c r="Z316" s="36"/>
    </row>
    <row r="317" spans="1:26" ht="14">
      <c r="A317" s="13">
        <v>42867</v>
      </c>
      <c r="B317" s="72" t="s">
        <v>144</v>
      </c>
      <c r="C317" s="168">
        <v>2017</v>
      </c>
      <c r="D317" s="65">
        <v>4</v>
      </c>
      <c r="E317" s="65" t="s">
        <v>223</v>
      </c>
      <c r="F317" s="65" t="s">
        <v>224</v>
      </c>
      <c r="G317" s="65" t="s">
        <v>225</v>
      </c>
      <c r="H317" s="65" t="s">
        <v>248</v>
      </c>
      <c r="I317" s="65" t="s">
        <v>359</v>
      </c>
      <c r="J317" s="65" t="s">
        <v>669</v>
      </c>
      <c r="K317" s="36"/>
      <c r="L317" s="36">
        <v>3</v>
      </c>
      <c r="M317" s="36" t="s">
        <v>229</v>
      </c>
      <c r="N317" s="36" t="s">
        <v>713</v>
      </c>
      <c r="O317" s="3">
        <v>225</v>
      </c>
      <c r="P317" s="36">
        <v>1.3111202820051258</v>
      </c>
      <c r="Q317" s="3"/>
      <c r="R317" s="3"/>
      <c r="S317" s="3"/>
      <c r="T317" s="36"/>
      <c r="U317" s="36"/>
      <c r="V317" s="36"/>
      <c r="W317" s="36"/>
      <c r="X317" s="36"/>
      <c r="Y317" s="36"/>
      <c r="Z317" s="36"/>
    </row>
    <row r="318" spans="1:26" ht="14">
      <c r="A318" s="35">
        <v>41761</v>
      </c>
      <c r="B318" s="72" t="s">
        <v>144</v>
      </c>
      <c r="C318" s="168">
        <v>2014</v>
      </c>
      <c r="D318" s="65">
        <v>2</v>
      </c>
      <c r="E318" s="65" t="s">
        <v>223</v>
      </c>
      <c r="F318" s="65" t="s">
        <v>224</v>
      </c>
      <c r="G318" s="65" t="s">
        <v>225</v>
      </c>
      <c r="H318" s="65" t="s">
        <v>248</v>
      </c>
      <c r="I318" s="65" t="s">
        <v>359</v>
      </c>
      <c r="J318" s="65" t="s">
        <v>669</v>
      </c>
      <c r="K318" s="36"/>
      <c r="L318" s="36">
        <v>3</v>
      </c>
      <c r="M318" s="36" t="s">
        <v>229</v>
      </c>
      <c r="N318" s="36" t="s">
        <v>713</v>
      </c>
      <c r="O318" s="36">
        <v>29</v>
      </c>
      <c r="P318" s="36">
        <v>10.279818121138311</v>
      </c>
      <c r="Q318" s="65">
        <v>250</v>
      </c>
      <c r="R318" s="65"/>
      <c r="S318" s="65"/>
      <c r="T318" s="65"/>
      <c r="U318" s="36"/>
      <c r="V318" s="36"/>
      <c r="W318" s="36"/>
      <c r="X318" s="36"/>
      <c r="Y318" s="36"/>
      <c r="Z318" s="36"/>
    </row>
    <row r="319" spans="1:26" ht="14">
      <c r="A319" s="35">
        <v>42571</v>
      </c>
      <c r="B319" s="72" t="s">
        <v>154</v>
      </c>
      <c r="C319" s="168">
        <v>2016</v>
      </c>
      <c r="D319" s="36">
        <v>4</v>
      </c>
      <c r="E319" s="65" t="s">
        <v>223</v>
      </c>
      <c r="F319" s="65" t="s">
        <v>267</v>
      </c>
      <c r="G319" s="65"/>
      <c r="H319" s="65" t="s">
        <v>273</v>
      </c>
      <c r="I319" s="65"/>
      <c r="J319" s="65" t="s">
        <v>537</v>
      </c>
      <c r="K319" s="36" t="s">
        <v>538</v>
      </c>
      <c r="L319" s="36">
        <v>2</v>
      </c>
      <c r="M319" s="36" t="s">
        <v>247</v>
      </c>
      <c r="N319" s="36" t="s">
        <v>539</v>
      </c>
      <c r="O319" s="36">
        <v>13</v>
      </c>
      <c r="P319" s="36">
        <v>6.024998683537789E-3</v>
      </c>
      <c r="Q319" s="65">
        <v>1000</v>
      </c>
      <c r="R319" s="65"/>
      <c r="S319" s="65"/>
      <c r="T319" s="166"/>
      <c r="U319" s="36"/>
      <c r="V319" s="36"/>
      <c r="W319" s="36"/>
      <c r="X319" s="36"/>
      <c r="Y319" s="36"/>
      <c r="Z319" s="36"/>
    </row>
    <row r="320" spans="1:26" ht="14">
      <c r="A320" s="35">
        <v>42263</v>
      </c>
      <c r="B320" s="35" t="s">
        <v>157</v>
      </c>
      <c r="C320" s="168">
        <v>2015</v>
      </c>
      <c r="D320" s="76">
        <v>4</v>
      </c>
      <c r="E320" s="65" t="s">
        <v>223</v>
      </c>
      <c r="F320" s="65" t="s">
        <v>267</v>
      </c>
      <c r="G320" s="65"/>
      <c r="H320" s="65" t="s">
        <v>273</v>
      </c>
      <c r="I320" s="65"/>
      <c r="J320" s="65" t="s">
        <v>537</v>
      </c>
      <c r="K320" s="36" t="s">
        <v>538</v>
      </c>
      <c r="L320" s="36">
        <v>1</v>
      </c>
      <c r="M320" s="36" t="s">
        <v>247</v>
      </c>
      <c r="N320" s="36" t="s">
        <v>539</v>
      </c>
      <c r="O320" s="36">
        <v>36</v>
      </c>
      <c r="P320" s="65">
        <v>4.8371293979212306E-3</v>
      </c>
      <c r="Q320" s="65">
        <v>1000</v>
      </c>
      <c r="R320" s="65"/>
      <c r="S320" s="65"/>
      <c r="T320" s="65"/>
      <c r="U320" s="36"/>
      <c r="V320" s="36"/>
      <c r="W320" s="36"/>
      <c r="X320" s="36"/>
      <c r="Y320" s="36"/>
      <c r="Z320" s="36"/>
    </row>
    <row r="321" spans="1:26" ht="14">
      <c r="A321" s="72">
        <v>41912</v>
      </c>
      <c r="B321" s="35" t="s">
        <v>157</v>
      </c>
      <c r="C321" s="168">
        <v>2014</v>
      </c>
      <c r="D321" s="76">
        <v>4</v>
      </c>
      <c r="E321" s="65" t="s">
        <v>223</v>
      </c>
      <c r="F321" s="65" t="s">
        <v>267</v>
      </c>
      <c r="G321" s="65"/>
      <c r="H321" s="65" t="s">
        <v>273</v>
      </c>
      <c r="I321" s="65"/>
      <c r="J321" s="36" t="s">
        <v>537</v>
      </c>
      <c r="K321" s="36" t="s">
        <v>538</v>
      </c>
      <c r="L321" s="36">
        <v>1</v>
      </c>
      <c r="M321" s="36" t="s">
        <v>247</v>
      </c>
      <c r="N321" s="36" t="s">
        <v>539</v>
      </c>
      <c r="O321" s="36">
        <v>108</v>
      </c>
      <c r="P321" s="65">
        <v>1.8543684307342665E-3</v>
      </c>
      <c r="Q321" s="36">
        <v>1000</v>
      </c>
      <c r="R321" s="36"/>
      <c r="S321" s="36"/>
      <c r="T321" s="36"/>
      <c r="U321" s="36"/>
      <c r="V321" s="36"/>
      <c r="W321" s="36"/>
      <c r="X321" s="36"/>
      <c r="Y321" s="36"/>
      <c r="Z321" s="36"/>
    </row>
    <row r="322" spans="1:26" ht="14">
      <c r="A322" s="35">
        <v>41851</v>
      </c>
      <c r="B322" s="72" t="s">
        <v>154</v>
      </c>
      <c r="C322" s="168">
        <v>2014</v>
      </c>
      <c r="D322" s="36">
        <v>4</v>
      </c>
      <c r="E322" s="65" t="s">
        <v>223</v>
      </c>
      <c r="F322" s="65" t="s">
        <v>267</v>
      </c>
      <c r="G322" s="65"/>
      <c r="H322" s="65" t="s">
        <v>273</v>
      </c>
      <c r="I322" s="65"/>
      <c r="J322" s="36" t="s">
        <v>537</v>
      </c>
      <c r="K322" s="36" t="s">
        <v>538</v>
      </c>
      <c r="L322" s="36">
        <v>1</v>
      </c>
      <c r="M322" s="36" t="s">
        <v>247</v>
      </c>
      <c r="N322" s="36" t="s">
        <v>539</v>
      </c>
      <c r="O322" s="36">
        <v>678</v>
      </c>
      <c r="P322" s="65">
        <v>3.869073028809334E-3</v>
      </c>
      <c r="Q322" s="36">
        <v>1000</v>
      </c>
      <c r="R322" s="36"/>
      <c r="S322" s="36"/>
      <c r="T322" s="36"/>
      <c r="U322" s="36"/>
      <c r="V322" s="36"/>
      <c r="W322" s="36"/>
      <c r="X322" s="36"/>
      <c r="Y322" s="36"/>
      <c r="Z322" s="36"/>
    </row>
    <row r="323" spans="1:26" ht="14">
      <c r="A323" s="35">
        <v>41761</v>
      </c>
      <c r="B323" s="35" t="s">
        <v>144</v>
      </c>
      <c r="C323" s="168">
        <v>2014</v>
      </c>
      <c r="D323" s="65">
        <v>2</v>
      </c>
      <c r="E323" s="65" t="s">
        <v>223</v>
      </c>
      <c r="F323" s="65" t="s">
        <v>224</v>
      </c>
      <c r="G323" s="65" t="s">
        <v>225</v>
      </c>
      <c r="H323" s="65" t="s">
        <v>226</v>
      </c>
      <c r="I323" s="65" t="s">
        <v>674</v>
      </c>
      <c r="J323" s="65" t="s">
        <v>675</v>
      </c>
      <c r="K323" s="36"/>
      <c r="L323" s="36">
        <v>1</v>
      </c>
      <c r="M323" s="36" t="s">
        <v>229</v>
      </c>
      <c r="N323" s="36" t="s">
        <v>676</v>
      </c>
      <c r="O323" s="36">
        <v>29</v>
      </c>
      <c r="P323" s="36">
        <v>3.4266060403794367</v>
      </c>
      <c r="Q323" s="65">
        <v>250</v>
      </c>
      <c r="R323" s="65"/>
      <c r="S323" s="65"/>
      <c r="T323" s="65"/>
      <c r="U323" s="36"/>
      <c r="V323" s="36"/>
      <c r="W323" s="36"/>
      <c r="X323" s="36"/>
      <c r="Y323" s="36"/>
      <c r="Z323" s="36"/>
    </row>
    <row r="324" spans="1:26" ht="14">
      <c r="A324" s="13">
        <v>43019</v>
      </c>
      <c r="B324" s="72" t="s">
        <v>159</v>
      </c>
      <c r="C324" s="168">
        <v>2017</v>
      </c>
      <c r="D324" s="65">
        <v>4</v>
      </c>
      <c r="E324" s="36" t="s">
        <v>526</v>
      </c>
      <c r="F324" s="36" t="s">
        <v>267</v>
      </c>
      <c r="G324" s="36" t="s">
        <v>278</v>
      </c>
      <c r="H324" s="36" t="s">
        <v>272</v>
      </c>
      <c r="I324" s="36" t="s">
        <v>527</v>
      </c>
      <c r="J324" s="36" t="s">
        <v>528</v>
      </c>
      <c r="K324" s="36" t="s">
        <v>529</v>
      </c>
      <c r="L324" s="36">
        <v>1</v>
      </c>
      <c r="M324" s="36" t="s">
        <v>247</v>
      </c>
      <c r="N324" s="36" t="s">
        <v>530</v>
      </c>
      <c r="O324" s="3">
        <v>214</v>
      </c>
      <c r="P324" s="36">
        <v>6.303095317028373E-3</v>
      </c>
      <c r="Q324" s="36">
        <v>1000</v>
      </c>
      <c r="R324" s="3"/>
      <c r="S324" s="3"/>
      <c r="T324" s="36"/>
      <c r="U324" s="36"/>
      <c r="V324" s="36"/>
      <c r="W324" s="36"/>
      <c r="X324" s="36"/>
      <c r="Y324" s="36"/>
      <c r="Z324" s="36"/>
    </row>
    <row r="325" spans="1:26" ht="14">
      <c r="A325" s="35">
        <v>42634</v>
      </c>
      <c r="B325" s="72" t="s">
        <v>157</v>
      </c>
      <c r="C325" s="168">
        <v>2016</v>
      </c>
      <c r="D325" s="65">
        <v>4</v>
      </c>
      <c r="E325" s="53" t="s">
        <v>526</v>
      </c>
      <c r="F325" s="36" t="s">
        <v>267</v>
      </c>
      <c r="G325" s="36" t="s">
        <v>278</v>
      </c>
      <c r="H325" s="53" t="s">
        <v>272</v>
      </c>
      <c r="I325" s="53" t="s">
        <v>527</v>
      </c>
      <c r="J325" s="53" t="s">
        <v>528</v>
      </c>
      <c r="K325" s="36" t="s">
        <v>529</v>
      </c>
      <c r="L325" s="36">
        <v>1</v>
      </c>
      <c r="M325" s="36" t="s">
        <v>247</v>
      </c>
      <c r="N325" s="36" t="s">
        <v>530</v>
      </c>
      <c r="O325" s="36">
        <v>127</v>
      </c>
      <c r="P325" s="65">
        <v>2.0275902900439425E-3</v>
      </c>
      <c r="Q325" s="36">
        <v>1000</v>
      </c>
      <c r="R325" s="36"/>
      <c r="S325" s="36"/>
      <c r="T325" s="36"/>
      <c r="U325" s="36"/>
      <c r="V325" s="36"/>
      <c r="W325" s="36"/>
      <c r="X325" s="36"/>
      <c r="Y325" s="36"/>
      <c r="Z325" s="36"/>
    </row>
    <row r="326" spans="1:26" ht="14">
      <c r="A326" s="71">
        <v>43019</v>
      </c>
      <c r="B326" s="72" t="s">
        <v>159</v>
      </c>
      <c r="C326" s="168">
        <v>2017</v>
      </c>
      <c r="D326" s="65">
        <v>5</v>
      </c>
      <c r="E326" s="36" t="s">
        <v>288</v>
      </c>
      <c r="F326" s="36" t="s">
        <v>289</v>
      </c>
      <c r="G326" s="36"/>
      <c r="H326" s="36"/>
      <c r="I326" s="36"/>
      <c r="J326" s="36"/>
      <c r="K326" s="36"/>
      <c r="L326" s="36">
        <v>1</v>
      </c>
      <c r="M326" s="36" t="s">
        <v>221</v>
      </c>
      <c r="N326" s="36" t="s">
        <v>499</v>
      </c>
      <c r="O326" s="3">
        <v>3</v>
      </c>
      <c r="P326" s="36">
        <v>7.390795038988502E-3</v>
      </c>
      <c r="Q326" s="36">
        <v>1000</v>
      </c>
      <c r="R326" s="3"/>
      <c r="S326" s="3"/>
      <c r="T326" s="36"/>
      <c r="U326" s="36"/>
      <c r="V326" s="36"/>
      <c r="W326" s="36"/>
      <c r="X326" s="36"/>
      <c r="Y326" s="36"/>
      <c r="Z326" s="36"/>
    </row>
    <row r="327" spans="1:26" ht="14">
      <c r="A327" s="13">
        <v>42867</v>
      </c>
      <c r="B327" s="72" t="s">
        <v>144</v>
      </c>
      <c r="C327" s="168">
        <v>2017</v>
      </c>
      <c r="D327" s="65">
        <v>8</v>
      </c>
      <c r="E327" s="36" t="s">
        <v>288</v>
      </c>
      <c r="F327" s="36" t="s">
        <v>289</v>
      </c>
      <c r="G327" s="36"/>
      <c r="H327" s="36"/>
      <c r="I327" s="36"/>
      <c r="J327" s="36"/>
      <c r="K327" s="36"/>
      <c r="L327" s="36">
        <v>28</v>
      </c>
      <c r="M327" s="36" t="s">
        <v>221</v>
      </c>
      <c r="N327" s="36" t="s">
        <v>499</v>
      </c>
      <c r="O327" s="3">
        <v>42</v>
      </c>
      <c r="P327" s="36">
        <v>0.1144701399085164</v>
      </c>
      <c r="Q327" s="36">
        <v>1000</v>
      </c>
      <c r="R327" s="3"/>
      <c r="S327" s="3"/>
      <c r="T327" s="36"/>
      <c r="U327" s="36"/>
      <c r="V327" s="36"/>
      <c r="W327" s="36"/>
      <c r="X327" s="36"/>
      <c r="Y327" s="36"/>
      <c r="Z327" s="36"/>
    </row>
    <row r="328" spans="1:26" ht="14">
      <c r="A328" s="72">
        <v>42634</v>
      </c>
      <c r="B328" s="35" t="s">
        <v>157</v>
      </c>
      <c r="C328" s="168">
        <v>2016</v>
      </c>
      <c r="D328" s="65">
        <v>8</v>
      </c>
      <c r="E328" s="36" t="s">
        <v>288</v>
      </c>
      <c r="F328" s="36" t="s">
        <v>289</v>
      </c>
      <c r="G328" s="36"/>
      <c r="H328" s="36"/>
      <c r="I328" s="36"/>
      <c r="J328" s="36"/>
      <c r="K328" s="36"/>
      <c r="L328" s="36">
        <v>2</v>
      </c>
      <c r="M328" s="36" t="s">
        <v>221</v>
      </c>
      <c r="N328" s="36" t="s">
        <v>499</v>
      </c>
      <c r="O328" s="36">
        <v>3658</v>
      </c>
      <c r="P328" s="36">
        <v>3.5343474734107145E-3</v>
      </c>
      <c r="Q328" s="36">
        <v>1000</v>
      </c>
      <c r="R328" s="36"/>
      <c r="S328" s="36"/>
      <c r="T328" s="36"/>
      <c r="U328" s="36"/>
      <c r="V328" s="36"/>
      <c r="W328" s="36"/>
      <c r="X328" s="36"/>
      <c r="Y328" s="36"/>
      <c r="Z328" s="36"/>
    </row>
    <row r="329" spans="1:26" ht="14">
      <c r="A329" s="72">
        <v>41761</v>
      </c>
      <c r="B329" s="35" t="s">
        <v>144</v>
      </c>
      <c r="C329" s="168">
        <v>2014</v>
      </c>
      <c r="D329" s="65">
        <v>4</v>
      </c>
      <c r="E329" s="36" t="s">
        <v>288</v>
      </c>
      <c r="F329" s="36" t="s">
        <v>289</v>
      </c>
      <c r="G329" s="36"/>
      <c r="H329" s="36"/>
      <c r="I329" s="36"/>
      <c r="J329" s="36"/>
      <c r="K329" s="36"/>
      <c r="L329" s="36">
        <v>5</v>
      </c>
      <c r="M329" s="36" t="s">
        <v>221</v>
      </c>
      <c r="N329" s="36" t="s">
        <v>499</v>
      </c>
      <c r="O329" s="36">
        <v>864</v>
      </c>
      <c r="P329" s="65">
        <v>1.3826854891268621E-2</v>
      </c>
      <c r="Q329" s="36">
        <v>1000</v>
      </c>
      <c r="R329" s="36"/>
      <c r="S329" s="36"/>
      <c r="T329" s="36"/>
      <c r="U329" s="36"/>
      <c r="V329" s="36"/>
      <c r="W329" s="36"/>
      <c r="X329" s="36"/>
      <c r="Y329" s="36"/>
      <c r="Z329" s="36"/>
    </row>
    <row r="330" spans="1:26" ht="14">
      <c r="A330" s="86">
        <v>42571</v>
      </c>
      <c r="B330" s="72" t="s">
        <v>154</v>
      </c>
      <c r="C330" s="168">
        <v>2016</v>
      </c>
      <c r="D330" s="76">
        <v>5</v>
      </c>
      <c r="E330" s="36" t="s">
        <v>288</v>
      </c>
      <c r="F330" s="36" t="s">
        <v>289</v>
      </c>
      <c r="G330" s="36"/>
      <c r="H330" s="36" t="s">
        <v>567</v>
      </c>
      <c r="I330" s="36" t="s">
        <v>340</v>
      </c>
      <c r="J330" s="36" t="s">
        <v>565</v>
      </c>
      <c r="K330" s="36" t="s">
        <v>566</v>
      </c>
      <c r="L330" s="36">
        <v>1</v>
      </c>
      <c r="M330" s="36" t="s">
        <v>247</v>
      </c>
      <c r="N330" s="36" t="s">
        <v>294</v>
      </c>
      <c r="O330" s="36">
        <v>2</v>
      </c>
      <c r="P330" s="65">
        <v>4.7613672886955352E-3</v>
      </c>
      <c r="Q330" s="65">
        <v>1000</v>
      </c>
      <c r="R330" s="65"/>
      <c r="S330" s="65"/>
      <c r="T330" s="65"/>
      <c r="U330" s="36"/>
      <c r="V330" s="36"/>
      <c r="W330" s="36"/>
      <c r="X330" s="36"/>
      <c r="Y330" s="36"/>
      <c r="Z330" s="36"/>
    </row>
    <row r="331" spans="1:26" ht="14">
      <c r="A331" s="35">
        <v>42515</v>
      </c>
      <c r="B331" s="35" t="s">
        <v>144</v>
      </c>
      <c r="C331" s="168">
        <v>2016</v>
      </c>
      <c r="D331" s="76">
        <v>4</v>
      </c>
      <c r="E331" s="36" t="s">
        <v>288</v>
      </c>
      <c r="F331" s="36" t="s">
        <v>289</v>
      </c>
      <c r="G331" s="36"/>
      <c r="H331" s="36"/>
      <c r="I331" s="65"/>
      <c r="J331" s="65"/>
      <c r="K331" s="36"/>
      <c r="L331" s="36">
        <v>1</v>
      </c>
      <c r="M331" s="36" t="s">
        <v>221</v>
      </c>
      <c r="N331" s="36" t="s">
        <v>294</v>
      </c>
      <c r="O331" s="36">
        <v>17</v>
      </c>
      <c r="P331" s="36">
        <v>4.6584790016147449E-3</v>
      </c>
      <c r="Q331" s="65">
        <v>1000</v>
      </c>
      <c r="R331" s="65"/>
      <c r="S331" s="65"/>
      <c r="T331" s="65"/>
      <c r="U331" s="36"/>
      <c r="V331" s="36"/>
      <c r="W331" s="36"/>
      <c r="X331" s="36"/>
      <c r="Y331" s="36"/>
      <c r="Z331" s="36"/>
    </row>
    <row r="332" spans="1:26" ht="14">
      <c r="A332" s="35">
        <v>42515</v>
      </c>
      <c r="B332" s="35" t="s">
        <v>144</v>
      </c>
      <c r="C332" s="168">
        <v>2016</v>
      </c>
      <c r="D332" s="76">
        <v>5</v>
      </c>
      <c r="E332" s="65" t="s">
        <v>288</v>
      </c>
      <c r="F332" s="65" t="s">
        <v>289</v>
      </c>
      <c r="G332" s="65"/>
      <c r="H332" s="65"/>
      <c r="I332" s="65"/>
      <c r="J332" s="36"/>
      <c r="K332" s="36"/>
      <c r="L332" s="36">
        <v>14</v>
      </c>
      <c r="M332" s="36" t="s">
        <v>221</v>
      </c>
      <c r="N332" s="36" t="s">
        <v>294</v>
      </c>
      <c r="O332" s="36">
        <v>17</v>
      </c>
      <c r="P332" s="65">
        <v>3.9710695982345091E-2</v>
      </c>
      <c r="Q332" s="36">
        <v>1000</v>
      </c>
      <c r="R332" s="36" t="s">
        <v>568</v>
      </c>
      <c r="S332" s="36"/>
      <c r="T332" s="36"/>
      <c r="U332" s="36"/>
      <c r="V332" s="36"/>
      <c r="W332" s="36"/>
      <c r="X332" s="36"/>
      <c r="Y332" s="36"/>
      <c r="Z332" s="36"/>
    </row>
    <row r="333" spans="1:26" ht="14">
      <c r="A333" s="169">
        <v>42515</v>
      </c>
      <c r="B333" s="169" t="s">
        <v>144</v>
      </c>
      <c r="C333" s="176">
        <v>2016</v>
      </c>
      <c r="D333" s="172">
        <v>8</v>
      </c>
      <c r="E333" s="170" t="s">
        <v>288</v>
      </c>
      <c r="F333" s="170" t="s">
        <v>289</v>
      </c>
      <c r="G333" s="170"/>
      <c r="H333" s="170"/>
      <c r="I333" s="170"/>
      <c r="J333" s="171"/>
      <c r="K333" s="171"/>
      <c r="L333" s="171">
        <v>3</v>
      </c>
      <c r="M333" s="171" t="s">
        <v>221</v>
      </c>
      <c r="N333" s="171" t="s">
        <v>294</v>
      </c>
      <c r="O333" s="171">
        <v>6</v>
      </c>
      <c r="P333" s="171">
        <v>6.0853912393540981E-3</v>
      </c>
      <c r="Q333" s="171">
        <v>1000</v>
      </c>
      <c r="R333" s="171"/>
      <c r="S333" s="171"/>
      <c r="T333" s="36"/>
      <c r="U333" s="36"/>
      <c r="V333" s="36"/>
      <c r="W333" s="36"/>
      <c r="X333" s="36"/>
      <c r="Y333" s="36"/>
      <c r="Z333" s="36"/>
    </row>
    <row r="334" spans="1:26" ht="14">
      <c r="A334" s="72">
        <v>42144</v>
      </c>
      <c r="B334" s="72" t="s">
        <v>144</v>
      </c>
      <c r="C334" s="168">
        <v>2015</v>
      </c>
      <c r="D334" s="65">
        <v>2</v>
      </c>
      <c r="E334" s="36" t="s">
        <v>288</v>
      </c>
      <c r="F334" s="36" t="s">
        <v>289</v>
      </c>
      <c r="G334" s="36"/>
      <c r="H334" s="36"/>
      <c r="I334" s="36"/>
      <c r="J334" s="36" t="s">
        <v>293</v>
      </c>
      <c r="K334" s="36" t="s">
        <v>541</v>
      </c>
      <c r="L334" s="36">
        <v>1</v>
      </c>
      <c r="M334" s="36" t="s">
        <v>247</v>
      </c>
      <c r="N334" s="36" t="s">
        <v>294</v>
      </c>
      <c r="O334" s="36">
        <v>7</v>
      </c>
      <c r="P334" s="65">
        <v>3.7100127614085464E-3</v>
      </c>
      <c r="Q334" s="36">
        <v>1000</v>
      </c>
      <c r="R334" s="36"/>
      <c r="S334" s="36"/>
      <c r="T334" s="36"/>
      <c r="U334" s="36"/>
      <c r="V334" s="36"/>
      <c r="W334" s="36"/>
      <c r="X334" s="36"/>
      <c r="Y334" s="36"/>
      <c r="Z334" s="36"/>
    </row>
    <row r="335" spans="1:26" ht="14">
      <c r="A335" s="35">
        <v>42144</v>
      </c>
      <c r="B335" s="72" t="s">
        <v>144</v>
      </c>
      <c r="C335" s="168">
        <v>2015</v>
      </c>
      <c r="D335" s="36">
        <v>4</v>
      </c>
      <c r="E335" s="36" t="s">
        <v>288</v>
      </c>
      <c r="F335" s="36" t="s">
        <v>289</v>
      </c>
      <c r="G335" s="36"/>
      <c r="H335" s="36"/>
      <c r="I335" s="65"/>
      <c r="J335" s="65" t="s">
        <v>293</v>
      </c>
      <c r="K335" s="36" t="s">
        <v>541</v>
      </c>
      <c r="L335" s="36">
        <v>3</v>
      </c>
      <c r="M335" s="36" t="s">
        <v>247</v>
      </c>
      <c r="N335" s="36" t="s">
        <v>294</v>
      </c>
      <c r="O335" s="36">
        <v>21</v>
      </c>
      <c r="P335" s="65">
        <v>1.2743671349766512E-2</v>
      </c>
      <c r="Q335" s="65">
        <v>1000</v>
      </c>
      <c r="R335" s="65"/>
      <c r="S335" s="65"/>
      <c r="T335" s="65"/>
      <c r="U335" s="36"/>
      <c r="V335" s="36"/>
      <c r="W335" s="36"/>
      <c r="X335" s="36"/>
      <c r="Y335" s="36"/>
      <c r="Z335" s="36"/>
    </row>
    <row r="336" spans="1:26" ht="14">
      <c r="A336" s="72">
        <v>41912</v>
      </c>
      <c r="B336" s="35" t="s">
        <v>157</v>
      </c>
      <c r="C336" s="168">
        <v>2014</v>
      </c>
      <c r="D336" s="76">
        <v>4</v>
      </c>
      <c r="E336" s="65" t="s">
        <v>288</v>
      </c>
      <c r="F336" s="65" t="s">
        <v>289</v>
      </c>
      <c r="G336" s="65"/>
      <c r="H336" s="65"/>
      <c r="I336" s="65"/>
      <c r="J336" s="36"/>
      <c r="K336" s="36"/>
      <c r="L336" s="36">
        <v>6</v>
      </c>
      <c r="M336" s="36" t="s">
        <v>221</v>
      </c>
      <c r="N336" s="36" t="s">
        <v>294</v>
      </c>
      <c r="O336" s="36">
        <v>108</v>
      </c>
      <c r="P336" s="65">
        <v>1.1126210584405594E-2</v>
      </c>
      <c r="Q336" s="36">
        <v>1000</v>
      </c>
      <c r="R336" s="36"/>
      <c r="S336" s="36"/>
      <c r="T336" s="36"/>
      <c r="U336" s="36"/>
      <c r="V336" s="36"/>
      <c r="W336" s="36"/>
      <c r="X336" s="36"/>
      <c r="Y336" s="36"/>
      <c r="Z336" s="36"/>
    </row>
    <row r="337" spans="1:26" ht="14">
      <c r="A337" s="72">
        <v>41912</v>
      </c>
      <c r="B337" s="35" t="s">
        <v>157</v>
      </c>
      <c r="C337" s="168">
        <v>2014</v>
      </c>
      <c r="D337" s="76">
        <v>5</v>
      </c>
      <c r="E337" s="65" t="s">
        <v>288</v>
      </c>
      <c r="F337" s="65" t="s">
        <v>289</v>
      </c>
      <c r="G337" s="65"/>
      <c r="H337" s="65" t="s">
        <v>567</v>
      </c>
      <c r="I337" s="65" t="s">
        <v>340</v>
      </c>
      <c r="J337" s="36" t="s">
        <v>565</v>
      </c>
      <c r="K337" s="36" t="s">
        <v>566</v>
      </c>
      <c r="L337" s="36">
        <v>96</v>
      </c>
      <c r="M337" s="36" t="s">
        <v>247</v>
      </c>
      <c r="N337" s="36" t="s">
        <v>294</v>
      </c>
      <c r="O337" s="36">
        <v>176</v>
      </c>
      <c r="P337" s="36">
        <v>0.10705239411989424</v>
      </c>
      <c r="Q337" s="36">
        <v>1000</v>
      </c>
      <c r="R337" s="36" t="s">
        <v>574</v>
      </c>
      <c r="S337" s="36"/>
      <c r="T337" s="36"/>
      <c r="U337" s="36"/>
      <c r="V337" s="36"/>
      <c r="W337" s="36"/>
      <c r="X337" s="36"/>
      <c r="Y337" s="36"/>
      <c r="Z337" s="36"/>
    </row>
    <row r="338" spans="1:26" ht="14">
      <c r="A338" s="72">
        <v>41912</v>
      </c>
      <c r="B338" s="35" t="s">
        <v>157</v>
      </c>
      <c r="C338" s="168">
        <v>2014</v>
      </c>
      <c r="D338" s="76">
        <v>5</v>
      </c>
      <c r="E338" s="36" t="s">
        <v>288</v>
      </c>
      <c r="F338" s="36" t="s">
        <v>289</v>
      </c>
      <c r="G338" s="36"/>
      <c r="H338" s="36"/>
      <c r="I338" s="36"/>
      <c r="J338" s="36"/>
      <c r="K338" s="36"/>
      <c r="L338" s="36">
        <v>4</v>
      </c>
      <c r="M338" s="36" t="s">
        <v>221</v>
      </c>
      <c r="N338" s="36" t="s">
        <v>294</v>
      </c>
      <c r="O338" s="36">
        <v>176</v>
      </c>
      <c r="P338" s="36">
        <v>4.4605164216622601E-3</v>
      </c>
      <c r="Q338" s="36">
        <v>1000</v>
      </c>
      <c r="R338" s="36"/>
      <c r="S338" s="36"/>
      <c r="T338" s="36"/>
      <c r="U338" s="36"/>
      <c r="V338" s="36"/>
      <c r="W338" s="36"/>
      <c r="X338" s="36"/>
      <c r="Y338" s="36"/>
      <c r="Z338" s="36"/>
    </row>
    <row r="339" spans="1:26" ht="14">
      <c r="A339" s="72">
        <v>41912</v>
      </c>
      <c r="B339" s="35" t="s">
        <v>157</v>
      </c>
      <c r="C339" s="168">
        <v>2014</v>
      </c>
      <c r="D339" s="76">
        <v>8</v>
      </c>
      <c r="E339" s="65" t="s">
        <v>288</v>
      </c>
      <c r="F339" s="65" t="s">
        <v>289</v>
      </c>
      <c r="G339" s="65"/>
      <c r="H339" s="65" t="s">
        <v>567</v>
      </c>
      <c r="I339" s="65" t="s">
        <v>340</v>
      </c>
      <c r="J339" s="36" t="s">
        <v>565</v>
      </c>
      <c r="K339" s="36" t="s">
        <v>566</v>
      </c>
      <c r="L339" s="36">
        <v>4</v>
      </c>
      <c r="M339" s="36" t="s">
        <v>247</v>
      </c>
      <c r="N339" s="36" t="s">
        <v>294</v>
      </c>
      <c r="O339" s="36">
        <v>12</v>
      </c>
      <c r="P339" s="36">
        <v>1.1185294038238291E-2</v>
      </c>
      <c r="Q339" s="36">
        <v>1000</v>
      </c>
      <c r="R339" s="36"/>
      <c r="S339" s="36"/>
      <c r="T339" s="36"/>
      <c r="U339" s="36"/>
      <c r="V339" s="36"/>
      <c r="W339" s="36"/>
      <c r="X339" s="36"/>
      <c r="Y339" s="36"/>
      <c r="Z339" s="36"/>
    </row>
    <row r="340" spans="1:26" ht="14">
      <c r="A340" s="72">
        <v>41912</v>
      </c>
      <c r="B340" s="35" t="s">
        <v>157</v>
      </c>
      <c r="C340" s="168">
        <v>2014</v>
      </c>
      <c r="D340" s="76">
        <v>8</v>
      </c>
      <c r="E340" s="36" t="s">
        <v>288</v>
      </c>
      <c r="F340" s="36" t="s">
        <v>289</v>
      </c>
      <c r="G340" s="36"/>
      <c r="H340" s="36"/>
      <c r="I340" s="36"/>
      <c r="J340" s="36"/>
      <c r="K340" s="36"/>
      <c r="L340" s="36">
        <v>5</v>
      </c>
      <c r="M340" s="36" t="s">
        <v>221</v>
      </c>
      <c r="N340" s="36" t="s">
        <v>294</v>
      </c>
      <c r="O340" s="36">
        <v>12</v>
      </c>
      <c r="P340" s="36">
        <v>1.3981617547797871E-2</v>
      </c>
      <c r="Q340" s="36">
        <v>1000</v>
      </c>
      <c r="R340" s="36"/>
      <c r="S340" s="36"/>
      <c r="T340" s="36"/>
      <c r="U340" s="36"/>
      <c r="V340" s="36"/>
      <c r="W340" s="36"/>
      <c r="X340" s="36"/>
      <c r="Y340" s="36"/>
      <c r="Z340" s="36"/>
    </row>
    <row r="341" spans="1:26" ht="14">
      <c r="A341" s="72">
        <v>41851</v>
      </c>
      <c r="B341" s="35" t="s">
        <v>154</v>
      </c>
      <c r="C341" s="168">
        <v>2014</v>
      </c>
      <c r="D341" s="65">
        <v>2</v>
      </c>
      <c r="E341" s="36" t="s">
        <v>288</v>
      </c>
      <c r="F341" s="36" t="s">
        <v>289</v>
      </c>
      <c r="G341" s="36"/>
      <c r="H341" s="36"/>
      <c r="I341" s="36"/>
      <c r="J341" s="36"/>
      <c r="K341" s="36"/>
      <c r="L341" s="36">
        <v>6</v>
      </c>
      <c r="M341" s="36" t="s">
        <v>221</v>
      </c>
      <c r="N341" s="36" t="s">
        <v>294</v>
      </c>
      <c r="O341" s="36">
        <v>53</v>
      </c>
      <c r="P341" s="65">
        <v>0.13768894978255367</v>
      </c>
      <c r="Q341" s="36">
        <v>1000</v>
      </c>
      <c r="R341" s="36"/>
      <c r="S341" s="36"/>
      <c r="T341" s="36"/>
      <c r="U341" s="36"/>
      <c r="V341" s="36"/>
      <c r="W341" s="36"/>
      <c r="X341" s="36"/>
      <c r="Y341" s="36"/>
      <c r="Z341" s="36"/>
    </row>
    <row r="342" spans="1:26" ht="14">
      <c r="A342" s="72">
        <v>41851</v>
      </c>
      <c r="B342" s="72" t="s">
        <v>154</v>
      </c>
      <c r="C342" s="168">
        <v>2014</v>
      </c>
      <c r="D342" s="36">
        <v>5</v>
      </c>
      <c r="E342" s="65" t="s">
        <v>288</v>
      </c>
      <c r="F342" s="65" t="s">
        <v>289</v>
      </c>
      <c r="G342" s="65"/>
      <c r="H342" s="65"/>
      <c r="I342" s="65"/>
      <c r="J342" s="65"/>
      <c r="K342" s="36"/>
      <c r="L342" s="36">
        <v>10</v>
      </c>
      <c r="M342" s="36" t="s">
        <v>221</v>
      </c>
      <c r="N342" s="36" t="s">
        <v>294</v>
      </c>
      <c r="O342" s="36">
        <v>138</v>
      </c>
      <c r="P342" s="65">
        <v>4.9595945992906287E-2</v>
      </c>
      <c r="Q342" s="36">
        <v>1000</v>
      </c>
      <c r="R342" s="36"/>
      <c r="S342" s="36"/>
      <c r="T342" s="36"/>
      <c r="U342" s="36"/>
      <c r="V342" s="36"/>
      <c r="W342" s="36"/>
      <c r="X342" s="36"/>
      <c r="Y342" s="36"/>
      <c r="Z342" s="36"/>
    </row>
    <row r="343" spans="1:26" ht="14">
      <c r="A343" s="72">
        <v>41851</v>
      </c>
      <c r="B343" s="72" t="s">
        <v>154</v>
      </c>
      <c r="C343" s="168">
        <v>2014</v>
      </c>
      <c r="D343" s="76">
        <v>8</v>
      </c>
      <c r="E343" s="36" t="s">
        <v>288</v>
      </c>
      <c r="F343" s="36" t="s">
        <v>289</v>
      </c>
      <c r="G343" s="36"/>
      <c r="H343" s="36"/>
      <c r="I343" s="36"/>
      <c r="J343" s="36"/>
      <c r="K343" s="36"/>
      <c r="L343" s="36">
        <v>1</v>
      </c>
      <c r="M343" s="36" t="s">
        <v>221</v>
      </c>
      <c r="N343" s="36" t="s">
        <v>294</v>
      </c>
      <c r="O343" s="36">
        <v>5</v>
      </c>
      <c r="P343" s="65">
        <v>7.1653613374835813E-3</v>
      </c>
      <c r="Q343" s="36">
        <v>1000</v>
      </c>
      <c r="R343" s="36"/>
      <c r="S343" s="36"/>
      <c r="T343" s="36"/>
      <c r="U343" s="36"/>
      <c r="V343" s="36"/>
      <c r="W343" s="36"/>
      <c r="X343" s="36"/>
      <c r="Y343" s="36"/>
      <c r="Z343" s="36"/>
    </row>
    <row r="344" spans="1:26" ht="14">
      <c r="A344" s="72">
        <v>41542</v>
      </c>
      <c r="B344" s="72" t="s">
        <v>157</v>
      </c>
      <c r="C344" s="168">
        <v>2013</v>
      </c>
      <c r="D344" s="65">
        <v>4</v>
      </c>
      <c r="E344" s="65" t="s">
        <v>288</v>
      </c>
      <c r="F344" s="65" t="s">
        <v>289</v>
      </c>
      <c r="G344" s="65" t="s">
        <v>290</v>
      </c>
      <c r="H344" s="65" t="s">
        <v>339</v>
      </c>
      <c r="I344" s="65" t="s">
        <v>340</v>
      </c>
      <c r="J344" s="36" t="s">
        <v>341</v>
      </c>
      <c r="K344" s="36"/>
      <c r="L344" s="36">
        <v>2</v>
      </c>
      <c r="M344" s="36" t="s">
        <v>229</v>
      </c>
      <c r="N344" s="36" t="s">
        <v>294</v>
      </c>
      <c r="O344" s="36">
        <v>522</v>
      </c>
      <c r="P344" s="65">
        <v>4.18424605959891E-3</v>
      </c>
      <c r="Q344" s="36">
        <v>1000</v>
      </c>
      <c r="R344" s="36"/>
      <c r="S344" s="36"/>
      <c r="T344" s="36"/>
      <c r="U344" s="36"/>
      <c r="V344" s="36"/>
      <c r="W344" s="36"/>
      <c r="X344" s="36"/>
      <c r="Y344" s="36"/>
      <c r="Z344" s="36"/>
    </row>
    <row r="345" spans="1:26" ht="14">
      <c r="A345" s="35">
        <v>41542</v>
      </c>
      <c r="B345" s="72" t="s">
        <v>157</v>
      </c>
      <c r="C345" s="168">
        <v>2013</v>
      </c>
      <c r="D345" s="65">
        <v>5</v>
      </c>
      <c r="E345" s="36" t="s">
        <v>288</v>
      </c>
      <c r="F345" s="36" t="s">
        <v>289</v>
      </c>
      <c r="G345" s="36" t="s">
        <v>290</v>
      </c>
      <c r="H345" s="36" t="s">
        <v>339</v>
      </c>
      <c r="I345" s="36" t="s">
        <v>340</v>
      </c>
      <c r="J345" s="36" t="s">
        <v>341</v>
      </c>
      <c r="K345" s="36"/>
      <c r="L345" s="36">
        <v>2</v>
      </c>
      <c r="M345" s="36" t="s">
        <v>229</v>
      </c>
      <c r="N345" s="36" t="s">
        <v>294</v>
      </c>
      <c r="O345" s="36">
        <v>41</v>
      </c>
      <c r="P345" s="65">
        <v>1.5713605728483817E-3</v>
      </c>
      <c r="Q345" s="36">
        <v>1000</v>
      </c>
      <c r="R345" s="36"/>
      <c r="S345" s="36"/>
      <c r="T345" s="36"/>
      <c r="U345" s="36"/>
      <c r="V345" s="36"/>
      <c r="W345" s="36"/>
      <c r="X345" s="36"/>
      <c r="Y345" s="36"/>
      <c r="Z345" s="36"/>
    </row>
    <row r="346" spans="1:26" ht="14">
      <c r="A346" s="35">
        <v>41542</v>
      </c>
      <c r="B346" s="72" t="s">
        <v>157</v>
      </c>
      <c r="C346" s="168">
        <v>2013</v>
      </c>
      <c r="D346" s="65">
        <v>8</v>
      </c>
      <c r="E346" s="65" t="s">
        <v>288</v>
      </c>
      <c r="F346" s="65" t="s">
        <v>289</v>
      </c>
      <c r="G346" s="65" t="s">
        <v>290</v>
      </c>
      <c r="H346" s="65" t="s">
        <v>339</v>
      </c>
      <c r="I346" s="65" t="s">
        <v>340</v>
      </c>
      <c r="J346" s="65" t="s">
        <v>341</v>
      </c>
      <c r="K346" s="36"/>
      <c r="L346" s="36">
        <v>1</v>
      </c>
      <c r="M346" s="36" t="s">
        <v>229</v>
      </c>
      <c r="N346" s="36" t="s">
        <v>294</v>
      </c>
      <c r="O346" s="36">
        <v>1</v>
      </c>
      <c r="P346" s="65">
        <v>3.0358466983660556E-3</v>
      </c>
      <c r="Q346" s="36">
        <v>1000</v>
      </c>
      <c r="R346" s="36"/>
      <c r="S346" s="36"/>
      <c r="T346" s="36"/>
      <c r="U346" s="36"/>
      <c r="V346" s="36"/>
      <c r="W346" s="36"/>
      <c r="X346" s="36"/>
      <c r="Y346" s="36"/>
      <c r="Z346" s="36"/>
    </row>
    <row r="347" spans="1:26" ht="14">
      <c r="A347" s="72">
        <v>41480</v>
      </c>
      <c r="B347" s="72" t="s">
        <v>154</v>
      </c>
      <c r="C347" s="168">
        <v>2013</v>
      </c>
      <c r="D347" s="65">
        <v>5</v>
      </c>
      <c r="E347" s="65" t="s">
        <v>288</v>
      </c>
      <c r="F347" s="65" t="s">
        <v>289</v>
      </c>
      <c r="G347" s="65" t="s">
        <v>290</v>
      </c>
      <c r="H347" s="65" t="s">
        <v>291</v>
      </c>
      <c r="I347" s="65" t="s">
        <v>292</v>
      </c>
      <c r="J347" s="36" t="s">
        <v>293</v>
      </c>
      <c r="K347" s="36"/>
      <c r="L347" s="36">
        <v>1</v>
      </c>
      <c r="M347" s="36" t="s">
        <v>229</v>
      </c>
      <c r="N347" s="36" t="s">
        <v>294</v>
      </c>
      <c r="O347" s="36">
        <v>45</v>
      </c>
      <c r="P347" s="36">
        <v>3.1333878416620943E-4</v>
      </c>
      <c r="Q347" s="36">
        <v>1000</v>
      </c>
      <c r="R347" s="36"/>
      <c r="S347" s="36"/>
      <c r="T347" s="36"/>
      <c r="U347" s="36"/>
      <c r="V347" s="36"/>
      <c r="W347" s="36"/>
      <c r="X347" s="36"/>
      <c r="Y347" s="36"/>
      <c r="Z347" s="36"/>
    </row>
    <row r="348" spans="1:26" ht="14">
      <c r="A348" s="72">
        <v>41480</v>
      </c>
      <c r="B348" s="72" t="s">
        <v>154</v>
      </c>
      <c r="C348" s="168">
        <v>2013</v>
      </c>
      <c r="D348" s="65">
        <v>5</v>
      </c>
      <c r="E348" s="36" t="s">
        <v>288</v>
      </c>
      <c r="F348" s="36"/>
      <c r="G348" s="36"/>
      <c r="H348" s="36"/>
      <c r="I348" s="36"/>
      <c r="J348" s="36"/>
      <c r="K348" s="36"/>
      <c r="L348" s="36">
        <v>1</v>
      </c>
      <c r="M348" s="36" t="s">
        <v>474</v>
      </c>
      <c r="N348" s="36" t="s">
        <v>294</v>
      </c>
      <c r="O348" s="36">
        <v>45</v>
      </c>
      <c r="P348" s="36">
        <v>3.1333878416620943E-4</v>
      </c>
      <c r="Q348" s="36">
        <v>1000</v>
      </c>
      <c r="R348" s="36" t="s">
        <v>350</v>
      </c>
      <c r="S348" s="36"/>
      <c r="T348" s="36"/>
      <c r="U348" s="36"/>
      <c r="V348" s="36"/>
      <c r="W348" s="36"/>
      <c r="X348" s="36"/>
      <c r="Y348" s="36"/>
      <c r="Z348" s="36"/>
    </row>
    <row r="349" spans="1:26" ht="14">
      <c r="A349" s="35">
        <v>41480</v>
      </c>
      <c r="B349" s="35" t="s">
        <v>154</v>
      </c>
      <c r="C349" s="168">
        <v>2013</v>
      </c>
      <c r="D349" s="65">
        <v>8</v>
      </c>
      <c r="E349" s="36" t="s">
        <v>288</v>
      </c>
      <c r="F349" s="36" t="s">
        <v>289</v>
      </c>
      <c r="G349" s="36" t="s">
        <v>290</v>
      </c>
      <c r="H349" s="36" t="s">
        <v>339</v>
      </c>
      <c r="I349" s="36" t="s">
        <v>340</v>
      </c>
      <c r="J349" s="36" t="s">
        <v>341</v>
      </c>
      <c r="K349" s="36"/>
      <c r="L349" s="36">
        <v>7</v>
      </c>
      <c r="M349" s="36" t="s">
        <v>229</v>
      </c>
      <c r="N349" s="36" t="s">
        <v>294</v>
      </c>
      <c r="O349" s="36">
        <v>15</v>
      </c>
      <c r="P349" s="36">
        <v>2.0756581897814911E-3</v>
      </c>
      <c r="Q349" s="36">
        <v>1000</v>
      </c>
      <c r="R349" s="36"/>
      <c r="S349" s="36"/>
      <c r="T349" s="36"/>
      <c r="U349" s="36"/>
      <c r="V349" s="36"/>
      <c r="W349" s="36"/>
      <c r="X349" s="36"/>
      <c r="Y349" s="36"/>
      <c r="Z349" s="36"/>
    </row>
    <row r="350" spans="1:26" ht="14">
      <c r="A350" s="35">
        <v>42634</v>
      </c>
      <c r="B350" s="35" t="s">
        <v>157</v>
      </c>
      <c r="C350" s="168">
        <v>2016</v>
      </c>
      <c r="D350" s="65">
        <v>5</v>
      </c>
      <c r="E350" s="36" t="s">
        <v>223</v>
      </c>
      <c r="F350" s="36" t="s">
        <v>267</v>
      </c>
      <c r="G350" s="36"/>
      <c r="H350" s="36" t="s">
        <v>273</v>
      </c>
      <c r="I350" s="36"/>
      <c r="J350" s="36"/>
      <c r="K350" s="36"/>
      <c r="L350" s="36">
        <v>1</v>
      </c>
      <c r="M350" s="36" t="s">
        <v>508</v>
      </c>
      <c r="N350" s="36" t="s">
        <v>513</v>
      </c>
      <c r="O350" s="36">
        <v>93</v>
      </c>
      <c r="P350" s="65">
        <v>9.4131416210630576E-4</v>
      </c>
      <c r="Q350" s="36">
        <v>1000</v>
      </c>
      <c r="R350" s="36"/>
      <c r="S350" s="36"/>
      <c r="T350" s="36"/>
      <c r="U350" s="36"/>
      <c r="V350" s="36"/>
      <c r="W350" s="36"/>
      <c r="X350" s="36"/>
      <c r="Y350" s="36"/>
      <c r="Z350" s="36"/>
    </row>
    <row r="351" spans="1:26" ht="14">
      <c r="A351" s="13">
        <v>42928</v>
      </c>
      <c r="B351" s="64" t="s">
        <v>154</v>
      </c>
      <c r="C351" s="165">
        <v>2017</v>
      </c>
      <c r="D351" s="65">
        <v>4</v>
      </c>
      <c r="E351" s="3" t="s">
        <v>223</v>
      </c>
      <c r="F351" s="3" t="s">
        <v>224</v>
      </c>
      <c r="G351" s="3" t="s">
        <v>225</v>
      </c>
      <c r="H351" s="3" t="s">
        <v>243</v>
      </c>
      <c r="I351" s="3"/>
      <c r="J351" s="3"/>
      <c r="K351" s="3"/>
      <c r="L351" s="3">
        <v>2</v>
      </c>
      <c r="M351" s="3" t="s">
        <v>247</v>
      </c>
      <c r="N351" s="3" t="s">
        <v>673</v>
      </c>
      <c r="O351" s="3">
        <v>225</v>
      </c>
      <c r="P351" s="36">
        <v>0.88532328131540106</v>
      </c>
      <c r="Q351" s="36">
        <v>250</v>
      </c>
      <c r="R351" s="3" t="s">
        <v>658</v>
      </c>
      <c r="S351" s="3"/>
      <c r="T351" s="36"/>
      <c r="U351" s="36"/>
      <c r="V351" s="36"/>
      <c r="W351" s="36"/>
      <c r="X351" s="36"/>
      <c r="Y351" s="36"/>
      <c r="Z351" s="36"/>
    </row>
    <row r="352" spans="1:26" ht="14">
      <c r="A352" s="35">
        <v>42144</v>
      </c>
      <c r="B352" s="64" t="s">
        <v>144</v>
      </c>
      <c r="C352" s="165">
        <v>2015</v>
      </c>
      <c r="D352" s="36">
        <v>4</v>
      </c>
      <c r="E352" s="65" t="s">
        <v>223</v>
      </c>
      <c r="F352" s="65" t="s">
        <v>224</v>
      </c>
      <c r="G352" s="65" t="s">
        <v>225</v>
      </c>
      <c r="H352" s="65" t="s">
        <v>243</v>
      </c>
      <c r="I352" s="65" t="s">
        <v>244</v>
      </c>
      <c r="J352" s="36" t="s">
        <v>245</v>
      </c>
      <c r="K352" s="36" t="s">
        <v>246</v>
      </c>
      <c r="L352" s="36">
        <v>1</v>
      </c>
      <c r="M352" s="36" t="s">
        <v>247</v>
      </c>
      <c r="N352" s="36" t="s">
        <v>673</v>
      </c>
      <c r="O352" s="36">
        <v>229</v>
      </c>
      <c r="P352" s="65">
        <v>0.43629167816834835</v>
      </c>
      <c r="Q352" s="65">
        <v>250</v>
      </c>
      <c r="R352" s="65"/>
      <c r="S352" s="65"/>
      <c r="T352" s="65"/>
      <c r="U352" s="36"/>
      <c r="V352" s="36"/>
      <c r="W352" s="36"/>
      <c r="X352" s="36"/>
      <c r="Y352" s="36"/>
      <c r="Z352" s="36"/>
    </row>
    <row r="353" spans="1:26" ht="14">
      <c r="A353" s="35">
        <v>41761</v>
      </c>
      <c r="B353" s="64" t="s">
        <v>144</v>
      </c>
      <c r="C353" s="165">
        <v>2014</v>
      </c>
      <c r="D353" s="65">
        <v>2</v>
      </c>
      <c r="E353" s="36" t="s">
        <v>223</v>
      </c>
      <c r="F353" s="36" t="s">
        <v>224</v>
      </c>
      <c r="G353" s="36" t="s">
        <v>225</v>
      </c>
      <c r="H353" s="36" t="s">
        <v>243</v>
      </c>
      <c r="I353" s="65"/>
      <c r="J353" s="65"/>
      <c r="K353" s="36"/>
      <c r="L353" s="36">
        <v>2</v>
      </c>
      <c r="M353" s="36" t="s">
        <v>508</v>
      </c>
      <c r="N353" s="36" t="s">
        <v>673</v>
      </c>
      <c r="O353" s="36">
        <v>29</v>
      </c>
      <c r="P353" s="36">
        <v>6.8532120807588734</v>
      </c>
      <c r="Q353" s="65">
        <v>250</v>
      </c>
      <c r="R353" s="65"/>
      <c r="S353" s="65"/>
      <c r="T353" s="65"/>
      <c r="U353" s="36"/>
      <c r="V353" s="36"/>
      <c r="W353" s="36"/>
      <c r="X353" s="36"/>
      <c r="Y353" s="36"/>
      <c r="Z353" s="36"/>
    </row>
    <row r="354" spans="1:26" ht="14">
      <c r="A354" s="13">
        <v>41761</v>
      </c>
      <c r="B354" s="64" t="s">
        <v>144</v>
      </c>
      <c r="C354" s="165">
        <v>2014</v>
      </c>
      <c r="D354" s="65">
        <v>4</v>
      </c>
      <c r="E354" s="51" t="s">
        <v>223</v>
      </c>
      <c r="F354" s="51" t="s">
        <v>224</v>
      </c>
      <c r="G354" s="51" t="s">
        <v>225</v>
      </c>
      <c r="H354" s="51" t="s">
        <v>243</v>
      </c>
      <c r="I354" s="51" t="s">
        <v>244</v>
      </c>
      <c r="J354" s="3" t="s">
        <v>245</v>
      </c>
      <c r="K354" s="3" t="s">
        <v>246</v>
      </c>
      <c r="L354" s="3">
        <v>1</v>
      </c>
      <c r="M354" s="3" t="s">
        <v>247</v>
      </c>
      <c r="N354" s="3" t="s">
        <v>673</v>
      </c>
      <c r="O354" s="3">
        <v>256</v>
      </c>
      <c r="P354" s="36">
        <v>0.38129187294839412</v>
      </c>
      <c r="Q354" s="36">
        <v>250</v>
      </c>
      <c r="R354" s="3"/>
      <c r="S354" s="3"/>
      <c r="T354" s="36"/>
      <c r="U354" s="36"/>
      <c r="V354" s="36"/>
      <c r="W354" s="36"/>
      <c r="X354" s="36"/>
      <c r="Y354" s="36"/>
      <c r="Z354" s="36"/>
    </row>
    <row r="355" spans="1:26" ht="14">
      <c r="A355" s="13">
        <v>41542</v>
      </c>
      <c r="B355" s="64" t="s">
        <v>157</v>
      </c>
      <c r="C355" s="165">
        <v>2013</v>
      </c>
      <c r="D355" s="51">
        <v>2</v>
      </c>
      <c r="E355" s="3" t="s">
        <v>223</v>
      </c>
      <c r="F355" s="3" t="s">
        <v>224</v>
      </c>
      <c r="G355" s="3" t="s">
        <v>225</v>
      </c>
      <c r="H355" s="3" t="s">
        <v>243</v>
      </c>
      <c r="I355" s="3" t="s">
        <v>244</v>
      </c>
      <c r="J355" s="3" t="s">
        <v>245</v>
      </c>
      <c r="K355" s="3" t="s">
        <v>246</v>
      </c>
      <c r="L355" s="3">
        <v>2</v>
      </c>
      <c r="M355" s="3" t="s">
        <v>247</v>
      </c>
      <c r="N355" s="3" t="s">
        <v>673</v>
      </c>
      <c r="O355" s="3">
        <v>110</v>
      </c>
      <c r="P355" s="36">
        <v>1.8018042443507878</v>
      </c>
      <c r="Q355" s="3">
        <v>250</v>
      </c>
      <c r="R355" s="3"/>
      <c r="S355" s="3"/>
      <c r="T355" s="36"/>
      <c r="U355" s="36"/>
      <c r="V355" s="36"/>
      <c r="W355" s="36"/>
      <c r="X355" s="36"/>
      <c r="Y355" s="36"/>
      <c r="Z355" s="36"/>
    </row>
    <row r="356" spans="1:26" ht="14">
      <c r="A356" s="13">
        <v>41542</v>
      </c>
      <c r="B356" s="64" t="s">
        <v>157</v>
      </c>
      <c r="C356" s="165">
        <v>2013</v>
      </c>
      <c r="D356" s="51">
        <v>4</v>
      </c>
      <c r="E356" s="3" t="s">
        <v>223</v>
      </c>
      <c r="F356" s="3" t="s">
        <v>224</v>
      </c>
      <c r="G356" s="3" t="s">
        <v>225</v>
      </c>
      <c r="H356" s="3" t="s">
        <v>243</v>
      </c>
      <c r="I356" s="3"/>
      <c r="J356" s="3"/>
      <c r="K356" s="3"/>
      <c r="L356" s="3">
        <v>1</v>
      </c>
      <c r="M356" s="3" t="s">
        <v>508</v>
      </c>
      <c r="N356" s="3" t="s">
        <v>673</v>
      </c>
      <c r="O356" s="3">
        <v>159</v>
      </c>
      <c r="P356" s="36">
        <v>0.62206233822921186</v>
      </c>
      <c r="Q356" s="3">
        <v>250</v>
      </c>
      <c r="R356" s="3"/>
      <c r="S356" s="3"/>
      <c r="T356" s="36"/>
      <c r="U356" s="36"/>
      <c r="V356" s="36"/>
      <c r="W356" s="36"/>
      <c r="X356" s="36"/>
      <c r="Y356" s="36"/>
      <c r="Z356" s="36"/>
    </row>
    <row r="357" spans="1:26" ht="14">
      <c r="A357" s="13">
        <v>41480</v>
      </c>
      <c r="B357" s="64" t="s">
        <v>154</v>
      </c>
      <c r="C357" s="165">
        <v>2013</v>
      </c>
      <c r="D357" s="51">
        <v>4</v>
      </c>
      <c r="E357" s="3" t="s">
        <v>223</v>
      </c>
      <c r="F357" s="3" t="s">
        <v>224</v>
      </c>
      <c r="G357" s="3" t="s">
        <v>225</v>
      </c>
      <c r="H357" s="3" t="s">
        <v>243</v>
      </c>
      <c r="I357" s="3" t="s">
        <v>244</v>
      </c>
      <c r="J357" s="3" t="s">
        <v>245</v>
      </c>
      <c r="K357" s="3" t="s">
        <v>246</v>
      </c>
      <c r="L357" s="3">
        <v>4</v>
      </c>
      <c r="M357" s="3" t="s">
        <v>247</v>
      </c>
      <c r="N357" s="3" t="s">
        <v>673</v>
      </c>
      <c r="O357" s="3">
        <v>124</v>
      </c>
      <c r="P357" s="65">
        <v>3.2169408869253431</v>
      </c>
      <c r="Q357" s="3">
        <v>250</v>
      </c>
      <c r="R357" s="3"/>
      <c r="S357" s="3"/>
      <c r="T357" s="36"/>
      <c r="U357" s="36"/>
      <c r="V357" s="36"/>
      <c r="W357" s="36"/>
      <c r="X357" s="36"/>
      <c r="Y357" s="36"/>
      <c r="Z357" s="36"/>
    </row>
    <row r="358" spans="1:26" ht="14">
      <c r="A358" s="13">
        <v>41480</v>
      </c>
      <c r="B358" s="64" t="s">
        <v>154</v>
      </c>
      <c r="C358" s="165">
        <v>2013</v>
      </c>
      <c r="D358" s="51">
        <v>8</v>
      </c>
      <c r="E358" s="3" t="s">
        <v>223</v>
      </c>
      <c r="F358" s="3" t="s">
        <v>224</v>
      </c>
      <c r="G358" s="3" t="s">
        <v>225</v>
      </c>
      <c r="H358" s="3" t="s">
        <v>243</v>
      </c>
      <c r="I358" s="3" t="s">
        <v>244</v>
      </c>
      <c r="J358" s="3" t="s">
        <v>245</v>
      </c>
      <c r="K358" s="3" t="s">
        <v>246</v>
      </c>
      <c r="L358" s="3">
        <v>1</v>
      </c>
      <c r="M358" s="3" t="s">
        <v>247</v>
      </c>
      <c r="N358" s="3" t="s">
        <v>673</v>
      </c>
      <c r="O358" s="3">
        <v>251</v>
      </c>
      <c r="P358" s="36">
        <v>0.39838865402797602</v>
      </c>
      <c r="Q358" s="3">
        <v>250</v>
      </c>
      <c r="R358" s="3"/>
      <c r="S358" s="3"/>
      <c r="T358" s="36"/>
      <c r="U358" s="36"/>
      <c r="V358" s="36"/>
      <c r="W358" s="36"/>
      <c r="X358" s="36"/>
      <c r="Y358" s="36"/>
      <c r="Z358" s="36"/>
    </row>
    <row r="359" spans="1:26" ht="14">
      <c r="A359" s="71">
        <v>41422</v>
      </c>
      <c r="B359" s="64" t="s">
        <v>144</v>
      </c>
      <c r="C359" s="165">
        <v>2013</v>
      </c>
      <c r="D359" s="51">
        <v>2</v>
      </c>
      <c r="E359" s="3" t="s">
        <v>223</v>
      </c>
      <c r="F359" s="3" t="s">
        <v>224</v>
      </c>
      <c r="G359" s="3" t="s">
        <v>225</v>
      </c>
      <c r="H359" s="3" t="s">
        <v>243</v>
      </c>
      <c r="I359" s="3" t="s">
        <v>244</v>
      </c>
      <c r="J359" s="3" t="s">
        <v>245</v>
      </c>
      <c r="K359" s="3" t="s">
        <v>246</v>
      </c>
      <c r="L359" s="3">
        <v>4</v>
      </c>
      <c r="M359" s="3" t="s">
        <v>247</v>
      </c>
      <c r="N359" s="3" t="s">
        <v>673</v>
      </c>
      <c r="O359" s="3">
        <v>40</v>
      </c>
      <c r="P359" s="65">
        <v>9.995279691706644</v>
      </c>
      <c r="Q359" s="3">
        <v>250</v>
      </c>
      <c r="R359" s="3"/>
      <c r="S359" s="3"/>
      <c r="T359" s="36"/>
      <c r="U359" s="36"/>
      <c r="V359" s="36"/>
      <c r="W359" s="36"/>
      <c r="X359" s="36"/>
      <c r="Y359" s="36"/>
      <c r="Z359" s="36"/>
    </row>
    <row r="360" spans="1:26" ht="14">
      <c r="A360" s="13">
        <v>41422</v>
      </c>
      <c r="B360" s="64" t="s">
        <v>144</v>
      </c>
      <c r="C360" s="165">
        <v>2013</v>
      </c>
      <c r="D360" s="51">
        <v>4</v>
      </c>
      <c r="E360" s="3" t="s">
        <v>223</v>
      </c>
      <c r="F360" s="3" t="s">
        <v>224</v>
      </c>
      <c r="G360" s="3" t="s">
        <v>225</v>
      </c>
      <c r="H360" s="3" t="s">
        <v>243</v>
      </c>
      <c r="I360" s="3" t="s">
        <v>244</v>
      </c>
      <c r="J360" s="3" t="s">
        <v>245</v>
      </c>
      <c r="K360" s="3" t="s">
        <v>246</v>
      </c>
      <c r="L360" s="3">
        <v>10</v>
      </c>
      <c r="M360" s="3" t="s">
        <v>247</v>
      </c>
      <c r="N360" s="3" t="s">
        <v>673</v>
      </c>
      <c r="O360" s="3">
        <v>106</v>
      </c>
      <c r="P360" s="65">
        <v>9.4200462237436966</v>
      </c>
      <c r="Q360" s="3">
        <v>250</v>
      </c>
      <c r="R360" s="3"/>
      <c r="S360" s="3"/>
      <c r="T360" s="36"/>
      <c r="U360" s="36"/>
      <c r="V360" s="36"/>
      <c r="W360" s="36"/>
      <c r="X360" s="36"/>
      <c r="Y360" s="36"/>
      <c r="Z360" s="36"/>
    </row>
    <row r="361" spans="1:26" ht="14">
      <c r="A361" s="71">
        <v>41422</v>
      </c>
      <c r="B361" s="64" t="s">
        <v>144</v>
      </c>
      <c r="C361" s="165">
        <v>2013</v>
      </c>
      <c r="D361" s="51">
        <v>5</v>
      </c>
      <c r="E361" s="3" t="s">
        <v>223</v>
      </c>
      <c r="F361" s="3" t="s">
        <v>224</v>
      </c>
      <c r="G361" s="3" t="s">
        <v>225</v>
      </c>
      <c r="H361" s="3" t="s">
        <v>243</v>
      </c>
      <c r="I361" s="3" t="s">
        <v>244</v>
      </c>
      <c r="J361" s="3" t="s">
        <v>245</v>
      </c>
      <c r="K361" s="3" t="s">
        <v>246</v>
      </c>
      <c r="L361" s="3">
        <v>1</v>
      </c>
      <c r="M361" s="3" t="s">
        <v>247</v>
      </c>
      <c r="N361" s="3" t="s">
        <v>673</v>
      </c>
      <c r="O361" s="3">
        <v>120</v>
      </c>
      <c r="P361" s="36">
        <v>0.83333333333333337</v>
      </c>
      <c r="Q361" s="3">
        <v>250</v>
      </c>
      <c r="R361" s="3"/>
      <c r="S361" s="3"/>
      <c r="T361" s="36"/>
      <c r="U361" s="36"/>
      <c r="V361" s="36"/>
      <c r="W361" s="36"/>
      <c r="X361" s="36"/>
      <c r="Y361" s="36"/>
      <c r="Z361" s="36"/>
    </row>
    <row r="362" spans="1:26" ht="14">
      <c r="A362" s="13">
        <v>41422</v>
      </c>
      <c r="B362" s="64" t="s">
        <v>144</v>
      </c>
      <c r="C362" s="165">
        <v>2013</v>
      </c>
      <c r="D362" s="51">
        <v>8</v>
      </c>
      <c r="E362" s="3" t="s">
        <v>223</v>
      </c>
      <c r="F362" s="3" t="s">
        <v>224</v>
      </c>
      <c r="G362" s="3" t="s">
        <v>225</v>
      </c>
      <c r="H362" s="3" t="s">
        <v>243</v>
      </c>
      <c r="I362" s="3" t="s">
        <v>244</v>
      </c>
      <c r="J362" s="3" t="s">
        <v>245</v>
      </c>
      <c r="K362" s="3" t="s">
        <v>246</v>
      </c>
      <c r="L362" s="3">
        <v>2</v>
      </c>
      <c r="M362" s="3" t="s">
        <v>247</v>
      </c>
      <c r="N362" s="3" t="s">
        <v>673</v>
      </c>
      <c r="O362" s="3">
        <v>89</v>
      </c>
      <c r="P362" s="36">
        <v>2.2466196971623202</v>
      </c>
      <c r="Q362" s="3">
        <v>250</v>
      </c>
      <c r="R362" s="3"/>
      <c r="S362" s="3"/>
      <c r="T362" s="36"/>
      <c r="U362" s="36"/>
      <c r="V362" s="36"/>
      <c r="W362" s="36"/>
      <c r="X362" s="36"/>
      <c r="Y362" s="36"/>
      <c r="Z362" s="36"/>
    </row>
    <row r="363" spans="1:26" ht="14">
      <c r="A363" s="13">
        <v>42928</v>
      </c>
      <c r="B363" s="64" t="s">
        <v>154</v>
      </c>
      <c r="C363" s="165">
        <v>2017</v>
      </c>
      <c r="D363" s="65">
        <v>2</v>
      </c>
      <c r="E363" s="3" t="s">
        <v>223</v>
      </c>
      <c r="F363" s="3" t="s">
        <v>224</v>
      </c>
      <c r="G363" s="3" t="s">
        <v>225</v>
      </c>
      <c r="H363" s="3" t="s">
        <v>248</v>
      </c>
      <c r="I363" s="3" t="s">
        <v>359</v>
      </c>
      <c r="J363" s="3" t="s">
        <v>360</v>
      </c>
      <c r="K363" s="3" t="s">
        <v>361</v>
      </c>
      <c r="L363" s="3">
        <v>1</v>
      </c>
      <c r="M363" s="3" t="s">
        <v>247</v>
      </c>
      <c r="N363" s="36" t="s">
        <v>713</v>
      </c>
      <c r="O363" s="3">
        <v>656</v>
      </c>
      <c r="P363" s="36">
        <v>0.1522843261809422</v>
      </c>
      <c r="Q363" s="36">
        <v>250</v>
      </c>
      <c r="R363" s="3"/>
      <c r="S363" s="3"/>
      <c r="T363" s="36"/>
      <c r="U363" s="36"/>
      <c r="V363" s="36"/>
      <c r="W363" s="36"/>
      <c r="X363" s="36"/>
      <c r="Y363" s="36"/>
      <c r="Z363" s="36"/>
    </row>
    <row r="364" spans="1:26" ht="14">
      <c r="A364" s="13">
        <v>42867</v>
      </c>
      <c r="B364" s="64" t="s">
        <v>144</v>
      </c>
      <c r="C364" s="165">
        <v>2017</v>
      </c>
      <c r="D364" s="65">
        <v>4</v>
      </c>
      <c r="E364" s="51" t="s">
        <v>223</v>
      </c>
      <c r="F364" s="51" t="s">
        <v>224</v>
      </c>
      <c r="G364" s="51" t="s">
        <v>225</v>
      </c>
      <c r="H364" s="51" t="s">
        <v>248</v>
      </c>
      <c r="I364" s="51" t="s">
        <v>359</v>
      </c>
      <c r="J364" s="3" t="s">
        <v>360</v>
      </c>
      <c r="K364" s="3" t="s">
        <v>361</v>
      </c>
      <c r="L364" s="3">
        <v>1</v>
      </c>
      <c r="M364" s="3" t="s">
        <v>247</v>
      </c>
      <c r="N364" s="36" t="s">
        <v>713</v>
      </c>
      <c r="O364" s="3">
        <v>225</v>
      </c>
      <c r="P364" s="36">
        <v>0.43704009400170857</v>
      </c>
      <c r="Q364" s="3"/>
      <c r="R364" s="3"/>
      <c r="S364" s="3"/>
      <c r="T364" s="36"/>
      <c r="U364" s="36"/>
      <c r="V364" s="36"/>
      <c r="W364" s="36"/>
      <c r="X364" s="36"/>
      <c r="Y364" s="36"/>
      <c r="Z364" s="36"/>
    </row>
    <row r="365" spans="1:26" ht="14">
      <c r="A365" s="13">
        <v>42515</v>
      </c>
      <c r="B365" s="64" t="s">
        <v>144</v>
      </c>
      <c r="C365" s="165">
        <v>2016</v>
      </c>
      <c r="D365" s="3">
        <v>4</v>
      </c>
      <c r="E365" s="51" t="s">
        <v>223</v>
      </c>
      <c r="F365" s="51" t="s">
        <v>224</v>
      </c>
      <c r="G365" s="51" t="s">
        <v>225</v>
      </c>
      <c r="H365" s="51" t="s">
        <v>248</v>
      </c>
      <c r="I365" s="51" t="s">
        <v>359</v>
      </c>
      <c r="J365" s="3" t="s">
        <v>360</v>
      </c>
      <c r="K365" s="3" t="s">
        <v>361</v>
      </c>
      <c r="L365" s="3">
        <v>2</v>
      </c>
      <c r="M365" s="3" t="s">
        <v>247</v>
      </c>
      <c r="N365" s="36" t="s">
        <v>713</v>
      </c>
      <c r="O365" s="3">
        <v>217</v>
      </c>
      <c r="P365" s="36">
        <v>0.9209290862393783</v>
      </c>
      <c r="Q365" s="3">
        <v>250</v>
      </c>
      <c r="R365" s="3"/>
      <c r="S365" s="3"/>
      <c r="T365" s="36"/>
      <c r="U365" s="36"/>
      <c r="V365" s="36"/>
      <c r="W365" s="36"/>
      <c r="X365" s="36"/>
      <c r="Y365" s="36"/>
      <c r="Z365" s="36"/>
    </row>
    <row r="366" spans="1:26" ht="14">
      <c r="A366" s="35">
        <v>42928</v>
      </c>
      <c r="B366" s="64" t="s">
        <v>154</v>
      </c>
      <c r="C366" s="165">
        <v>2017</v>
      </c>
      <c r="D366" s="65">
        <v>5</v>
      </c>
      <c r="E366" s="65" t="s">
        <v>300</v>
      </c>
      <c r="F366" s="65" t="s">
        <v>301</v>
      </c>
      <c r="G366" s="36"/>
      <c r="H366" s="36"/>
      <c r="I366" s="65"/>
      <c r="J366" s="65"/>
      <c r="K366" s="36"/>
      <c r="L366" s="36">
        <v>1</v>
      </c>
      <c r="M366" s="36"/>
      <c r="N366" s="36" t="s">
        <v>302</v>
      </c>
      <c r="O366" s="36">
        <v>385</v>
      </c>
      <c r="P366" s="36">
        <v>0.25962643656433609</v>
      </c>
      <c r="Q366" s="65">
        <v>250</v>
      </c>
      <c r="R366" s="65"/>
      <c r="S366" s="65"/>
      <c r="T366" s="65"/>
      <c r="U366" s="36"/>
      <c r="V366" s="36"/>
      <c r="W366" s="36"/>
      <c r="X366" s="36"/>
      <c r="Y366" s="36"/>
      <c r="Z366" s="36"/>
    </row>
    <row r="367" spans="1:26" ht="14">
      <c r="A367" s="71">
        <v>43019</v>
      </c>
      <c r="B367" s="64" t="s">
        <v>159</v>
      </c>
      <c r="C367" s="165">
        <v>2017</v>
      </c>
      <c r="D367" s="65">
        <v>5</v>
      </c>
      <c r="E367" s="65" t="s">
        <v>300</v>
      </c>
      <c r="F367" s="65" t="s">
        <v>301</v>
      </c>
      <c r="G367" s="65"/>
      <c r="H367" s="65"/>
      <c r="I367" s="65"/>
      <c r="J367" s="36"/>
      <c r="K367" s="36"/>
      <c r="L367" s="36">
        <v>7</v>
      </c>
      <c r="M367" s="36" t="s">
        <v>221</v>
      </c>
      <c r="N367" s="36" t="s">
        <v>302</v>
      </c>
      <c r="O367" s="3">
        <v>255</v>
      </c>
      <c r="P367" s="36">
        <v>2.7444893855065864</v>
      </c>
      <c r="Q367" s="3">
        <v>250</v>
      </c>
      <c r="R367" s="3"/>
      <c r="S367" s="3"/>
      <c r="T367" s="36"/>
      <c r="U367" s="36"/>
      <c r="V367" s="36"/>
      <c r="W367" s="36"/>
      <c r="X367" s="36"/>
      <c r="Y367" s="36"/>
      <c r="Z367" s="36"/>
    </row>
    <row r="368" spans="1:26" ht="14">
      <c r="A368" s="13">
        <v>43019</v>
      </c>
      <c r="B368" s="64" t="s">
        <v>159</v>
      </c>
      <c r="C368" s="165">
        <v>2017</v>
      </c>
      <c r="D368" s="65">
        <v>8</v>
      </c>
      <c r="E368" s="65" t="s">
        <v>300</v>
      </c>
      <c r="F368" s="65" t="s">
        <v>301</v>
      </c>
      <c r="G368" s="65"/>
      <c r="H368" s="65"/>
      <c r="I368" s="65"/>
      <c r="J368" s="36"/>
      <c r="K368" s="36"/>
      <c r="L368" s="36">
        <v>4</v>
      </c>
      <c r="M368" s="36" t="s">
        <v>221</v>
      </c>
      <c r="N368" s="36" t="s">
        <v>302</v>
      </c>
      <c r="O368" s="3">
        <v>288</v>
      </c>
      <c r="P368" s="36">
        <v>1.3344419248372525</v>
      </c>
      <c r="Q368" s="3">
        <v>250</v>
      </c>
      <c r="R368" s="3"/>
      <c r="S368" s="3"/>
      <c r="T368" s="36"/>
      <c r="U368" s="36"/>
      <c r="V368" s="36"/>
      <c r="W368" s="36"/>
      <c r="X368" s="36"/>
      <c r="Y368" s="36"/>
      <c r="Z368" s="36"/>
    </row>
    <row r="369" spans="1:26" ht="14">
      <c r="A369" s="35">
        <v>41480</v>
      </c>
      <c r="B369" s="64" t="s">
        <v>154</v>
      </c>
      <c r="C369" s="165">
        <v>2013</v>
      </c>
      <c r="D369" s="65">
        <v>4</v>
      </c>
      <c r="E369" s="36" t="s">
        <v>300</v>
      </c>
      <c r="F369" s="36" t="s">
        <v>301</v>
      </c>
      <c r="G369" s="36"/>
      <c r="H369" s="36"/>
      <c r="I369" s="36"/>
      <c r="J369" s="36"/>
      <c r="K369" s="36"/>
      <c r="L369" s="36">
        <v>1</v>
      </c>
      <c r="M369" s="36" t="s">
        <v>221</v>
      </c>
      <c r="N369" s="36" t="s">
        <v>302</v>
      </c>
      <c r="O369" s="36">
        <v>124</v>
      </c>
      <c r="P369" s="65">
        <v>0.80423522173133577</v>
      </c>
      <c r="Q369" s="36">
        <v>250</v>
      </c>
      <c r="R369" s="36" t="s">
        <v>222</v>
      </c>
      <c r="S369" s="36"/>
      <c r="T369" s="36"/>
      <c r="U369" s="36"/>
      <c r="V369" s="36"/>
      <c r="W369" s="36"/>
      <c r="X369" s="36"/>
      <c r="Y369" s="36"/>
      <c r="Z369" s="36"/>
    </row>
    <row r="370" spans="1:26" ht="14">
      <c r="A370" s="72">
        <v>41480</v>
      </c>
      <c r="B370" s="64" t="s">
        <v>154</v>
      </c>
      <c r="C370" s="165">
        <v>2013</v>
      </c>
      <c r="D370" s="65">
        <v>5</v>
      </c>
      <c r="E370" s="65" t="s">
        <v>300</v>
      </c>
      <c r="F370" s="65" t="s">
        <v>301</v>
      </c>
      <c r="G370" s="65"/>
      <c r="H370" s="65"/>
      <c r="I370" s="65"/>
      <c r="J370" s="36"/>
      <c r="K370" s="36"/>
      <c r="L370" s="36">
        <v>9</v>
      </c>
      <c r="M370" s="36" t="s">
        <v>221</v>
      </c>
      <c r="N370" s="36" t="s">
        <v>302</v>
      </c>
      <c r="O370" s="3">
        <v>155</v>
      </c>
      <c r="P370" s="65">
        <v>5.8056328889833191</v>
      </c>
      <c r="Q370" s="36">
        <v>250</v>
      </c>
      <c r="R370" s="36" t="s">
        <v>222</v>
      </c>
      <c r="S370" s="36"/>
      <c r="T370" s="36"/>
      <c r="U370" s="36"/>
      <c r="V370" s="36"/>
      <c r="W370" s="36"/>
      <c r="X370" s="36"/>
      <c r="Y370" s="36"/>
      <c r="Z370" s="36"/>
    </row>
    <row r="371" spans="1:26" ht="14">
      <c r="A371" s="35">
        <v>41480</v>
      </c>
      <c r="B371" s="64" t="s">
        <v>154</v>
      </c>
      <c r="C371" s="165">
        <v>2013</v>
      </c>
      <c r="D371" s="65">
        <v>8</v>
      </c>
      <c r="E371" s="65" t="s">
        <v>300</v>
      </c>
      <c r="F371" s="36" t="s">
        <v>301</v>
      </c>
      <c r="G371" s="36"/>
      <c r="H371" s="65"/>
      <c r="I371" s="65"/>
      <c r="J371" s="65"/>
      <c r="K371" s="65"/>
      <c r="L371" s="65">
        <v>2</v>
      </c>
      <c r="M371" s="65" t="s">
        <v>221</v>
      </c>
      <c r="N371" s="65" t="s">
        <v>302</v>
      </c>
      <c r="O371" s="36">
        <v>251</v>
      </c>
      <c r="P371" s="36">
        <v>0.79677730805595204</v>
      </c>
      <c r="Q371" s="36">
        <v>250</v>
      </c>
      <c r="R371" s="36"/>
      <c r="S371" s="36"/>
      <c r="T371" s="36"/>
      <c r="U371" s="36"/>
      <c r="V371" s="36"/>
      <c r="W371" s="36"/>
      <c r="X371" s="36"/>
      <c r="Y371" s="36"/>
      <c r="Z371" s="36"/>
    </row>
    <row r="372" spans="1:26" ht="14">
      <c r="A372" s="35">
        <v>41422</v>
      </c>
      <c r="B372" s="64" t="s">
        <v>144</v>
      </c>
      <c r="C372" s="165">
        <v>2013</v>
      </c>
      <c r="D372" s="65">
        <v>8</v>
      </c>
      <c r="E372" s="65" t="s">
        <v>300</v>
      </c>
      <c r="F372" s="65" t="s">
        <v>301</v>
      </c>
      <c r="G372" s="65"/>
      <c r="H372" s="65"/>
      <c r="I372" s="65"/>
      <c r="J372" s="36"/>
      <c r="K372" s="36"/>
      <c r="L372" s="36">
        <v>3</v>
      </c>
      <c r="M372" s="36" t="s">
        <v>221</v>
      </c>
      <c r="N372" s="36" t="s">
        <v>302</v>
      </c>
      <c r="O372" s="3">
        <v>89</v>
      </c>
      <c r="P372" s="36">
        <v>3.3699295457434797</v>
      </c>
      <c r="Q372" s="36">
        <v>250</v>
      </c>
      <c r="R372" s="36" t="s">
        <v>222</v>
      </c>
      <c r="S372" s="36"/>
      <c r="T372" s="36"/>
      <c r="U372" s="36"/>
      <c r="V372" s="36"/>
      <c r="W372" s="36"/>
      <c r="X372" s="36"/>
      <c r="Y372" s="36"/>
      <c r="Z372" s="36"/>
    </row>
    <row r="373" spans="1:26" ht="14">
      <c r="A373" s="72">
        <v>42144</v>
      </c>
      <c r="B373" s="64" t="s">
        <v>144</v>
      </c>
      <c r="C373" s="165">
        <v>2015</v>
      </c>
      <c r="D373" s="65">
        <v>2</v>
      </c>
      <c r="E373" s="36" t="s">
        <v>323</v>
      </c>
      <c r="F373" s="36" t="s">
        <v>324</v>
      </c>
      <c r="G373" s="36"/>
      <c r="H373" s="36" t="s">
        <v>325</v>
      </c>
      <c r="I373" s="36" t="s">
        <v>326</v>
      </c>
      <c r="J373" s="36" t="s">
        <v>327</v>
      </c>
      <c r="K373" s="36"/>
      <c r="L373" s="36">
        <v>4</v>
      </c>
      <c r="M373" s="36" t="s">
        <v>229</v>
      </c>
      <c r="N373" s="36" t="s">
        <v>532</v>
      </c>
      <c r="O373" s="36">
        <v>7</v>
      </c>
      <c r="P373" s="65">
        <v>1.4840051045634186E-2</v>
      </c>
      <c r="Q373" s="36">
        <v>1000</v>
      </c>
      <c r="R373" s="36"/>
      <c r="S373" s="36"/>
      <c r="T373" s="36"/>
      <c r="U373" s="36"/>
      <c r="V373" s="36"/>
      <c r="W373" s="36"/>
      <c r="X373" s="36"/>
      <c r="Y373" s="36"/>
      <c r="Z373" s="36"/>
    </row>
    <row r="374" spans="1:26" ht="14">
      <c r="A374" s="72">
        <v>42144</v>
      </c>
      <c r="B374" s="64" t="s">
        <v>144</v>
      </c>
      <c r="C374" s="165">
        <v>2015</v>
      </c>
      <c r="D374" s="36">
        <v>4</v>
      </c>
      <c r="E374" s="36" t="s">
        <v>323</v>
      </c>
      <c r="F374" s="36" t="s">
        <v>324</v>
      </c>
      <c r="G374" s="36"/>
      <c r="H374" s="36" t="s">
        <v>325</v>
      </c>
      <c r="I374" s="65" t="s">
        <v>326</v>
      </c>
      <c r="J374" s="65" t="s">
        <v>327</v>
      </c>
      <c r="K374" s="36"/>
      <c r="L374" s="36">
        <v>7</v>
      </c>
      <c r="M374" s="36" t="s">
        <v>229</v>
      </c>
      <c r="N374" s="36" t="s">
        <v>532</v>
      </c>
      <c r="O374" s="36">
        <v>21</v>
      </c>
      <c r="P374" s="65">
        <v>2.9735233149455195E-2</v>
      </c>
      <c r="Q374" s="65">
        <v>1000</v>
      </c>
      <c r="R374" s="65"/>
      <c r="S374" s="65"/>
      <c r="T374" s="145"/>
      <c r="U374" s="36"/>
      <c r="V374" s="36"/>
      <c r="W374" s="36"/>
      <c r="X374" s="36"/>
      <c r="Y374" s="36"/>
      <c r="Z374" s="36"/>
    </row>
    <row r="375" spans="1:26" ht="14">
      <c r="A375" s="35">
        <v>42144</v>
      </c>
      <c r="B375" s="64" t="s">
        <v>144</v>
      </c>
      <c r="C375" s="165">
        <v>2015</v>
      </c>
      <c r="D375" s="36">
        <v>5</v>
      </c>
      <c r="E375" s="36" t="s">
        <v>323</v>
      </c>
      <c r="F375" s="36" t="s">
        <v>324</v>
      </c>
      <c r="G375" s="36"/>
      <c r="H375" s="36" t="s">
        <v>325</v>
      </c>
      <c r="I375" s="36" t="s">
        <v>326</v>
      </c>
      <c r="J375" s="36" t="s">
        <v>327</v>
      </c>
      <c r="K375" s="36"/>
      <c r="L375" s="36">
        <v>5</v>
      </c>
      <c r="M375" s="36" t="s">
        <v>229</v>
      </c>
      <c r="N375" s="36" t="s">
        <v>532</v>
      </c>
      <c r="O375" s="36">
        <v>8</v>
      </c>
      <c r="P375" s="65">
        <v>2.2993310149473492E-2</v>
      </c>
      <c r="Q375" s="36">
        <v>1000</v>
      </c>
      <c r="R375" s="36"/>
      <c r="S375" s="36"/>
      <c r="T375" s="36"/>
      <c r="U375" s="36"/>
      <c r="V375" s="36"/>
      <c r="W375" s="36"/>
      <c r="X375" s="36"/>
      <c r="Y375" s="36"/>
      <c r="Z375" s="36"/>
    </row>
    <row r="376" spans="1:26" ht="14">
      <c r="A376" s="13">
        <v>42928</v>
      </c>
      <c r="B376" s="64" t="s">
        <v>154</v>
      </c>
      <c r="C376" s="165">
        <v>2017</v>
      </c>
      <c r="D376" s="65">
        <v>2</v>
      </c>
      <c r="E376" s="36" t="s">
        <v>323</v>
      </c>
      <c r="F376" s="36" t="s">
        <v>324</v>
      </c>
      <c r="G376" s="36"/>
      <c r="H376" s="36" t="s">
        <v>325</v>
      </c>
      <c r="I376" s="36" t="s">
        <v>326</v>
      </c>
      <c r="J376" s="3"/>
      <c r="K376" s="3"/>
      <c r="L376" s="3">
        <v>18</v>
      </c>
      <c r="M376" s="36" t="s">
        <v>509</v>
      </c>
      <c r="N376" s="36" t="s">
        <v>327</v>
      </c>
      <c r="O376" s="3">
        <v>116</v>
      </c>
      <c r="P376" s="36">
        <v>1.5747210822714356E-2</v>
      </c>
      <c r="Q376" s="36">
        <v>1000</v>
      </c>
      <c r="R376" s="3"/>
      <c r="S376" s="3"/>
      <c r="T376" s="36"/>
      <c r="U376" s="36"/>
      <c r="V376" s="36"/>
      <c r="W376" s="36"/>
      <c r="X376" s="36"/>
      <c r="Y376" s="36"/>
      <c r="Z376" s="36"/>
    </row>
    <row r="377" spans="1:26" ht="14">
      <c r="A377" s="13">
        <v>42928</v>
      </c>
      <c r="B377" s="64" t="s">
        <v>154</v>
      </c>
      <c r="C377" s="165">
        <v>2017</v>
      </c>
      <c r="D377" s="65">
        <v>5</v>
      </c>
      <c r="E377" s="65" t="s">
        <v>323</v>
      </c>
      <c r="F377" s="65" t="s">
        <v>324</v>
      </c>
      <c r="G377" s="65"/>
      <c r="H377" s="65" t="s">
        <v>325</v>
      </c>
      <c r="I377" s="65" t="s">
        <v>326</v>
      </c>
      <c r="J377" s="3"/>
      <c r="K377" s="3"/>
      <c r="L377" s="3">
        <v>2</v>
      </c>
      <c r="M377" s="36" t="s">
        <v>509</v>
      </c>
      <c r="N377" s="36" t="s">
        <v>327</v>
      </c>
      <c r="O377" s="3">
        <v>6</v>
      </c>
      <c r="P377" s="36">
        <v>1.4607307576893904E-2</v>
      </c>
      <c r="Q377" s="36">
        <v>1000</v>
      </c>
      <c r="R377" s="3"/>
      <c r="S377" s="3"/>
      <c r="T377" s="36"/>
      <c r="U377" s="36"/>
      <c r="V377" s="36"/>
      <c r="W377" s="36"/>
      <c r="X377" s="36"/>
      <c r="Y377" s="36"/>
      <c r="Z377" s="36"/>
    </row>
    <row r="378" spans="1:26" ht="14">
      <c r="A378" s="13">
        <v>42867</v>
      </c>
      <c r="B378" s="64" t="s">
        <v>144</v>
      </c>
      <c r="C378" s="165">
        <v>2017</v>
      </c>
      <c r="D378" s="65">
        <v>4</v>
      </c>
      <c r="E378" s="65" t="s">
        <v>323</v>
      </c>
      <c r="F378" s="36" t="s">
        <v>324</v>
      </c>
      <c r="G378" s="36"/>
      <c r="H378" s="65" t="s">
        <v>325</v>
      </c>
      <c r="I378" s="65" t="s">
        <v>326</v>
      </c>
      <c r="J378" s="51"/>
      <c r="K378" s="3"/>
      <c r="L378" s="3">
        <v>22</v>
      </c>
      <c r="M378" s="36" t="s">
        <v>509</v>
      </c>
      <c r="N378" s="36" t="s">
        <v>327</v>
      </c>
      <c r="O378" s="3">
        <v>664</v>
      </c>
      <c r="P378" s="36">
        <v>5.5198094414969111E-2</v>
      </c>
      <c r="Q378" s="36">
        <v>1000</v>
      </c>
      <c r="R378" s="3"/>
      <c r="S378" s="3"/>
      <c r="T378" s="36"/>
      <c r="U378" s="36"/>
      <c r="V378" s="36"/>
      <c r="W378" s="36"/>
      <c r="X378" s="36"/>
      <c r="Y378" s="36"/>
      <c r="Z378" s="36"/>
    </row>
    <row r="379" spans="1:26" ht="14">
      <c r="A379" s="13">
        <v>42867</v>
      </c>
      <c r="B379" s="64" t="s">
        <v>144</v>
      </c>
      <c r="C379" s="165">
        <v>2017</v>
      </c>
      <c r="D379" s="65">
        <v>5</v>
      </c>
      <c r="E379" s="53" t="s">
        <v>323</v>
      </c>
      <c r="F379" s="53" t="s">
        <v>324</v>
      </c>
      <c r="G379" s="53"/>
      <c r="H379" s="53" t="s">
        <v>325</v>
      </c>
      <c r="I379" s="53" t="s">
        <v>326</v>
      </c>
      <c r="J379" s="36" t="s">
        <v>327</v>
      </c>
      <c r="K379" s="36"/>
      <c r="L379" s="36">
        <v>4</v>
      </c>
      <c r="M379" s="36" t="s">
        <v>509</v>
      </c>
      <c r="N379" s="36" t="s">
        <v>327</v>
      </c>
      <c r="O379" s="3">
        <v>16</v>
      </c>
      <c r="P379" s="36">
        <v>8.1136163414616651E-3</v>
      </c>
      <c r="Q379" s="65">
        <v>1000</v>
      </c>
      <c r="R379" s="51"/>
      <c r="S379" s="51"/>
      <c r="T379" s="65"/>
      <c r="U379" s="36"/>
      <c r="V379" s="36"/>
      <c r="W379" s="36"/>
      <c r="X379" s="36"/>
      <c r="Y379" s="36"/>
      <c r="Z379" s="36"/>
    </row>
    <row r="380" spans="1:26" ht="14">
      <c r="A380" s="72">
        <v>42571</v>
      </c>
      <c r="B380" s="64" t="s">
        <v>154</v>
      </c>
      <c r="C380" s="165">
        <v>2016</v>
      </c>
      <c r="D380" s="65">
        <v>2</v>
      </c>
      <c r="E380" s="36" t="s">
        <v>323</v>
      </c>
      <c r="F380" s="36" t="s">
        <v>324</v>
      </c>
      <c r="G380" s="36"/>
      <c r="H380" s="36" t="s">
        <v>325</v>
      </c>
      <c r="I380" s="36" t="s">
        <v>326</v>
      </c>
      <c r="J380" s="36" t="s">
        <v>327</v>
      </c>
      <c r="K380" s="36"/>
      <c r="L380" s="36">
        <v>2</v>
      </c>
      <c r="M380" s="36" t="s">
        <v>229</v>
      </c>
      <c r="N380" s="36" t="s">
        <v>327</v>
      </c>
      <c r="O380" s="36">
        <v>5</v>
      </c>
      <c r="P380" s="36">
        <v>3.9394066096260097E-3</v>
      </c>
      <c r="Q380" s="36">
        <v>1000</v>
      </c>
      <c r="R380" s="36"/>
      <c r="S380" s="36"/>
      <c r="T380" s="36"/>
      <c r="U380" s="36"/>
      <c r="V380" s="36"/>
      <c r="W380" s="36"/>
      <c r="X380" s="36"/>
      <c r="Y380" s="36"/>
      <c r="Z380" s="36"/>
    </row>
    <row r="381" spans="1:26" ht="14">
      <c r="A381" s="35">
        <v>42515</v>
      </c>
      <c r="B381" s="64" t="s">
        <v>144</v>
      </c>
      <c r="C381" s="165">
        <v>2016</v>
      </c>
      <c r="D381" s="76">
        <v>2</v>
      </c>
      <c r="E381" s="36" t="s">
        <v>323</v>
      </c>
      <c r="F381" s="36" t="s">
        <v>324</v>
      </c>
      <c r="G381" s="36"/>
      <c r="H381" s="36" t="s">
        <v>325</v>
      </c>
      <c r="I381" s="36" t="s">
        <v>326</v>
      </c>
      <c r="J381" s="36" t="s">
        <v>327</v>
      </c>
      <c r="K381" s="36"/>
      <c r="L381" s="36">
        <v>13</v>
      </c>
      <c r="M381" s="36" t="s">
        <v>229</v>
      </c>
      <c r="N381" s="36" t="s">
        <v>327</v>
      </c>
      <c r="O381" s="36">
        <v>13</v>
      </c>
      <c r="P381" s="65">
        <v>5.008158069356166E-2</v>
      </c>
      <c r="Q381" s="65">
        <v>1000</v>
      </c>
      <c r="R381" s="65"/>
      <c r="S381" s="65"/>
      <c r="T381" s="65"/>
      <c r="U381" s="36"/>
      <c r="V381" s="36"/>
      <c r="W381" s="36"/>
      <c r="X381" s="36"/>
      <c r="Y381" s="36"/>
      <c r="Z381" s="36"/>
    </row>
    <row r="382" spans="1:26" ht="14">
      <c r="A382" s="35">
        <v>42515</v>
      </c>
      <c r="B382" s="64" t="s">
        <v>144</v>
      </c>
      <c r="C382" s="165">
        <v>2016</v>
      </c>
      <c r="D382" s="76">
        <v>5</v>
      </c>
      <c r="E382" s="65" t="s">
        <v>323</v>
      </c>
      <c r="F382" s="65" t="s">
        <v>324</v>
      </c>
      <c r="G382" s="65"/>
      <c r="H382" s="65" t="s">
        <v>325</v>
      </c>
      <c r="I382" s="65" t="s">
        <v>326</v>
      </c>
      <c r="J382" s="36" t="s">
        <v>327</v>
      </c>
      <c r="K382" s="36"/>
      <c r="L382" s="36">
        <v>2</v>
      </c>
      <c r="M382" s="36" t="s">
        <v>229</v>
      </c>
      <c r="N382" s="36" t="s">
        <v>327</v>
      </c>
      <c r="O382" s="36">
        <v>17</v>
      </c>
      <c r="P382" s="36">
        <v>5.6729565689064409E-3</v>
      </c>
      <c r="Q382" s="36">
        <v>1000</v>
      </c>
      <c r="R382" s="36"/>
      <c r="S382" s="36"/>
      <c r="T382" s="36"/>
      <c r="U382" s="36"/>
      <c r="V382" s="36"/>
      <c r="W382" s="36"/>
      <c r="X382" s="36"/>
      <c r="Y382" s="36"/>
      <c r="Z382" s="36"/>
    </row>
    <row r="383" spans="1:26" ht="14">
      <c r="A383" s="72">
        <v>42206</v>
      </c>
      <c r="B383" s="64" t="s">
        <v>154</v>
      </c>
      <c r="C383" s="165">
        <v>2015</v>
      </c>
      <c r="D383" s="76">
        <v>2</v>
      </c>
      <c r="E383" s="36" t="s">
        <v>323</v>
      </c>
      <c r="F383" s="36" t="s">
        <v>324</v>
      </c>
      <c r="G383" s="36"/>
      <c r="H383" s="36" t="s">
        <v>325</v>
      </c>
      <c r="I383" s="36" t="s">
        <v>326</v>
      </c>
      <c r="J383" s="36" t="s">
        <v>327</v>
      </c>
      <c r="K383" s="36"/>
      <c r="L383" s="36">
        <v>1</v>
      </c>
      <c r="M383" s="36" t="s">
        <v>229</v>
      </c>
      <c r="N383" s="36" t="s">
        <v>327</v>
      </c>
      <c r="O383" s="36">
        <v>3</v>
      </c>
      <c r="P383" s="36">
        <v>1.0984943130251956E-2</v>
      </c>
      <c r="Q383" s="36">
        <v>1000</v>
      </c>
      <c r="R383" s="36"/>
      <c r="S383" s="36"/>
      <c r="T383" s="36"/>
      <c r="U383" s="36"/>
      <c r="V383" s="36"/>
      <c r="W383" s="36"/>
      <c r="X383" s="36"/>
      <c r="Y383" s="36"/>
      <c r="Z383" s="36"/>
    </row>
    <row r="384" spans="1:26" ht="14">
      <c r="A384" s="64">
        <v>42206</v>
      </c>
      <c r="B384" s="64" t="s">
        <v>154</v>
      </c>
      <c r="C384" s="165">
        <v>2015</v>
      </c>
      <c r="D384" s="36">
        <v>5</v>
      </c>
      <c r="E384" s="36" t="s">
        <v>323</v>
      </c>
      <c r="F384" s="36" t="s">
        <v>324</v>
      </c>
      <c r="G384" s="36"/>
      <c r="H384" s="36" t="s">
        <v>325</v>
      </c>
      <c r="I384" s="36" t="s">
        <v>326</v>
      </c>
      <c r="J384" s="36" t="s">
        <v>327</v>
      </c>
      <c r="K384" s="36"/>
      <c r="L384" s="36">
        <v>4</v>
      </c>
      <c r="M384" s="36" t="s">
        <v>229</v>
      </c>
      <c r="N384" s="36" t="s">
        <v>327</v>
      </c>
      <c r="O384" s="36">
        <v>12</v>
      </c>
      <c r="P384" s="36">
        <v>7.5923401422614712E-3</v>
      </c>
      <c r="Q384" s="36">
        <v>1000</v>
      </c>
      <c r="R384" s="36"/>
      <c r="S384" s="36"/>
      <c r="T384" s="36"/>
      <c r="U384" s="36"/>
      <c r="V384" s="36"/>
      <c r="W384" s="36"/>
      <c r="X384" s="36"/>
      <c r="Y384" s="36"/>
      <c r="Z384" s="36"/>
    </row>
    <row r="385" spans="1:26" ht="14">
      <c r="A385" s="64">
        <v>41761</v>
      </c>
      <c r="B385" s="64" t="s">
        <v>144</v>
      </c>
      <c r="C385" s="165">
        <v>2014</v>
      </c>
      <c r="D385" s="65">
        <v>4</v>
      </c>
      <c r="E385" s="36" t="s">
        <v>323</v>
      </c>
      <c r="F385" s="36" t="s">
        <v>324</v>
      </c>
      <c r="G385" s="36"/>
      <c r="H385" s="36" t="s">
        <v>325</v>
      </c>
      <c r="I385" s="36" t="s">
        <v>326</v>
      </c>
      <c r="J385" s="36" t="s">
        <v>327</v>
      </c>
      <c r="K385" s="36"/>
      <c r="L385" s="36">
        <v>20</v>
      </c>
      <c r="M385" s="36" t="s">
        <v>229</v>
      </c>
      <c r="N385" s="36" t="s">
        <v>327</v>
      </c>
      <c r="O385" s="36">
        <v>864</v>
      </c>
      <c r="P385" s="65">
        <v>5.5307419565074484E-2</v>
      </c>
      <c r="Q385" s="36">
        <v>1000</v>
      </c>
      <c r="R385" s="36"/>
      <c r="S385" s="36"/>
      <c r="T385" s="36"/>
      <c r="U385" s="36"/>
      <c r="V385" s="36"/>
      <c r="W385" s="36"/>
      <c r="X385" s="36"/>
      <c r="Y385" s="36"/>
      <c r="Z385" s="36"/>
    </row>
    <row r="386" spans="1:26" ht="14">
      <c r="A386" s="64">
        <v>41761</v>
      </c>
      <c r="B386" s="64" t="s">
        <v>144</v>
      </c>
      <c r="C386" s="165">
        <v>2014</v>
      </c>
      <c r="D386" s="65">
        <v>5</v>
      </c>
      <c r="E386" s="65" t="s">
        <v>323</v>
      </c>
      <c r="F386" s="65" t="s">
        <v>324</v>
      </c>
      <c r="G386" s="65"/>
      <c r="H386" s="65" t="s">
        <v>325</v>
      </c>
      <c r="I386" s="65" t="s">
        <v>326</v>
      </c>
      <c r="J386" s="36" t="s">
        <v>327</v>
      </c>
      <c r="K386" s="36"/>
      <c r="L386" s="36">
        <v>2</v>
      </c>
      <c r="M386" s="36" t="s">
        <v>229</v>
      </c>
      <c r="N386" s="36" t="s">
        <v>327</v>
      </c>
      <c r="O386" s="36">
        <v>87</v>
      </c>
      <c r="P386" s="36">
        <v>4.7866334940216632E-3</v>
      </c>
      <c r="Q386" s="36">
        <v>1000</v>
      </c>
      <c r="R386" s="36"/>
      <c r="S386" s="36"/>
      <c r="T386" s="36"/>
      <c r="U386" s="36"/>
      <c r="V386" s="36"/>
      <c r="W386" s="36"/>
      <c r="X386" s="36"/>
      <c r="Y386" s="36"/>
      <c r="Z386" s="36"/>
    </row>
    <row r="387" spans="1:26" ht="14">
      <c r="A387" s="64">
        <v>41761</v>
      </c>
      <c r="B387" s="64" t="s">
        <v>144</v>
      </c>
      <c r="C387" s="165">
        <v>2014</v>
      </c>
      <c r="D387" s="65">
        <v>8</v>
      </c>
      <c r="E387" s="36" t="s">
        <v>323</v>
      </c>
      <c r="F387" s="36" t="s">
        <v>324</v>
      </c>
      <c r="G387" s="36"/>
      <c r="H387" s="36" t="s">
        <v>325</v>
      </c>
      <c r="I387" s="65" t="s">
        <v>326</v>
      </c>
      <c r="J387" s="65" t="s">
        <v>327</v>
      </c>
      <c r="K387" s="36"/>
      <c r="L387" s="36">
        <v>9</v>
      </c>
      <c r="M387" s="36" t="s">
        <v>229</v>
      </c>
      <c r="N387" s="36" t="s">
        <v>327</v>
      </c>
      <c r="O387" s="36">
        <v>91</v>
      </c>
      <c r="P387" s="36">
        <v>2.5843313760434292E-2</v>
      </c>
      <c r="Q387" s="65">
        <v>1000</v>
      </c>
      <c r="R387" s="65" t="s">
        <v>548</v>
      </c>
      <c r="S387" s="65"/>
      <c r="T387" s="65"/>
      <c r="U387" s="36"/>
      <c r="V387" s="36"/>
      <c r="W387" s="36"/>
      <c r="X387" s="36"/>
      <c r="Y387" s="36"/>
      <c r="Z387" s="36"/>
    </row>
    <row r="388" spans="1:26" ht="14">
      <c r="A388" s="64">
        <v>41480</v>
      </c>
      <c r="B388" s="64" t="s">
        <v>693</v>
      </c>
      <c r="C388" s="165">
        <v>2013</v>
      </c>
      <c r="D388" s="65">
        <v>2</v>
      </c>
      <c r="E388" s="36" t="s">
        <v>323</v>
      </c>
      <c r="F388" s="36" t="s">
        <v>324</v>
      </c>
      <c r="G388" s="36"/>
      <c r="H388" s="36" t="s">
        <v>325</v>
      </c>
      <c r="I388" s="36" t="s">
        <v>326</v>
      </c>
      <c r="J388" s="36"/>
      <c r="K388" s="36"/>
      <c r="L388" s="36">
        <v>5</v>
      </c>
      <c r="M388" s="36" t="s">
        <v>509</v>
      </c>
      <c r="N388" s="36" t="s">
        <v>327</v>
      </c>
      <c r="O388" s="36">
        <v>126</v>
      </c>
      <c r="P388" s="36">
        <v>5.0067042302200538E-3</v>
      </c>
      <c r="Q388" s="36">
        <v>1000</v>
      </c>
      <c r="R388" s="36"/>
      <c r="S388" s="36"/>
      <c r="T388" s="36"/>
      <c r="U388" s="36"/>
      <c r="V388" s="36"/>
      <c r="W388" s="36"/>
      <c r="X388" s="36"/>
      <c r="Y388" s="36"/>
      <c r="Z388" s="36"/>
    </row>
    <row r="389" spans="1:26" ht="14">
      <c r="A389" s="64">
        <v>41480</v>
      </c>
      <c r="B389" s="64" t="s">
        <v>154</v>
      </c>
      <c r="C389" s="165">
        <v>2013</v>
      </c>
      <c r="D389" s="65">
        <v>4</v>
      </c>
      <c r="E389" s="36" t="s">
        <v>323</v>
      </c>
      <c r="F389" s="36" t="s">
        <v>324</v>
      </c>
      <c r="G389" s="36"/>
      <c r="H389" s="36" t="s">
        <v>325</v>
      </c>
      <c r="I389" s="36" t="s">
        <v>326</v>
      </c>
      <c r="J389" s="36" t="s">
        <v>349</v>
      </c>
      <c r="K389" s="36"/>
      <c r="L389" s="36">
        <v>2</v>
      </c>
      <c r="M389" s="36" t="s">
        <v>229</v>
      </c>
      <c r="N389" s="36" t="s">
        <v>327</v>
      </c>
      <c r="O389" s="36">
        <v>113</v>
      </c>
      <c r="P389" s="36">
        <v>4.8642921294592793E-3</v>
      </c>
      <c r="Q389" s="36">
        <v>1000</v>
      </c>
      <c r="R389" s="36"/>
      <c r="S389" s="36"/>
      <c r="T389" s="36"/>
      <c r="U389" s="36"/>
      <c r="V389" s="36"/>
      <c r="W389" s="36"/>
      <c r="X389" s="36"/>
      <c r="Y389" s="36"/>
      <c r="Z389" s="36"/>
    </row>
    <row r="390" spans="1:26" ht="14">
      <c r="A390" s="72">
        <v>41480</v>
      </c>
      <c r="B390" s="64" t="s">
        <v>154</v>
      </c>
      <c r="C390" s="165">
        <v>2013</v>
      </c>
      <c r="D390" s="65">
        <v>5</v>
      </c>
      <c r="E390" s="36" t="s">
        <v>323</v>
      </c>
      <c r="F390" s="36" t="s">
        <v>324</v>
      </c>
      <c r="G390" s="36"/>
      <c r="H390" s="36" t="s">
        <v>325</v>
      </c>
      <c r="I390" s="36" t="s">
        <v>326</v>
      </c>
      <c r="J390" s="36"/>
      <c r="K390" s="36"/>
      <c r="L390" s="36">
        <v>4</v>
      </c>
      <c r="M390" s="36" t="s">
        <v>509</v>
      </c>
      <c r="N390" s="36" t="s">
        <v>327</v>
      </c>
      <c r="O390" s="36">
        <v>45</v>
      </c>
      <c r="P390" s="65">
        <v>1.2533551366648377E-3</v>
      </c>
      <c r="Q390" s="36">
        <v>1000</v>
      </c>
      <c r="R390" s="36"/>
      <c r="S390" s="36"/>
      <c r="T390" s="36"/>
      <c r="U390" s="36"/>
      <c r="V390" s="36"/>
      <c r="W390" s="36"/>
      <c r="X390" s="36"/>
      <c r="Y390" s="36"/>
      <c r="Z390" s="36"/>
    </row>
    <row r="391" spans="1:26" ht="14">
      <c r="A391" s="35">
        <v>41480</v>
      </c>
      <c r="B391" s="35" t="s">
        <v>154</v>
      </c>
      <c r="C391" s="165">
        <v>2013</v>
      </c>
      <c r="D391" s="65">
        <v>8</v>
      </c>
      <c r="E391" s="36" t="s">
        <v>323</v>
      </c>
      <c r="F391" s="36" t="s">
        <v>324</v>
      </c>
      <c r="G391" s="36"/>
      <c r="H391" s="36" t="s">
        <v>325</v>
      </c>
      <c r="I391" s="36" t="s">
        <v>326</v>
      </c>
      <c r="J391" s="36"/>
      <c r="K391" s="36"/>
      <c r="L391" s="36">
        <v>1</v>
      </c>
      <c r="M391" s="36" t="s">
        <v>509</v>
      </c>
      <c r="N391" s="36" t="s">
        <v>327</v>
      </c>
      <c r="O391" s="36">
        <v>15</v>
      </c>
      <c r="P391" s="36">
        <v>2.9652259854021296E-4</v>
      </c>
      <c r="Q391" s="36">
        <v>1000</v>
      </c>
      <c r="R391" s="36"/>
      <c r="S391" s="36"/>
      <c r="T391" s="36"/>
      <c r="U391" s="36"/>
      <c r="V391" s="36"/>
      <c r="W391" s="36"/>
      <c r="X391" s="36"/>
      <c r="Y391" s="36"/>
      <c r="Z391" s="36"/>
    </row>
    <row r="392" spans="1:26" ht="14">
      <c r="A392" s="35">
        <v>41422</v>
      </c>
      <c r="B392" s="35" t="s">
        <v>144</v>
      </c>
      <c r="C392" s="165">
        <v>2013</v>
      </c>
      <c r="D392" s="65">
        <v>2</v>
      </c>
      <c r="E392" s="36" t="s">
        <v>323</v>
      </c>
      <c r="F392" s="36" t="s">
        <v>324</v>
      </c>
      <c r="G392" s="36"/>
      <c r="H392" s="36" t="s">
        <v>325</v>
      </c>
      <c r="I392" s="36" t="s">
        <v>326</v>
      </c>
      <c r="J392" s="36" t="s">
        <v>327</v>
      </c>
      <c r="K392" s="36"/>
      <c r="L392" s="36">
        <v>4</v>
      </c>
      <c r="M392" s="36" t="s">
        <v>229</v>
      </c>
      <c r="N392" s="36" t="s">
        <v>327</v>
      </c>
      <c r="O392" s="36">
        <v>8</v>
      </c>
      <c r="P392" s="65">
        <v>2.3601541466791342E-2</v>
      </c>
      <c r="Q392" s="36">
        <v>1000</v>
      </c>
      <c r="R392" s="36"/>
      <c r="S392" s="36"/>
      <c r="T392" s="36"/>
      <c r="U392" s="36"/>
      <c r="V392" s="36"/>
      <c r="W392" s="36"/>
      <c r="X392" s="36"/>
      <c r="Y392" s="36"/>
      <c r="Z392" s="36"/>
    </row>
    <row r="393" spans="1:26" ht="14">
      <c r="A393" s="35">
        <v>41422</v>
      </c>
      <c r="B393" s="72" t="s">
        <v>144</v>
      </c>
      <c r="C393" s="165">
        <v>2013</v>
      </c>
      <c r="D393" s="65">
        <v>4</v>
      </c>
      <c r="E393" s="65" t="s">
        <v>323</v>
      </c>
      <c r="F393" s="65" t="s">
        <v>324</v>
      </c>
      <c r="G393" s="65"/>
      <c r="H393" s="65" t="s">
        <v>325</v>
      </c>
      <c r="I393" s="65" t="s">
        <v>326</v>
      </c>
      <c r="J393" s="36"/>
      <c r="K393" s="36"/>
      <c r="L393" s="36">
        <v>13</v>
      </c>
      <c r="M393" s="36" t="s">
        <v>509</v>
      </c>
      <c r="N393" s="36" t="s">
        <v>327</v>
      </c>
      <c r="O393" s="36">
        <v>88</v>
      </c>
      <c r="P393" s="36">
        <v>2.1791254183155178E-2</v>
      </c>
      <c r="Q393" s="36">
        <v>1000</v>
      </c>
      <c r="R393" s="36"/>
      <c r="S393" s="36"/>
      <c r="T393" s="36"/>
      <c r="U393" s="36"/>
      <c r="V393" s="36"/>
      <c r="W393" s="36"/>
      <c r="X393" s="36"/>
      <c r="Y393" s="36"/>
      <c r="Z393" s="36"/>
    </row>
    <row r="394" spans="1:26" ht="14">
      <c r="A394" s="13">
        <v>42263</v>
      </c>
      <c r="B394" s="35" t="s">
        <v>157</v>
      </c>
      <c r="C394" s="165">
        <v>2015</v>
      </c>
      <c r="D394" s="65">
        <v>2</v>
      </c>
      <c r="E394" s="36" t="s">
        <v>223</v>
      </c>
      <c r="F394" s="36" t="s">
        <v>224</v>
      </c>
      <c r="G394" s="36" t="s">
        <v>225</v>
      </c>
      <c r="H394" s="36" t="s">
        <v>226</v>
      </c>
      <c r="I394" s="36" t="s">
        <v>239</v>
      </c>
      <c r="J394" s="36" t="s">
        <v>240</v>
      </c>
      <c r="K394" s="3"/>
      <c r="L394" s="3">
        <v>91</v>
      </c>
      <c r="M394" s="3" t="s">
        <v>229</v>
      </c>
      <c r="N394" s="36" t="s">
        <v>481</v>
      </c>
      <c r="O394" s="3">
        <v>203</v>
      </c>
      <c r="P394" s="36">
        <v>44.821346073699495</v>
      </c>
      <c r="Q394" s="3">
        <v>250</v>
      </c>
      <c r="R394" s="3"/>
      <c r="S394" s="3"/>
      <c r="T394" s="36"/>
      <c r="U394" s="36"/>
      <c r="V394" s="36"/>
      <c r="W394" s="36"/>
      <c r="X394" s="36"/>
      <c r="Y394" s="36"/>
      <c r="Z394" s="36"/>
    </row>
    <row r="395" spans="1:26" ht="14">
      <c r="A395" s="71">
        <v>42144</v>
      </c>
      <c r="B395" s="72" t="s">
        <v>144</v>
      </c>
      <c r="C395" s="165">
        <v>2015</v>
      </c>
      <c r="D395" s="65">
        <v>2</v>
      </c>
      <c r="E395" s="65" t="s">
        <v>223</v>
      </c>
      <c r="F395" s="36" t="s">
        <v>224</v>
      </c>
      <c r="G395" s="36" t="s">
        <v>225</v>
      </c>
      <c r="H395" s="65" t="s">
        <v>226</v>
      </c>
      <c r="I395" s="65" t="s">
        <v>239</v>
      </c>
      <c r="J395" s="65" t="s">
        <v>240</v>
      </c>
      <c r="K395" s="3"/>
      <c r="L395" s="3">
        <v>287</v>
      </c>
      <c r="M395" s="3" t="s">
        <v>229</v>
      </c>
      <c r="N395" s="3" t="s">
        <v>481</v>
      </c>
      <c r="O395" s="3">
        <v>333</v>
      </c>
      <c r="P395" s="65">
        <v>86.163803556643643</v>
      </c>
      <c r="Q395" s="36">
        <v>250</v>
      </c>
      <c r="R395" s="3" t="s">
        <v>502</v>
      </c>
      <c r="S395" s="3"/>
      <c r="T395" s="36"/>
      <c r="U395" s="36"/>
      <c r="V395" s="36"/>
      <c r="W395" s="36"/>
      <c r="X395" s="36"/>
      <c r="Y395" s="36"/>
      <c r="Z395" s="36"/>
    </row>
    <row r="396" spans="1:26" ht="14">
      <c r="A396" s="35">
        <v>43019</v>
      </c>
      <c r="B396" s="35" t="s">
        <v>159</v>
      </c>
      <c r="C396" s="165">
        <v>2017</v>
      </c>
      <c r="D396" s="65">
        <v>2</v>
      </c>
      <c r="E396" s="36" t="s">
        <v>223</v>
      </c>
      <c r="F396" s="36" t="s">
        <v>224</v>
      </c>
      <c r="G396" s="36" t="s">
        <v>225</v>
      </c>
      <c r="H396" s="36" t="s">
        <v>226</v>
      </c>
      <c r="I396" s="36" t="s">
        <v>239</v>
      </c>
      <c r="J396" s="36" t="s">
        <v>240</v>
      </c>
      <c r="K396" s="36"/>
      <c r="L396" s="36">
        <v>45</v>
      </c>
      <c r="M396" s="36" t="s">
        <v>229</v>
      </c>
      <c r="N396" s="36" t="s">
        <v>240</v>
      </c>
      <c r="O396" s="36">
        <v>150</v>
      </c>
      <c r="P396" s="36">
        <v>29.679645119117254</v>
      </c>
      <c r="Q396" s="36">
        <v>250</v>
      </c>
      <c r="R396" s="36"/>
      <c r="S396" s="36"/>
      <c r="T396" s="36"/>
      <c r="U396" s="36"/>
      <c r="V396" s="36"/>
      <c r="W396" s="36"/>
      <c r="X396" s="36"/>
      <c r="Y396" s="36"/>
      <c r="Z396" s="36"/>
    </row>
    <row r="397" spans="1:26" ht="14">
      <c r="A397" s="13">
        <v>43019</v>
      </c>
      <c r="B397" s="72" t="s">
        <v>159</v>
      </c>
      <c r="C397" s="165">
        <v>2017</v>
      </c>
      <c r="D397" s="65">
        <v>4</v>
      </c>
      <c r="E397" s="36" t="s">
        <v>223</v>
      </c>
      <c r="F397" s="36" t="s">
        <v>224</v>
      </c>
      <c r="G397" s="36" t="s">
        <v>225</v>
      </c>
      <c r="H397" s="36" t="s">
        <v>226</v>
      </c>
      <c r="I397" s="36" t="s">
        <v>239</v>
      </c>
      <c r="J397" s="36" t="s">
        <v>240</v>
      </c>
      <c r="K397" s="3"/>
      <c r="L397" s="36">
        <v>105</v>
      </c>
      <c r="M397" s="3" t="s">
        <v>229</v>
      </c>
      <c r="N397" s="36" t="s">
        <v>240</v>
      </c>
      <c r="O397" s="3">
        <v>248</v>
      </c>
      <c r="P397" s="36">
        <v>41.767618742848285</v>
      </c>
      <c r="Q397" s="36">
        <v>250</v>
      </c>
      <c r="R397" s="3"/>
      <c r="S397" s="3"/>
      <c r="T397" s="36"/>
      <c r="U397" s="36"/>
      <c r="V397" s="36"/>
      <c r="W397" s="36"/>
      <c r="X397" s="36"/>
      <c r="Y397" s="36"/>
      <c r="Z397" s="36"/>
    </row>
    <row r="398" spans="1:26" ht="14">
      <c r="A398" s="71">
        <v>43019</v>
      </c>
      <c r="B398" s="72" t="s">
        <v>159</v>
      </c>
      <c r="C398" s="165">
        <v>2017</v>
      </c>
      <c r="D398" s="65">
        <v>5</v>
      </c>
      <c r="E398" s="36" t="s">
        <v>223</v>
      </c>
      <c r="F398" s="36" t="s">
        <v>224</v>
      </c>
      <c r="G398" s="36" t="s">
        <v>225</v>
      </c>
      <c r="H398" s="36" t="s">
        <v>226</v>
      </c>
      <c r="I398" s="36" t="s">
        <v>239</v>
      </c>
      <c r="J398" s="36" t="s">
        <v>240</v>
      </c>
      <c r="K398" s="3"/>
      <c r="L398" s="36">
        <v>31</v>
      </c>
      <c r="M398" s="3" t="s">
        <v>229</v>
      </c>
      <c r="N398" s="36" t="s">
        <v>240</v>
      </c>
      <c r="O398" s="3">
        <v>255</v>
      </c>
      <c r="P398" s="36">
        <v>12.154167278672027</v>
      </c>
      <c r="Q398" s="3">
        <v>250</v>
      </c>
      <c r="R398" s="3"/>
      <c r="S398" s="3"/>
      <c r="T398" s="36"/>
      <c r="U398" s="36"/>
      <c r="V398" s="36"/>
      <c r="W398" s="36"/>
      <c r="X398" s="36"/>
      <c r="Y398" s="36"/>
      <c r="Z398" s="36"/>
    </row>
    <row r="399" spans="1:26" ht="14">
      <c r="A399" s="13">
        <v>43019</v>
      </c>
      <c r="B399" s="35" t="s">
        <v>159</v>
      </c>
      <c r="C399" s="165">
        <v>2017</v>
      </c>
      <c r="D399" s="65">
        <v>8</v>
      </c>
      <c r="E399" s="36" t="s">
        <v>223</v>
      </c>
      <c r="F399" s="36" t="s">
        <v>224</v>
      </c>
      <c r="G399" s="36" t="s">
        <v>225</v>
      </c>
      <c r="H399" s="36" t="s">
        <v>226</v>
      </c>
      <c r="I399" s="36" t="s">
        <v>239</v>
      </c>
      <c r="J399" s="36" t="s">
        <v>240</v>
      </c>
      <c r="K399" s="3"/>
      <c r="L399" s="36">
        <v>37</v>
      </c>
      <c r="M399" s="3" t="s">
        <v>229</v>
      </c>
      <c r="N399" s="36" t="s">
        <v>240</v>
      </c>
      <c r="O399" s="3">
        <v>288</v>
      </c>
      <c r="P399" s="36">
        <v>12.34358780474459</v>
      </c>
      <c r="Q399" s="3">
        <v>250</v>
      </c>
      <c r="R399" s="3"/>
      <c r="S399" s="3"/>
      <c r="T399" s="36"/>
      <c r="U399" s="36"/>
      <c r="V399" s="36"/>
      <c r="W399" s="36"/>
      <c r="X399" s="36"/>
      <c r="Y399" s="36"/>
      <c r="Z399" s="36"/>
    </row>
    <row r="400" spans="1:26" ht="14">
      <c r="A400" s="13">
        <v>42928</v>
      </c>
      <c r="B400" s="72" t="s">
        <v>154</v>
      </c>
      <c r="C400" s="165">
        <v>2017</v>
      </c>
      <c r="D400" s="65">
        <v>2</v>
      </c>
      <c r="E400" s="36" t="s">
        <v>223</v>
      </c>
      <c r="F400" s="36" t="s">
        <v>224</v>
      </c>
      <c r="G400" s="36" t="s">
        <v>225</v>
      </c>
      <c r="H400" s="36" t="s">
        <v>226</v>
      </c>
      <c r="I400" s="36" t="s">
        <v>239</v>
      </c>
      <c r="J400" s="36" t="s">
        <v>240</v>
      </c>
      <c r="K400" s="3"/>
      <c r="L400" s="36">
        <v>291</v>
      </c>
      <c r="M400" s="3" t="s">
        <v>229</v>
      </c>
      <c r="N400" s="36" t="s">
        <v>240</v>
      </c>
      <c r="O400" s="3">
        <v>656</v>
      </c>
      <c r="P400" s="36">
        <v>44.314738918654186</v>
      </c>
      <c r="Q400" s="36">
        <v>250</v>
      </c>
      <c r="R400" s="3"/>
      <c r="S400" s="3"/>
      <c r="T400" s="36"/>
      <c r="U400" s="36"/>
      <c r="V400" s="36"/>
      <c r="W400" s="36"/>
      <c r="X400" s="36"/>
      <c r="Y400" s="36"/>
      <c r="Z400" s="36"/>
    </row>
    <row r="401" spans="1:26" ht="14">
      <c r="A401" s="13">
        <v>42928</v>
      </c>
      <c r="B401" s="72" t="s">
        <v>154</v>
      </c>
      <c r="C401" s="165">
        <v>2017</v>
      </c>
      <c r="D401" s="65">
        <v>4</v>
      </c>
      <c r="E401" s="65" t="s">
        <v>223</v>
      </c>
      <c r="F401" s="65" t="s">
        <v>224</v>
      </c>
      <c r="G401" s="65" t="s">
        <v>225</v>
      </c>
      <c r="H401" s="65" t="s">
        <v>226</v>
      </c>
      <c r="I401" s="65" t="s">
        <v>239</v>
      </c>
      <c r="J401" s="36" t="s">
        <v>240</v>
      </c>
      <c r="K401" s="3"/>
      <c r="L401" s="36">
        <v>118</v>
      </c>
      <c r="M401" s="3" t="s">
        <v>229</v>
      </c>
      <c r="N401" s="36" t="s">
        <v>240</v>
      </c>
      <c r="O401" s="3">
        <v>225</v>
      </c>
      <c r="P401" s="36">
        <v>52.234073597608713</v>
      </c>
      <c r="Q401" s="36">
        <v>250</v>
      </c>
      <c r="R401" s="3"/>
      <c r="S401" s="3"/>
      <c r="T401" s="36"/>
      <c r="U401" s="36"/>
      <c r="V401" s="36"/>
      <c r="W401" s="36"/>
      <c r="X401" s="36"/>
      <c r="Y401" s="36"/>
      <c r="Z401" s="36"/>
    </row>
    <row r="402" spans="1:26" ht="14">
      <c r="A402" s="35">
        <v>42928</v>
      </c>
      <c r="B402" s="72" t="s">
        <v>154</v>
      </c>
      <c r="C402" s="165">
        <v>2017</v>
      </c>
      <c r="D402" s="65">
        <v>5</v>
      </c>
      <c r="E402" s="36" t="s">
        <v>223</v>
      </c>
      <c r="F402" s="36" t="s">
        <v>224</v>
      </c>
      <c r="G402" s="36" t="s">
        <v>225</v>
      </c>
      <c r="H402" s="36" t="s">
        <v>226</v>
      </c>
      <c r="I402" s="36" t="s">
        <v>239</v>
      </c>
      <c r="J402" s="36" t="s">
        <v>240</v>
      </c>
      <c r="K402" s="36"/>
      <c r="L402" s="36">
        <v>43</v>
      </c>
      <c r="M402" s="36" t="s">
        <v>229</v>
      </c>
      <c r="N402" s="36" t="s">
        <v>240</v>
      </c>
      <c r="O402" s="36">
        <v>385</v>
      </c>
      <c r="P402" s="36">
        <v>11.163936772266453</v>
      </c>
      <c r="Q402" s="36">
        <v>250</v>
      </c>
      <c r="R402" s="36"/>
      <c r="S402" s="36"/>
      <c r="T402" s="36"/>
      <c r="U402" s="36"/>
      <c r="V402" s="36"/>
      <c r="W402" s="36"/>
      <c r="X402" s="36"/>
      <c r="Y402" s="36"/>
      <c r="Z402" s="36"/>
    </row>
    <row r="403" spans="1:26" ht="14">
      <c r="A403" s="13">
        <v>42928</v>
      </c>
      <c r="B403" s="72" t="s">
        <v>154</v>
      </c>
      <c r="C403" s="165">
        <v>2017</v>
      </c>
      <c r="D403" s="65">
        <v>8</v>
      </c>
      <c r="E403" s="36" t="s">
        <v>223</v>
      </c>
      <c r="F403" s="36" t="s">
        <v>224</v>
      </c>
      <c r="G403" s="36" t="s">
        <v>225</v>
      </c>
      <c r="H403" s="36" t="s">
        <v>226</v>
      </c>
      <c r="I403" s="36" t="s">
        <v>239</v>
      </c>
      <c r="J403" s="36" t="s">
        <v>240</v>
      </c>
      <c r="K403" s="3"/>
      <c r="L403" s="36">
        <v>58</v>
      </c>
      <c r="M403" s="3" t="s">
        <v>229</v>
      </c>
      <c r="N403" s="36" t="s">
        <v>240</v>
      </c>
      <c r="O403" s="3">
        <v>319</v>
      </c>
      <c r="P403" s="36">
        <v>18.174924694877202</v>
      </c>
      <c r="Q403" s="36">
        <v>250</v>
      </c>
      <c r="R403" s="3"/>
      <c r="S403" s="3"/>
      <c r="T403" s="36"/>
      <c r="U403" s="36"/>
      <c r="V403" s="36"/>
      <c r="W403" s="36"/>
      <c r="X403" s="36"/>
      <c r="Y403" s="36"/>
      <c r="Z403" s="36"/>
    </row>
    <row r="404" spans="1:26" ht="14">
      <c r="A404" s="13">
        <v>42867</v>
      </c>
      <c r="B404" s="72" t="s">
        <v>144</v>
      </c>
      <c r="C404" s="165">
        <v>2017</v>
      </c>
      <c r="D404" s="65">
        <v>2</v>
      </c>
      <c r="E404" s="36" t="s">
        <v>223</v>
      </c>
      <c r="F404" s="36" t="s">
        <v>224</v>
      </c>
      <c r="G404" s="36" t="s">
        <v>225</v>
      </c>
      <c r="H404" s="36" t="s">
        <v>226</v>
      </c>
      <c r="I404" s="36" t="s">
        <v>239</v>
      </c>
      <c r="J404" s="36" t="s">
        <v>240</v>
      </c>
      <c r="K404" s="3"/>
      <c r="L404" s="36">
        <v>211</v>
      </c>
      <c r="M404" s="3" t="s">
        <v>229</v>
      </c>
      <c r="N404" s="36" t="s">
        <v>240</v>
      </c>
      <c r="O404" s="3">
        <v>216</v>
      </c>
      <c r="P404" s="36">
        <v>97.685185185185176</v>
      </c>
      <c r="Q404" s="3"/>
      <c r="R404" s="3"/>
      <c r="S404" s="3"/>
      <c r="T404" s="36"/>
      <c r="U404" s="36"/>
      <c r="V404" s="36"/>
      <c r="W404" s="36"/>
      <c r="X404" s="36"/>
      <c r="Y404" s="36"/>
      <c r="Z404" s="36"/>
    </row>
    <row r="405" spans="1:26" ht="14">
      <c r="A405" s="13">
        <v>42867</v>
      </c>
      <c r="B405" s="72" t="s">
        <v>144</v>
      </c>
      <c r="C405" s="165">
        <v>2017</v>
      </c>
      <c r="D405" s="65">
        <v>4</v>
      </c>
      <c r="E405" s="36" t="s">
        <v>223</v>
      </c>
      <c r="F405" s="36" t="s">
        <v>224</v>
      </c>
      <c r="G405" s="36" t="s">
        <v>225</v>
      </c>
      <c r="H405" s="36" t="s">
        <v>226</v>
      </c>
      <c r="I405" s="36" t="s">
        <v>239</v>
      </c>
      <c r="J405" s="36" t="s">
        <v>240</v>
      </c>
      <c r="K405" s="3"/>
      <c r="L405" s="36">
        <v>74</v>
      </c>
      <c r="M405" s="3" t="s">
        <v>229</v>
      </c>
      <c r="N405" s="36" t="s">
        <v>240</v>
      </c>
      <c r="O405" s="3">
        <v>225</v>
      </c>
      <c r="P405" s="36">
        <v>32.340966956126437</v>
      </c>
      <c r="Q405" s="3"/>
      <c r="R405" s="3"/>
      <c r="S405" s="3"/>
      <c r="T405" s="36"/>
      <c r="U405" s="36"/>
      <c r="V405" s="36"/>
      <c r="W405" s="36"/>
      <c r="X405" s="36"/>
      <c r="Y405" s="36"/>
      <c r="Z405" s="36"/>
    </row>
    <row r="406" spans="1:26" ht="14">
      <c r="A406" s="13">
        <v>42867</v>
      </c>
      <c r="B406" s="72" t="s">
        <v>144</v>
      </c>
      <c r="C406" s="165">
        <v>2017</v>
      </c>
      <c r="D406" s="65">
        <v>5</v>
      </c>
      <c r="E406" s="36" t="s">
        <v>223</v>
      </c>
      <c r="F406" s="36" t="s">
        <v>224</v>
      </c>
      <c r="G406" s="36" t="s">
        <v>225</v>
      </c>
      <c r="H406" s="36" t="s">
        <v>226</v>
      </c>
      <c r="I406" s="36" t="s">
        <v>239</v>
      </c>
      <c r="J406" s="36" t="s">
        <v>240</v>
      </c>
      <c r="K406" s="3"/>
      <c r="L406" s="36">
        <v>24</v>
      </c>
      <c r="M406" s="3" t="s">
        <v>229</v>
      </c>
      <c r="N406" s="36" t="s">
        <v>240</v>
      </c>
      <c r="O406" s="3">
        <v>222</v>
      </c>
      <c r="P406" s="36">
        <v>10.80730221996045</v>
      </c>
      <c r="Q406" s="3"/>
      <c r="R406" s="3"/>
      <c r="S406" s="3"/>
      <c r="T406" s="36"/>
      <c r="U406" s="36"/>
      <c r="V406" s="36"/>
      <c r="W406" s="36"/>
      <c r="X406" s="36"/>
      <c r="Y406" s="36"/>
      <c r="Z406" s="36"/>
    </row>
    <row r="407" spans="1:26" ht="14">
      <c r="A407" s="13">
        <v>42867</v>
      </c>
      <c r="B407" s="72" t="s">
        <v>144</v>
      </c>
      <c r="C407" s="165">
        <v>2017</v>
      </c>
      <c r="D407" s="65">
        <v>8</v>
      </c>
      <c r="E407" s="36" t="s">
        <v>223</v>
      </c>
      <c r="F407" s="36" t="s">
        <v>224</v>
      </c>
      <c r="G407" s="36" t="s">
        <v>225</v>
      </c>
      <c r="H407" s="36" t="s">
        <v>226</v>
      </c>
      <c r="I407" s="36" t="s">
        <v>239</v>
      </c>
      <c r="J407" s="36" t="s">
        <v>240</v>
      </c>
      <c r="K407" s="3"/>
      <c r="L407" s="36">
        <v>26</v>
      </c>
      <c r="M407" s="3" t="s">
        <v>229</v>
      </c>
      <c r="N407" s="36" t="s">
        <v>240</v>
      </c>
      <c r="O407" s="3">
        <v>268</v>
      </c>
      <c r="P407" s="36">
        <v>9.684834569192418</v>
      </c>
      <c r="Q407" s="3"/>
      <c r="R407" s="3"/>
      <c r="S407" s="3"/>
      <c r="T407" s="36"/>
      <c r="U407" s="36"/>
      <c r="V407" s="36"/>
      <c r="W407" s="36"/>
      <c r="X407" s="36"/>
      <c r="Y407" s="36"/>
      <c r="Z407" s="36"/>
    </row>
    <row r="408" spans="1:26" ht="14">
      <c r="A408" s="71">
        <v>42634</v>
      </c>
      <c r="B408" s="72" t="s">
        <v>157</v>
      </c>
      <c r="C408" s="165">
        <v>2016</v>
      </c>
      <c r="D408" s="65">
        <v>2</v>
      </c>
      <c r="E408" s="36" t="s">
        <v>223</v>
      </c>
      <c r="F408" s="36" t="s">
        <v>224</v>
      </c>
      <c r="G408" s="36" t="s">
        <v>225</v>
      </c>
      <c r="H408" s="36" t="s">
        <v>226</v>
      </c>
      <c r="I408" s="36" t="s">
        <v>239</v>
      </c>
      <c r="J408" s="36" t="s">
        <v>240</v>
      </c>
      <c r="K408" s="3"/>
      <c r="L408" s="36">
        <v>114</v>
      </c>
      <c r="M408" s="3" t="s">
        <v>229</v>
      </c>
      <c r="N408" s="36" t="s">
        <v>240</v>
      </c>
      <c r="O408" s="3">
        <v>233</v>
      </c>
      <c r="P408" s="36">
        <v>48.920415065337146</v>
      </c>
      <c r="Q408" s="3">
        <v>250</v>
      </c>
      <c r="R408" s="3"/>
      <c r="S408" s="3"/>
      <c r="T408" s="36"/>
      <c r="U408" s="36"/>
      <c r="V408" s="36"/>
      <c r="W408" s="36"/>
      <c r="X408" s="36"/>
      <c r="Y408" s="36"/>
      <c r="Z408" s="36"/>
    </row>
    <row r="409" spans="1:26" ht="14">
      <c r="A409" s="35">
        <v>42634</v>
      </c>
      <c r="B409" s="72" t="s">
        <v>157</v>
      </c>
      <c r="C409" s="165">
        <v>2016</v>
      </c>
      <c r="D409" s="65">
        <v>4</v>
      </c>
      <c r="E409" s="36" t="s">
        <v>223</v>
      </c>
      <c r="F409" s="36" t="s">
        <v>224</v>
      </c>
      <c r="G409" s="36" t="s">
        <v>225</v>
      </c>
      <c r="H409" s="36" t="s">
        <v>226</v>
      </c>
      <c r="I409" s="36" t="s">
        <v>239</v>
      </c>
      <c r="J409" s="36" t="s">
        <v>240</v>
      </c>
      <c r="K409" s="36"/>
      <c r="L409" s="36">
        <v>37</v>
      </c>
      <c r="M409" s="36" t="s">
        <v>229</v>
      </c>
      <c r="N409" s="36" t="s">
        <v>240</v>
      </c>
      <c r="O409" s="36">
        <v>156</v>
      </c>
      <c r="P409" s="76">
        <v>23.65687405914797</v>
      </c>
      <c r="Q409" s="36">
        <v>250</v>
      </c>
      <c r="R409" s="36"/>
      <c r="S409" s="36"/>
      <c r="T409" s="36"/>
      <c r="U409" s="36"/>
      <c r="V409" s="36"/>
      <c r="W409" s="36"/>
      <c r="X409" s="36"/>
      <c r="Y409" s="36"/>
      <c r="Z409" s="36"/>
    </row>
    <row r="410" spans="1:26" ht="14">
      <c r="A410" s="13">
        <v>42634</v>
      </c>
      <c r="B410" s="35" t="s">
        <v>157</v>
      </c>
      <c r="C410" s="165">
        <v>2016</v>
      </c>
      <c r="D410" s="65">
        <v>5</v>
      </c>
      <c r="E410" s="36" t="s">
        <v>223</v>
      </c>
      <c r="F410" s="36" t="s">
        <v>224</v>
      </c>
      <c r="G410" s="36" t="s">
        <v>225</v>
      </c>
      <c r="H410" s="36" t="s">
        <v>226</v>
      </c>
      <c r="I410" s="36" t="s">
        <v>239</v>
      </c>
      <c r="J410" s="36" t="s">
        <v>240</v>
      </c>
      <c r="K410" s="36"/>
      <c r="L410" s="3">
        <v>4</v>
      </c>
      <c r="M410" s="3" t="s">
        <v>229</v>
      </c>
      <c r="N410" s="36" t="s">
        <v>240</v>
      </c>
      <c r="O410" s="3">
        <v>203</v>
      </c>
      <c r="P410" s="36">
        <v>1.9687183799590957</v>
      </c>
      <c r="Q410" s="36">
        <v>250</v>
      </c>
      <c r="R410" s="3"/>
      <c r="S410" s="3"/>
      <c r="T410" s="36"/>
      <c r="U410" s="36"/>
      <c r="V410" s="36"/>
      <c r="W410" s="36"/>
      <c r="X410" s="36"/>
      <c r="Y410" s="36"/>
      <c r="Z410" s="36"/>
    </row>
    <row r="411" spans="1:26" ht="14">
      <c r="A411" s="35">
        <v>42634</v>
      </c>
      <c r="B411" s="35" t="s">
        <v>157</v>
      </c>
      <c r="C411" s="165">
        <v>2016</v>
      </c>
      <c r="D411" s="65">
        <v>8</v>
      </c>
      <c r="E411" s="65" t="s">
        <v>223</v>
      </c>
      <c r="F411" s="65" t="s">
        <v>224</v>
      </c>
      <c r="G411" s="65" t="s">
        <v>225</v>
      </c>
      <c r="H411" s="65" t="s">
        <v>226</v>
      </c>
      <c r="I411" s="65" t="s">
        <v>239</v>
      </c>
      <c r="J411" s="36" t="s">
        <v>240</v>
      </c>
      <c r="K411" s="36"/>
      <c r="L411" s="36">
        <v>27</v>
      </c>
      <c r="M411" s="3" t="s">
        <v>229</v>
      </c>
      <c r="N411" s="36" t="s">
        <v>240</v>
      </c>
      <c r="O411" s="36">
        <v>294</v>
      </c>
      <c r="P411" s="36">
        <v>8.5900112881651669</v>
      </c>
      <c r="Q411" s="36">
        <v>250</v>
      </c>
      <c r="R411" s="55"/>
      <c r="S411" s="55"/>
      <c r="T411" s="36"/>
      <c r="U411" s="36"/>
      <c r="V411" s="36"/>
      <c r="W411" s="36"/>
      <c r="X411" s="36"/>
      <c r="Y411" s="36"/>
      <c r="Z411" s="36"/>
    </row>
    <row r="412" spans="1:26" ht="14">
      <c r="A412" s="72">
        <v>42571</v>
      </c>
      <c r="B412" s="72" t="s">
        <v>154</v>
      </c>
      <c r="C412" s="165">
        <v>2016</v>
      </c>
      <c r="D412" s="65">
        <v>2</v>
      </c>
      <c r="E412" s="36" t="s">
        <v>223</v>
      </c>
      <c r="F412" s="36" t="s">
        <v>224</v>
      </c>
      <c r="G412" s="36" t="s">
        <v>225</v>
      </c>
      <c r="H412" s="36" t="s">
        <v>226</v>
      </c>
      <c r="I412" s="65" t="s">
        <v>239</v>
      </c>
      <c r="J412" s="65" t="s">
        <v>240</v>
      </c>
      <c r="K412" s="36"/>
      <c r="L412" s="36">
        <v>43</v>
      </c>
      <c r="M412" s="3" t="s">
        <v>229</v>
      </c>
      <c r="N412" s="36" t="s">
        <v>240</v>
      </c>
      <c r="O412" s="36">
        <v>179</v>
      </c>
      <c r="P412" s="36">
        <v>24.019980523963493</v>
      </c>
      <c r="Q412" s="65">
        <v>250</v>
      </c>
      <c r="R412" s="51"/>
      <c r="S412" s="51"/>
      <c r="T412" s="65"/>
      <c r="U412" s="36"/>
      <c r="V412" s="36"/>
      <c r="W412" s="36"/>
      <c r="X412" s="36"/>
      <c r="Y412" s="36"/>
      <c r="Z412" s="36"/>
    </row>
    <row r="413" spans="1:26" ht="14">
      <c r="A413" s="35">
        <v>42571</v>
      </c>
      <c r="B413" s="35" t="s">
        <v>154</v>
      </c>
      <c r="C413" s="165">
        <v>2016</v>
      </c>
      <c r="D413" s="65">
        <v>4</v>
      </c>
      <c r="E413" s="36" t="s">
        <v>223</v>
      </c>
      <c r="F413" s="36" t="s">
        <v>224</v>
      </c>
      <c r="G413" s="36" t="s">
        <v>225</v>
      </c>
      <c r="H413" s="36" t="s">
        <v>226</v>
      </c>
      <c r="I413" s="65" t="s">
        <v>239</v>
      </c>
      <c r="J413" s="65" t="s">
        <v>240</v>
      </c>
      <c r="K413" s="3"/>
      <c r="L413" s="36">
        <v>70</v>
      </c>
      <c r="M413" s="3" t="s">
        <v>229</v>
      </c>
      <c r="N413" s="36" t="s">
        <v>240</v>
      </c>
      <c r="O413" s="3">
        <v>223</v>
      </c>
      <c r="P413" s="36">
        <v>31.377841370399061</v>
      </c>
      <c r="Q413" s="51">
        <v>250</v>
      </c>
      <c r="R413" s="51"/>
      <c r="S413" s="51"/>
      <c r="T413" s="166"/>
      <c r="U413" s="36"/>
      <c r="V413" s="36"/>
      <c r="W413" s="36"/>
      <c r="X413" s="36"/>
      <c r="Y413" s="36"/>
      <c r="Z413" s="36"/>
    </row>
    <row r="414" spans="1:26" ht="14">
      <c r="A414" s="35">
        <v>42571</v>
      </c>
      <c r="B414" s="72" t="s">
        <v>154</v>
      </c>
      <c r="C414" s="165">
        <v>2016</v>
      </c>
      <c r="D414" s="65">
        <v>5</v>
      </c>
      <c r="E414" s="36" t="s">
        <v>223</v>
      </c>
      <c r="F414" s="36" t="s">
        <v>224</v>
      </c>
      <c r="G414" s="36" t="s">
        <v>225</v>
      </c>
      <c r="H414" s="36" t="s">
        <v>226</v>
      </c>
      <c r="I414" s="65" t="s">
        <v>239</v>
      </c>
      <c r="J414" s="65" t="s">
        <v>240</v>
      </c>
      <c r="K414" s="3"/>
      <c r="L414" s="36">
        <v>53</v>
      </c>
      <c r="M414" s="3" t="s">
        <v>229</v>
      </c>
      <c r="N414" s="36" t="s">
        <v>240</v>
      </c>
      <c r="O414" s="3">
        <v>211</v>
      </c>
      <c r="P414" s="65">
        <v>25.116091445817052</v>
      </c>
      <c r="Q414" s="65">
        <v>250</v>
      </c>
      <c r="R414" s="51"/>
      <c r="S414" s="51"/>
      <c r="T414" s="65"/>
      <c r="U414" s="36"/>
      <c r="V414" s="36"/>
      <c r="W414" s="36"/>
      <c r="X414" s="36"/>
      <c r="Y414" s="36"/>
      <c r="Z414" s="36"/>
    </row>
    <row r="415" spans="1:26" ht="14">
      <c r="A415" s="35">
        <v>42571</v>
      </c>
      <c r="B415" s="72" t="s">
        <v>154</v>
      </c>
      <c r="C415" s="165">
        <v>2016</v>
      </c>
      <c r="D415" s="65">
        <v>8</v>
      </c>
      <c r="E415" s="36" t="s">
        <v>223</v>
      </c>
      <c r="F415" s="36" t="s">
        <v>224</v>
      </c>
      <c r="G415" s="36" t="s">
        <v>225</v>
      </c>
      <c r="H415" s="36" t="s">
        <v>226</v>
      </c>
      <c r="I415" s="36" t="s">
        <v>239</v>
      </c>
      <c r="J415" s="36" t="s">
        <v>240</v>
      </c>
      <c r="K415" s="3"/>
      <c r="L415" s="36">
        <v>37</v>
      </c>
      <c r="M415" s="3" t="s">
        <v>229</v>
      </c>
      <c r="N415" s="36" t="s">
        <v>240</v>
      </c>
      <c r="O415" s="3">
        <v>237</v>
      </c>
      <c r="P415" s="65">
        <v>15.609643812132038</v>
      </c>
      <c r="Q415" s="51">
        <v>250</v>
      </c>
      <c r="R415" s="51"/>
      <c r="S415" s="51"/>
      <c r="T415" s="65"/>
      <c r="U415" s="36"/>
      <c r="V415" s="36"/>
      <c r="W415" s="36"/>
      <c r="X415" s="36"/>
      <c r="Y415" s="36"/>
      <c r="Z415" s="36"/>
    </row>
    <row r="416" spans="1:26" ht="14">
      <c r="A416" s="13">
        <v>42515</v>
      </c>
      <c r="B416" s="35" t="s">
        <v>144</v>
      </c>
      <c r="C416" s="165">
        <v>2016</v>
      </c>
      <c r="D416" s="51">
        <v>2</v>
      </c>
      <c r="E416" s="3" t="s">
        <v>223</v>
      </c>
      <c r="F416" s="3" t="s">
        <v>224</v>
      </c>
      <c r="G416" s="3" t="s">
        <v>225</v>
      </c>
      <c r="H416" s="3" t="s">
        <v>226</v>
      </c>
      <c r="I416" s="51" t="s">
        <v>239</v>
      </c>
      <c r="J416" s="51" t="s">
        <v>240</v>
      </c>
      <c r="K416" s="3"/>
      <c r="L416" s="3">
        <v>170</v>
      </c>
      <c r="M416" s="3" t="s">
        <v>229</v>
      </c>
      <c r="N416" s="3" t="s">
        <v>240</v>
      </c>
      <c r="O416" s="3">
        <v>194</v>
      </c>
      <c r="P416" s="65">
        <v>87.584980058155139</v>
      </c>
      <c r="Q416" s="51">
        <v>250</v>
      </c>
      <c r="R416" s="51" t="s">
        <v>358</v>
      </c>
      <c r="S416" s="51"/>
      <c r="T416" s="65"/>
      <c r="U416" s="36"/>
      <c r="V416" s="36"/>
      <c r="W416" s="36"/>
      <c r="X416" s="36"/>
      <c r="Y416" s="36"/>
      <c r="Z416" s="36"/>
    </row>
    <row r="417" spans="1:26" ht="14">
      <c r="A417" s="13">
        <v>42515</v>
      </c>
      <c r="B417" s="35" t="s">
        <v>144</v>
      </c>
      <c r="C417" s="165">
        <v>2016</v>
      </c>
      <c r="D417" s="3">
        <v>4</v>
      </c>
      <c r="E417" s="3" t="s">
        <v>223</v>
      </c>
      <c r="F417" s="3" t="s">
        <v>224</v>
      </c>
      <c r="G417" s="3" t="s">
        <v>225</v>
      </c>
      <c r="H417" s="3" t="s">
        <v>226</v>
      </c>
      <c r="I417" s="3" t="s">
        <v>239</v>
      </c>
      <c r="J417" s="3" t="s">
        <v>240</v>
      </c>
      <c r="K417" s="3"/>
      <c r="L417" s="3">
        <v>154</v>
      </c>
      <c r="M417" s="3" t="s">
        <v>229</v>
      </c>
      <c r="N417" s="3" t="s">
        <v>240</v>
      </c>
      <c r="O417" s="3">
        <v>217</v>
      </c>
      <c r="P417" s="36">
        <v>70.911539640432139</v>
      </c>
      <c r="Q417" s="36">
        <v>250</v>
      </c>
      <c r="R417" s="3"/>
      <c r="S417" s="3"/>
      <c r="T417" s="36"/>
      <c r="U417" s="36"/>
      <c r="V417" s="36"/>
      <c r="W417" s="36"/>
      <c r="X417" s="36"/>
      <c r="Y417" s="36"/>
      <c r="Z417" s="36"/>
    </row>
    <row r="418" spans="1:26" ht="14">
      <c r="A418" s="13">
        <v>42515</v>
      </c>
      <c r="B418" s="35" t="s">
        <v>144</v>
      </c>
      <c r="C418" s="165">
        <v>2016</v>
      </c>
      <c r="D418" s="3">
        <v>5</v>
      </c>
      <c r="E418" s="51" t="s">
        <v>223</v>
      </c>
      <c r="F418" s="51" t="s">
        <v>224</v>
      </c>
      <c r="G418" s="51" t="s">
        <v>225</v>
      </c>
      <c r="H418" s="51" t="s">
        <v>226</v>
      </c>
      <c r="I418" s="51" t="s">
        <v>239</v>
      </c>
      <c r="J418" s="3" t="s">
        <v>240</v>
      </c>
      <c r="K418" s="3"/>
      <c r="L418" s="3">
        <v>26</v>
      </c>
      <c r="M418" s="3" t="s">
        <v>229</v>
      </c>
      <c r="N418" s="3" t="s">
        <v>240</v>
      </c>
      <c r="O418" s="3">
        <v>214</v>
      </c>
      <c r="P418" s="65">
        <v>12.14367418971155</v>
      </c>
      <c r="Q418" s="36">
        <v>250</v>
      </c>
      <c r="R418" s="3"/>
      <c r="S418" s="3"/>
      <c r="T418" s="36"/>
      <c r="U418" s="36"/>
      <c r="V418" s="36"/>
      <c r="W418" s="36"/>
      <c r="X418" s="36"/>
      <c r="Y418" s="36"/>
      <c r="Z418" s="36"/>
    </row>
    <row r="419" spans="1:26" ht="14">
      <c r="A419" s="169">
        <v>42515</v>
      </c>
      <c r="B419" s="169" t="s">
        <v>144</v>
      </c>
      <c r="C419" s="179">
        <v>2016</v>
      </c>
      <c r="D419" s="170">
        <v>8</v>
      </c>
      <c r="E419" s="170" t="s">
        <v>223</v>
      </c>
      <c r="F419" s="170" t="s">
        <v>224</v>
      </c>
      <c r="G419" s="170" t="s">
        <v>225</v>
      </c>
      <c r="H419" s="170" t="s">
        <v>226</v>
      </c>
      <c r="I419" s="170" t="s">
        <v>239</v>
      </c>
      <c r="J419" s="171" t="s">
        <v>240</v>
      </c>
      <c r="K419" s="171"/>
      <c r="L419" s="171">
        <v>61</v>
      </c>
      <c r="M419" s="171" t="s">
        <v>229</v>
      </c>
      <c r="N419" s="171" t="s">
        <v>240</v>
      </c>
      <c r="O419" s="171">
        <v>252</v>
      </c>
      <c r="P419" s="171">
        <v>24.203403104241264</v>
      </c>
      <c r="Q419" s="171">
        <v>250</v>
      </c>
      <c r="R419" s="171"/>
      <c r="S419" s="171"/>
      <c r="T419" s="36"/>
      <c r="U419" s="36"/>
      <c r="V419" s="36"/>
      <c r="W419" s="36"/>
      <c r="X419" s="36"/>
      <c r="Y419" s="36"/>
      <c r="Z419" s="36"/>
    </row>
    <row r="420" spans="1:26" ht="14">
      <c r="A420" s="13">
        <v>42263</v>
      </c>
      <c r="B420" s="35" t="s">
        <v>157</v>
      </c>
      <c r="C420" s="165">
        <v>2015</v>
      </c>
      <c r="D420" s="36">
        <v>4</v>
      </c>
      <c r="E420" s="36" t="s">
        <v>223</v>
      </c>
      <c r="F420" s="36" t="s">
        <v>224</v>
      </c>
      <c r="G420" s="36" t="s">
        <v>225</v>
      </c>
      <c r="H420" s="36" t="s">
        <v>226</v>
      </c>
      <c r="I420" s="65" t="s">
        <v>239</v>
      </c>
      <c r="J420" s="65" t="s">
        <v>240</v>
      </c>
      <c r="K420" s="3"/>
      <c r="L420" s="3">
        <v>87</v>
      </c>
      <c r="M420" s="3" t="s">
        <v>229</v>
      </c>
      <c r="N420" s="36" t="s">
        <v>240</v>
      </c>
      <c r="O420" s="3">
        <v>161</v>
      </c>
      <c r="P420" s="65">
        <v>53.943168389600693</v>
      </c>
      <c r="Q420" s="51">
        <v>250</v>
      </c>
      <c r="R420" s="51"/>
      <c r="S420" s="51"/>
      <c r="T420" s="65"/>
      <c r="U420" s="36"/>
      <c r="V420" s="36"/>
      <c r="W420" s="36"/>
      <c r="X420" s="36"/>
      <c r="Y420" s="36"/>
      <c r="Z420" s="36"/>
    </row>
    <row r="421" spans="1:26" ht="14">
      <c r="A421" s="71">
        <v>42263</v>
      </c>
      <c r="B421" s="35" t="s">
        <v>157</v>
      </c>
      <c r="C421" s="165">
        <v>2015</v>
      </c>
      <c r="D421" s="36">
        <v>5</v>
      </c>
      <c r="E421" s="65" t="s">
        <v>223</v>
      </c>
      <c r="F421" s="65" t="s">
        <v>224</v>
      </c>
      <c r="G421" s="65" t="s">
        <v>225</v>
      </c>
      <c r="H421" s="65" t="s">
        <v>226</v>
      </c>
      <c r="I421" s="65" t="s">
        <v>239</v>
      </c>
      <c r="J421" s="36" t="s">
        <v>240</v>
      </c>
      <c r="K421" s="3"/>
      <c r="L421" s="36">
        <v>34</v>
      </c>
      <c r="M421" s="3" t="s">
        <v>229</v>
      </c>
      <c r="N421" s="3" t="s">
        <v>240</v>
      </c>
      <c r="O421" s="3">
        <v>222</v>
      </c>
      <c r="P421" s="36">
        <v>15.310986276340138</v>
      </c>
      <c r="Q421" s="36">
        <v>250</v>
      </c>
      <c r="R421" s="3"/>
      <c r="S421" s="3"/>
      <c r="T421" s="36"/>
      <c r="U421" s="36"/>
      <c r="V421" s="36"/>
      <c r="W421" s="36"/>
      <c r="X421" s="36"/>
      <c r="Y421" s="36"/>
      <c r="Z421" s="36"/>
    </row>
    <row r="422" spans="1:26" ht="14">
      <c r="A422" s="13">
        <v>42263</v>
      </c>
      <c r="B422" s="72" t="s">
        <v>157</v>
      </c>
      <c r="C422" s="165">
        <v>2015</v>
      </c>
      <c r="D422" s="65">
        <v>8</v>
      </c>
      <c r="E422" s="36" t="s">
        <v>223</v>
      </c>
      <c r="F422" s="36" t="s">
        <v>224</v>
      </c>
      <c r="G422" s="36" t="s">
        <v>225</v>
      </c>
      <c r="H422" s="36" t="s">
        <v>226</v>
      </c>
      <c r="I422" s="36" t="s">
        <v>239</v>
      </c>
      <c r="J422" s="36" t="s">
        <v>240</v>
      </c>
      <c r="K422" s="3"/>
      <c r="L422" s="3">
        <v>57</v>
      </c>
      <c r="M422" s="3" t="s">
        <v>229</v>
      </c>
      <c r="N422" s="3" t="s">
        <v>240</v>
      </c>
      <c r="O422" s="3">
        <v>244</v>
      </c>
      <c r="P422" s="36">
        <v>23.360655737704924</v>
      </c>
      <c r="Q422" s="3">
        <v>250</v>
      </c>
      <c r="R422" s="3"/>
      <c r="S422" s="3"/>
      <c r="T422" s="36"/>
      <c r="U422" s="36"/>
      <c r="V422" s="36"/>
      <c r="W422" s="36"/>
      <c r="X422" s="36"/>
      <c r="Y422" s="36"/>
      <c r="Z422" s="36"/>
    </row>
    <row r="423" spans="1:26" ht="14">
      <c r="A423" s="72">
        <v>42206</v>
      </c>
      <c r="B423" s="72" t="s">
        <v>154</v>
      </c>
      <c r="C423" s="165">
        <v>2015</v>
      </c>
      <c r="D423" s="65">
        <v>2</v>
      </c>
      <c r="E423" s="65" t="s">
        <v>223</v>
      </c>
      <c r="F423" s="36" t="s">
        <v>224</v>
      </c>
      <c r="G423" s="36" t="s">
        <v>225</v>
      </c>
      <c r="H423" s="65" t="s">
        <v>226</v>
      </c>
      <c r="I423" s="65" t="s">
        <v>239</v>
      </c>
      <c r="J423" s="65" t="s">
        <v>240</v>
      </c>
      <c r="K423" s="36"/>
      <c r="L423" s="36">
        <v>233</v>
      </c>
      <c r="M423" s="36" t="s">
        <v>229</v>
      </c>
      <c r="N423" s="36" t="s">
        <v>240</v>
      </c>
      <c r="O423" s="36">
        <v>337</v>
      </c>
      <c r="P423" s="36">
        <v>69.116681082350013</v>
      </c>
      <c r="Q423" s="36">
        <v>250</v>
      </c>
      <c r="R423" s="36"/>
      <c r="S423" s="36"/>
      <c r="T423" s="36"/>
      <c r="U423" s="36"/>
      <c r="V423" s="36"/>
      <c r="W423" s="36"/>
      <c r="X423" s="36"/>
      <c r="Y423" s="36"/>
      <c r="Z423" s="36"/>
    </row>
    <row r="424" spans="1:26" ht="14">
      <c r="A424" s="13">
        <v>42206</v>
      </c>
      <c r="B424" s="72" t="s">
        <v>154</v>
      </c>
      <c r="C424" s="165">
        <v>2015</v>
      </c>
      <c r="D424" s="36">
        <v>4</v>
      </c>
      <c r="E424" s="36" t="s">
        <v>223</v>
      </c>
      <c r="F424" s="36" t="s">
        <v>224</v>
      </c>
      <c r="G424" s="36" t="s">
        <v>225</v>
      </c>
      <c r="H424" s="36" t="s">
        <v>226</v>
      </c>
      <c r="I424" s="65" t="s">
        <v>239</v>
      </c>
      <c r="J424" s="65" t="s">
        <v>240</v>
      </c>
      <c r="K424" s="3"/>
      <c r="L424" s="3">
        <v>94</v>
      </c>
      <c r="M424" s="3" t="s">
        <v>229</v>
      </c>
      <c r="N424" s="36" t="s">
        <v>240</v>
      </c>
      <c r="O424" s="3">
        <v>273</v>
      </c>
      <c r="P424" s="65">
        <v>33.970740136603091</v>
      </c>
      <c r="Q424" s="65">
        <v>250</v>
      </c>
      <c r="R424" s="51"/>
      <c r="S424" s="51"/>
      <c r="T424" s="65"/>
      <c r="U424" s="36"/>
      <c r="V424" s="36"/>
      <c r="W424" s="36"/>
      <c r="X424" s="36"/>
      <c r="Y424" s="36"/>
      <c r="Z424" s="36"/>
    </row>
    <row r="425" spans="1:26" ht="14">
      <c r="A425" s="13">
        <v>42206</v>
      </c>
      <c r="B425" s="35" t="s">
        <v>154</v>
      </c>
      <c r="C425" s="165">
        <v>2015</v>
      </c>
      <c r="D425" s="36">
        <v>5</v>
      </c>
      <c r="E425" s="65" t="s">
        <v>223</v>
      </c>
      <c r="F425" s="65" t="s">
        <v>224</v>
      </c>
      <c r="G425" s="65" t="s">
        <v>225</v>
      </c>
      <c r="H425" s="65" t="s">
        <v>226</v>
      </c>
      <c r="I425" s="65" t="s">
        <v>239</v>
      </c>
      <c r="J425" s="36" t="s">
        <v>240</v>
      </c>
      <c r="K425" s="36"/>
      <c r="L425" s="36">
        <v>37</v>
      </c>
      <c r="M425" s="36" t="s">
        <v>229</v>
      </c>
      <c r="N425" s="36" t="s">
        <v>240</v>
      </c>
      <c r="O425" s="3">
        <v>251</v>
      </c>
      <c r="P425" s="65">
        <v>14.737678287825537</v>
      </c>
      <c r="Q425" s="36">
        <v>250</v>
      </c>
      <c r="R425" s="3"/>
      <c r="S425" s="3"/>
      <c r="T425" s="36"/>
      <c r="U425" s="36"/>
      <c r="V425" s="36"/>
      <c r="W425" s="36"/>
      <c r="X425" s="36"/>
      <c r="Y425" s="36"/>
      <c r="Z425" s="36"/>
    </row>
    <row r="426" spans="1:26" ht="14">
      <c r="A426" s="71">
        <v>42206</v>
      </c>
      <c r="B426" s="35" t="s">
        <v>154</v>
      </c>
      <c r="C426" s="165">
        <v>2015</v>
      </c>
      <c r="D426" s="65">
        <v>8</v>
      </c>
      <c r="E426" s="65" t="s">
        <v>223</v>
      </c>
      <c r="F426" s="65" t="s">
        <v>224</v>
      </c>
      <c r="G426" s="65" t="s">
        <v>225</v>
      </c>
      <c r="H426" s="65" t="s">
        <v>226</v>
      </c>
      <c r="I426" s="65" t="s">
        <v>239</v>
      </c>
      <c r="J426" s="36" t="s">
        <v>240</v>
      </c>
      <c r="K426" s="3"/>
      <c r="L426" s="3">
        <v>9</v>
      </c>
      <c r="M426" s="3" t="s">
        <v>229</v>
      </c>
      <c r="N426" s="36" t="s">
        <v>240</v>
      </c>
      <c r="O426" s="3">
        <v>199</v>
      </c>
      <c r="P426" s="65">
        <v>4.5186862241847008</v>
      </c>
      <c r="Q426" s="36">
        <v>250</v>
      </c>
      <c r="R426" s="3"/>
      <c r="S426" s="3"/>
      <c r="T426" s="36"/>
      <c r="U426" s="36"/>
      <c r="V426" s="36"/>
      <c r="W426" s="36"/>
      <c r="X426" s="36"/>
      <c r="Y426" s="36"/>
      <c r="Z426" s="36"/>
    </row>
    <row r="427" spans="1:26" ht="14">
      <c r="A427" s="72">
        <v>42144</v>
      </c>
      <c r="B427" s="72" t="s">
        <v>144</v>
      </c>
      <c r="C427" s="165">
        <v>2015</v>
      </c>
      <c r="D427" s="36">
        <v>4</v>
      </c>
      <c r="E427" s="65" t="s">
        <v>223</v>
      </c>
      <c r="F427" s="65" t="s">
        <v>224</v>
      </c>
      <c r="G427" s="65" t="s">
        <v>225</v>
      </c>
      <c r="H427" s="65" t="s">
        <v>226</v>
      </c>
      <c r="I427" s="65" t="s">
        <v>239</v>
      </c>
      <c r="J427" s="65" t="s">
        <v>240</v>
      </c>
      <c r="K427" s="36"/>
      <c r="L427" s="36">
        <v>162</v>
      </c>
      <c r="M427" s="36" t="s">
        <v>229</v>
      </c>
      <c r="N427" s="36" t="s">
        <v>240</v>
      </c>
      <c r="O427" s="36">
        <v>229</v>
      </c>
      <c r="P427" s="65">
        <v>70.679251863272427</v>
      </c>
      <c r="Q427" s="65">
        <v>250</v>
      </c>
      <c r="R427" s="65"/>
      <c r="S427" s="65"/>
      <c r="T427" s="65"/>
      <c r="U427" s="36"/>
      <c r="V427" s="36"/>
      <c r="W427" s="36"/>
      <c r="X427" s="36"/>
      <c r="Y427" s="36"/>
      <c r="Z427" s="36"/>
    </row>
    <row r="428" spans="1:26" ht="14">
      <c r="A428" s="72">
        <v>42144</v>
      </c>
      <c r="B428" s="72" t="s">
        <v>144</v>
      </c>
      <c r="C428" s="165">
        <v>2015</v>
      </c>
      <c r="D428" s="36">
        <v>5</v>
      </c>
      <c r="E428" s="65" t="s">
        <v>223</v>
      </c>
      <c r="F428" s="65" t="s">
        <v>224</v>
      </c>
      <c r="G428" s="65" t="s">
        <v>225</v>
      </c>
      <c r="H428" s="65" t="s">
        <v>226</v>
      </c>
      <c r="I428" s="65" t="s">
        <v>239</v>
      </c>
      <c r="J428" s="36" t="s">
        <v>240</v>
      </c>
      <c r="K428" s="36"/>
      <c r="L428" s="36">
        <v>54</v>
      </c>
      <c r="M428" s="36" t="s">
        <v>229</v>
      </c>
      <c r="N428" s="36" t="s">
        <v>240</v>
      </c>
      <c r="O428" s="36">
        <v>327</v>
      </c>
      <c r="P428" s="36">
        <v>16.507686171263263</v>
      </c>
      <c r="Q428" s="36">
        <v>250</v>
      </c>
      <c r="R428" s="36"/>
      <c r="S428" s="36"/>
      <c r="T428" s="36"/>
      <c r="U428" s="36"/>
      <c r="V428" s="36"/>
      <c r="W428" s="36"/>
      <c r="X428" s="36"/>
      <c r="Y428" s="36"/>
      <c r="Z428" s="36"/>
    </row>
    <row r="429" spans="1:26" ht="14">
      <c r="A429" s="63">
        <v>41912</v>
      </c>
      <c r="B429" s="72" t="s">
        <v>157</v>
      </c>
      <c r="C429" s="165">
        <v>2014</v>
      </c>
      <c r="D429" s="65">
        <v>2</v>
      </c>
      <c r="E429" s="36" t="s">
        <v>223</v>
      </c>
      <c r="F429" s="36" t="s">
        <v>224</v>
      </c>
      <c r="G429" s="36" t="s">
        <v>225</v>
      </c>
      <c r="H429" s="36" t="s">
        <v>226</v>
      </c>
      <c r="I429" s="36" t="s">
        <v>239</v>
      </c>
      <c r="J429" s="36" t="s">
        <v>240</v>
      </c>
      <c r="K429" s="3"/>
      <c r="L429" s="3">
        <v>43</v>
      </c>
      <c r="M429" s="3" t="s">
        <v>229</v>
      </c>
      <c r="N429" s="3" t="s">
        <v>240</v>
      </c>
      <c r="O429" s="3">
        <v>232</v>
      </c>
      <c r="P429" s="36">
        <v>18.512092641435533</v>
      </c>
      <c r="Q429" s="3">
        <v>250</v>
      </c>
      <c r="R429" s="3"/>
      <c r="S429" s="3"/>
      <c r="T429" s="36"/>
      <c r="U429" s="36"/>
      <c r="V429" s="36"/>
      <c r="W429" s="36"/>
      <c r="X429" s="36"/>
      <c r="Y429" s="36"/>
      <c r="Z429" s="36"/>
    </row>
    <row r="430" spans="1:26" ht="14">
      <c r="A430" s="71">
        <v>41912</v>
      </c>
      <c r="B430" s="72" t="s">
        <v>157</v>
      </c>
      <c r="C430" s="165">
        <v>2014</v>
      </c>
      <c r="D430" s="36">
        <v>4</v>
      </c>
      <c r="E430" s="36" t="s">
        <v>223</v>
      </c>
      <c r="F430" s="36" t="s">
        <v>224</v>
      </c>
      <c r="G430" s="36" t="s">
        <v>225</v>
      </c>
      <c r="H430" s="36" t="s">
        <v>226</v>
      </c>
      <c r="I430" s="36" t="s">
        <v>239</v>
      </c>
      <c r="J430" s="36" t="s">
        <v>240</v>
      </c>
      <c r="K430" s="3"/>
      <c r="L430" s="3">
        <v>53</v>
      </c>
      <c r="M430" s="3" t="s">
        <v>229</v>
      </c>
      <c r="N430" s="3" t="s">
        <v>240</v>
      </c>
      <c r="O430" s="3">
        <v>237</v>
      </c>
      <c r="P430" s="65">
        <v>22.318082679757296</v>
      </c>
      <c r="Q430" s="65">
        <v>250</v>
      </c>
      <c r="R430" s="51"/>
      <c r="S430" s="51"/>
      <c r="T430" s="65"/>
      <c r="U430" s="36"/>
      <c r="V430" s="36"/>
      <c r="W430" s="36"/>
      <c r="X430" s="36"/>
      <c r="Y430" s="36"/>
      <c r="Z430" s="36"/>
    </row>
    <row r="431" spans="1:26" ht="14">
      <c r="A431" s="71">
        <v>41912</v>
      </c>
      <c r="B431" s="72" t="s">
        <v>157</v>
      </c>
      <c r="C431" s="165">
        <v>2014</v>
      </c>
      <c r="D431" s="36">
        <v>5</v>
      </c>
      <c r="E431" s="65" t="s">
        <v>223</v>
      </c>
      <c r="F431" s="36" t="s">
        <v>224</v>
      </c>
      <c r="G431" s="36" t="s">
        <v>225</v>
      </c>
      <c r="H431" s="65" t="s">
        <v>226</v>
      </c>
      <c r="I431" s="65" t="s">
        <v>239</v>
      </c>
      <c r="J431" s="65" t="s">
        <v>240</v>
      </c>
      <c r="K431" s="3"/>
      <c r="L431" s="3">
        <v>60</v>
      </c>
      <c r="M431" s="3" t="s">
        <v>229</v>
      </c>
      <c r="N431" s="3" t="s">
        <v>240</v>
      </c>
      <c r="O431" s="3">
        <v>216</v>
      </c>
      <c r="P431" s="36">
        <v>27.723260354846346</v>
      </c>
      <c r="Q431" s="36">
        <v>250</v>
      </c>
      <c r="R431" s="3"/>
      <c r="S431" s="3"/>
      <c r="T431" s="36"/>
      <c r="U431" s="36"/>
      <c r="V431" s="36"/>
      <c r="W431" s="36"/>
      <c r="X431" s="36"/>
      <c r="Y431" s="36"/>
      <c r="Z431" s="36"/>
    </row>
    <row r="432" spans="1:26" ht="14">
      <c r="A432" s="71">
        <v>41912</v>
      </c>
      <c r="B432" s="72" t="s">
        <v>157</v>
      </c>
      <c r="C432" s="165">
        <v>2014</v>
      </c>
      <c r="D432" s="65">
        <v>8</v>
      </c>
      <c r="E432" s="36" t="s">
        <v>223</v>
      </c>
      <c r="F432" s="36" t="s">
        <v>224</v>
      </c>
      <c r="G432" s="36" t="s">
        <v>225</v>
      </c>
      <c r="H432" s="36" t="s">
        <v>226</v>
      </c>
      <c r="I432" s="36" t="s">
        <v>239</v>
      </c>
      <c r="J432" s="36" t="s">
        <v>240</v>
      </c>
      <c r="K432" s="3"/>
      <c r="L432" s="3">
        <v>26</v>
      </c>
      <c r="M432" s="3" t="s">
        <v>229</v>
      </c>
      <c r="N432" s="3" t="s">
        <v>240</v>
      </c>
      <c r="O432" s="3">
        <v>217</v>
      </c>
      <c r="P432" s="36">
        <v>11.977546299838803</v>
      </c>
      <c r="Q432" s="3">
        <v>250</v>
      </c>
      <c r="R432" s="3"/>
      <c r="S432" s="3"/>
      <c r="T432" s="36"/>
      <c r="U432" s="36"/>
      <c r="V432" s="36"/>
      <c r="W432" s="36"/>
      <c r="X432" s="36"/>
      <c r="Y432" s="36"/>
      <c r="Z432" s="36"/>
    </row>
    <row r="433" spans="1:26" ht="14">
      <c r="A433" s="35">
        <v>41851</v>
      </c>
      <c r="B433" s="72" t="s">
        <v>154</v>
      </c>
      <c r="C433" s="165">
        <v>2014</v>
      </c>
      <c r="D433" s="65">
        <v>2</v>
      </c>
      <c r="E433" s="65" t="s">
        <v>223</v>
      </c>
      <c r="F433" s="65" t="s">
        <v>224</v>
      </c>
      <c r="G433" s="65" t="s">
        <v>225</v>
      </c>
      <c r="H433" s="65" t="s">
        <v>226</v>
      </c>
      <c r="I433" s="65" t="s">
        <v>239</v>
      </c>
      <c r="J433" s="36" t="s">
        <v>240</v>
      </c>
      <c r="K433" s="36"/>
      <c r="L433" s="36">
        <v>2</v>
      </c>
      <c r="M433" s="36" t="s">
        <v>229</v>
      </c>
      <c r="N433" s="36" t="s">
        <v>240</v>
      </c>
      <c r="O433" s="36">
        <v>119</v>
      </c>
      <c r="P433" s="65">
        <v>1.660231052273178</v>
      </c>
      <c r="Q433" s="36">
        <v>250</v>
      </c>
      <c r="R433" s="36"/>
      <c r="S433" s="36"/>
      <c r="T433" s="36"/>
      <c r="U433" s="36"/>
      <c r="V433" s="36"/>
      <c r="W433" s="36"/>
      <c r="X433" s="36"/>
      <c r="Y433" s="36"/>
      <c r="Z433" s="36"/>
    </row>
    <row r="434" spans="1:26" ht="14">
      <c r="A434" s="71">
        <v>41851</v>
      </c>
      <c r="B434" s="72" t="s">
        <v>154</v>
      </c>
      <c r="C434" s="165">
        <v>2014</v>
      </c>
      <c r="D434" s="36">
        <v>4</v>
      </c>
      <c r="E434" s="65" t="s">
        <v>223</v>
      </c>
      <c r="F434" s="65" t="s">
        <v>224</v>
      </c>
      <c r="G434" s="65" t="s">
        <v>225</v>
      </c>
      <c r="H434" s="65" t="s">
        <v>226</v>
      </c>
      <c r="I434" s="65" t="s">
        <v>239</v>
      </c>
      <c r="J434" s="36" t="s">
        <v>240</v>
      </c>
      <c r="K434" s="3"/>
      <c r="L434" s="3">
        <v>70</v>
      </c>
      <c r="M434" s="3" t="s">
        <v>229</v>
      </c>
      <c r="N434" s="3" t="s">
        <v>240</v>
      </c>
      <c r="O434" s="3">
        <v>188</v>
      </c>
      <c r="P434" s="65">
        <v>36.257307415173997</v>
      </c>
      <c r="Q434" s="36">
        <v>250</v>
      </c>
      <c r="R434" s="3"/>
      <c r="S434" s="3"/>
      <c r="T434" s="36"/>
      <c r="U434" s="36"/>
      <c r="V434" s="36"/>
      <c r="W434" s="36"/>
      <c r="X434" s="36"/>
      <c r="Y434" s="36"/>
      <c r="Z434" s="36"/>
    </row>
    <row r="435" spans="1:26" ht="14">
      <c r="A435" s="71">
        <v>41851</v>
      </c>
      <c r="B435" s="72" t="s">
        <v>154</v>
      </c>
      <c r="C435" s="165">
        <v>2014</v>
      </c>
      <c r="D435" s="36">
        <v>5</v>
      </c>
      <c r="E435" s="65" t="s">
        <v>223</v>
      </c>
      <c r="F435" s="65" t="s">
        <v>224</v>
      </c>
      <c r="G435" s="65" t="s">
        <v>225</v>
      </c>
      <c r="H435" s="65" t="s">
        <v>226</v>
      </c>
      <c r="I435" s="65" t="s">
        <v>239</v>
      </c>
      <c r="J435" s="36" t="s">
        <v>240</v>
      </c>
      <c r="K435" s="3"/>
      <c r="L435" s="3">
        <v>79</v>
      </c>
      <c r="M435" s="3" t="s">
        <v>229</v>
      </c>
      <c r="N435" s="3" t="s">
        <v>240</v>
      </c>
      <c r="O435" s="3">
        <v>205</v>
      </c>
      <c r="P435" s="65">
        <v>38.272831705748921</v>
      </c>
      <c r="Q435" s="36">
        <v>250</v>
      </c>
      <c r="R435" s="3"/>
      <c r="S435" s="3"/>
      <c r="T435" s="36"/>
      <c r="U435" s="36"/>
      <c r="V435" s="36"/>
      <c r="W435" s="36"/>
      <c r="X435" s="36"/>
      <c r="Y435" s="36"/>
      <c r="Z435" s="36"/>
    </row>
    <row r="436" spans="1:26" ht="14">
      <c r="A436" s="13">
        <v>41851</v>
      </c>
      <c r="B436" s="72" t="s">
        <v>154</v>
      </c>
      <c r="C436" s="165">
        <v>2014</v>
      </c>
      <c r="D436" s="65">
        <v>8</v>
      </c>
      <c r="E436" s="36" t="s">
        <v>223</v>
      </c>
      <c r="F436" s="36" t="s">
        <v>224</v>
      </c>
      <c r="G436" s="36" t="s">
        <v>225</v>
      </c>
      <c r="H436" s="36" t="s">
        <v>226</v>
      </c>
      <c r="I436" s="36" t="s">
        <v>239</v>
      </c>
      <c r="J436" s="36" t="s">
        <v>240</v>
      </c>
      <c r="K436" s="3"/>
      <c r="L436" s="3">
        <v>33</v>
      </c>
      <c r="M436" s="3" t="s">
        <v>229</v>
      </c>
      <c r="N436" s="3" t="s">
        <v>240</v>
      </c>
      <c r="O436" s="3">
        <v>237</v>
      </c>
      <c r="P436" s="65">
        <v>13.919062090208101</v>
      </c>
      <c r="Q436" s="3">
        <v>250</v>
      </c>
      <c r="R436" s="3"/>
      <c r="S436" s="3"/>
      <c r="T436" s="36"/>
      <c r="U436" s="36"/>
      <c r="V436" s="36"/>
      <c r="W436" s="36"/>
      <c r="X436" s="36"/>
      <c r="Y436" s="36"/>
      <c r="Z436" s="36"/>
    </row>
    <row r="437" spans="1:26" ht="14">
      <c r="A437" s="35">
        <v>41761</v>
      </c>
      <c r="B437" s="72" t="s">
        <v>144</v>
      </c>
      <c r="C437" s="165">
        <v>2014</v>
      </c>
      <c r="D437" s="65">
        <v>2</v>
      </c>
      <c r="E437" s="65" t="s">
        <v>223</v>
      </c>
      <c r="F437" s="65" t="s">
        <v>224</v>
      </c>
      <c r="G437" s="65" t="s">
        <v>225</v>
      </c>
      <c r="H437" s="65" t="s">
        <v>226</v>
      </c>
      <c r="I437" s="65" t="s">
        <v>239</v>
      </c>
      <c r="J437" s="36" t="s">
        <v>240</v>
      </c>
      <c r="K437" s="36"/>
      <c r="L437" s="36">
        <v>4</v>
      </c>
      <c r="M437" s="36" t="s">
        <v>229</v>
      </c>
      <c r="N437" s="36" t="s">
        <v>240</v>
      </c>
      <c r="O437" s="36">
        <v>29</v>
      </c>
      <c r="P437" s="36">
        <v>13.706424161517777</v>
      </c>
      <c r="Q437" s="65">
        <v>250</v>
      </c>
      <c r="R437" s="65"/>
      <c r="S437" s="65"/>
      <c r="T437" s="65"/>
      <c r="U437" s="36"/>
      <c r="V437" s="36"/>
      <c r="W437" s="36"/>
      <c r="X437" s="36"/>
      <c r="Y437" s="36"/>
      <c r="Z437" s="36"/>
    </row>
    <row r="438" spans="1:26" ht="14">
      <c r="A438" s="13">
        <v>41761</v>
      </c>
      <c r="B438" s="72" t="s">
        <v>144</v>
      </c>
      <c r="C438" s="165">
        <v>2014</v>
      </c>
      <c r="D438" s="36">
        <v>4</v>
      </c>
      <c r="E438" s="53" t="s">
        <v>223</v>
      </c>
      <c r="F438" s="53" t="s">
        <v>224</v>
      </c>
      <c r="G438" s="53" t="s">
        <v>225</v>
      </c>
      <c r="H438" s="53" t="s">
        <v>226</v>
      </c>
      <c r="I438" s="53" t="s">
        <v>239</v>
      </c>
      <c r="J438" s="36" t="s">
        <v>240</v>
      </c>
      <c r="K438" s="36"/>
      <c r="L438" s="36">
        <v>103</v>
      </c>
      <c r="M438" s="3" t="s">
        <v>229</v>
      </c>
      <c r="N438" s="3" t="s">
        <v>240</v>
      </c>
      <c r="O438" s="3">
        <v>256</v>
      </c>
      <c r="P438" s="36">
        <v>39.273062913684591</v>
      </c>
      <c r="Q438" s="36">
        <v>250</v>
      </c>
      <c r="R438" s="3"/>
      <c r="S438" s="3"/>
      <c r="T438" s="36"/>
      <c r="U438" s="36"/>
      <c r="V438" s="36"/>
      <c r="W438" s="36"/>
      <c r="X438" s="36"/>
      <c r="Y438" s="36"/>
      <c r="Z438" s="36"/>
    </row>
    <row r="439" spans="1:26" ht="14">
      <c r="A439" s="71">
        <v>41761</v>
      </c>
      <c r="B439" s="72" t="s">
        <v>144</v>
      </c>
      <c r="C439" s="165">
        <v>2014</v>
      </c>
      <c r="D439" s="65">
        <v>5</v>
      </c>
      <c r="E439" s="65" t="s">
        <v>223</v>
      </c>
      <c r="F439" s="65" t="s">
        <v>224</v>
      </c>
      <c r="G439" s="65" t="s">
        <v>225</v>
      </c>
      <c r="H439" s="65" t="s">
        <v>226</v>
      </c>
      <c r="I439" s="65" t="s">
        <v>239</v>
      </c>
      <c r="J439" s="36" t="s">
        <v>240</v>
      </c>
      <c r="K439" s="3"/>
      <c r="L439" s="3">
        <v>57</v>
      </c>
      <c r="M439" s="3" t="s">
        <v>229</v>
      </c>
      <c r="N439" s="3" t="s">
        <v>240</v>
      </c>
      <c r="O439" s="3">
        <v>300</v>
      </c>
      <c r="P439" s="65">
        <v>18.960438474171923</v>
      </c>
      <c r="Q439" s="3">
        <v>250</v>
      </c>
      <c r="R439" s="3"/>
      <c r="S439" s="3"/>
      <c r="T439" s="36"/>
      <c r="U439" s="36"/>
      <c r="V439" s="36"/>
      <c r="W439" s="36"/>
      <c r="X439" s="36"/>
      <c r="Y439" s="36"/>
      <c r="Z439" s="36"/>
    </row>
    <row r="440" spans="1:26" ht="14">
      <c r="A440" s="71">
        <v>41761</v>
      </c>
      <c r="B440" s="72" t="s">
        <v>144</v>
      </c>
      <c r="C440" s="165">
        <v>2014</v>
      </c>
      <c r="D440" s="65">
        <v>8</v>
      </c>
      <c r="E440" s="65" t="s">
        <v>223</v>
      </c>
      <c r="F440" s="65" t="s">
        <v>224</v>
      </c>
      <c r="G440" s="65" t="s">
        <v>225</v>
      </c>
      <c r="H440" s="65" t="s">
        <v>226</v>
      </c>
      <c r="I440" s="65" t="s">
        <v>239</v>
      </c>
      <c r="J440" s="65" t="s">
        <v>240</v>
      </c>
      <c r="K440" s="51"/>
      <c r="L440" s="51">
        <v>12</v>
      </c>
      <c r="M440" s="51" t="s">
        <v>229</v>
      </c>
      <c r="N440" s="51" t="s">
        <v>240</v>
      </c>
      <c r="O440" s="3">
        <v>129</v>
      </c>
      <c r="P440" s="36">
        <v>9.2780181751710558</v>
      </c>
      <c r="Q440" s="65">
        <v>250</v>
      </c>
      <c r="R440" s="51"/>
      <c r="S440" s="51"/>
      <c r="T440" s="65"/>
      <c r="U440" s="36"/>
      <c r="V440" s="36"/>
      <c r="W440" s="36"/>
      <c r="X440" s="36"/>
      <c r="Y440" s="36"/>
      <c r="Z440" s="36"/>
    </row>
    <row r="441" spans="1:26" ht="14">
      <c r="A441" s="71">
        <v>41542</v>
      </c>
      <c r="B441" s="72" t="s">
        <v>157</v>
      </c>
      <c r="C441" s="165">
        <v>2013</v>
      </c>
      <c r="D441" s="51">
        <v>2</v>
      </c>
      <c r="E441" s="3" t="s">
        <v>223</v>
      </c>
      <c r="F441" s="3" t="s">
        <v>224</v>
      </c>
      <c r="G441" s="3" t="s">
        <v>225</v>
      </c>
      <c r="H441" s="3" t="s">
        <v>226</v>
      </c>
      <c r="I441" s="3" t="s">
        <v>239</v>
      </c>
      <c r="J441" s="3" t="s">
        <v>240</v>
      </c>
      <c r="K441" s="3"/>
      <c r="L441" s="3">
        <v>18</v>
      </c>
      <c r="M441" s="3" t="s">
        <v>229</v>
      </c>
      <c r="N441" s="3" t="s">
        <v>240</v>
      </c>
      <c r="O441" s="3">
        <v>110</v>
      </c>
      <c r="P441" s="36">
        <v>16.21623819915709</v>
      </c>
      <c r="Q441" s="3">
        <v>250</v>
      </c>
      <c r="R441" s="3"/>
      <c r="S441" s="3"/>
      <c r="T441" s="36"/>
      <c r="U441" s="36"/>
      <c r="V441" s="36"/>
      <c r="W441" s="36"/>
      <c r="X441" s="36"/>
      <c r="Y441" s="36"/>
      <c r="Z441" s="36"/>
    </row>
    <row r="442" spans="1:26" ht="14">
      <c r="A442" s="71">
        <v>41542</v>
      </c>
      <c r="B442" s="72" t="s">
        <v>157</v>
      </c>
      <c r="C442" s="165">
        <v>2013</v>
      </c>
      <c r="D442" s="51">
        <v>4</v>
      </c>
      <c r="E442" s="51" t="s">
        <v>223</v>
      </c>
      <c r="F442" s="51" t="s">
        <v>224</v>
      </c>
      <c r="G442" s="51" t="s">
        <v>225</v>
      </c>
      <c r="H442" s="51" t="s">
        <v>226</v>
      </c>
      <c r="I442" s="51" t="s">
        <v>239</v>
      </c>
      <c r="J442" s="3" t="s">
        <v>240</v>
      </c>
      <c r="K442" s="3"/>
      <c r="L442" s="3">
        <v>33</v>
      </c>
      <c r="M442" s="3" t="s">
        <v>229</v>
      </c>
      <c r="N442" s="3" t="s">
        <v>240</v>
      </c>
      <c r="O442" s="3">
        <v>159</v>
      </c>
      <c r="P442" s="36">
        <v>20.528057161563989</v>
      </c>
      <c r="Q442" s="3">
        <v>250</v>
      </c>
      <c r="R442" s="3"/>
      <c r="S442" s="3"/>
      <c r="T442" s="36"/>
      <c r="U442" s="36"/>
      <c r="V442" s="36"/>
      <c r="W442" s="36"/>
      <c r="X442" s="36"/>
      <c r="Y442" s="36"/>
      <c r="Z442" s="36"/>
    </row>
    <row r="443" spans="1:26" ht="14">
      <c r="A443" s="71">
        <v>41542</v>
      </c>
      <c r="B443" s="72" t="s">
        <v>157</v>
      </c>
      <c r="C443" s="165">
        <v>2013</v>
      </c>
      <c r="D443" s="51">
        <v>5</v>
      </c>
      <c r="E443" s="51" t="s">
        <v>223</v>
      </c>
      <c r="F443" s="3" t="s">
        <v>224</v>
      </c>
      <c r="G443" s="3" t="s">
        <v>225</v>
      </c>
      <c r="H443" s="51" t="s">
        <v>226</v>
      </c>
      <c r="I443" s="51" t="s">
        <v>239</v>
      </c>
      <c r="J443" s="51" t="s">
        <v>240</v>
      </c>
      <c r="K443" s="3"/>
      <c r="L443" s="3">
        <v>46</v>
      </c>
      <c r="M443" s="3" t="s">
        <v>229</v>
      </c>
      <c r="N443" s="3" t="s">
        <v>240</v>
      </c>
      <c r="O443" s="3">
        <v>206</v>
      </c>
      <c r="P443" s="36">
        <v>22.322903917377694</v>
      </c>
      <c r="Q443" s="3">
        <v>250</v>
      </c>
      <c r="R443" s="3"/>
      <c r="S443" s="3"/>
      <c r="T443" s="36"/>
      <c r="U443" s="36"/>
      <c r="V443" s="36"/>
      <c r="W443" s="36"/>
      <c r="X443" s="36"/>
      <c r="Y443" s="36"/>
      <c r="Z443" s="36"/>
    </row>
    <row r="444" spans="1:26" ht="14">
      <c r="A444" s="71">
        <v>41542</v>
      </c>
      <c r="B444" s="72" t="s">
        <v>157</v>
      </c>
      <c r="C444" s="165">
        <v>2013</v>
      </c>
      <c r="D444" s="51">
        <v>8</v>
      </c>
      <c r="E444" s="51" t="s">
        <v>223</v>
      </c>
      <c r="F444" s="51" t="s">
        <v>224</v>
      </c>
      <c r="G444" s="51" t="s">
        <v>225</v>
      </c>
      <c r="H444" s="51" t="s">
        <v>226</v>
      </c>
      <c r="I444" s="51" t="s">
        <v>239</v>
      </c>
      <c r="J444" s="3" t="s">
        <v>240</v>
      </c>
      <c r="K444" s="3"/>
      <c r="L444" s="3">
        <v>27</v>
      </c>
      <c r="M444" s="3" t="s">
        <v>229</v>
      </c>
      <c r="N444" s="3" t="s">
        <v>240</v>
      </c>
      <c r="O444" s="3">
        <v>183</v>
      </c>
      <c r="P444" s="36">
        <v>14.7536504488478</v>
      </c>
      <c r="Q444" s="3">
        <v>250</v>
      </c>
      <c r="R444" s="3"/>
      <c r="S444" s="3"/>
      <c r="T444" s="36"/>
      <c r="U444" s="36"/>
      <c r="V444" s="36"/>
      <c r="W444" s="36"/>
      <c r="X444" s="36"/>
      <c r="Y444" s="36"/>
      <c r="Z444" s="36"/>
    </row>
    <row r="445" spans="1:26" ht="14">
      <c r="A445" s="72">
        <v>41480</v>
      </c>
      <c r="B445" s="72" t="s">
        <v>154</v>
      </c>
      <c r="C445" s="165">
        <v>2013</v>
      </c>
      <c r="D445" s="65">
        <v>2</v>
      </c>
      <c r="E445" s="36" t="s">
        <v>223</v>
      </c>
      <c r="F445" s="36" t="s">
        <v>224</v>
      </c>
      <c r="G445" s="36" t="s">
        <v>225</v>
      </c>
      <c r="H445" s="36" t="s">
        <v>226</v>
      </c>
      <c r="I445" s="36" t="s">
        <v>239</v>
      </c>
      <c r="J445" s="36" t="s">
        <v>240</v>
      </c>
      <c r="K445" s="36"/>
      <c r="L445" s="36">
        <v>15</v>
      </c>
      <c r="M445" s="36" t="s">
        <v>229</v>
      </c>
      <c r="N445" s="36" t="s">
        <v>240</v>
      </c>
      <c r="O445" s="36">
        <v>125</v>
      </c>
      <c r="P445" s="36">
        <v>11.984859726407759</v>
      </c>
      <c r="Q445" s="36">
        <v>250</v>
      </c>
      <c r="R445" s="36"/>
      <c r="S445" s="36"/>
      <c r="T445" s="36"/>
      <c r="U445" s="36"/>
      <c r="V445" s="36"/>
      <c r="W445" s="36"/>
      <c r="X445" s="36"/>
      <c r="Y445" s="36"/>
      <c r="Z445" s="36"/>
    </row>
    <row r="446" spans="1:26" ht="14">
      <c r="A446" s="13">
        <v>41480</v>
      </c>
      <c r="B446" s="72" t="s">
        <v>154</v>
      </c>
      <c r="C446" s="165">
        <v>2013</v>
      </c>
      <c r="D446" s="51">
        <v>4</v>
      </c>
      <c r="E446" s="51" t="s">
        <v>223</v>
      </c>
      <c r="F446" s="51" t="s">
        <v>224</v>
      </c>
      <c r="G446" s="51" t="s">
        <v>225</v>
      </c>
      <c r="H446" s="51" t="s">
        <v>226</v>
      </c>
      <c r="I446" s="51" t="s">
        <v>239</v>
      </c>
      <c r="J446" s="3" t="s">
        <v>240</v>
      </c>
      <c r="K446" s="3"/>
      <c r="L446" s="3">
        <v>15</v>
      </c>
      <c r="M446" s="3" t="s">
        <v>229</v>
      </c>
      <c r="N446" s="3" t="s">
        <v>240</v>
      </c>
      <c r="O446" s="3">
        <v>124</v>
      </c>
      <c r="P446" s="36">
        <v>12.063528325970035</v>
      </c>
      <c r="Q446" s="3">
        <v>250</v>
      </c>
      <c r="R446" s="3"/>
      <c r="S446" s="3"/>
      <c r="T446" s="36"/>
      <c r="U446" s="36"/>
      <c r="V446" s="36"/>
      <c r="W446" s="36"/>
      <c r="X446" s="36"/>
      <c r="Y446" s="36"/>
      <c r="Z446" s="36"/>
    </row>
    <row r="447" spans="1:26" ht="14">
      <c r="A447" s="71">
        <v>41480</v>
      </c>
      <c r="B447" s="72" t="s">
        <v>154</v>
      </c>
      <c r="C447" s="165">
        <v>2013</v>
      </c>
      <c r="D447" s="51">
        <v>5</v>
      </c>
      <c r="E447" s="3" t="s">
        <v>223</v>
      </c>
      <c r="F447" s="3" t="s">
        <v>224</v>
      </c>
      <c r="G447" s="3" t="s">
        <v>225</v>
      </c>
      <c r="H447" s="3" t="s">
        <v>226</v>
      </c>
      <c r="I447" s="3" t="s">
        <v>239</v>
      </c>
      <c r="J447" s="3" t="s">
        <v>240</v>
      </c>
      <c r="K447" s="3"/>
      <c r="L447" s="3">
        <v>12</v>
      </c>
      <c r="M447" s="3" t="s">
        <v>229</v>
      </c>
      <c r="N447" s="3" t="s">
        <v>240</v>
      </c>
      <c r="O447" s="3">
        <v>155</v>
      </c>
      <c r="P447" s="65">
        <v>7.7408438519777576</v>
      </c>
      <c r="Q447" s="3">
        <v>250</v>
      </c>
      <c r="R447" s="3"/>
      <c r="S447" s="3"/>
      <c r="T447" s="36"/>
      <c r="U447" s="36"/>
      <c r="V447" s="36"/>
      <c r="W447" s="36"/>
      <c r="X447" s="36"/>
      <c r="Y447" s="36"/>
      <c r="Z447" s="36"/>
    </row>
    <row r="448" spans="1:26" ht="14">
      <c r="A448" s="13">
        <v>41480</v>
      </c>
      <c r="B448" s="72" t="s">
        <v>154</v>
      </c>
      <c r="C448" s="165">
        <v>2013</v>
      </c>
      <c r="D448" s="51">
        <v>8</v>
      </c>
      <c r="E448" s="51" t="s">
        <v>223</v>
      </c>
      <c r="F448" s="51" t="s">
        <v>224</v>
      </c>
      <c r="G448" s="51" t="s">
        <v>225</v>
      </c>
      <c r="H448" s="51" t="s">
        <v>226</v>
      </c>
      <c r="I448" s="51" t="s">
        <v>239</v>
      </c>
      <c r="J448" s="3" t="s">
        <v>240</v>
      </c>
      <c r="K448" s="3"/>
      <c r="L448" s="3">
        <v>16</v>
      </c>
      <c r="M448" s="3" t="s">
        <v>229</v>
      </c>
      <c r="N448" s="3" t="s">
        <v>240</v>
      </c>
      <c r="O448" s="3">
        <v>251</v>
      </c>
      <c r="P448" s="65">
        <v>6.3742184644476163</v>
      </c>
      <c r="Q448" s="3">
        <v>250</v>
      </c>
      <c r="R448" s="3"/>
      <c r="S448" s="3"/>
      <c r="T448" s="36"/>
      <c r="U448" s="36"/>
      <c r="V448" s="36"/>
      <c r="W448" s="36"/>
      <c r="X448" s="36"/>
      <c r="Y448" s="36"/>
      <c r="Z448" s="36"/>
    </row>
    <row r="449" spans="1:26" ht="14">
      <c r="A449" s="71">
        <v>41422</v>
      </c>
      <c r="B449" s="72" t="s">
        <v>144</v>
      </c>
      <c r="C449" s="165">
        <v>2013</v>
      </c>
      <c r="D449" s="51">
        <v>2</v>
      </c>
      <c r="E449" s="3" t="s">
        <v>223</v>
      </c>
      <c r="F449" s="3" t="s">
        <v>224</v>
      </c>
      <c r="G449" s="3" t="s">
        <v>225</v>
      </c>
      <c r="H449" s="3" t="s">
        <v>226</v>
      </c>
      <c r="I449" s="3" t="s">
        <v>239</v>
      </c>
      <c r="J449" s="3" t="s">
        <v>240</v>
      </c>
      <c r="K449" s="3"/>
      <c r="L449" s="3">
        <v>3</v>
      </c>
      <c r="M449" s="3" t="s">
        <v>229</v>
      </c>
      <c r="N449" s="3" t="s">
        <v>240</v>
      </c>
      <c r="O449" s="3">
        <v>40</v>
      </c>
      <c r="P449" s="65">
        <v>7.4964597687799808</v>
      </c>
      <c r="Q449" s="3">
        <v>250</v>
      </c>
      <c r="R449" s="3" t="s">
        <v>241</v>
      </c>
      <c r="S449" s="3"/>
      <c r="T449" s="36"/>
      <c r="U449" s="36"/>
      <c r="V449" s="36"/>
      <c r="W449" s="36"/>
      <c r="X449" s="36"/>
      <c r="Y449" s="36"/>
      <c r="Z449" s="36"/>
    </row>
    <row r="450" spans="1:26" ht="14">
      <c r="A450" s="13">
        <v>41422</v>
      </c>
      <c r="B450" s="72" t="s">
        <v>144</v>
      </c>
      <c r="C450" s="165">
        <v>2013</v>
      </c>
      <c r="D450" s="51">
        <v>4</v>
      </c>
      <c r="E450" s="51" t="s">
        <v>223</v>
      </c>
      <c r="F450" s="3" t="s">
        <v>224</v>
      </c>
      <c r="G450" s="3" t="s">
        <v>225</v>
      </c>
      <c r="H450" s="51" t="s">
        <v>226</v>
      </c>
      <c r="I450" s="51" t="s">
        <v>239</v>
      </c>
      <c r="J450" s="51" t="s">
        <v>240</v>
      </c>
      <c r="K450" s="3"/>
      <c r="L450" s="3">
        <v>22</v>
      </c>
      <c r="M450" s="3" t="s">
        <v>229</v>
      </c>
      <c r="N450" s="3" t="s">
        <v>240</v>
      </c>
      <c r="O450" s="3">
        <v>106</v>
      </c>
      <c r="P450" s="65">
        <v>20.724101692236133</v>
      </c>
      <c r="Q450" s="3">
        <v>250</v>
      </c>
      <c r="R450" s="3" t="s">
        <v>241</v>
      </c>
      <c r="S450" s="3"/>
      <c r="T450" s="36"/>
      <c r="U450" s="36"/>
      <c r="V450" s="36"/>
      <c r="W450" s="36"/>
      <c r="X450" s="36"/>
      <c r="Y450" s="36"/>
      <c r="Z450" s="36"/>
    </row>
    <row r="451" spans="1:26" ht="14">
      <c r="A451" s="71">
        <v>41422</v>
      </c>
      <c r="B451" s="72" t="s">
        <v>144</v>
      </c>
      <c r="C451" s="165">
        <v>2013</v>
      </c>
      <c r="D451" s="51">
        <v>5</v>
      </c>
      <c r="E451" s="51" t="s">
        <v>223</v>
      </c>
      <c r="F451" s="51" t="s">
        <v>224</v>
      </c>
      <c r="G451" s="51" t="s">
        <v>225</v>
      </c>
      <c r="H451" s="51" t="s">
        <v>226</v>
      </c>
      <c r="I451" s="51" t="s">
        <v>239</v>
      </c>
      <c r="J451" s="3" t="s">
        <v>240</v>
      </c>
      <c r="K451" s="3"/>
      <c r="L451" s="3">
        <v>22</v>
      </c>
      <c r="M451" s="3" t="s">
        <v>229</v>
      </c>
      <c r="N451" s="3" t="s">
        <v>240</v>
      </c>
      <c r="O451" s="3">
        <v>120</v>
      </c>
      <c r="P451" s="36">
        <v>18.333333333333332</v>
      </c>
      <c r="Q451" s="3">
        <v>250</v>
      </c>
      <c r="R451" s="3" t="s">
        <v>242</v>
      </c>
      <c r="S451" s="3"/>
      <c r="T451" s="36"/>
      <c r="U451" s="36"/>
      <c r="V451" s="36"/>
      <c r="W451" s="36"/>
      <c r="X451" s="36"/>
      <c r="Y451" s="36"/>
      <c r="Z451" s="36"/>
    </row>
    <row r="452" spans="1:26" ht="14">
      <c r="A452" s="13">
        <v>41422</v>
      </c>
      <c r="B452" s="72" t="s">
        <v>144</v>
      </c>
      <c r="C452" s="165">
        <v>2013</v>
      </c>
      <c r="D452" s="51">
        <v>8</v>
      </c>
      <c r="E452" s="51" t="s">
        <v>223</v>
      </c>
      <c r="F452" s="51" t="s">
        <v>224</v>
      </c>
      <c r="G452" s="51" t="s">
        <v>225</v>
      </c>
      <c r="H452" s="51" t="s">
        <v>226</v>
      </c>
      <c r="I452" s="51" t="s">
        <v>239</v>
      </c>
      <c r="J452" s="51" t="s">
        <v>240</v>
      </c>
      <c r="K452" s="3"/>
      <c r="L452" s="3">
        <v>26</v>
      </c>
      <c r="M452" s="3" t="s">
        <v>229</v>
      </c>
      <c r="N452" s="3" t="s">
        <v>240</v>
      </c>
      <c r="O452" s="3">
        <v>89</v>
      </c>
      <c r="P452" s="36">
        <v>29.206056063110157</v>
      </c>
      <c r="Q452" s="3">
        <v>250</v>
      </c>
      <c r="R452" s="3" t="s">
        <v>242</v>
      </c>
      <c r="S452" s="3"/>
      <c r="T452" s="36"/>
      <c r="U452" s="36"/>
      <c r="V452" s="36"/>
      <c r="W452" s="36"/>
      <c r="X452" s="36"/>
      <c r="Y452" s="36"/>
      <c r="Z452" s="36"/>
    </row>
    <row r="453" spans="1:26" ht="14">
      <c r="A453" s="35">
        <v>41761</v>
      </c>
      <c r="B453" s="72" t="s">
        <v>144</v>
      </c>
      <c r="C453" s="165">
        <v>2014</v>
      </c>
      <c r="D453" s="65">
        <v>2</v>
      </c>
      <c r="E453" s="65" t="s">
        <v>223</v>
      </c>
      <c r="F453" s="65" t="s">
        <v>224</v>
      </c>
      <c r="G453" s="65" t="s">
        <v>225</v>
      </c>
      <c r="H453" s="65" t="s">
        <v>248</v>
      </c>
      <c r="I453" s="65" t="s">
        <v>359</v>
      </c>
      <c r="J453" s="65" t="s">
        <v>672</v>
      </c>
      <c r="K453" s="36"/>
      <c r="L453" s="36">
        <v>1</v>
      </c>
      <c r="M453" s="36" t="s">
        <v>229</v>
      </c>
      <c r="N453" s="36" t="s">
        <v>713</v>
      </c>
      <c r="O453" s="36">
        <v>29</v>
      </c>
      <c r="P453" s="36">
        <v>3.4266060403794367</v>
      </c>
      <c r="Q453" s="65">
        <v>250</v>
      </c>
      <c r="R453" s="65"/>
      <c r="S453" s="65"/>
      <c r="T453" s="65"/>
      <c r="U453" s="36"/>
      <c r="V453" s="36"/>
      <c r="W453" s="36"/>
      <c r="X453" s="36"/>
      <c r="Y453" s="36"/>
      <c r="Z453" s="36"/>
    </row>
    <row r="454" spans="1:26" ht="14">
      <c r="A454" s="35">
        <v>41761</v>
      </c>
      <c r="B454" s="72" t="s">
        <v>144</v>
      </c>
      <c r="C454" s="165">
        <v>2014</v>
      </c>
      <c r="D454" s="65">
        <v>2</v>
      </c>
      <c r="E454" s="65" t="s">
        <v>223</v>
      </c>
      <c r="F454" s="65" t="s">
        <v>224</v>
      </c>
      <c r="G454" s="65" t="s">
        <v>225</v>
      </c>
      <c r="H454" s="65" t="s">
        <v>248</v>
      </c>
      <c r="I454" s="65" t="s">
        <v>359</v>
      </c>
      <c r="J454" s="65" t="s">
        <v>671</v>
      </c>
      <c r="K454" s="36"/>
      <c r="L454" s="36">
        <v>2</v>
      </c>
      <c r="M454" s="36" t="s">
        <v>229</v>
      </c>
      <c r="N454" s="36" t="s">
        <v>713</v>
      </c>
      <c r="O454" s="36">
        <v>29</v>
      </c>
      <c r="P454" s="36">
        <v>6.8532120807588734</v>
      </c>
      <c r="Q454" s="65">
        <v>250</v>
      </c>
      <c r="R454" s="65"/>
      <c r="S454" s="65"/>
      <c r="T454" s="65"/>
      <c r="U454" s="36"/>
      <c r="V454" s="36"/>
      <c r="W454" s="36"/>
      <c r="X454" s="36"/>
      <c r="Y454" s="36"/>
      <c r="Z454" s="36"/>
    </row>
    <row r="455" spans="1:26" ht="14">
      <c r="A455" s="71">
        <v>43019</v>
      </c>
      <c r="B455" s="72" t="s">
        <v>159</v>
      </c>
      <c r="C455" s="165">
        <v>2017</v>
      </c>
      <c r="D455" s="65">
        <v>5</v>
      </c>
      <c r="E455" s="65" t="s">
        <v>223</v>
      </c>
      <c r="F455" s="65" t="s">
        <v>267</v>
      </c>
      <c r="G455" s="65"/>
      <c r="H455" s="65" t="s">
        <v>273</v>
      </c>
      <c r="I455" s="65"/>
      <c r="J455" s="36"/>
      <c r="K455" s="36"/>
      <c r="L455" s="36">
        <v>1</v>
      </c>
      <c r="M455" s="36" t="s">
        <v>508</v>
      </c>
      <c r="N455" s="36" t="s">
        <v>335</v>
      </c>
      <c r="O455" s="3">
        <v>3</v>
      </c>
      <c r="P455" s="36">
        <v>7.3907950389884838E-3</v>
      </c>
      <c r="Q455" s="36">
        <v>1000</v>
      </c>
      <c r="R455" s="3"/>
      <c r="S455" s="3"/>
      <c r="T455" s="36"/>
      <c r="U455" s="36"/>
      <c r="V455" s="36"/>
      <c r="W455" s="36"/>
      <c r="X455" s="36"/>
      <c r="Y455" s="36"/>
      <c r="Z455" s="36"/>
    </row>
    <row r="456" spans="1:26" ht="14">
      <c r="A456" s="72">
        <v>42634</v>
      </c>
      <c r="B456" s="72" t="s">
        <v>157</v>
      </c>
      <c r="C456" s="165">
        <v>2016</v>
      </c>
      <c r="D456" s="65">
        <v>8</v>
      </c>
      <c r="E456" s="65" t="s">
        <v>223</v>
      </c>
      <c r="F456" s="36" t="s">
        <v>267</v>
      </c>
      <c r="G456" s="36"/>
      <c r="H456" s="65" t="s">
        <v>273</v>
      </c>
      <c r="I456" s="65"/>
      <c r="J456" s="65"/>
      <c r="K456" s="65"/>
      <c r="L456" s="65">
        <v>1</v>
      </c>
      <c r="M456" s="65" t="s">
        <v>508</v>
      </c>
      <c r="N456" s="65" t="s">
        <v>335</v>
      </c>
      <c r="O456" s="36">
        <v>3658</v>
      </c>
      <c r="P456" s="36">
        <v>1.7671737367053572E-3</v>
      </c>
      <c r="Q456" s="36">
        <v>1000</v>
      </c>
      <c r="R456" s="36"/>
      <c r="S456" s="36"/>
      <c r="T456" s="36"/>
      <c r="U456" s="36"/>
      <c r="V456" s="36"/>
      <c r="W456" s="36"/>
      <c r="X456" s="36"/>
      <c r="Y456" s="36"/>
      <c r="Z456" s="36"/>
    </row>
    <row r="457" spans="1:26" ht="14">
      <c r="A457" s="35">
        <v>42571</v>
      </c>
      <c r="B457" s="72" t="s">
        <v>154</v>
      </c>
      <c r="C457" s="165">
        <v>2016</v>
      </c>
      <c r="D457" s="65">
        <v>2</v>
      </c>
      <c r="E457" s="36" t="s">
        <v>223</v>
      </c>
      <c r="F457" s="36" t="s">
        <v>267</v>
      </c>
      <c r="G457" s="36"/>
      <c r="H457" s="36" t="s">
        <v>273</v>
      </c>
      <c r="I457" s="36"/>
      <c r="J457" s="36"/>
      <c r="K457" s="36"/>
      <c r="L457" s="36">
        <v>2</v>
      </c>
      <c r="M457" s="36" t="s">
        <v>508</v>
      </c>
      <c r="N457" s="36" t="s">
        <v>335</v>
      </c>
      <c r="O457" s="36">
        <v>5</v>
      </c>
      <c r="P457" s="36">
        <v>3.9394066096260097E-3</v>
      </c>
      <c r="Q457" s="65">
        <v>1000</v>
      </c>
      <c r="R457" s="65" t="s">
        <v>564</v>
      </c>
      <c r="S457" s="65"/>
      <c r="T457" s="65"/>
      <c r="U457" s="36"/>
      <c r="V457" s="36"/>
      <c r="W457" s="36"/>
      <c r="X457" s="36"/>
      <c r="Y457" s="36"/>
      <c r="Z457" s="36"/>
    </row>
    <row r="458" spans="1:26" ht="14">
      <c r="A458" s="35">
        <v>42515</v>
      </c>
      <c r="B458" s="72" t="s">
        <v>144</v>
      </c>
      <c r="C458" s="165">
        <v>2016</v>
      </c>
      <c r="D458" s="76">
        <v>4</v>
      </c>
      <c r="E458" s="65" t="s">
        <v>223</v>
      </c>
      <c r="F458" s="65" t="s">
        <v>267</v>
      </c>
      <c r="G458" s="65"/>
      <c r="H458" s="65" t="s">
        <v>273</v>
      </c>
      <c r="I458" s="65"/>
      <c r="J458" s="65"/>
      <c r="K458" s="36"/>
      <c r="L458" s="36">
        <v>3</v>
      </c>
      <c r="M458" s="36" t="s">
        <v>508</v>
      </c>
      <c r="N458" s="36" t="s">
        <v>335</v>
      </c>
      <c r="O458" s="36">
        <v>17</v>
      </c>
      <c r="P458" s="36">
        <v>1.3975437004844236E-2</v>
      </c>
      <c r="Q458" s="65">
        <v>1000</v>
      </c>
      <c r="R458" s="65"/>
      <c r="S458" s="65"/>
      <c r="T458" s="65"/>
      <c r="U458" s="36"/>
      <c r="V458" s="36"/>
      <c r="W458" s="36"/>
      <c r="X458" s="36"/>
      <c r="Y458" s="36"/>
      <c r="Z458" s="36"/>
    </row>
    <row r="459" spans="1:26" ht="14">
      <c r="A459" s="35">
        <v>41912</v>
      </c>
      <c r="B459" s="72" t="s">
        <v>157</v>
      </c>
      <c r="C459" s="165">
        <v>2014</v>
      </c>
      <c r="D459" s="76">
        <v>5</v>
      </c>
      <c r="E459" s="36" t="s">
        <v>223</v>
      </c>
      <c r="F459" s="36" t="s">
        <v>267</v>
      </c>
      <c r="G459" s="36"/>
      <c r="H459" s="36" t="s">
        <v>273</v>
      </c>
      <c r="I459" s="36"/>
      <c r="J459" s="36"/>
      <c r="K459" s="36"/>
      <c r="L459" s="36">
        <v>1</v>
      </c>
      <c r="M459" s="36" t="s">
        <v>508</v>
      </c>
      <c r="N459" s="36" t="s">
        <v>335</v>
      </c>
      <c r="O459" s="36">
        <v>176</v>
      </c>
      <c r="P459" s="36">
        <v>1.115129105415565E-3</v>
      </c>
      <c r="Q459" s="36">
        <v>1000</v>
      </c>
      <c r="R459" s="36"/>
      <c r="S459" s="36"/>
      <c r="T459" s="36"/>
      <c r="U459" s="36"/>
      <c r="V459" s="36"/>
      <c r="W459" s="36"/>
      <c r="X459" s="36"/>
      <c r="Y459" s="36"/>
      <c r="Z459" s="36"/>
    </row>
    <row r="460" spans="1:26" ht="14">
      <c r="A460" s="35">
        <v>41542</v>
      </c>
      <c r="B460" s="72" t="s">
        <v>157</v>
      </c>
      <c r="C460" s="165">
        <v>2013</v>
      </c>
      <c r="D460" s="65">
        <v>4</v>
      </c>
      <c r="E460" s="36" t="s">
        <v>223</v>
      </c>
      <c r="F460" s="36" t="s">
        <v>267</v>
      </c>
      <c r="G460" s="36"/>
      <c r="H460" s="36" t="s">
        <v>273</v>
      </c>
      <c r="I460" s="36"/>
      <c r="J460" s="36"/>
      <c r="K460" s="36"/>
      <c r="L460" s="36">
        <v>1</v>
      </c>
      <c r="M460" s="36" t="s">
        <v>508</v>
      </c>
      <c r="N460" s="36" t="s">
        <v>335</v>
      </c>
      <c r="O460" s="36">
        <v>522</v>
      </c>
      <c r="P460" s="36">
        <v>2.092123029799455E-3</v>
      </c>
      <c r="Q460" s="36">
        <v>1000</v>
      </c>
      <c r="R460" s="36"/>
      <c r="S460" s="36"/>
      <c r="T460" s="36"/>
      <c r="U460" s="36"/>
      <c r="V460" s="36"/>
      <c r="W460" s="36"/>
      <c r="X460" s="36"/>
      <c r="Y460" s="36"/>
      <c r="Z460" s="36"/>
    </row>
    <row r="461" spans="1:26" ht="14">
      <c r="A461" s="35">
        <v>41480</v>
      </c>
      <c r="B461" s="72" t="s">
        <v>693</v>
      </c>
      <c r="C461" s="165">
        <v>2013</v>
      </c>
      <c r="D461" s="65">
        <v>2</v>
      </c>
      <c r="E461" s="36" t="s">
        <v>223</v>
      </c>
      <c r="F461" s="36" t="s">
        <v>267</v>
      </c>
      <c r="G461" s="36" t="s">
        <v>273</v>
      </c>
      <c r="H461" s="36"/>
      <c r="I461" s="36"/>
      <c r="J461" s="36"/>
      <c r="K461" s="36"/>
      <c r="L461" s="36">
        <v>19</v>
      </c>
      <c r="M461" s="36" t="s">
        <v>510</v>
      </c>
      <c r="N461" s="36" t="s">
        <v>335</v>
      </c>
      <c r="O461" s="36">
        <v>126</v>
      </c>
      <c r="P461" s="36">
        <v>1.9025476074836203E-2</v>
      </c>
      <c r="Q461" s="36">
        <v>1000</v>
      </c>
      <c r="R461" s="36" t="s">
        <v>336</v>
      </c>
      <c r="S461" s="36" t="e">
        <f>SUM(#REF!)</f>
        <v>#REF!</v>
      </c>
      <c r="T461" s="36"/>
      <c r="U461" s="36"/>
      <c r="V461" s="36"/>
      <c r="W461" s="36"/>
      <c r="X461" s="36"/>
      <c r="Y461" s="36"/>
      <c r="Z461" s="36"/>
    </row>
    <row r="462" spans="1:26" ht="14">
      <c r="A462" s="35">
        <v>41480</v>
      </c>
      <c r="B462" s="35" t="s">
        <v>154</v>
      </c>
      <c r="C462" s="165">
        <v>2013</v>
      </c>
      <c r="D462" s="65">
        <v>4</v>
      </c>
      <c r="E462" s="36" t="s">
        <v>223</v>
      </c>
      <c r="F462" s="36" t="s">
        <v>267</v>
      </c>
      <c r="G462" s="36" t="s">
        <v>273</v>
      </c>
      <c r="H462" s="36"/>
      <c r="I462" s="36"/>
      <c r="J462" s="36"/>
      <c r="K462" s="36"/>
      <c r="L462" s="36">
        <v>2</v>
      </c>
      <c r="M462" s="36" t="s">
        <v>510</v>
      </c>
      <c r="N462" s="36" t="s">
        <v>335</v>
      </c>
      <c r="O462" s="36">
        <v>113</v>
      </c>
      <c r="P462" s="36">
        <v>4.8642921294592793E-3</v>
      </c>
      <c r="Q462" s="36">
        <v>1000</v>
      </c>
      <c r="R462" s="36" t="s">
        <v>336</v>
      </c>
      <c r="S462" s="36"/>
      <c r="T462" s="36"/>
      <c r="U462" s="36"/>
      <c r="V462" s="36"/>
      <c r="W462" s="36"/>
      <c r="X462" s="36"/>
      <c r="Y462" s="36"/>
      <c r="Z462" s="36"/>
    </row>
    <row r="463" spans="1:26" ht="14">
      <c r="A463" s="72">
        <v>41480</v>
      </c>
      <c r="B463" s="72" t="s">
        <v>154</v>
      </c>
      <c r="C463" s="165">
        <v>2013</v>
      </c>
      <c r="D463" s="65">
        <v>5</v>
      </c>
      <c r="E463" s="65" t="s">
        <v>223</v>
      </c>
      <c r="F463" s="65" t="s">
        <v>267</v>
      </c>
      <c r="G463" s="65"/>
      <c r="H463" s="65" t="s">
        <v>273</v>
      </c>
      <c r="I463" s="65"/>
      <c r="J463" s="36"/>
      <c r="K463" s="36"/>
      <c r="L463" s="36">
        <v>9</v>
      </c>
      <c r="M463" s="36" t="s">
        <v>508</v>
      </c>
      <c r="N463" s="36" t="s">
        <v>335</v>
      </c>
      <c r="O463" s="36">
        <v>45</v>
      </c>
      <c r="P463" s="36">
        <v>2.820049057495885E-3</v>
      </c>
      <c r="Q463" s="36">
        <v>1000</v>
      </c>
      <c r="R463" s="36" t="s">
        <v>336</v>
      </c>
      <c r="S463" s="36"/>
      <c r="T463" s="36"/>
      <c r="U463" s="36"/>
      <c r="V463" s="36"/>
      <c r="W463" s="36"/>
      <c r="X463" s="36"/>
      <c r="Y463" s="36"/>
      <c r="Z463" s="36"/>
    </row>
    <row r="464" spans="1:26" ht="14">
      <c r="A464" s="72">
        <v>41480</v>
      </c>
      <c r="B464" s="72" t="s">
        <v>154</v>
      </c>
      <c r="C464" s="165">
        <v>2013</v>
      </c>
      <c r="D464" s="65">
        <v>5</v>
      </c>
      <c r="E464" s="36" t="s">
        <v>223</v>
      </c>
      <c r="F464" s="36" t="s">
        <v>267</v>
      </c>
      <c r="G464" s="36"/>
      <c r="H464" s="36" t="s">
        <v>273</v>
      </c>
      <c r="I464" s="36"/>
      <c r="J464" s="36"/>
      <c r="K464" s="36"/>
      <c r="L464" s="36">
        <v>1</v>
      </c>
      <c r="M464" s="36" t="s">
        <v>508</v>
      </c>
      <c r="N464" s="36" t="s">
        <v>335</v>
      </c>
      <c r="O464" s="36">
        <v>45</v>
      </c>
      <c r="P464" s="36">
        <v>3.1333878416620943E-4</v>
      </c>
      <c r="Q464" s="36">
        <v>1000</v>
      </c>
      <c r="R464" s="36" t="s">
        <v>337</v>
      </c>
      <c r="S464" s="36"/>
      <c r="T464" s="36"/>
      <c r="U464" s="36"/>
      <c r="V464" s="36"/>
      <c r="W464" s="36"/>
      <c r="X464" s="36"/>
      <c r="Y464" s="36"/>
      <c r="Z464" s="36"/>
    </row>
    <row r="465" spans="1:26" ht="14">
      <c r="A465" s="35">
        <v>41480</v>
      </c>
      <c r="B465" s="72" t="s">
        <v>154</v>
      </c>
      <c r="C465" s="165">
        <v>2013</v>
      </c>
      <c r="D465" s="65">
        <v>8</v>
      </c>
      <c r="E465" s="36" t="s">
        <v>223</v>
      </c>
      <c r="F465" s="36" t="s">
        <v>267</v>
      </c>
      <c r="G465" s="36"/>
      <c r="H465" s="36" t="s">
        <v>273</v>
      </c>
      <c r="I465" s="36"/>
      <c r="J465" s="36"/>
      <c r="K465" s="36"/>
      <c r="L465" s="36">
        <v>1</v>
      </c>
      <c r="M465" s="36" t="s">
        <v>508</v>
      </c>
      <c r="N465" s="36" t="s">
        <v>335</v>
      </c>
      <c r="O465" s="36">
        <v>15</v>
      </c>
      <c r="P465" s="36">
        <v>2.9652259854021296E-4</v>
      </c>
      <c r="Q465" s="36">
        <v>1000</v>
      </c>
      <c r="R465" s="36" t="s">
        <v>336</v>
      </c>
      <c r="S465" s="36"/>
      <c r="T465" s="36"/>
      <c r="U465" s="36"/>
      <c r="V465" s="36"/>
      <c r="W465" s="36"/>
      <c r="X465" s="36"/>
      <c r="Y465" s="36"/>
      <c r="Z465" s="36"/>
    </row>
    <row r="466" spans="1:26" ht="14">
      <c r="A466" s="35">
        <v>41480</v>
      </c>
      <c r="B466" s="72" t="s">
        <v>154</v>
      </c>
      <c r="C466" s="165">
        <v>2013</v>
      </c>
      <c r="D466" s="65">
        <v>8</v>
      </c>
      <c r="E466" s="36" t="s">
        <v>223</v>
      </c>
      <c r="F466" s="36" t="s">
        <v>267</v>
      </c>
      <c r="G466" s="36"/>
      <c r="H466" s="36" t="s">
        <v>273</v>
      </c>
      <c r="I466" s="36"/>
      <c r="J466" s="36"/>
      <c r="K466" s="36"/>
      <c r="L466" s="36">
        <v>1</v>
      </c>
      <c r="M466" s="36" t="s">
        <v>508</v>
      </c>
      <c r="N466" s="36" t="s">
        <v>335</v>
      </c>
      <c r="O466" s="36">
        <v>15</v>
      </c>
      <c r="P466" s="36">
        <v>2.9652259854021296E-4</v>
      </c>
      <c r="Q466" s="36">
        <v>1000</v>
      </c>
      <c r="R466" s="36" t="s">
        <v>337</v>
      </c>
      <c r="S466" s="36"/>
      <c r="T466" s="36"/>
      <c r="U466" s="36"/>
      <c r="V466" s="36"/>
      <c r="W466" s="36"/>
      <c r="X466" s="36"/>
      <c r="Y466" s="36"/>
      <c r="Z466" s="36"/>
    </row>
    <row r="467" spans="1:26" ht="14">
      <c r="A467" s="35">
        <v>41480</v>
      </c>
      <c r="B467" s="72" t="s">
        <v>154</v>
      </c>
      <c r="C467" s="165">
        <v>2013</v>
      </c>
      <c r="D467" s="65">
        <v>8</v>
      </c>
      <c r="E467" s="36" t="s">
        <v>223</v>
      </c>
      <c r="F467" s="36" t="s">
        <v>267</v>
      </c>
      <c r="G467" s="36"/>
      <c r="H467" s="36" t="s">
        <v>273</v>
      </c>
      <c r="I467" s="36"/>
      <c r="J467" s="36"/>
      <c r="K467" s="36"/>
      <c r="L467" s="36">
        <v>1</v>
      </c>
      <c r="M467" s="36" t="s">
        <v>508</v>
      </c>
      <c r="N467" s="36" t="s">
        <v>335</v>
      </c>
      <c r="O467" s="36">
        <v>15</v>
      </c>
      <c r="P467" s="36">
        <v>2.9652259854021296E-4</v>
      </c>
      <c r="Q467" s="36">
        <v>1000</v>
      </c>
      <c r="R467" s="36" t="s">
        <v>338</v>
      </c>
      <c r="S467" s="36"/>
      <c r="T467" s="36"/>
      <c r="U467" s="36"/>
      <c r="V467" s="36"/>
      <c r="W467" s="36"/>
      <c r="X467" s="36"/>
      <c r="Y467" s="36"/>
      <c r="Z467" s="36"/>
    </row>
    <row r="468" spans="1:26" ht="14">
      <c r="A468" s="13">
        <v>43019</v>
      </c>
      <c r="B468" s="72" t="s">
        <v>159</v>
      </c>
      <c r="C468" s="165">
        <v>2017</v>
      </c>
      <c r="D468" s="65">
        <v>4</v>
      </c>
      <c r="E468" s="36" t="s">
        <v>223</v>
      </c>
      <c r="F468" s="36" t="s">
        <v>267</v>
      </c>
      <c r="G468" s="3"/>
      <c r="H468" s="36" t="s">
        <v>652</v>
      </c>
      <c r="I468" s="3"/>
      <c r="J468" s="36" t="s">
        <v>649</v>
      </c>
      <c r="K468" s="36" t="s">
        <v>650</v>
      </c>
      <c r="L468" s="36">
        <v>1</v>
      </c>
      <c r="M468" s="36" t="s">
        <v>247</v>
      </c>
      <c r="N468" s="36" t="s">
        <v>651</v>
      </c>
      <c r="O468" s="3">
        <v>214</v>
      </c>
      <c r="P468" s="36">
        <v>6.303095317028373E-3</v>
      </c>
      <c r="Q468" s="36">
        <v>1000</v>
      </c>
      <c r="R468" s="3"/>
      <c r="S468" s="3"/>
      <c r="T468" s="36"/>
      <c r="U468" s="36"/>
      <c r="V468" s="36"/>
      <c r="W468" s="36"/>
      <c r="X468" s="36"/>
      <c r="Y468" s="36"/>
      <c r="Z468" s="36"/>
    </row>
    <row r="469" spans="1:26" ht="14">
      <c r="A469" s="13">
        <v>42928</v>
      </c>
      <c r="B469" s="35" t="s">
        <v>154</v>
      </c>
      <c r="C469" s="165">
        <v>2017</v>
      </c>
      <c r="D469" s="65">
        <v>8</v>
      </c>
      <c r="E469" s="36" t="s">
        <v>223</v>
      </c>
      <c r="F469" s="36" t="s">
        <v>267</v>
      </c>
      <c r="G469" s="3"/>
      <c r="H469" s="36" t="s">
        <v>652</v>
      </c>
      <c r="I469" s="3"/>
      <c r="J469" s="36" t="s">
        <v>649</v>
      </c>
      <c r="K469" s="36" t="s">
        <v>650</v>
      </c>
      <c r="L469" s="36">
        <v>1</v>
      </c>
      <c r="M469" s="36" t="s">
        <v>247</v>
      </c>
      <c r="N469" s="36" t="s">
        <v>651</v>
      </c>
      <c r="O469" s="3">
        <v>26</v>
      </c>
      <c r="P469" s="36">
        <v>1.4582376221279529E-3</v>
      </c>
      <c r="Q469" s="36">
        <v>1000</v>
      </c>
      <c r="R469" s="3"/>
      <c r="S469" s="3"/>
      <c r="T469" s="36"/>
      <c r="U469" s="36"/>
      <c r="V469" s="36"/>
      <c r="W469" s="36"/>
      <c r="X469" s="36"/>
      <c r="Y469" s="36"/>
      <c r="Z469" s="36"/>
    </row>
    <row r="470" spans="1:26" ht="14">
      <c r="A470" s="35">
        <v>41851</v>
      </c>
      <c r="B470" s="35" t="s">
        <v>154</v>
      </c>
      <c r="C470" s="165">
        <v>2014</v>
      </c>
      <c r="D470" s="65">
        <v>2</v>
      </c>
      <c r="E470" s="36" t="s">
        <v>351</v>
      </c>
      <c r="F470" s="36"/>
      <c r="G470" s="36"/>
      <c r="H470" s="36"/>
      <c r="I470" s="36"/>
      <c r="J470" s="36"/>
      <c r="K470" s="36"/>
      <c r="L470" s="36">
        <v>5</v>
      </c>
      <c r="M470" s="36" t="s">
        <v>474</v>
      </c>
      <c r="N470" s="36" t="s">
        <v>534</v>
      </c>
      <c r="O470" s="36">
        <v>53</v>
      </c>
      <c r="P470" s="65">
        <v>0.1147407914854614</v>
      </c>
      <c r="Q470" s="36">
        <v>1000</v>
      </c>
      <c r="R470" s="36"/>
      <c r="S470" s="36"/>
      <c r="T470" s="36"/>
      <c r="U470" s="36"/>
      <c r="V470" s="36"/>
      <c r="W470" s="36"/>
      <c r="X470" s="36"/>
      <c r="Y470" s="36"/>
      <c r="Z470" s="36"/>
    </row>
    <row r="471" spans="1:26" ht="14">
      <c r="A471" s="35">
        <v>41851</v>
      </c>
      <c r="B471" s="35" t="s">
        <v>154</v>
      </c>
      <c r="C471" s="165">
        <v>2014</v>
      </c>
      <c r="D471" s="36">
        <v>4</v>
      </c>
      <c r="E471" s="65" t="s">
        <v>351</v>
      </c>
      <c r="F471" s="65"/>
      <c r="G471" s="65"/>
      <c r="H471" s="65"/>
      <c r="I471" s="65"/>
      <c r="J471" s="36"/>
      <c r="K471" s="36"/>
      <c r="L471" s="36">
        <v>415</v>
      </c>
      <c r="M471" s="36" t="s">
        <v>474</v>
      </c>
      <c r="N471" s="36" t="s">
        <v>534</v>
      </c>
      <c r="O471" s="36">
        <v>678</v>
      </c>
      <c r="P471" s="65">
        <v>1.6056653069558735</v>
      </c>
      <c r="Q471" s="36">
        <v>1000</v>
      </c>
      <c r="R471" s="36" t="s">
        <v>536</v>
      </c>
      <c r="S471" s="36"/>
      <c r="T471" s="36"/>
      <c r="U471" s="36"/>
      <c r="V471" s="36"/>
      <c r="W471" s="36"/>
      <c r="X471" s="36"/>
      <c r="Y471" s="36"/>
      <c r="Z471" s="36"/>
    </row>
    <row r="472" spans="1:26" ht="14">
      <c r="A472" s="72">
        <v>41851</v>
      </c>
      <c r="B472" s="35" t="s">
        <v>154</v>
      </c>
      <c r="C472" s="165">
        <v>2014</v>
      </c>
      <c r="D472" s="36">
        <v>5</v>
      </c>
      <c r="E472" s="36" t="s">
        <v>351</v>
      </c>
      <c r="F472" s="36"/>
      <c r="G472" s="36"/>
      <c r="H472" s="36"/>
      <c r="I472" s="36"/>
      <c r="J472" s="36"/>
      <c r="K472" s="36"/>
      <c r="L472" s="36">
        <v>119</v>
      </c>
      <c r="M472" s="36" t="s">
        <v>474</v>
      </c>
      <c r="N472" s="36" t="s">
        <v>534</v>
      </c>
      <c r="O472" s="36">
        <v>138</v>
      </c>
      <c r="P472" s="65">
        <v>0.59019175731558482</v>
      </c>
      <c r="Q472" s="36">
        <v>1000</v>
      </c>
      <c r="R472" s="36" t="s">
        <v>535</v>
      </c>
      <c r="S472" s="36"/>
      <c r="T472" s="36"/>
      <c r="U472" s="36"/>
      <c r="V472" s="36"/>
      <c r="W472" s="36"/>
      <c r="X472" s="36"/>
      <c r="Y472" s="36"/>
      <c r="Z472" s="36"/>
    </row>
    <row r="473" spans="1:26" ht="14">
      <c r="A473" s="35">
        <v>41912</v>
      </c>
      <c r="B473" s="35" t="s">
        <v>157</v>
      </c>
      <c r="C473" s="165">
        <v>2014</v>
      </c>
      <c r="D473" s="76">
        <v>5</v>
      </c>
      <c r="E473" s="65" t="s">
        <v>351</v>
      </c>
      <c r="F473" s="65"/>
      <c r="G473" s="65"/>
      <c r="H473" s="65"/>
      <c r="I473" s="65"/>
      <c r="J473" s="36"/>
      <c r="K473" s="36"/>
      <c r="L473" s="36">
        <v>4</v>
      </c>
      <c r="M473" s="36" t="s">
        <v>474</v>
      </c>
      <c r="N473" s="36" t="s">
        <v>352</v>
      </c>
      <c r="O473" s="36">
        <v>176</v>
      </c>
      <c r="P473" s="65">
        <v>4.4605164216622601E-3</v>
      </c>
      <c r="Q473" s="36">
        <v>1000</v>
      </c>
      <c r="R473" s="36"/>
      <c r="S473" s="36"/>
      <c r="T473" s="36"/>
      <c r="U473" s="36"/>
      <c r="V473" s="36"/>
      <c r="W473" s="36"/>
      <c r="X473" s="36"/>
      <c r="Y473" s="36"/>
      <c r="Z473" s="36"/>
    </row>
    <row r="474" spans="1:26" ht="14">
      <c r="A474" s="35">
        <v>41851</v>
      </c>
      <c r="B474" s="72" t="s">
        <v>154</v>
      </c>
      <c r="C474" s="165">
        <v>2014</v>
      </c>
      <c r="D474" s="76">
        <v>8</v>
      </c>
      <c r="E474" s="36" t="s">
        <v>351</v>
      </c>
      <c r="F474" s="36"/>
      <c r="G474" s="36"/>
      <c r="H474" s="36"/>
      <c r="I474" s="36"/>
      <c r="J474" s="36"/>
      <c r="K474" s="36"/>
      <c r="L474" s="36">
        <v>4</v>
      </c>
      <c r="M474" s="36" t="s">
        <v>474</v>
      </c>
      <c r="N474" s="36" t="s">
        <v>352</v>
      </c>
      <c r="O474" s="36">
        <v>5</v>
      </c>
      <c r="P474" s="65">
        <v>2.8661445349934325E-2</v>
      </c>
      <c r="Q474" s="36">
        <v>1000</v>
      </c>
      <c r="R474" s="36"/>
      <c r="S474" s="36"/>
      <c r="T474" s="36"/>
      <c r="U474" s="36"/>
      <c r="V474" s="36"/>
      <c r="W474" s="36"/>
      <c r="X474" s="36"/>
      <c r="Y474" s="36"/>
      <c r="Z474" s="36"/>
    </row>
    <row r="475" spans="1:26" ht="14">
      <c r="A475" s="35">
        <v>41542</v>
      </c>
      <c r="B475" s="72" t="s">
        <v>157</v>
      </c>
      <c r="C475" s="165">
        <v>2013</v>
      </c>
      <c r="D475" s="65">
        <v>5</v>
      </c>
      <c r="E475" s="36" t="s">
        <v>351</v>
      </c>
      <c r="F475" s="36"/>
      <c r="G475" s="36"/>
      <c r="H475" s="36"/>
      <c r="I475" s="36"/>
      <c r="J475" s="36"/>
      <c r="K475" s="36"/>
      <c r="L475" s="36">
        <v>17</v>
      </c>
      <c r="M475" s="36" t="s">
        <v>474</v>
      </c>
      <c r="N475" s="36" t="s">
        <v>352</v>
      </c>
      <c r="O475" s="36">
        <v>41</v>
      </c>
      <c r="P475" s="65">
        <v>1.3356564869211244E-2</v>
      </c>
      <c r="Q475" s="36">
        <v>1000</v>
      </c>
      <c r="R475" s="36" t="s">
        <v>222</v>
      </c>
      <c r="S475" s="36"/>
      <c r="T475" s="36"/>
      <c r="U475" s="36"/>
      <c r="V475" s="36"/>
      <c r="W475" s="36"/>
      <c r="X475" s="36"/>
      <c r="Y475" s="36"/>
      <c r="Z475" s="36"/>
    </row>
    <row r="476" spans="1:26" ht="14">
      <c r="A476" s="72">
        <v>41480</v>
      </c>
      <c r="B476" s="72" t="s">
        <v>154</v>
      </c>
      <c r="C476" s="165">
        <v>2013</v>
      </c>
      <c r="D476" s="65">
        <v>5</v>
      </c>
      <c r="E476" s="36" t="s">
        <v>351</v>
      </c>
      <c r="F476" s="36"/>
      <c r="G476" s="36"/>
      <c r="H476" s="36"/>
      <c r="I476" s="36"/>
      <c r="J476" s="36"/>
      <c r="K476" s="36"/>
      <c r="L476" s="36">
        <v>2</v>
      </c>
      <c r="M476" s="36" t="s">
        <v>474</v>
      </c>
      <c r="N476" s="36" t="s">
        <v>352</v>
      </c>
      <c r="O476" s="36">
        <v>45</v>
      </c>
      <c r="P476" s="65">
        <v>6.2667756833241777E-4</v>
      </c>
      <c r="Q476" s="36">
        <v>1000</v>
      </c>
      <c r="R476" s="36" t="s">
        <v>222</v>
      </c>
      <c r="S476" s="36"/>
      <c r="T476" s="36"/>
      <c r="U476" s="36"/>
      <c r="V476" s="36"/>
      <c r="W476" s="36"/>
      <c r="X476" s="36"/>
      <c r="Y476" s="36"/>
      <c r="Z476" s="36"/>
    </row>
    <row r="477" spans="1:26" ht="14">
      <c r="A477" s="35">
        <v>41480</v>
      </c>
      <c r="B477" s="72" t="s">
        <v>154</v>
      </c>
      <c r="C477" s="165">
        <v>2013</v>
      </c>
      <c r="D477" s="65">
        <v>8</v>
      </c>
      <c r="E477" s="36" t="s">
        <v>351</v>
      </c>
      <c r="F477" s="36"/>
      <c r="G477" s="36"/>
      <c r="H477" s="36"/>
      <c r="I477" s="36"/>
      <c r="J477" s="36"/>
      <c r="K477" s="36"/>
      <c r="L477" s="36">
        <v>3</v>
      </c>
      <c r="M477" s="36" t="s">
        <v>474</v>
      </c>
      <c r="N477" s="36" t="s">
        <v>352</v>
      </c>
      <c r="O477" s="36">
        <v>15</v>
      </c>
      <c r="P477" s="65">
        <v>8.8956779562063824E-4</v>
      </c>
      <c r="Q477" s="36">
        <v>1000</v>
      </c>
      <c r="R477" s="36" t="s">
        <v>222</v>
      </c>
      <c r="S477" s="36"/>
      <c r="T477" s="36"/>
      <c r="U477" s="36"/>
      <c r="V477" s="36"/>
      <c r="W477" s="36"/>
      <c r="X477" s="36"/>
      <c r="Y477" s="36"/>
      <c r="Z477" s="36"/>
    </row>
    <row r="478" spans="1:26" ht="14">
      <c r="A478" s="72">
        <v>42634</v>
      </c>
      <c r="B478" s="35" t="s">
        <v>157</v>
      </c>
      <c r="C478" s="165">
        <v>2016</v>
      </c>
      <c r="D478" s="65">
        <v>8</v>
      </c>
      <c r="E478" s="36" t="s">
        <v>223</v>
      </c>
      <c r="F478" s="36" t="s">
        <v>267</v>
      </c>
      <c r="G478" s="36"/>
      <c r="H478" s="36" t="s">
        <v>273</v>
      </c>
      <c r="I478" s="36" t="s">
        <v>274</v>
      </c>
      <c r="J478" s="36" t="s">
        <v>275</v>
      </c>
      <c r="K478" s="36" t="s">
        <v>276</v>
      </c>
      <c r="L478" s="36">
        <v>47</v>
      </c>
      <c r="M478" s="36" t="s">
        <v>247</v>
      </c>
      <c r="N478" s="36" t="s">
        <v>519</v>
      </c>
      <c r="O478" s="36">
        <v>3658</v>
      </c>
      <c r="P478" s="36">
        <v>8.305716562515178E-2</v>
      </c>
      <c r="Q478" s="36">
        <v>1000</v>
      </c>
      <c r="R478" s="36"/>
      <c r="S478" s="36"/>
      <c r="T478" s="36"/>
      <c r="U478" s="36"/>
      <c r="V478" s="36"/>
      <c r="W478" s="36"/>
      <c r="X478" s="36"/>
      <c r="Y478" s="36"/>
      <c r="Z478" s="36"/>
    </row>
    <row r="479" spans="1:26" ht="14">
      <c r="A479" s="35">
        <v>42263</v>
      </c>
      <c r="B479" s="35" t="s">
        <v>157</v>
      </c>
      <c r="C479" s="165">
        <v>2015</v>
      </c>
      <c r="D479" s="36">
        <v>4</v>
      </c>
      <c r="E479" s="65" t="s">
        <v>223</v>
      </c>
      <c r="F479" s="65" t="s">
        <v>267</v>
      </c>
      <c r="G479" s="65"/>
      <c r="H479" s="65" t="s">
        <v>273</v>
      </c>
      <c r="I479" s="65" t="s">
        <v>274</v>
      </c>
      <c r="J479" s="65" t="s">
        <v>275</v>
      </c>
      <c r="K479" s="36" t="s">
        <v>276</v>
      </c>
      <c r="L479" s="36">
        <v>5</v>
      </c>
      <c r="M479" s="36" t="s">
        <v>247</v>
      </c>
      <c r="N479" s="36" t="s">
        <v>519</v>
      </c>
      <c r="O479" s="36">
        <v>36</v>
      </c>
      <c r="P479" s="65">
        <v>2.4185646989606159E-2</v>
      </c>
      <c r="Q479" s="65">
        <v>1000</v>
      </c>
      <c r="R479" s="65"/>
      <c r="S479" s="65"/>
      <c r="T479" s="65"/>
      <c r="U479" s="36"/>
      <c r="V479" s="36"/>
      <c r="W479" s="36"/>
      <c r="X479" s="36"/>
      <c r="Y479" s="36"/>
      <c r="Z479" s="36"/>
    </row>
    <row r="480" spans="1:26" ht="14">
      <c r="A480" s="35">
        <v>41912</v>
      </c>
      <c r="B480" s="35" t="s">
        <v>157</v>
      </c>
      <c r="C480" s="165">
        <v>2014</v>
      </c>
      <c r="D480" s="76">
        <v>2</v>
      </c>
      <c r="E480" s="36" t="s">
        <v>223</v>
      </c>
      <c r="F480" s="36" t="s">
        <v>267</v>
      </c>
      <c r="G480" s="36"/>
      <c r="H480" s="36" t="s">
        <v>273</v>
      </c>
      <c r="I480" s="36" t="s">
        <v>274</v>
      </c>
      <c r="J480" s="36" t="s">
        <v>275</v>
      </c>
      <c r="K480" s="36" t="s">
        <v>276</v>
      </c>
      <c r="L480" s="36">
        <v>33</v>
      </c>
      <c r="M480" s="36" t="s">
        <v>247</v>
      </c>
      <c r="N480" s="36" t="s">
        <v>519</v>
      </c>
      <c r="O480" s="36">
        <v>97</v>
      </c>
      <c r="P480" s="36">
        <v>4.109775525520909E-2</v>
      </c>
      <c r="Q480" s="36">
        <v>1000</v>
      </c>
      <c r="R480" s="36" t="s">
        <v>580</v>
      </c>
      <c r="S480" s="36"/>
      <c r="T480" s="36"/>
      <c r="U480" s="36"/>
      <c r="V480" s="36"/>
      <c r="W480" s="36"/>
      <c r="X480" s="36"/>
      <c r="Y480" s="36"/>
      <c r="Z480" s="36"/>
    </row>
    <row r="481" spans="1:26" ht="14">
      <c r="A481" s="35">
        <v>41851</v>
      </c>
      <c r="B481" s="35" t="s">
        <v>154</v>
      </c>
      <c r="C481" s="165">
        <v>2014</v>
      </c>
      <c r="D481" s="36">
        <v>4</v>
      </c>
      <c r="E481" s="36" t="s">
        <v>223</v>
      </c>
      <c r="F481" s="36" t="s">
        <v>267</v>
      </c>
      <c r="G481" s="36"/>
      <c r="H481" s="36" t="s">
        <v>273</v>
      </c>
      <c r="I481" s="36" t="s">
        <v>274</v>
      </c>
      <c r="J481" s="36" t="s">
        <v>275</v>
      </c>
      <c r="K481" s="36" t="s">
        <v>276</v>
      </c>
      <c r="L481" s="36">
        <v>1</v>
      </c>
      <c r="M481" s="36" t="s">
        <v>247</v>
      </c>
      <c r="N481" s="36" t="s">
        <v>519</v>
      </c>
      <c r="O481" s="36">
        <v>678</v>
      </c>
      <c r="P481" s="65">
        <v>3.869073028809334E-3</v>
      </c>
      <c r="Q481" s="36">
        <v>1000</v>
      </c>
      <c r="R481" s="36" t="s">
        <v>222</v>
      </c>
      <c r="S481" s="36"/>
      <c r="T481" s="36"/>
      <c r="U481" s="36"/>
      <c r="V481" s="36"/>
      <c r="W481" s="36"/>
      <c r="X481" s="36"/>
      <c r="Y481" s="36"/>
      <c r="Z481" s="36"/>
    </row>
    <row r="482" spans="1:26" ht="14">
      <c r="A482" s="13">
        <v>43019</v>
      </c>
      <c r="B482" s="72" t="s">
        <v>159</v>
      </c>
      <c r="C482" s="165">
        <v>2017</v>
      </c>
      <c r="D482" s="65">
        <v>4</v>
      </c>
      <c r="E482" s="36" t="s">
        <v>223</v>
      </c>
      <c r="F482" s="36" t="s">
        <v>267</v>
      </c>
      <c r="G482" s="36"/>
      <c r="H482" s="36" t="s">
        <v>273</v>
      </c>
      <c r="I482" s="36" t="s">
        <v>274</v>
      </c>
      <c r="J482" s="36" t="s">
        <v>275</v>
      </c>
      <c r="K482" s="36" t="s">
        <v>276</v>
      </c>
      <c r="L482" s="36">
        <v>17</v>
      </c>
      <c r="M482" s="36" t="s">
        <v>247</v>
      </c>
      <c r="N482" s="36" t="s">
        <v>275</v>
      </c>
      <c r="O482" s="3">
        <v>214</v>
      </c>
      <c r="P482" s="36">
        <v>0.10715262038948235</v>
      </c>
      <c r="Q482" s="36">
        <v>1000</v>
      </c>
      <c r="R482" s="3"/>
      <c r="S482" s="3"/>
      <c r="T482" s="36"/>
      <c r="U482" s="36"/>
      <c r="V482" s="36"/>
      <c r="W482" s="36"/>
      <c r="X482" s="36"/>
      <c r="Y482" s="36"/>
      <c r="Z482" s="36"/>
    </row>
    <row r="483" spans="1:26" ht="14">
      <c r="A483" s="13">
        <v>42928</v>
      </c>
      <c r="B483" s="72" t="s">
        <v>154</v>
      </c>
      <c r="C483" s="165">
        <v>2017</v>
      </c>
      <c r="D483" s="65">
        <v>4</v>
      </c>
      <c r="E483" s="36" t="s">
        <v>223</v>
      </c>
      <c r="F483" s="36" t="s">
        <v>267</v>
      </c>
      <c r="G483" s="36"/>
      <c r="H483" s="36" t="s">
        <v>273</v>
      </c>
      <c r="I483" s="36" t="s">
        <v>274</v>
      </c>
      <c r="J483" s="36" t="s">
        <v>275</v>
      </c>
      <c r="K483" s="36" t="s">
        <v>276</v>
      </c>
      <c r="L483" s="36">
        <v>4</v>
      </c>
      <c r="M483" s="36" t="s">
        <v>247</v>
      </c>
      <c r="N483" s="36" t="s">
        <v>275</v>
      </c>
      <c r="O483" s="3">
        <v>92</v>
      </c>
      <c r="P483" s="36">
        <v>1.7440471826839176E-2</v>
      </c>
      <c r="Q483" s="36">
        <v>1000</v>
      </c>
      <c r="R483" s="3"/>
      <c r="S483" s="3"/>
      <c r="T483" s="36"/>
      <c r="U483" s="36"/>
      <c r="V483" s="36"/>
      <c r="W483" s="36"/>
      <c r="X483" s="36"/>
      <c r="Y483" s="36"/>
      <c r="Z483" s="36"/>
    </row>
    <row r="484" spans="1:26" ht="14">
      <c r="A484" s="13">
        <v>42928</v>
      </c>
      <c r="B484" s="72" t="s">
        <v>154</v>
      </c>
      <c r="C484" s="165">
        <v>2017</v>
      </c>
      <c r="D484" s="65">
        <v>8</v>
      </c>
      <c r="E484" s="36" t="s">
        <v>223</v>
      </c>
      <c r="F484" s="36" t="s">
        <v>267</v>
      </c>
      <c r="G484" s="36"/>
      <c r="H484" s="36" t="s">
        <v>273</v>
      </c>
      <c r="I484" s="36" t="s">
        <v>274</v>
      </c>
      <c r="J484" s="36" t="s">
        <v>275</v>
      </c>
      <c r="K484" s="36" t="s">
        <v>276</v>
      </c>
      <c r="L484" s="36">
        <v>9</v>
      </c>
      <c r="M484" s="36" t="s">
        <v>247</v>
      </c>
      <c r="N484" s="36" t="s">
        <v>275</v>
      </c>
      <c r="O484" s="3">
        <v>26</v>
      </c>
      <c r="P484" s="36">
        <v>1.3124138599151576E-2</v>
      </c>
      <c r="Q484" s="36">
        <v>1000</v>
      </c>
      <c r="R484" s="3"/>
      <c r="S484" s="3"/>
      <c r="T484" s="36"/>
      <c r="U484" s="36"/>
      <c r="V484" s="36"/>
      <c r="W484" s="36"/>
      <c r="X484" s="36"/>
      <c r="Y484" s="36"/>
      <c r="Z484" s="36"/>
    </row>
    <row r="485" spans="1:26" ht="14">
      <c r="A485" s="13">
        <v>42867</v>
      </c>
      <c r="B485" s="72" t="s">
        <v>144</v>
      </c>
      <c r="C485" s="165">
        <v>2017</v>
      </c>
      <c r="D485" s="65">
        <v>4</v>
      </c>
      <c r="E485" s="36" t="s">
        <v>223</v>
      </c>
      <c r="F485" s="36" t="s">
        <v>267</v>
      </c>
      <c r="G485" s="36"/>
      <c r="H485" s="36" t="s">
        <v>273</v>
      </c>
      <c r="I485" s="36" t="s">
        <v>274</v>
      </c>
      <c r="J485" s="36" t="s">
        <v>275</v>
      </c>
      <c r="K485" s="36" t="s">
        <v>276</v>
      </c>
      <c r="L485" s="36">
        <v>2</v>
      </c>
      <c r="M485" s="36" t="s">
        <v>247</v>
      </c>
      <c r="N485" s="36" t="s">
        <v>275</v>
      </c>
      <c r="O485" s="3">
        <v>664</v>
      </c>
      <c r="P485" s="36">
        <v>5.0180085831790181E-3</v>
      </c>
      <c r="Q485" s="36">
        <v>1000</v>
      </c>
      <c r="R485" s="3"/>
      <c r="S485" s="3"/>
      <c r="T485" s="36"/>
      <c r="U485" s="36"/>
      <c r="V485" s="36"/>
      <c r="W485" s="36"/>
      <c r="X485" s="36"/>
      <c r="Y485" s="36"/>
      <c r="Z485" s="36"/>
    </row>
    <row r="486" spans="1:26" ht="14">
      <c r="A486" s="13">
        <v>42867</v>
      </c>
      <c r="B486" s="72" t="s">
        <v>144</v>
      </c>
      <c r="C486" s="165">
        <v>2017</v>
      </c>
      <c r="D486" s="65">
        <v>5</v>
      </c>
      <c r="E486" s="65" t="s">
        <v>223</v>
      </c>
      <c r="F486" s="65" t="s">
        <v>267</v>
      </c>
      <c r="G486" s="65"/>
      <c r="H486" s="65" t="s">
        <v>273</v>
      </c>
      <c r="I486" s="65" t="s">
        <v>274</v>
      </c>
      <c r="J486" s="65" t="s">
        <v>275</v>
      </c>
      <c r="K486" s="36" t="s">
        <v>276</v>
      </c>
      <c r="L486" s="36">
        <v>8</v>
      </c>
      <c r="M486" s="36" t="s">
        <v>247</v>
      </c>
      <c r="N486" s="36" t="s">
        <v>275</v>
      </c>
      <c r="O486" s="3">
        <v>16</v>
      </c>
      <c r="P486" s="36">
        <v>1.622723268292333E-2</v>
      </c>
      <c r="Q486" s="65">
        <v>1000</v>
      </c>
      <c r="R486" s="51"/>
      <c r="S486" s="51"/>
      <c r="T486" s="65"/>
      <c r="U486" s="36"/>
      <c r="V486" s="36"/>
      <c r="W486" s="36"/>
      <c r="X486" s="36"/>
      <c r="Y486" s="36"/>
      <c r="Z486" s="36"/>
    </row>
    <row r="487" spans="1:26" ht="14">
      <c r="A487" s="13">
        <v>42867</v>
      </c>
      <c r="B487" s="72" t="s">
        <v>144</v>
      </c>
      <c r="C487" s="165">
        <v>2017</v>
      </c>
      <c r="D487" s="65">
        <v>8</v>
      </c>
      <c r="E487" s="36" t="s">
        <v>223</v>
      </c>
      <c r="F487" s="36" t="s">
        <v>267</v>
      </c>
      <c r="G487" s="36"/>
      <c r="H487" s="36" t="s">
        <v>273</v>
      </c>
      <c r="I487" s="36" t="s">
        <v>274</v>
      </c>
      <c r="J487" s="36" t="s">
        <v>275</v>
      </c>
      <c r="K487" s="36" t="s">
        <v>276</v>
      </c>
      <c r="L487" s="36">
        <v>11</v>
      </c>
      <c r="M487" s="36" t="s">
        <v>247</v>
      </c>
      <c r="N487" s="36" t="s">
        <v>275</v>
      </c>
      <c r="O487" s="3">
        <v>42</v>
      </c>
      <c r="P487" s="36">
        <v>4.4970412106917171E-2</v>
      </c>
      <c r="Q487" s="36">
        <v>1000</v>
      </c>
      <c r="R487" s="3"/>
      <c r="S487" s="3"/>
      <c r="T487" s="36"/>
      <c r="U487" s="36"/>
      <c r="V487" s="36"/>
      <c r="W487" s="36"/>
      <c r="X487" s="36"/>
      <c r="Y487" s="36"/>
      <c r="Z487" s="36"/>
    </row>
    <row r="488" spans="1:26" ht="14">
      <c r="A488" s="35">
        <v>42634</v>
      </c>
      <c r="B488" s="72" t="s">
        <v>157</v>
      </c>
      <c r="C488" s="165">
        <v>2016</v>
      </c>
      <c r="D488" s="65">
        <v>2</v>
      </c>
      <c r="E488" s="36" t="s">
        <v>223</v>
      </c>
      <c r="F488" s="36" t="s">
        <v>267</v>
      </c>
      <c r="G488" s="36"/>
      <c r="H488" s="36" t="s">
        <v>273</v>
      </c>
      <c r="I488" s="36" t="s">
        <v>274</v>
      </c>
      <c r="J488" s="36" t="s">
        <v>275</v>
      </c>
      <c r="K488" s="36" t="s">
        <v>276</v>
      </c>
      <c r="L488" s="36">
        <v>2</v>
      </c>
      <c r="M488" s="36" t="s">
        <v>247</v>
      </c>
      <c r="N488" s="36" t="s">
        <v>275</v>
      </c>
      <c r="O488" s="36">
        <v>19</v>
      </c>
      <c r="P488" s="36">
        <v>1.4250136439935398E-3</v>
      </c>
      <c r="Q488" s="36">
        <v>1000</v>
      </c>
      <c r="R488" s="36"/>
      <c r="S488" s="36"/>
      <c r="T488" s="36"/>
      <c r="U488" s="36"/>
      <c r="V488" s="36"/>
      <c r="W488" s="36"/>
      <c r="X488" s="36"/>
      <c r="Y488" s="36"/>
      <c r="Z488" s="36"/>
    </row>
    <row r="489" spans="1:26" ht="14">
      <c r="A489" s="35">
        <v>42634</v>
      </c>
      <c r="B489" s="72" t="s">
        <v>157</v>
      </c>
      <c r="C489" s="165">
        <v>2016</v>
      </c>
      <c r="D489" s="65">
        <v>4</v>
      </c>
      <c r="E489" s="36" t="s">
        <v>223</v>
      </c>
      <c r="F489" s="36" t="s">
        <v>267</v>
      </c>
      <c r="G489" s="36"/>
      <c r="H489" s="36" t="s">
        <v>273</v>
      </c>
      <c r="I489" s="36" t="s">
        <v>274</v>
      </c>
      <c r="J489" s="36" t="s">
        <v>275</v>
      </c>
      <c r="K489" s="36" t="s">
        <v>276</v>
      </c>
      <c r="L489" s="36">
        <v>4</v>
      </c>
      <c r="M489" s="36" t="s">
        <v>247</v>
      </c>
      <c r="N489" s="36" t="s">
        <v>275</v>
      </c>
      <c r="O489" s="36">
        <v>127</v>
      </c>
      <c r="P489" s="65">
        <v>8.1103611601757702E-3</v>
      </c>
      <c r="Q489" s="36">
        <v>1000</v>
      </c>
      <c r="R489" s="36"/>
      <c r="S489" s="36"/>
      <c r="T489" s="36"/>
      <c r="U489" s="36"/>
      <c r="V489" s="36"/>
      <c r="W489" s="36"/>
      <c r="X489" s="36"/>
      <c r="Y489" s="36"/>
      <c r="Z489" s="36"/>
    </row>
    <row r="490" spans="1:26" ht="14">
      <c r="A490" s="35">
        <v>42634</v>
      </c>
      <c r="B490" s="35" t="s">
        <v>157</v>
      </c>
      <c r="C490" s="165">
        <v>2016</v>
      </c>
      <c r="D490" s="65">
        <v>5</v>
      </c>
      <c r="E490" s="36" t="s">
        <v>223</v>
      </c>
      <c r="F490" s="36" t="s">
        <v>267</v>
      </c>
      <c r="G490" s="36"/>
      <c r="H490" s="36" t="s">
        <v>273</v>
      </c>
      <c r="I490" s="36" t="s">
        <v>274</v>
      </c>
      <c r="J490" s="36" t="s">
        <v>275</v>
      </c>
      <c r="K490" s="36" t="s">
        <v>276</v>
      </c>
      <c r="L490" s="36">
        <v>2</v>
      </c>
      <c r="M490" s="36" t="s">
        <v>247</v>
      </c>
      <c r="N490" s="36" t="s">
        <v>275</v>
      </c>
      <c r="O490" s="36">
        <v>93</v>
      </c>
      <c r="P490" s="36">
        <v>1.8826283242126115E-3</v>
      </c>
      <c r="Q490" s="36">
        <v>1000</v>
      </c>
      <c r="R490" s="36"/>
      <c r="S490" s="36"/>
      <c r="T490" s="36"/>
      <c r="U490" s="36"/>
      <c r="V490" s="36"/>
      <c r="W490" s="36"/>
      <c r="X490" s="36"/>
      <c r="Y490" s="36"/>
      <c r="Z490" s="36"/>
    </row>
    <row r="491" spans="1:26" ht="14">
      <c r="A491" s="35">
        <v>42571</v>
      </c>
      <c r="B491" s="35" t="s">
        <v>154</v>
      </c>
      <c r="C491" s="165">
        <v>2016</v>
      </c>
      <c r="D491" s="36">
        <v>4</v>
      </c>
      <c r="E491" s="36" t="s">
        <v>223</v>
      </c>
      <c r="F491" s="36" t="s">
        <v>267</v>
      </c>
      <c r="G491" s="36"/>
      <c r="H491" s="36" t="s">
        <v>273</v>
      </c>
      <c r="I491" s="36" t="s">
        <v>274</v>
      </c>
      <c r="J491" s="36" t="s">
        <v>275</v>
      </c>
      <c r="K491" s="36" t="s">
        <v>276</v>
      </c>
      <c r="L491" s="36">
        <v>2</v>
      </c>
      <c r="M491" s="36" t="s">
        <v>247</v>
      </c>
      <c r="N491" s="36" t="s">
        <v>275</v>
      </c>
      <c r="O491" s="36">
        <v>13</v>
      </c>
      <c r="P491" s="36">
        <v>6.024998683537789E-3</v>
      </c>
      <c r="Q491" s="65">
        <v>1000</v>
      </c>
      <c r="R491" s="65"/>
      <c r="S491" s="65"/>
      <c r="T491" s="166"/>
      <c r="U491" s="36"/>
      <c r="V491" s="36"/>
      <c r="W491" s="36"/>
      <c r="X491" s="36"/>
      <c r="Y491" s="36"/>
      <c r="Z491" s="36"/>
    </row>
    <row r="492" spans="1:26" ht="14">
      <c r="A492" s="35">
        <v>42206</v>
      </c>
      <c r="B492" s="72" t="s">
        <v>154</v>
      </c>
      <c r="C492" s="165">
        <v>2015</v>
      </c>
      <c r="D492" s="36">
        <v>4</v>
      </c>
      <c r="E492" s="65" t="s">
        <v>223</v>
      </c>
      <c r="F492" s="65" t="s">
        <v>267</v>
      </c>
      <c r="G492" s="65"/>
      <c r="H492" s="65" t="s">
        <v>273</v>
      </c>
      <c r="I492" s="65" t="s">
        <v>274</v>
      </c>
      <c r="J492" s="36" t="s">
        <v>275</v>
      </c>
      <c r="K492" s="36" t="s">
        <v>276</v>
      </c>
      <c r="L492" s="36">
        <v>2</v>
      </c>
      <c r="M492" s="36" t="s">
        <v>247</v>
      </c>
      <c r="N492" s="36" t="s">
        <v>275</v>
      </c>
      <c r="O492" s="36">
        <v>249</v>
      </c>
      <c r="P492" s="36">
        <v>1.076543986220237E-2</v>
      </c>
      <c r="Q492" s="36">
        <v>1000</v>
      </c>
      <c r="R492" s="36" t="s">
        <v>550</v>
      </c>
      <c r="S492" s="36"/>
      <c r="T492" s="36"/>
      <c r="U492" s="36"/>
      <c r="V492" s="36"/>
      <c r="W492" s="36"/>
      <c r="X492" s="36"/>
      <c r="Y492" s="36"/>
      <c r="Z492" s="36"/>
    </row>
    <row r="493" spans="1:26" ht="14">
      <c r="A493" s="72">
        <v>42206</v>
      </c>
      <c r="B493" s="35" t="s">
        <v>154</v>
      </c>
      <c r="C493" s="165">
        <v>2015</v>
      </c>
      <c r="D493" s="36">
        <v>5</v>
      </c>
      <c r="E493" s="65" t="s">
        <v>223</v>
      </c>
      <c r="F493" s="36" t="s">
        <v>267</v>
      </c>
      <c r="G493" s="36"/>
      <c r="H493" s="65" t="s">
        <v>273</v>
      </c>
      <c r="I493" s="65" t="s">
        <v>274</v>
      </c>
      <c r="J493" s="65" t="s">
        <v>275</v>
      </c>
      <c r="K493" s="36" t="s">
        <v>276</v>
      </c>
      <c r="L493" s="36">
        <v>1</v>
      </c>
      <c r="M493" s="36" t="s">
        <v>247</v>
      </c>
      <c r="N493" s="36" t="s">
        <v>275</v>
      </c>
      <c r="O493" s="36">
        <v>12</v>
      </c>
      <c r="P493" s="65">
        <v>1.8980850355653678E-3</v>
      </c>
      <c r="Q493" s="36">
        <v>1000</v>
      </c>
      <c r="R493" s="36" t="s">
        <v>222</v>
      </c>
      <c r="S493" s="36"/>
      <c r="T493" s="36"/>
      <c r="U493" s="36"/>
      <c r="V493" s="36"/>
      <c r="W493" s="36"/>
      <c r="X493" s="36"/>
      <c r="Y493" s="36"/>
      <c r="Z493" s="36"/>
    </row>
    <row r="494" spans="1:26" ht="14">
      <c r="A494" s="35">
        <v>41912</v>
      </c>
      <c r="B494" s="35" t="s">
        <v>157</v>
      </c>
      <c r="C494" s="165">
        <v>2014</v>
      </c>
      <c r="D494" s="76">
        <v>4</v>
      </c>
      <c r="E494" s="36" t="s">
        <v>223</v>
      </c>
      <c r="F494" s="36" t="s">
        <v>267</v>
      </c>
      <c r="G494" s="36"/>
      <c r="H494" s="36" t="s">
        <v>273</v>
      </c>
      <c r="I494" s="36" t="s">
        <v>274</v>
      </c>
      <c r="J494" s="36" t="s">
        <v>275</v>
      </c>
      <c r="K494" s="36" t="s">
        <v>276</v>
      </c>
      <c r="L494" s="36">
        <v>4</v>
      </c>
      <c r="M494" s="36" t="s">
        <v>247</v>
      </c>
      <c r="N494" s="36" t="s">
        <v>275</v>
      </c>
      <c r="O494" s="36">
        <v>108</v>
      </c>
      <c r="P494" s="65">
        <v>7.4174737229370617E-3</v>
      </c>
      <c r="Q494" s="36">
        <v>1000</v>
      </c>
      <c r="R494" s="36" t="s">
        <v>580</v>
      </c>
      <c r="S494" s="36"/>
      <c r="T494" s="36"/>
      <c r="U494" s="36"/>
      <c r="V494" s="36"/>
      <c r="W494" s="36"/>
      <c r="X494" s="36"/>
      <c r="Y494" s="36"/>
      <c r="Z494" s="36"/>
    </row>
    <row r="495" spans="1:26" ht="14">
      <c r="A495" s="35">
        <v>41912</v>
      </c>
      <c r="B495" s="35" t="s">
        <v>157</v>
      </c>
      <c r="C495" s="165">
        <v>2014</v>
      </c>
      <c r="D495" s="76">
        <v>5</v>
      </c>
      <c r="E495" s="36" t="s">
        <v>223</v>
      </c>
      <c r="F495" s="36" t="s">
        <v>267</v>
      </c>
      <c r="G495" s="36"/>
      <c r="H495" s="36" t="s">
        <v>273</v>
      </c>
      <c r="I495" s="36" t="s">
        <v>274</v>
      </c>
      <c r="J495" s="36" t="s">
        <v>275</v>
      </c>
      <c r="K495" s="36" t="s">
        <v>276</v>
      </c>
      <c r="L495" s="36">
        <v>8</v>
      </c>
      <c r="M495" s="36" t="s">
        <v>247</v>
      </c>
      <c r="N495" s="36" t="s">
        <v>275</v>
      </c>
      <c r="O495" s="36">
        <v>176</v>
      </c>
      <c r="P495" s="65">
        <v>8.9210328433245202E-3</v>
      </c>
      <c r="Q495" s="36">
        <v>1000</v>
      </c>
      <c r="R495" s="36" t="s">
        <v>575</v>
      </c>
      <c r="S495" s="36"/>
      <c r="T495" s="36"/>
      <c r="U495" s="36"/>
      <c r="V495" s="36"/>
      <c r="W495" s="36"/>
      <c r="X495" s="36"/>
      <c r="Y495" s="36"/>
      <c r="Z495" s="36"/>
    </row>
    <row r="496" spans="1:26" ht="14">
      <c r="A496" s="35">
        <v>41851</v>
      </c>
      <c r="B496" s="72" t="s">
        <v>154</v>
      </c>
      <c r="C496" s="165">
        <v>2014</v>
      </c>
      <c r="D496" s="65">
        <v>2</v>
      </c>
      <c r="E496" s="36" t="s">
        <v>223</v>
      </c>
      <c r="F496" s="36" t="s">
        <v>267</v>
      </c>
      <c r="G496" s="36"/>
      <c r="H496" s="36" t="s">
        <v>273</v>
      </c>
      <c r="I496" s="36" t="s">
        <v>274</v>
      </c>
      <c r="J496" s="36" t="s">
        <v>275</v>
      </c>
      <c r="K496" s="36" t="s">
        <v>276</v>
      </c>
      <c r="L496" s="36">
        <v>1</v>
      </c>
      <c r="M496" s="36" t="s">
        <v>247</v>
      </c>
      <c r="N496" s="36" t="s">
        <v>275</v>
      </c>
      <c r="O496" s="36">
        <v>53</v>
      </c>
      <c r="P496" s="65">
        <v>2.2948158297092271E-2</v>
      </c>
      <c r="Q496" s="36">
        <v>1000</v>
      </c>
      <c r="R496" s="36"/>
      <c r="S496" s="36" t="e">
        <f>SUM(#REF!)</f>
        <v>#REF!</v>
      </c>
      <c r="T496" s="36"/>
      <c r="U496" s="36"/>
      <c r="V496" s="36"/>
      <c r="W496" s="36"/>
      <c r="X496" s="36"/>
      <c r="Y496" s="36"/>
      <c r="Z496" s="36"/>
    </row>
    <row r="497" spans="1:26" ht="14">
      <c r="A497" s="72">
        <v>41851</v>
      </c>
      <c r="B497" s="72" t="s">
        <v>154</v>
      </c>
      <c r="C497" s="165">
        <v>2014</v>
      </c>
      <c r="D497" s="36">
        <v>5</v>
      </c>
      <c r="E497" s="36" t="s">
        <v>223</v>
      </c>
      <c r="F497" s="36" t="s">
        <v>267</v>
      </c>
      <c r="G497" s="36"/>
      <c r="H497" s="36" t="s">
        <v>273</v>
      </c>
      <c r="I497" s="36" t="s">
        <v>274</v>
      </c>
      <c r="J497" s="36" t="s">
        <v>275</v>
      </c>
      <c r="K497" s="36" t="s">
        <v>276</v>
      </c>
      <c r="L497" s="36">
        <v>1</v>
      </c>
      <c r="M497" s="36" t="s">
        <v>247</v>
      </c>
      <c r="N497" s="36" t="s">
        <v>275</v>
      </c>
      <c r="O497" s="36">
        <v>138</v>
      </c>
      <c r="P497" s="65">
        <v>4.9595945992906322E-3</v>
      </c>
      <c r="Q497" s="36">
        <v>1000</v>
      </c>
      <c r="R497" s="36"/>
      <c r="S497" s="36"/>
      <c r="T497" s="36"/>
      <c r="U497" s="36"/>
      <c r="V497" s="36"/>
      <c r="W497" s="36"/>
      <c r="X497" s="36"/>
      <c r="Y497" s="36"/>
      <c r="Z497" s="36"/>
    </row>
    <row r="498" spans="1:26" ht="14">
      <c r="A498" s="35">
        <v>41761</v>
      </c>
      <c r="B498" s="72" t="s">
        <v>144</v>
      </c>
      <c r="C498" s="165">
        <v>2014</v>
      </c>
      <c r="D498" s="36">
        <v>4</v>
      </c>
      <c r="E498" s="36" t="s">
        <v>223</v>
      </c>
      <c r="F498" s="36" t="s">
        <v>267</v>
      </c>
      <c r="G498" s="36"/>
      <c r="H498" s="36" t="s">
        <v>273</v>
      </c>
      <c r="I498" s="36" t="s">
        <v>274</v>
      </c>
      <c r="J498" s="36" t="s">
        <v>275</v>
      </c>
      <c r="K498" s="36" t="s">
        <v>276</v>
      </c>
      <c r="L498" s="36">
        <v>3</v>
      </c>
      <c r="M498" s="36" t="s">
        <v>247</v>
      </c>
      <c r="N498" s="36" t="s">
        <v>275</v>
      </c>
      <c r="O498" s="36">
        <v>864</v>
      </c>
      <c r="P498" s="65">
        <v>8.2961129347611708E-3</v>
      </c>
      <c r="Q498" s="36">
        <v>1000</v>
      </c>
      <c r="R498" s="36" t="s">
        <v>545</v>
      </c>
      <c r="S498" s="36"/>
      <c r="T498" s="36"/>
      <c r="U498" s="36"/>
      <c r="V498" s="36"/>
      <c r="W498" s="36"/>
      <c r="X498" s="36"/>
      <c r="Y498" s="36"/>
      <c r="Z498" s="36"/>
    </row>
    <row r="499" spans="1:26" ht="14">
      <c r="A499" s="35">
        <v>41761</v>
      </c>
      <c r="B499" s="35" t="s">
        <v>144</v>
      </c>
      <c r="C499" s="165">
        <v>2014</v>
      </c>
      <c r="D499" s="65">
        <v>8</v>
      </c>
      <c r="E499" s="36" t="s">
        <v>223</v>
      </c>
      <c r="F499" s="36" t="s">
        <v>267</v>
      </c>
      <c r="G499" s="36"/>
      <c r="H499" s="36" t="s">
        <v>273</v>
      </c>
      <c r="I499" s="36" t="s">
        <v>274</v>
      </c>
      <c r="J499" s="36" t="s">
        <v>275</v>
      </c>
      <c r="K499" s="36" t="s">
        <v>276</v>
      </c>
      <c r="L499" s="36">
        <v>2</v>
      </c>
      <c r="M499" s="36" t="s">
        <v>247</v>
      </c>
      <c r="N499" s="36" t="s">
        <v>275</v>
      </c>
      <c r="O499" s="36">
        <v>91</v>
      </c>
      <c r="P499" s="65">
        <v>5.7429586134298471E-3</v>
      </c>
      <c r="Q499" s="65">
        <v>1000</v>
      </c>
      <c r="R499" s="65" t="s">
        <v>549</v>
      </c>
      <c r="S499" s="65"/>
      <c r="T499" s="65"/>
      <c r="U499" s="36"/>
      <c r="V499" s="36"/>
      <c r="W499" s="36"/>
      <c r="X499" s="36"/>
      <c r="Y499" s="36"/>
      <c r="Z499" s="36"/>
    </row>
    <row r="500" spans="1:26" ht="14">
      <c r="A500" s="72">
        <v>41542</v>
      </c>
      <c r="B500" s="72" t="s">
        <v>157</v>
      </c>
      <c r="C500" s="165">
        <v>2013</v>
      </c>
      <c r="D500" s="65">
        <v>4</v>
      </c>
      <c r="E500" s="36" t="s">
        <v>223</v>
      </c>
      <c r="F500" s="36" t="s">
        <v>267</v>
      </c>
      <c r="G500" s="36"/>
      <c r="H500" s="36" t="s">
        <v>273</v>
      </c>
      <c r="I500" s="36" t="s">
        <v>274</v>
      </c>
      <c r="J500" s="36" t="s">
        <v>275</v>
      </c>
      <c r="K500" s="36" t="s">
        <v>276</v>
      </c>
      <c r="L500" s="36">
        <v>6</v>
      </c>
      <c r="M500" s="36" t="s">
        <v>247</v>
      </c>
      <c r="N500" s="36" t="s">
        <v>275</v>
      </c>
      <c r="O500" s="36">
        <v>522</v>
      </c>
      <c r="P500" s="65">
        <v>1.2552738178796735E-2</v>
      </c>
      <c r="Q500" s="36">
        <v>1000</v>
      </c>
      <c r="R500" s="36"/>
      <c r="S500" s="36"/>
      <c r="T500" s="36"/>
      <c r="U500" s="36"/>
      <c r="V500" s="36"/>
      <c r="W500" s="36"/>
      <c r="X500" s="36"/>
      <c r="Y500" s="36"/>
      <c r="Z500" s="36"/>
    </row>
    <row r="501" spans="1:26" ht="14">
      <c r="A501" s="35">
        <v>41542</v>
      </c>
      <c r="B501" s="72" t="s">
        <v>157</v>
      </c>
      <c r="C501" s="165">
        <v>2013</v>
      </c>
      <c r="D501" s="65">
        <v>5</v>
      </c>
      <c r="E501" s="36" t="s">
        <v>223</v>
      </c>
      <c r="F501" s="36" t="s">
        <v>267</v>
      </c>
      <c r="G501" s="36"/>
      <c r="H501" s="36" t="s">
        <v>273</v>
      </c>
      <c r="I501" s="36" t="s">
        <v>274</v>
      </c>
      <c r="J501" s="36" t="s">
        <v>275</v>
      </c>
      <c r="K501" s="36" t="s">
        <v>276</v>
      </c>
      <c r="L501" s="36">
        <v>3</v>
      </c>
      <c r="M501" s="36" t="s">
        <v>247</v>
      </c>
      <c r="N501" s="36" t="s">
        <v>275</v>
      </c>
      <c r="O501" s="36">
        <v>41</v>
      </c>
      <c r="P501" s="65">
        <v>2.3570408592725718E-3</v>
      </c>
      <c r="Q501" s="36">
        <v>1000</v>
      </c>
      <c r="R501" s="36"/>
      <c r="S501" s="36"/>
      <c r="T501" s="36"/>
      <c r="U501" s="36"/>
      <c r="V501" s="36"/>
      <c r="W501" s="36"/>
      <c r="X501" s="36"/>
      <c r="Y501" s="36"/>
      <c r="Z501" s="36"/>
    </row>
    <row r="502" spans="1:26" ht="14">
      <c r="A502" s="72">
        <v>41480</v>
      </c>
      <c r="B502" s="35" t="s">
        <v>154</v>
      </c>
      <c r="C502" s="165">
        <v>2013</v>
      </c>
      <c r="D502" s="65">
        <v>8</v>
      </c>
      <c r="E502" s="36" t="s">
        <v>223</v>
      </c>
      <c r="F502" s="36" t="s">
        <v>267</v>
      </c>
      <c r="G502" s="36"/>
      <c r="H502" s="36" t="s">
        <v>273</v>
      </c>
      <c r="I502" s="36" t="s">
        <v>274</v>
      </c>
      <c r="J502" s="36" t="s">
        <v>275</v>
      </c>
      <c r="K502" s="36" t="s">
        <v>276</v>
      </c>
      <c r="L502" s="36">
        <v>1</v>
      </c>
      <c r="M502" s="36" t="s">
        <v>247</v>
      </c>
      <c r="N502" s="36" t="s">
        <v>275</v>
      </c>
      <c r="O502" s="36">
        <v>15</v>
      </c>
      <c r="P502" s="65">
        <v>2.9652259854021275E-4</v>
      </c>
      <c r="Q502" s="36">
        <v>1000</v>
      </c>
      <c r="R502" s="36" t="s">
        <v>222</v>
      </c>
      <c r="S502" s="36"/>
      <c r="T502" s="36"/>
      <c r="U502" s="36"/>
      <c r="V502" s="36"/>
      <c r="W502" s="36"/>
      <c r="X502" s="36"/>
      <c r="Y502" s="36"/>
      <c r="Z502" s="36"/>
    </row>
    <row r="503" spans="1:26" ht="14">
      <c r="A503" s="35">
        <v>41422</v>
      </c>
      <c r="B503" s="35" t="s">
        <v>144</v>
      </c>
      <c r="C503" s="165">
        <v>2013</v>
      </c>
      <c r="D503" s="65">
        <v>8</v>
      </c>
      <c r="E503" s="36" t="s">
        <v>223</v>
      </c>
      <c r="F503" s="36" t="s">
        <v>267</v>
      </c>
      <c r="G503" s="36"/>
      <c r="H503" s="36" t="s">
        <v>273</v>
      </c>
      <c r="I503" s="36" t="s">
        <v>274</v>
      </c>
      <c r="J503" s="36" t="s">
        <v>275</v>
      </c>
      <c r="K503" s="36" t="s">
        <v>276</v>
      </c>
      <c r="L503" s="36">
        <v>2</v>
      </c>
      <c r="M503" s="36" t="s">
        <v>247</v>
      </c>
      <c r="N503" s="36" t="s">
        <v>275</v>
      </c>
      <c r="O503" s="36">
        <v>19</v>
      </c>
      <c r="P503" s="36">
        <v>2.6761553975573511E-3</v>
      </c>
      <c r="Q503" s="36">
        <v>1000</v>
      </c>
      <c r="R503" s="36"/>
      <c r="S503" s="36"/>
      <c r="T503" s="36"/>
      <c r="U503" s="36"/>
      <c r="V503" s="36"/>
      <c r="W503" s="36"/>
      <c r="X503" s="36"/>
      <c r="Y503" s="36"/>
      <c r="Z503" s="36"/>
    </row>
    <row r="504" spans="1:26" ht="14">
      <c r="A504" s="35">
        <v>41422</v>
      </c>
      <c r="B504" s="35" t="s">
        <v>144</v>
      </c>
      <c r="C504" s="165">
        <v>2013</v>
      </c>
      <c r="D504" s="65">
        <v>8</v>
      </c>
      <c r="E504" s="36" t="s">
        <v>223</v>
      </c>
      <c r="F504" s="36" t="s">
        <v>267</v>
      </c>
      <c r="G504" s="36"/>
      <c r="H504" s="36" t="s">
        <v>273</v>
      </c>
      <c r="I504" s="36" t="s">
        <v>274</v>
      </c>
      <c r="J504" s="36" t="s">
        <v>275</v>
      </c>
      <c r="K504" s="36" t="s">
        <v>276</v>
      </c>
      <c r="L504" s="36">
        <v>1</v>
      </c>
      <c r="M504" s="36" t="s">
        <v>247</v>
      </c>
      <c r="N504" s="36" t="s">
        <v>275</v>
      </c>
      <c r="O504" s="36">
        <v>19</v>
      </c>
      <c r="P504" s="65">
        <v>1.3380776987786771E-3</v>
      </c>
      <c r="Q504" s="36">
        <v>1000</v>
      </c>
      <c r="R504" s="36" t="s">
        <v>277</v>
      </c>
      <c r="S504" s="36"/>
      <c r="T504" s="36"/>
      <c r="U504" s="36"/>
      <c r="V504" s="36"/>
      <c r="W504" s="36"/>
      <c r="X504" s="36"/>
      <c r="Y504" s="36"/>
      <c r="Z504" s="36"/>
    </row>
    <row r="505" spans="1:26" ht="14">
      <c r="A505" s="35">
        <v>43019</v>
      </c>
      <c r="B505" s="35" t="s">
        <v>159</v>
      </c>
      <c r="C505" s="165">
        <v>2017</v>
      </c>
      <c r="D505" s="65">
        <v>2</v>
      </c>
      <c r="E505" s="36" t="s">
        <v>223</v>
      </c>
      <c r="F505" s="36" t="s">
        <v>267</v>
      </c>
      <c r="G505" s="36"/>
      <c r="H505" s="36" t="s">
        <v>273</v>
      </c>
      <c r="I505" s="36"/>
      <c r="J505" s="38"/>
      <c r="K505" s="36"/>
      <c r="L505" s="36">
        <v>1</v>
      </c>
      <c r="M505" s="36" t="s">
        <v>508</v>
      </c>
      <c r="N505" s="36" t="s">
        <v>494</v>
      </c>
      <c r="O505" s="36">
        <v>317</v>
      </c>
      <c r="P505" s="36">
        <v>3.3686107348343502E-3</v>
      </c>
      <c r="Q505" s="36">
        <v>1000</v>
      </c>
      <c r="R505" s="36" t="s">
        <v>338</v>
      </c>
      <c r="S505" s="36"/>
      <c r="T505" s="36"/>
      <c r="U505" s="36"/>
      <c r="V505" s="36"/>
      <c r="W505" s="36"/>
      <c r="X505" s="36"/>
      <c r="Y505" s="36"/>
      <c r="Z505" s="36"/>
    </row>
    <row r="506" spans="1:26" ht="14">
      <c r="A506" s="72">
        <v>42634</v>
      </c>
      <c r="B506" s="72" t="s">
        <v>157</v>
      </c>
      <c r="C506" s="165">
        <v>2016</v>
      </c>
      <c r="D506" s="65">
        <v>4</v>
      </c>
      <c r="E506" s="65" t="s">
        <v>223</v>
      </c>
      <c r="F506" s="65" t="s">
        <v>267</v>
      </c>
      <c r="G506" s="65"/>
      <c r="H506" s="65" t="s">
        <v>273</v>
      </c>
      <c r="I506" s="65"/>
      <c r="J506" s="38"/>
      <c r="K506" s="36"/>
      <c r="L506" s="36">
        <v>1</v>
      </c>
      <c r="M506" s="36" t="s">
        <v>508</v>
      </c>
      <c r="N506" s="36" t="s">
        <v>494</v>
      </c>
      <c r="O506" s="36">
        <v>127</v>
      </c>
      <c r="P506" s="65">
        <v>2.0275902900439425E-3</v>
      </c>
      <c r="Q506" s="36">
        <v>1000</v>
      </c>
      <c r="R506" s="53" t="s">
        <v>711</v>
      </c>
      <c r="S506" s="36"/>
      <c r="T506" s="36"/>
      <c r="U506" s="36"/>
      <c r="V506" s="36"/>
      <c r="W506" s="36"/>
      <c r="X506" s="36"/>
      <c r="Y506" s="36"/>
      <c r="Z506" s="36"/>
    </row>
    <row r="507" spans="1:26" ht="14">
      <c r="A507" s="72">
        <v>42634</v>
      </c>
      <c r="B507" s="35" t="s">
        <v>157</v>
      </c>
      <c r="C507" s="165">
        <v>2016</v>
      </c>
      <c r="D507" s="65">
        <v>8</v>
      </c>
      <c r="E507" s="36" t="s">
        <v>223</v>
      </c>
      <c r="F507" s="36" t="s">
        <v>267</v>
      </c>
      <c r="G507" s="36"/>
      <c r="H507" s="36" t="s">
        <v>273</v>
      </c>
      <c r="I507" s="36"/>
      <c r="J507" s="38"/>
      <c r="K507" s="36"/>
      <c r="L507" s="36">
        <v>2</v>
      </c>
      <c r="M507" s="36" t="s">
        <v>508</v>
      </c>
      <c r="N507" s="36" t="s">
        <v>494</v>
      </c>
      <c r="O507" s="36">
        <v>3658</v>
      </c>
      <c r="P507" s="36">
        <v>3.5343474734107145E-3</v>
      </c>
      <c r="Q507" s="36">
        <v>1000</v>
      </c>
      <c r="R507" s="53" t="s">
        <v>711</v>
      </c>
      <c r="S507" s="36"/>
      <c r="T507" s="36"/>
      <c r="U507" s="36"/>
      <c r="V507" s="36"/>
      <c r="W507" s="36"/>
      <c r="X507" s="36"/>
      <c r="Y507" s="36"/>
      <c r="Z507" s="36"/>
    </row>
    <row r="508" spans="1:26" ht="14">
      <c r="A508" s="35">
        <v>41912</v>
      </c>
      <c r="B508" s="35" t="s">
        <v>157</v>
      </c>
      <c r="C508" s="165">
        <v>2014</v>
      </c>
      <c r="D508" s="76">
        <v>8</v>
      </c>
      <c r="E508" s="36" t="s">
        <v>223</v>
      </c>
      <c r="F508" s="36" t="s">
        <v>267</v>
      </c>
      <c r="G508" s="36"/>
      <c r="H508" s="36" t="s">
        <v>273</v>
      </c>
      <c r="I508" s="36"/>
      <c r="J508" s="36"/>
      <c r="K508" s="36"/>
      <c r="L508" s="36">
        <v>1</v>
      </c>
      <c r="M508" s="36" t="s">
        <v>508</v>
      </c>
      <c r="N508" s="36" t="s">
        <v>494</v>
      </c>
      <c r="O508" s="36">
        <v>12</v>
      </c>
      <c r="P508" s="36">
        <v>2.7963235095595728E-3</v>
      </c>
      <c r="Q508" s="36">
        <v>1000</v>
      </c>
      <c r="R508" s="36"/>
      <c r="S508" s="36"/>
      <c r="T508" s="36"/>
      <c r="U508" s="36"/>
      <c r="V508" s="36"/>
      <c r="W508" s="36"/>
      <c r="X508" s="36"/>
      <c r="Y508" s="36"/>
      <c r="Z508" s="36"/>
    </row>
    <row r="509" spans="1:26" ht="14">
      <c r="A509" s="35">
        <v>42634</v>
      </c>
      <c r="B509" s="72" t="s">
        <v>157</v>
      </c>
      <c r="C509" s="165">
        <v>2016</v>
      </c>
      <c r="D509" s="65">
        <v>2</v>
      </c>
      <c r="E509" s="65" t="s">
        <v>223</v>
      </c>
      <c r="F509" s="65" t="s">
        <v>267</v>
      </c>
      <c r="G509" s="65"/>
      <c r="H509" s="65" t="s">
        <v>273</v>
      </c>
      <c r="I509" s="65"/>
      <c r="J509" s="36"/>
      <c r="K509" s="36"/>
      <c r="L509" s="36">
        <v>12</v>
      </c>
      <c r="M509" s="36" t="s">
        <v>508</v>
      </c>
      <c r="N509" s="36" t="s">
        <v>494</v>
      </c>
      <c r="O509" s="36">
        <v>19</v>
      </c>
      <c r="P509" s="36">
        <v>8.5500818639612387E-3</v>
      </c>
      <c r="Q509" s="36">
        <v>1000</v>
      </c>
      <c r="R509" s="36"/>
      <c r="S509" s="36"/>
      <c r="T509" s="36" t="s">
        <v>614</v>
      </c>
      <c r="U509" s="36"/>
      <c r="V509" s="36"/>
      <c r="W509" s="36"/>
      <c r="X509" s="36"/>
      <c r="Y509" s="36"/>
      <c r="Z509" s="36"/>
    </row>
    <row r="510" spans="1:26" ht="14">
      <c r="A510" s="35">
        <v>42634</v>
      </c>
      <c r="B510" s="72" t="s">
        <v>157</v>
      </c>
      <c r="C510" s="165">
        <v>2016</v>
      </c>
      <c r="D510" s="65">
        <v>5</v>
      </c>
      <c r="E510" s="36" t="s">
        <v>223</v>
      </c>
      <c r="F510" s="36" t="s">
        <v>267</v>
      </c>
      <c r="G510" s="36"/>
      <c r="H510" s="36" t="s">
        <v>273</v>
      </c>
      <c r="I510" s="36"/>
      <c r="J510" s="36"/>
      <c r="K510" s="36"/>
      <c r="L510" s="36">
        <v>1</v>
      </c>
      <c r="M510" s="36" t="s">
        <v>508</v>
      </c>
      <c r="N510" s="36" t="s">
        <v>494</v>
      </c>
      <c r="O510" s="36">
        <v>93</v>
      </c>
      <c r="P510" s="36">
        <v>9.4131416210630576E-4</v>
      </c>
      <c r="Q510" s="36">
        <v>1000</v>
      </c>
      <c r="R510" s="36"/>
      <c r="S510" s="36"/>
      <c r="T510" s="36"/>
      <c r="U510" s="36"/>
      <c r="V510" s="36"/>
      <c r="W510" s="36"/>
      <c r="X510" s="36"/>
      <c r="Y510" s="36"/>
      <c r="Z510" s="36"/>
    </row>
    <row r="511" spans="1:26" ht="14">
      <c r="A511" s="35">
        <v>42515</v>
      </c>
      <c r="B511" s="35" t="s">
        <v>144</v>
      </c>
      <c r="C511" s="165">
        <v>2016</v>
      </c>
      <c r="D511" s="76">
        <v>5</v>
      </c>
      <c r="E511" s="36" t="s">
        <v>223</v>
      </c>
      <c r="F511" s="36" t="s">
        <v>267</v>
      </c>
      <c r="G511" s="36"/>
      <c r="H511" s="36" t="s">
        <v>273</v>
      </c>
      <c r="I511" s="36"/>
      <c r="J511" s="36" t="s">
        <v>558</v>
      </c>
      <c r="K511" s="36" t="s">
        <v>559</v>
      </c>
      <c r="L511" s="36">
        <v>1</v>
      </c>
      <c r="M511" s="36" t="s">
        <v>544</v>
      </c>
      <c r="N511" s="36" t="s">
        <v>494</v>
      </c>
      <c r="O511" s="36">
        <v>17</v>
      </c>
      <c r="P511" s="36">
        <v>2.8364782844532204E-3</v>
      </c>
      <c r="Q511" s="36">
        <v>1000</v>
      </c>
      <c r="R511" s="36"/>
      <c r="S511" s="36"/>
      <c r="T511" s="36"/>
      <c r="U511" s="36"/>
      <c r="V511" s="36"/>
      <c r="W511" s="36"/>
      <c r="X511" s="36"/>
      <c r="Y511" s="36"/>
      <c r="Z511" s="36"/>
    </row>
    <row r="512" spans="1:26" ht="14">
      <c r="A512" s="169">
        <v>42515</v>
      </c>
      <c r="B512" s="169" t="s">
        <v>144</v>
      </c>
      <c r="C512" s="179">
        <v>2016</v>
      </c>
      <c r="D512" s="172">
        <v>8</v>
      </c>
      <c r="E512" s="171" t="s">
        <v>223</v>
      </c>
      <c r="F512" s="171" t="s">
        <v>267</v>
      </c>
      <c r="G512" s="171"/>
      <c r="H512" s="171" t="s">
        <v>273</v>
      </c>
      <c r="I512" s="171"/>
      <c r="J512" s="171"/>
      <c r="K512" s="171"/>
      <c r="L512" s="171">
        <v>1</v>
      </c>
      <c r="M512" s="171" t="s">
        <v>508</v>
      </c>
      <c r="N512" s="171" t="s">
        <v>494</v>
      </c>
      <c r="O512" s="171">
        <v>6</v>
      </c>
      <c r="P512" s="170">
        <v>2.0284637464513654E-3</v>
      </c>
      <c r="Q512" s="171">
        <v>1000</v>
      </c>
      <c r="R512" s="171"/>
      <c r="S512" s="171"/>
      <c r="T512" s="36"/>
      <c r="U512" s="36"/>
      <c r="V512" s="36"/>
      <c r="W512" s="36"/>
      <c r="X512" s="36"/>
      <c r="Y512" s="36"/>
      <c r="Z512" s="36"/>
    </row>
    <row r="513" spans="1:26" ht="14">
      <c r="A513" s="35">
        <v>42263</v>
      </c>
      <c r="B513" s="35" t="s">
        <v>157</v>
      </c>
      <c r="C513" s="165">
        <v>2015</v>
      </c>
      <c r="D513" s="65">
        <v>2</v>
      </c>
      <c r="E513" s="36" t="s">
        <v>223</v>
      </c>
      <c r="F513" s="36" t="s">
        <v>267</v>
      </c>
      <c r="G513" s="36"/>
      <c r="H513" s="36" t="s">
        <v>273</v>
      </c>
      <c r="I513" s="36"/>
      <c r="J513" s="36" t="s">
        <v>558</v>
      </c>
      <c r="K513" s="36" t="s">
        <v>559</v>
      </c>
      <c r="L513" s="36">
        <v>1</v>
      </c>
      <c r="M513" s="36" t="s">
        <v>544</v>
      </c>
      <c r="N513" s="36" t="s">
        <v>494</v>
      </c>
      <c r="O513" s="36">
        <v>3</v>
      </c>
      <c r="P513" s="36">
        <v>4.640099043964987E-3</v>
      </c>
      <c r="Q513" s="36">
        <v>1000</v>
      </c>
      <c r="R513" s="36"/>
      <c r="S513" s="36"/>
      <c r="T513" s="36"/>
      <c r="U513" s="36"/>
      <c r="V513" s="36"/>
      <c r="W513" s="36"/>
      <c r="X513" s="36"/>
      <c r="Y513" s="36"/>
      <c r="Z513" s="36"/>
    </row>
    <row r="514" spans="1:26" ht="14">
      <c r="A514" s="35">
        <v>42206</v>
      </c>
      <c r="B514" s="72" t="s">
        <v>154</v>
      </c>
      <c r="C514" s="165">
        <v>2015</v>
      </c>
      <c r="D514" s="76">
        <v>2</v>
      </c>
      <c r="E514" s="36" t="s">
        <v>223</v>
      </c>
      <c r="F514" s="36" t="s">
        <v>267</v>
      </c>
      <c r="G514" s="36"/>
      <c r="H514" s="36" t="s">
        <v>273</v>
      </c>
      <c r="I514" s="36"/>
      <c r="J514" s="36" t="s">
        <v>558</v>
      </c>
      <c r="K514" s="36" t="s">
        <v>559</v>
      </c>
      <c r="L514" s="36">
        <v>1</v>
      </c>
      <c r="M514" s="36" t="s">
        <v>247</v>
      </c>
      <c r="N514" s="36" t="s">
        <v>494</v>
      </c>
      <c r="O514" s="36">
        <v>3</v>
      </c>
      <c r="P514" s="36">
        <v>1.0984943130251956E-2</v>
      </c>
      <c r="Q514" s="36">
        <v>1000</v>
      </c>
      <c r="R514" s="36"/>
      <c r="S514" s="36"/>
      <c r="T514" s="36"/>
      <c r="U514" s="36"/>
      <c r="V514" s="36"/>
      <c r="W514" s="36"/>
      <c r="X514" s="36"/>
      <c r="Y514" s="36"/>
      <c r="Z514" s="36"/>
    </row>
    <row r="515" spans="1:26" ht="14">
      <c r="A515" s="35">
        <v>41912</v>
      </c>
      <c r="B515" s="35" t="s">
        <v>157</v>
      </c>
      <c r="C515" s="165">
        <v>2014</v>
      </c>
      <c r="D515" s="76">
        <v>8</v>
      </c>
      <c r="E515" s="36" t="s">
        <v>223</v>
      </c>
      <c r="F515" s="36" t="s">
        <v>267</v>
      </c>
      <c r="G515" s="36"/>
      <c r="H515" s="36" t="s">
        <v>273</v>
      </c>
      <c r="I515" s="36"/>
      <c r="J515" s="36" t="s">
        <v>558</v>
      </c>
      <c r="K515" s="36" t="s">
        <v>559</v>
      </c>
      <c r="L515" s="36">
        <v>1</v>
      </c>
      <c r="M515" s="36" t="s">
        <v>544</v>
      </c>
      <c r="N515" s="36" t="s">
        <v>494</v>
      </c>
      <c r="O515" s="36">
        <v>12</v>
      </c>
      <c r="P515" s="36">
        <v>2.7963235095595689E-3</v>
      </c>
      <c r="Q515" s="36">
        <v>1000</v>
      </c>
      <c r="R515" s="36" t="s">
        <v>573</v>
      </c>
      <c r="S515" s="36"/>
      <c r="T515" s="36"/>
      <c r="U515" s="36"/>
      <c r="V515" s="36"/>
      <c r="W515" s="36"/>
      <c r="X515" s="36"/>
      <c r="Y515" s="36"/>
      <c r="Z515" s="36"/>
    </row>
    <row r="516" spans="1:26" ht="14">
      <c r="A516" s="35">
        <v>41851</v>
      </c>
      <c r="B516" s="35" t="s">
        <v>154</v>
      </c>
      <c r="C516" s="165">
        <v>2014</v>
      </c>
      <c r="D516" s="36">
        <v>4</v>
      </c>
      <c r="E516" s="36" t="s">
        <v>223</v>
      </c>
      <c r="F516" s="36" t="s">
        <v>267</v>
      </c>
      <c r="G516" s="36"/>
      <c r="H516" s="36" t="s">
        <v>273</v>
      </c>
      <c r="I516" s="36"/>
      <c r="J516" s="36"/>
      <c r="K516" s="36"/>
      <c r="L516" s="36">
        <v>1</v>
      </c>
      <c r="M516" s="36" t="s">
        <v>508</v>
      </c>
      <c r="N516" s="36" t="s">
        <v>494</v>
      </c>
      <c r="O516" s="36">
        <v>678</v>
      </c>
      <c r="P516" s="65">
        <v>3.8690730288093336E-3</v>
      </c>
      <c r="Q516" s="36">
        <v>1000</v>
      </c>
      <c r="R516" s="36"/>
      <c r="S516" s="36"/>
      <c r="T516" s="36"/>
      <c r="U516" s="36"/>
      <c r="V516" s="36"/>
      <c r="W516" s="36"/>
      <c r="X516" s="36"/>
      <c r="Y516" s="36"/>
      <c r="Z516" s="36"/>
    </row>
    <row r="517" spans="1:26" ht="14">
      <c r="A517" s="72">
        <v>41851</v>
      </c>
      <c r="B517" s="35" t="s">
        <v>154</v>
      </c>
      <c r="C517" s="165">
        <v>2014</v>
      </c>
      <c r="D517" s="36">
        <v>5</v>
      </c>
      <c r="E517" s="65" t="s">
        <v>223</v>
      </c>
      <c r="F517" s="65" t="s">
        <v>267</v>
      </c>
      <c r="G517" s="65"/>
      <c r="H517" s="65" t="s">
        <v>273</v>
      </c>
      <c r="I517" s="65"/>
      <c r="J517" s="36"/>
      <c r="K517" s="36"/>
      <c r="L517" s="36">
        <v>1</v>
      </c>
      <c r="M517" s="36" t="s">
        <v>508</v>
      </c>
      <c r="N517" s="36" t="s">
        <v>494</v>
      </c>
      <c r="O517" s="36">
        <v>138</v>
      </c>
      <c r="P517" s="65">
        <v>4.9595945992906322E-3</v>
      </c>
      <c r="Q517" s="36">
        <v>1000</v>
      </c>
      <c r="R517" s="36"/>
      <c r="S517" s="36"/>
      <c r="T517" s="36"/>
      <c r="U517" s="36"/>
      <c r="V517" s="36"/>
      <c r="W517" s="36"/>
      <c r="X517" s="36"/>
      <c r="Y517" s="36"/>
      <c r="Z517" s="36"/>
    </row>
    <row r="518" spans="1:26" ht="14">
      <c r="A518" s="13">
        <v>42867</v>
      </c>
      <c r="B518" s="72" t="s">
        <v>144</v>
      </c>
      <c r="C518" s="165">
        <v>2017</v>
      </c>
      <c r="D518" s="65">
        <v>4</v>
      </c>
      <c r="E518" s="36" t="s">
        <v>223</v>
      </c>
      <c r="F518" s="36" t="s">
        <v>224</v>
      </c>
      <c r="G518" s="36" t="s">
        <v>225</v>
      </c>
      <c r="H518" s="36" t="s">
        <v>243</v>
      </c>
      <c r="I518" s="36"/>
      <c r="J518" s="36" t="s">
        <v>507</v>
      </c>
      <c r="K518" s="36"/>
      <c r="L518" s="36">
        <v>1</v>
      </c>
      <c r="M518" s="3" t="s">
        <v>229</v>
      </c>
      <c r="N518" s="3" t="s">
        <v>673</v>
      </c>
      <c r="O518" s="3">
        <v>225</v>
      </c>
      <c r="P518" s="36">
        <v>0.43704009400170857</v>
      </c>
      <c r="Q518" s="3"/>
      <c r="R518" s="3"/>
      <c r="S518" s="3"/>
      <c r="T518" s="36"/>
      <c r="U518" s="36"/>
      <c r="V518" s="36"/>
      <c r="W518" s="36"/>
      <c r="X518" s="36"/>
      <c r="Y518" s="36"/>
      <c r="Z518" s="36"/>
    </row>
    <row r="519" spans="1:26" ht="14">
      <c r="A519" s="35">
        <v>41761</v>
      </c>
      <c r="B519" s="72" t="s">
        <v>144</v>
      </c>
      <c r="C519" s="165">
        <v>2014</v>
      </c>
      <c r="D519" s="65">
        <v>2</v>
      </c>
      <c r="E519" s="36" t="s">
        <v>223</v>
      </c>
      <c r="F519" s="36" t="s">
        <v>224</v>
      </c>
      <c r="G519" s="36" t="s">
        <v>225</v>
      </c>
      <c r="H519" s="36" t="s">
        <v>243</v>
      </c>
      <c r="I519" s="36"/>
      <c r="J519" s="36" t="s">
        <v>507</v>
      </c>
      <c r="K519" s="36"/>
      <c r="L519" s="36">
        <v>4</v>
      </c>
      <c r="M519" s="36" t="s">
        <v>229</v>
      </c>
      <c r="N519" s="3" t="s">
        <v>673</v>
      </c>
      <c r="O519" s="36">
        <v>29</v>
      </c>
      <c r="P519" s="36">
        <v>13.706424161517747</v>
      </c>
      <c r="Q519" s="65">
        <v>250</v>
      </c>
      <c r="R519" s="65"/>
      <c r="S519" s="65"/>
      <c r="T519" s="65"/>
      <c r="U519" s="36"/>
      <c r="V519" s="36"/>
      <c r="W519" s="36"/>
      <c r="X519" s="36"/>
      <c r="Y519" s="36"/>
      <c r="Z519" s="36"/>
    </row>
    <row r="520" spans="1:26" ht="14">
      <c r="A520" s="13">
        <v>41761</v>
      </c>
      <c r="B520" s="72" t="s">
        <v>144</v>
      </c>
      <c r="C520" s="165">
        <v>2014</v>
      </c>
      <c r="D520" s="36">
        <v>4</v>
      </c>
      <c r="E520" s="36" t="s">
        <v>223</v>
      </c>
      <c r="F520" s="36" t="s">
        <v>224</v>
      </c>
      <c r="G520" s="36" t="s">
        <v>225</v>
      </c>
      <c r="H520" s="36" t="s">
        <v>243</v>
      </c>
      <c r="I520" s="36"/>
      <c r="J520" s="36" t="s">
        <v>507</v>
      </c>
      <c r="K520" s="36"/>
      <c r="L520" s="36">
        <v>5</v>
      </c>
      <c r="M520" s="3" t="s">
        <v>229</v>
      </c>
      <c r="N520" s="3" t="s">
        <v>673</v>
      </c>
      <c r="O520" s="3">
        <v>256</v>
      </c>
      <c r="P520" s="36">
        <v>1.9064593647419705</v>
      </c>
      <c r="Q520" s="3">
        <v>250</v>
      </c>
      <c r="R520" s="3"/>
      <c r="S520" s="3"/>
      <c r="T520" s="36"/>
      <c r="U520" s="36"/>
      <c r="V520" s="36"/>
      <c r="W520" s="36"/>
      <c r="X520" s="36"/>
      <c r="Y520" s="36"/>
      <c r="Z520" s="36"/>
    </row>
    <row r="521" spans="1:26" ht="14">
      <c r="A521" s="71">
        <v>43019</v>
      </c>
      <c r="B521" s="72" t="s">
        <v>159</v>
      </c>
      <c r="C521" s="165">
        <v>2017</v>
      </c>
      <c r="D521" s="65">
        <v>5</v>
      </c>
      <c r="E521" s="36" t="s">
        <v>223</v>
      </c>
      <c r="F521" s="36" t="s">
        <v>317</v>
      </c>
      <c r="G521" s="36" t="s">
        <v>314</v>
      </c>
      <c r="H521" s="36" t="s">
        <v>346</v>
      </c>
      <c r="I521" s="3"/>
      <c r="J521" s="36" t="s">
        <v>316</v>
      </c>
      <c r="K521" s="3"/>
      <c r="L521" s="3">
        <v>1</v>
      </c>
      <c r="M521" s="3" t="s">
        <v>229</v>
      </c>
      <c r="N521" s="36" t="s">
        <v>482</v>
      </c>
      <c r="O521" s="3">
        <v>255</v>
      </c>
      <c r="P521" s="36">
        <v>0.39206991221522669</v>
      </c>
      <c r="Q521" s="3">
        <v>250</v>
      </c>
      <c r="R521" s="3"/>
      <c r="S521" s="3"/>
      <c r="T521" s="36"/>
      <c r="U521" s="36"/>
      <c r="V521" s="36"/>
      <c r="W521" s="36"/>
      <c r="X521" s="36"/>
      <c r="Y521" s="36"/>
      <c r="Z521" s="36"/>
    </row>
    <row r="522" spans="1:26" ht="14">
      <c r="A522" s="13">
        <v>43019</v>
      </c>
      <c r="B522" s="35" t="s">
        <v>159</v>
      </c>
      <c r="C522" s="165">
        <v>2017</v>
      </c>
      <c r="D522" s="65">
        <v>8</v>
      </c>
      <c r="E522" s="36" t="s">
        <v>223</v>
      </c>
      <c r="F522" s="36" t="s">
        <v>317</v>
      </c>
      <c r="G522" s="36" t="s">
        <v>314</v>
      </c>
      <c r="H522" s="36" t="s">
        <v>346</v>
      </c>
      <c r="I522" s="3"/>
      <c r="J522" s="36" t="s">
        <v>316</v>
      </c>
      <c r="K522" s="3"/>
      <c r="L522" s="3">
        <v>7</v>
      </c>
      <c r="M522" s="3" t="s">
        <v>229</v>
      </c>
      <c r="N522" s="36" t="s">
        <v>482</v>
      </c>
      <c r="O522" s="3">
        <v>288</v>
      </c>
      <c r="P522" s="36">
        <v>2.3352733684651921</v>
      </c>
      <c r="Q522" s="3">
        <v>250</v>
      </c>
      <c r="R522" s="3"/>
      <c r="S522" s="3"/>
      <c r="T522" s="36"/>
      <c r="U522" s="36"/>
      <c r="V522" s="36"/>
      <c r="W522" s="36"/>
      <c r="X522" s="36"/>
      <c r="Y522" s="36"/>
      <c r="Z522" s="36"/>
    </row>
    <row r="523" spans="1:26" ht="14">
      <c r="A523" s="72">
        <v>42928</v>
      </c>
      <c r="B523" s="72" t="s">
        <v>154</v>
      </c>
      <c r="C523" s="165">
        <v>2017</v>
      </c>
      <c r="D523" s="65">
        <v>5</v>
      </c>
      <c r="E523" s="36" t="s">
        <v>223</v>
      </c>
      <c r="F523" s="36" t="s">
        <v>317</v>
      </c>
      <c r="G523" s="36" t="s">
        <v>314</v>
      </c>
      <c r="H523" s="36" t="s">
        <v>346</v>
      </c>
      <c r="I523" s="36"/>
      <c r="J523" s="36" t="s">
        <v>316</v>
      </c>
      <c r="K523" s="36"/>
      <c r="L523" s="36">
        <v>14</v>
      </c>
      <c r="M523" s="36" t="s">
        <v>229</v>
      </c>
      <c r="N523" s="36" t="s">
        <v>482</v>
      </c>
      <c r="O523" s="36">
        <v>385</v>
      </c>
      <c r="P523" s="36">
        <v>3.6347701119007056</v>
      </c>
      <c r="Q523" s="65">
        <v>250</v>
      </c>
      <c r="R523" s="65"/>
      <c r="S523" s="65"/>
      <c r="T523" s="65"/>
      <c r="U523" s="36"/>
      <c r="V523" s="36"/>
      <c r="W523" s="36"/>
      <c r="X523" s="36"/>
      <c r="Y523" s="36"/>
      <c r="Z523" s="36"/>
    </row>
    <row r="524" spans="1:26" ht="14">
      <c r="A524" s="13">
        <v>42928</v>
      </c>
      <c r="B524" s="72" t="s">
        <v>154</v>
      </c>
      <c r="C524" s="165">
        <v>2017</v>
      </c>
      <c r="D524" s="65">
        <v>8</v>
      </c>
      <c r="E524" s="65" t="s">
        <v>223</v>
      </c>
      <c r="F524" s="65" t="s">
        <v>317</v>
      </c>
      <c r="G524" s="65" t="s">
        <v>314</v>
      </c>
      <c r="H524" s="65" t="s">
        <v>346</v>
      </c>
      <c r="I524" s="51"/>
      <c r="J524" s="36" t="s">
        <v>316</v>
      </c>
      <c r="K524" s="3"/>
      <c r="L524" s="3">
        <v>1</v>
      </c>
      <c r="M524" s="3" t="s">
        <v>229</v>
      </c>
      <c r="N524" s="36" t="s">
        <v>482</v>
      </c>
      <c r="O524" s="3">
        <v>319</v>
      </c>
      <c r="P524" s="36">
        <v>0.31336077060133105</v>
      </c>
      <c r="Q524" s="36">
        <v>250</v>
      </c>
      <c r="R524" s="3"/>
      <c r="S524" s="3"/>
      <c r="T524" s="36"/>
      <c r="U524" s="36"/>
      <c r="V524" s="36"/>
      <c r="W524" s="36"/>
      <c r="X524" s="36"/>
      <c r="Y524" s="36"/>
      <c r="Z524" s="36"/>
    </row>
    <row r="525" spans="1:26" ht="14">
      <c r="A525" s="13">
        <v>42263</v>
      </c>
      <c r="B525" s="35" t="s">
        <v>157</v>
      </c>
      <c r="C525" s="165">
        <v>2015</v>
      </c>
      <c r="D525" s="65">
        <v>2</v>
      </c>
      <c r="E525" s="3" t="s">
        <v>223</v>
      </c>
      <c r="F525" s="3" t="s">
        <v>317</v>
      </c>
      <c r="G525" s="3" t="s">
        <v>314</v>
      </c>
      <c r="H525" s="3" t="s">
        <v>346</v>
      </c>
      <c r="I525" s="3" t="s">
        <v>315</v>
      </c>
      <c r="J525" s="3" t="s">
        <v>347</v>
      </c>
      <c r="K525" s="3" t="s">
        <v>480</v>
      </c>
      <c r="L525" s="3">
        <v>1</v>
      </c>
      <c r="M525" s="3" t="s">
        <v>247</v>
      </c>
      <c r="N525" s="36" t="s">
        <v>482</v>
      </c>
      <c r="O525" s="3">
        <v>203</v>
      </c>
      <c r="P525" s="36">
        <v>0.49254226454614836</v>
      </c>
      <c r="Q525" s="36">
        <v>250</v>
      </c>
      <c r="R525" s="3"/>
      <c r="S525" s="3"/>
      <c r="T525" s="36"/>
      <c r="U525" s="36"/>
      <c r="V525" s="36"/>
      <c r="W525" s="36"/>
      <c r="X525" s="36"/>
      <c r="Y525" s="36"/>
      <c r="Z525" s="36"/>
    </row>
    <row r="526" spans="1:26" ht="14">
      <c r="A526" s="35">
        <v>43019</v>
      </c>
      <c r="B526" s="35" t="s">
        <v>159</v>
      </c>
      <c r="C526" s="165">
        <v>2017</v>
      </c>
      <c r="D526" s="65">
        <v>2</v>
      </c>
      <c r="E526" s="36" t="s">
        <v>223</v>
      </c>
      <c r="F526" s="36" t="s">
        <v>317</v>
      </c>
      <c r="G526" s="36" t="s">
        <v>314</v>
      </c>
      <c r="H526" s="36" t="s">
        <v>346</v>
      </c>
      <c r="I526" s="36" t="s">
        <v>315</v>
      </c>
      <c r="J526" s="36" t="s">
        <v>347</v>
      </c>
      <c r="K526" s="36"/>
      <c r="L526" s="36">
        <v>1</v>
      </c>
      <c r="M526" s="36" t="s">
        <v>229</v>
      </c>
      <c r="N526" s="36" t="s">
        <v>345</v>
      </c>
      <c r="O526" s="36">
        <v>150</v>
      </c>
      <c r="P526" s="36">
        <v>0.65954766931371678</v>
      </c>
      <c r="Q526" s="36">
        <v>250</v>
      </c>
      <c r="R526" s="36"/>
      <c r="S526" s="36"/>
      <c r="T526" s="36"/>
      <c r="U526" s="36"/>
      <c r="V526" s="36"/>
      <c r="W526" s="36"/>
      <c r="X526" s="36"/>
      <c r="Y526" s="36"/>
      <c r="Z526" s="36"/>
    </row>
    <row r="527" spans="1:26" ht="14">
      <c r="A527" s="13">
        <v>43019</v>
      </c>
      <c r="B527" s="72" t="s">
        <v>159</v>
      </c>
      <c r="C527" s="165">
        <v>2017</v>
      </c>
      <c r="D527" s="65">
        <v>5</v>
      </c>
      <c r="E527" s="36" t="s">
        <v>223</v>
      </c>
      <c r="F527" s="36" t="s">
        <v>317</v>
      </c>
      <c r="G527" s="36" t="s">
        <v>314</v>
      </c>
      <c r="H527" s="36" t="s">
        <v>346</v>
      </c>
      <c r="I527" s="65" t="s">
        <v>315</v>
      </c>
      <c r="J527" s="65" t="s">
        <v>660</v>
      </c>
      <c r="K527" s="36"/>
      <c r="L527" s="3">
        <v>18</v>
      </c>
      <c r="M527" s="3" t="s">
        <v>229</v>
      </c>
      <c r="N527" s="36" t="s">
        <v>345</v>
      </c>
      <c r="O527" s="3">
        <v>255</v>
      </c>
      <c r="P527" s="36">
        <v>7.0572584198740795</v>
      </c>
      <c r="Q527" s="3">
        <v>250</v>
      </c>
      <c r="R527" s="3"/>
      <c r="S527" s="3"/>
      <c r="T527" s="36"/>
      <c r="U527" s="36"/>
      <c r="V527" s="36"/>
      <c r="W527" s="36"/>
      <c r="X527" s="36"/>
      <c r="Y527" s="36"/>
      <c r="Z527" s="36"/>
    </row>
    <row r="528" spans="1:26" ht="14">
      <c r="A528" s="13">
        <v>43019</v>
      </c>
      <c r="B528" s="35" t="s">
        <v>159</v>
      </c>
      <c r="C528" s="165">
        <v>2017</v>
      </c>
      <c r="D528" s="65">
        <v>8</v>
      </c>
      <c r="E528" s="36" t="s">
        <v>223</v>
      </c>
      <c r="F528" s="36" t="s">
        <v>317</v>
      </c>
      <c r="G528" s="36" t="s">
        <v>314</v>
      </c>
      <c r="H528" s="36" t="s">
        <v>346</v>
      </c>
      <c r="I528" s="36" t="s">
        <v>315</v>
      </c>
      <c r="J528" s="36" t="s">
        <v>660</v>
      </c>
      <c r="K528" s="36"/>
      <c r="L528" s="3">
        <v>10</v>
      </c>
      <c r="M528" s="3" t="s">
        <v>229</v>
      </c>
      <c r="N528" s="36" t="s">
        <v>345</v>
      </c>
      <c r="O528" s="3">
        <v>288</v>
      </c>
      <c r="P528" s="36">
        <v>3.3361048120931311</v>
      </c>
      <c r="Q528" s="3">
        <v>250</v>
      </c>
      <c r="R528" s="3"/>
      <c r="S528" s="3"/>
      <c r="T528" s="36"/>
      <c r="U528" s="36"/>
      <c r="V528" s="36"/>
      <c r="W528" s="36"/>
      <c r="X528" s="36"/>
      <c r="Y528" s="36"/>
      <c r="Z528" s="36"/>
    </row>
    <row r="529" spans="1:26" ht="14">
      <c r="A529" s="13">
        <v>42928</v>
      </c>
      <c r="B529" s="72" t="s">
        <v>154</v>
      </c>
      <c r="C529" s="165">
        <v>2017</v>
      </c>
      <c r="D529" s="65">
        <v>4</v>
      </c>
      <c r="E529" s="36" t="s">
        <v>223</v>
      </c>
      <c r="F529" s="36" t="s">
        <v>317</v>
      </c>
      <c r="G529" s="36" t="s">
        <v>314</v>
      </c>
      <c r="H529" s="36" t="s">
        <v>346</v>
      </c>
      <c r="I529" s="36" t="s">
        <v>315</v>
      </c>
      <c r="J529" s="36" t="s">
        <v>347</v>
      </c>
      <c r="K529" s="36"/>
      <c r="L529" s="3">
        <v>2</v>
      </c>
      <c r="M529" s="3" t="s">
        <v>229</v>
      </c>
      <c r="N529" s="36" t="s">
        <v>345</v>
      </c>
      <c r="O529" s="3">
        <v>225</v>
      </c>
      <c r="P529" s="36">
        <v>0.88532328131540106</v>
      </c>
      <c r="Q529" s="36">
        <v>250</v>
      </c>
      <c r="R529" s="3"/>
      <c r="S529" s="3"/>
      <c r="T529" s="36"/>
      <c r="U529" s="36"/>
      <c r="V529" s="36"/>
      <c r="W529" s="36"/>
      <c r="X529" s="36"/>
      <c r="Y529" s="36"/>
      <c r="Z529" s="36"/>
    </row>
    <row r="530" spans="1:26" ht="14">
      <c r="A530" s="72">
        <v>42928</v>
      </c>
      <c r="B530" s="35" t="s">
        <v>154</v>
      </c>
      <c r="C530" s="165">
        <v>2017</v>
      </c>
      <c r="D530" s="65">
        <v>5</v>
      </c>
      <c r="E530" s="65" t="s">
        <v>223</v>
      </c>
      <c r="F530" s="65" t="s">
        <v>317</v>
      </c>
      <c r="G530" s="65" t="s">
        <v>314</v>
      </c>
      <c r="H530" s="65" t="s">
        <v>346</v>
      </c>
      <c r="I530" s="65" t="s">
        <v>315</v>
      </c>
      <c r="J530" s="36" t="s">
        <v>655</v>
      </c>
      <c r="K530" s="36"/>
      <c r="L530" s="65">
        <v>19</v>
      </c>
      <c r="M530" s="65" t="s">
        <v>229</v>
      </c>
      <c r="N530" s="65" t="s">
        <v>345</v>
      </c>
      <c r="O530" s="36">
        <v>385</v>
      </c>
      <c r="P530" s="36">
        <v>4.9329022947223864</v>
      </c>
      <c r="Q530" s="65">
        <v>250</v>
      </c>
      <c r="R530" s="65" t="s">
        <v>654</v>
      </c>
      <c r="S530" s="65"/>
      <c r="T530" s="65"/>
      <c r="U530" s="36"/>
      <c r="V530" s="36"/>
      <c r="W530" s="36"/>
      <c r="X530" s="36"/>
      <c r="Y530" s="36"/>
      <c r="Z530" s="36"/>
    </row>
    <row r="531" spans="1:26" ht="14">
      <c r="A531" s="13">
        <v>42928</v>
      </c>
      <c r="B531" s="72" t="s">
        <v>154</v>
      </c>
      <c r="C531" s="165">
        <v>2017</v>
      </c>
      <c r="D531" s="65">
        <v>8</v>
      </c>
      <c r="E531" s="36" t="s">
        <v>223</v>
      </c>
      <c r="F531" s="36" t="s">
        <v>317</v>
      </c>
      <c r="G531" s="36" t="s">
        <v>314</v>
      </c>
      <c r="H531" s="36" t="s">
        <v>346</v>
      </c>
      <c r="I531" s="36" t="s">
        <v>315</v>
      </c>
      <c r="J531" s="36" t="s">
        <v>365</v>
      </c>
      <c r="K531" s="36"/>
      <c r="L531" s="3">
        <v>5</v>
      </c>
      <c r="M531" s="3" t="s">
        <v>229</v>
      </c>
      <c r="N531" s="36" t="s">
        <v>345</v>
      </c>
      <c r="O531" s="3">
        <v>319</v>
      </c>
      <c r="P531" s="36">
        <v>1.5668038530066548</v>
      </c>
      <c r="Q531" s="36">
        <v>250</v>
      </c>
      <c r="R531" s="3"/>
      <c r="S531" s="3"/>
      <c r="T531" s="36"/>
      <c r="U531" s="36"/>
      <c r="V531" s="36"/>
      <c r="W531" s="36"/>
      <c r="X531" s="36"/>
      <c r="Y531" s="36"/>
      <c r="Z531" s="36"/>
    </row>
    <row r="532" spans="1:26" ht="14">
      <c r="A532" s="13">
        <v>42867</v>
      </c>
      <c r="B532" s="35" t="s">
        <v>144</v>
      </c>
      <c r="C532" s="165">
        <v>2017</v>
      </c>
      <c r="D532" s="65">
        <v>2</v>
      </c>
      <c r="E532" s="3" t="s">
        <v>223</v>
      </c>
      <c r="F532" s="3" t="s">
        <v>310</v>
      </c>
      <c r="G532" s="3" t="s">
        <v>314</v>
      </c>
      <c r="H532" s="3" t="s">
        <v>311</v>
      </c>
      <c r="I532" s="3" t="s">
        <v>312</v>
      </c>
      <c r="J532" s="3" t="s">
        <v>313</v>
      </c>
      <c r="K532" s="3"/>
      <c r="L532" s="3">
        <v>3</v>
      </c>
      <c r="M532" s="3" t="s">
        <v>229</v>
      </c>
      <c r="N532" s="3" t="s">
        <v>345</v>
      </c>
      <c r="O532" s="3">
        <v>216</v>
      </c>
      <c r="P532" s="36">
        <v>1.3888888888888888</v>
      </c>
      <c r="Q532" s="3"/>
      <c r="R532" s="3"/>
      <c r="S532" s="3"/>
      <c r="T532" s="36"/>
      <c r="U532" s="36"/>
      <c r="V532" s="36"/>
      <c r="W532" s="36"/>
      <c r="X532" s="36"/>
      <c r="Y532" s="36"/>
      <c r="Z532" s="36"/>
    </row>
    <row r="533" spans="1:26" ht="14">
      <c r="A533" s="13">
        <v>42634</v>
      </c>
      <c r="B533" s="72" t="s">
        <v>157</v>
      </c>
      <c r="C533" s="165">
        <v>2016</v>
      </c>
      <c r="D533" s="65">
        <v>5</v>
      </c>
      <c r="E533" s="36" t="s">
        <v>223</v>
      </c>
      <c r="F533" s="36" t="s">
        <v>317</v>
      </c>
      <c r="G533" s="36" t="s">
        <v>314</v>
      </c>
      <c r="H533" s="36" t="s">
        <v>346</v>
      </c>
      <c r="I533" s="36" t="s">
        <v>315</v>
      </c>
      <c r="J533" s="36" t="s">
        <v>347</v>
      </c>
      <c r="K533" s="36" t="s">
        <v>348</v>
      </c>
      <c r="L533" s="3">
        <v>1</v>
      </c>
      <c r="M533" s="3" t="s">
        <v>247</v>
      </c>
      <c r="N533" s="36" t="s">
        <v>345</v>
      </c>
      <c r="O533" s="3">
        <v>203</v>
      </c>
      <c r="P533" s="36">
        <v>0.49217959498977393</v>
      </c>
      <c r="Q533" s="3">
        <v>250</v>
      </c>
      <c r="R533" s="3"/>
      <c r="S533" s="3"/>
      <c r="T533" s="36"/>
      <c r="U533" s="36"/>
      <c r="V533" s="36"/>
      <c r="W533" s="36"/>
      <c r="X533" s="36"/>
      <c r="Y533" s="36"/>
      <c r="Z533" s="36"/>
    </row>
    <row r="534" spans="1:26" ht="14">
      <c r="A534" s="35">
        <v>42571</v>
      </c>
      <c r="B534" s="35" t="s">
        <v>154</v>
      </c>
      <c r="C534" s="165">
        <v>2016</v>
      </c>
      <c r="D534" s="65">
        <v>2</v>
      </c>
      <c r="E534" s="36" t="s">
        <v>223</v>
      </c>
      <c r="F534" s="36" t="s">
        <v>310</v>
      </c>
      <c r="G534" s="36" t="s">
        <v>314</v>
      </c>
      <c r="H534" s="36" t="s">
        <v>311</v>
      </c>
      <c r="I534" s="65" t="s">
        <v>315</v>
      </c>
      <c r="J534" s="65" t="s">
        <v>316</v>
      </c>
      <c r="K534" s="36"/>
      <c r="L534" s="36">
        <v>2</v>
      </c>
      <c r="M534" s="36" t="s">
        <v>229</v>
      </c>
      <c r="N534" s="36" t="s">
        <v>345</v>
      </c>
      <c r="O534" s="36">
        <v>179</v>
      </c>
      <c r="P534" s="36">
        <v>1.1172083964634181</v>
      </c>
      <c r="Q534" s="51">
        <v>250</v>
      </c>
      <c r="R534" s="51"/>
      <c r="S534" s="51"/>
      <c r="T534" s="65"/>
      <c r="U534" s="36"/>
      <c r="V534" s="36"/>
      <c r="W534" s="36"/>
      <c r="X534" s="36"/>
      <c r="Y534" s="36"/>
      <c r="Z534" s="36"/>
    </row>
    <row r="535" spans="1:26" ht="14">
      <c r="A535" s="35">
        <v>42571</v>
      </c>
      <c r="B535" s="35" t="s">
        <v>154</v>
      </c>
      <c r="C535" s="165">
        <v>2016</v>
      </c>
      <c r="D535" s="65">
        <v>8</v>
      </c>
      <c r="E535" s="51" t="s">
        <v>223</v>
      </c>
      <c r="F535" s="51" t="s">
        <v>317</v>
      </c>
      <c r="G535" s="51" t="s">
        <v>314</v>
      </c>
      <c r="H535" s="51" t="s">
        <v>346</v>
      </c>
      <c r="I535" s="51" t="s">
        <v>315</v>
      </c>
      <c r="J535" s="51" t="s">
        <v>347</v>
      </c>
      <c r="K535" s="3"/>
      <c r="L535" s="36">
        <v>1</v>
      </c>
      <c r="M535" s="36" t="s">
        <v>229</v>
      </c>
      <c r="N535" s="36" t="s">
        <v>345</v>
      </c>
      <c r="O535" s="3">
        <v>237</v>
      </c>
      <c r="P535" s="36">
        <v>0.42188226519275773</v>
      </c>
      <c r="Q535" s="51">
        <v>250</v>
      </c>
      <c r="R535" s="51"/>
      <c r="S535" s="51"/>
      <c r="T535" s="65"/>
      <c r="U535" s="36"/>
      <c r="V535" s="36"/>
      <c r="W535" s="36"/>
      <c r="X535" s="36"/>
      <c r="Y535" s="36"/>
      <c r="Z535" s="36"/>
    </row>
    <row r="536" spans="1:26" ht="14">
      <c r="A536" s="13">
        <v>42515</v>
      </c>
      <c r="B536" s="35" t="s">
        <v>144</v>
      </c>
      <c r="C536" s="165">
        <v>2016</v>
      </c>
      <c r="D536" s="51">
        <v>2</v>
      </c>
      <c r="E536" s="51" t="s">
        <v>223</v>
      </c>
      <c r="F536" s="51" t="s">
        <v>317</v>
      </c>
      <c r="G536" s="51" t="s">
        <v>314</v>
      </c>
      <c r="H536" s="51" t="s">
        <v>346</v>
      </c>
      <c r="I536" s="51" t="s">
        <v>315</v>
      </c>
      <c r="J536" s="3" t="s">
        <v>365</v>
      </c>
      <c r="K536" s="3" t="s">
        <v>366</v>
      </c>
      <c r="L536" s="3">
        <v>1</v>
      </c>
      <c r="M536" s="3" t="s">
        <v>247</v>
      </c>
      <c r="N536" s="3" t="s">
        <v>345</v>
      </c>
      <c r="O536" s="36">
        <v>194</v>
      </c>
      <c r="P536" s="65">
        <v>0.51520576504797122</v>
      </c>
      <c r="Q536" s="65">
        <v>250</v>
      </c>
      <c r="R536" s="51" t="s">
        <v>367</v>
      </c>
      <c r="S536" s="51"/>
      <c r="T536" s="65"/>
      <c r="U536" s="36"/>
      <c r="V536" s="36"/>
      <c r="W536" s="36"/>
      <c r="X536" s="36"/>
      <c r="Y536" s="36"/>
      <c r="Z536" s="36"/>
    </row>
    <row r="537" spans="1:26" ht="14">
      <c r="A537" s="13">
        <v>42515</v>
      </c>
      <c r="B537" s="35" t="s">
        <v>144</v>
      </c>
      <c r="C537" s="165">
        <v>2016</v>
      </c>
      <c r="D537" s="3">
        <v>4</v>
      </c>
      <c r="E537" s="3" t="s">
        <v>223</v>
      </c>
      <c r="F537" s="3" t="s">
        <v>317</v>
      </c>
      <c r="G537" s="3" t="s">
        <v>314</v>
      </c>
      <c r="H537" s="3" t="s">
        <v>346</v>
      </c>
      <c r="I537" s="3" t="s">
        <v>315</v>
      </c>
      <c r="J537" s="3" t="s">
        <v>365</v>
      </c>
      <c r="K537" s="3" t="s">
        <v>366</v>
      </c>
      <c r="L537" s="3">
        <v>1</v>
      </c>
      <c r="M537" s="3" t="s">
        <v>247</v>
      </c>
      <c r="N537" s="3" t="s">
        <v>345</v>
      </c>
      <c r="O537" s="3">
        <v>217</v>
      </c>
      <c r="P537" s="36">
        <v>0.46046454311968915</v>
      </c>
      <c r="Q537" s="3">
        <v>250</v>
      </c>
      <c r="R537" s="3"/>
      <c r="S537" s="3"/>
      <c r="T537" s="36"/>
      <c r="U537" s="36"/>
      <c r="V537" s="36"/>
      <c r="W537" s="36"/>
      <c r="X537" s="36"/>
      <c r="Y537" s="36"/>
      <c r="Z537" s="36"/>
    </row>
    <row r="538" spans="1:26" ht="14">
      <c r="A538" s="13">
        <v>42515</v>
      </c>
      <c r="B538" s="35" t="s">
        <v>144</v>
      </c>
      <c r="C538" s="165">
        <v>2016</v>
      </c>
      <c r="D538" s="3">
        <v>4</v>
      </c>
      <c r="E538" s="3" t="s">
        <v>223</v>
      </c>
      <c r="F538" s="3" t="s">
        <v>317</v>
      </c>
      <c r="G538" s="3" t="s">
        <v>314</v>
      </c>
      <c r="H538" s="3" t="s">
        <v>346</v>
      </c>
      <c r="I538" s="3" t="s">
        <v>315</v>
      </c>
      <c r="J538" s="3" t="s">
        <v>347</v>
      </c>
      <c r="K538" s="3"/>
      <c r="L538" s="3">
        <v>2</v>
      </c>
      <c r="M538" s="3" t="s">
        <v>229</v>
      </c>
      <c r="N538" s="3" t="s">
        <v>345</v>
      </c>
      <c r="O538" s="3">
        <v>217</v>
      </c>
      <c r="P538" s="36">
        <v>0.9209290862393783</v>
      </c>
      <c r="Q538" s="3">
        <v>250</v>
      </c>
      <c r="R538" s="3"/>
      <c r="S538" s="3"/>
      <c r="T538" s="36"/>
      <c r="U538" s="36"/>
      <c r="V538" s="36"/>
      <c r="W538" s="36"/>
      <c r="X538" s="36"/>
      <c r="Y538" s="36"/>
      <c r="Z538" s="36"/>
    </row>
    <row r="539" spans="1:26" ht="14">
      <c r="A539" s="13">
        <v>42515</v>
      </c>
      <c r="B539" s="35" t="s">
        <v>144</v>
      </c>
      <c r="C539" s="165">
        <v>2016</v>
      </c>
      <c r="D539" s="3">
        <v>5</v>
      </c>
      <c r="E539" s="3" t="s">
        <v>223</v>
      </c>
      <c r="F539" s="3" t="s">
        <v>317</v>
      </c>
      <c r="G539" s="3" t="s">
        <v>314</v>
      </c>
      <c r="H539" s="3" t="s">
        <v>346</v>
      </c>
      <c r="I539" s="3" t="s">
        <v>315</v>
      </c>
      <c r="J539" s="3" t="s">
        <v>347</v>
      </c>
      <c r="K539" s="3" t="s">
        <v>348</v>
      </c>
      <c r="L539" s="3">
        <v>2</v>
      </c>
      <c r="M539" s="3" t="s">
        <v>247</v>
      </c>
      <c r="N539" s="3" t="s">
        <v>345</v>
      </c>
      <c r="O539" s="3">
        <v>214</v>
      </c>
      <c r="P539" s="65">
        <v>0.93412878382396536</v>
      </c>
      <c r="Q539" s="36">
        <v>250</v>
      </c>
      <c r="R539" s="3"/>
      <c r="S539" s="3"/>
      <c r="T539" s="36"/>
      <c r="U539" s="36"/>
      <c r="V539" s="36"/>
      <c r="W539" s="36"/>
      <c r="X539" s="36"/>
      <c r="Y539" s="36"/>
      <c r="Z539" s="36"/>
    </row>
    <row r="540" spans="1:26" ht="14">
      <c r="A540" s="169">
        <v>42515</v>
      </c>
      <c r="B540" s="169" t="s">
        <v>144</v>
      </c>
      <c r="C540" s="179">
        <v>2016</v>
      </c>
      <c r="D540" s="170">
        <v>8</v>
      </c>
      <c r="E540" s="172" t="s">
        <v>223</v>
      </c>
      <c r="F540" s="172" t="s">
        <v>317</v>
      </c>
      <c r="G540" s="172" t="s">
        <v>314</v>
      </c>
      <c r="H540" s="172" t="s">
        <v>346</v>
      </c>
      <c r="I540" s="172" t="s">
        <v>315</v>
      </c>
      <c r="J540" s="171" t="s">
        <v>365</v>
      </c>
      <c r="K540" s="171" t="s">
        <v>366</v>
      </c>
      <c r="L540" s="171">
        <v>23</v>
      </c>
      <c r="M540" s="171" t="s">
        <v>247</v>
      </c>
      <c r="N540" s="171" t="s">
        <v>345</v>
      </c>
      <c r="O540" s="171">
        <v>252</v>
      </c>
      <c r="P540" s="171">
        <v>9.1258733015991655</v>
      </c>
      <c r="Q540" s="171">
        <v>250</v>
      </c>
      <c r="R540" s="171"/>
      <c r="S540" s="171"/>
      <c r="T540" s="36"/>
      <c r="U540" s="36"/>
      <c r="V540" s="36"/>
      <c r="W540" s="36"/>
      <c r="X540" s="36"/>
      <c r="Y540" s="36"/>
      <c r="Z540" s="36"/>
    </row>
    <row r="541" spans="1:26" ht="14">
      <c r="A541" s="169">
        <v>42515</v>
      </c>
      <c r="B541" s="169" t="s">
        <v>144</v>
      </c>
      <c r="C541" s="179">
        <v>2016</v>
      </c>
      <c r="D541" s="170">
        <v>8</v>
      </c>
      <c r="E541" s="170" t="s">
        <v>223</v>
      </c>
      <c r="F541" s="170" t="s">
        <v>317</v>
      </c>
      <c r="G541" s="170" t="s">
        <v>314</v>
      </c>
      <c r="H541" s="170" t="s">
        <v>346</v>
      </c>
      <c r="I541" s="170" t="s">
        <v>315</v>
      </c>
      <c r="J541" s="171" t="s">
        <v>347</v>
      </c>
      <c r="K541" s="171" t="s">
        <v>348</v>
      </c>
      <c r="L541" s="171">
        <v>2</v>
      </c>
      <c r="M541" s="171" t="s">
        <v>247</v>
      </c>
      <c r="N541" s="171" t="s">
        <v>345</v>
      </c>
      <c r="O541" s="171">
        <v>252</v>
      </c>
      <c r="P541" s="171">
        <v>0.79355420013905775</v>
      </c>
      <c r="Q541" s="171">
        <v>250</v>
      </c>
      <c r="R541" s="171"/>
      <c r="S541" s="171"/>
      <c r="T541" s="36"/>
      <c r="U541" s="36"/>
      <c r="V541" s="36"/>
      <c r="W541" s="36"/>
      <c r="X541" s="36"/>
      <c r="Y541" s="36"/>
      <c r="Z541" s="36"/>
    </row>
    <row r="542" spans="1:26" ht="14">
      <c r="A542" s="169">
        <v>42515</v>
      </c>
      <c r="B542" s="169" t="s">
        <v>144</v>
      </c>
      <c r="C542" s="179">
        <v>2016</v>
      </c>
      <c r="D542" s="170">
        <v>8</v>
      </c>
      <c r="E542" s="170" t="s">
        <v>223</v>
      </c>
      <c r="F542" s="170" t="s">
        <v>317</v>
      </c>
      <c r="G542" s="170" t="s">
        <v>314</v>
      </c>
      <c r="H542" s="170" t="s">
        <v>346</v>
      </c>
      <c r="I542" s="170" t="s">
        <v>315</v>
      </c>
      <c r="J542" s="171" t="s">
        <v>347</v>
      </c>
      <c r="K542" s="171" t="s">
        <v>368</v>
      </c>
      <c r="L542" s="171">
        <v>11</v>
      </c>
      <c r="M542" s="171" t="s">
        <v>247</v>
      </c>
      <c r="N542" s="171" t="s">
        <v>345</v>
      </c>
      <c r="O542" s="171">
        <v>249</v>
      </c>
      <c r="P542" s="171">
        <v>4.4171330176415031</v>
      </c>
      <c r="Q542" s="171">
        <v>250</v>
      </c>
      <c r="R542" s="171"/>
      <c r="S542" s="171"/>
      <c r="T542" s="36"/>
      <c r="U542" s="36"/>
      <c r="V542" s="36"/>
      <c r="W542" s="36"/>
      <c r="X542" s="36"/>
      <c r="Y542" s="36"/>
      <c r="Z542" s="36"/>
    </row>
    <row r="543" spans="1:26" ht="14">
      <c r="A543" s="13">
        <v>42263</v>
      </c>
      <c r="B543" s="35" t="s">
        <v>157</v>
      </c>
      <c r="C543" s="165">
        <v>2015</v>
      </c>
      <c r="D543" s="36">
        <v>5</v>
      </c>
      <c r="E543" s="51" t="s">
        <v>223</v>
      </c>
      <c r="F543" s="51" t="s">
        <v>317</v>
      </c>
      <c r="G543" s="51" t="s">
        <v>314</v>
      </c>
      <c r="H543" s="51" t="s">
        <v>346</v>
      </c>
      <c r="I543" s="51" t="s">
        <v>315</v>
      </c>
      <c r="J543" s="3" t="s">
        <v>347</v>
      </c>
      <c r="K543" s="3" t="s">
        <v>480</v>
      </c>
      <c r="L543" s="36">
        <v>1</v>
      </c>
      <c r="M543" s="36" t="s">
        <v>247</v>
      </c>
      <c r="N543" s="3" t="s">
        <v>345</v>
      </c>
      <c r="O543" s="3">
        <v>222</v>
      </c>
      <c r="P543" s="36">
        <v>0.45032312577471006</v>
      </c>
      <c r="Q543" s="36">
        <v>250</v>
      </c>
      <c r="R543" s="3"/>
      <c r="S543" s="3"/>
      <c r="T543" s="36"/>
      <c r="U543" s="36"/>
      <c r="V543" s="36"/>
      <c r="W543" s="36"/>
      <c r="X543" s="36"/>
      <c r="Y543" s="36"/>
      <c r="Z543" s="36"/>
    </row>
    <row r="544" spans="1:26" ht="14">
      <c r="A544" s="13">
        <v>42263</v>
      </c>
      <c r="B544" s="35" t="s">
        <v>157</v>
      </c>
      <c r="C544" s="165">
        <v>2015</v>
      </c>
      <c r="D544" s="36">
        <v>5</v>
      </c>
      <c r="E544" s="65" t="s">
        <v>223</v>
      </c>
      <c r="F544" s="36" t="s">
        <v>310</v>
      </c>
      <c r="G544" s="36" t="s">
        <v>314</v>
      </c>
      <c r="H544" s="65" t="s">
        <v>311</v>
      </c>
      <c r="I544" s="65" t="s">
        <v>315</v>
      </c>
      <c r="J544" s="65" t="s">
        <v>316</v>
      </c>
      <c r="K544" s="36" t="s">
        <v>484</v>
      </c>
      <c r="L544" s="36">
        <v>6</v>
      </c>
      <c r="M544" s="36" t="s">
        <v>247</v>
      </c>
      <c r="N544" s="3" t="s">
        <v>345</v>
      </c>
      <c r="O544" s="3">
        <v>222</v>
      </c>
      <c r="P544" s="36">
        <v>2.7019387546482601</v>
      </c>
      <c r="Q544" s="3">
        <v>250</v>
      </c>
      <c r="R544" s="3"/>
      <c r="S544" s="3"/>
      <c r="T544" s="36"/>
      <c r="U544" s="36"/>
      <c r="V544" s="36"/>
      <c r="W544" s="36"/>
      <c r="X544" s="36"/>
      <c r="Y544" s="36"/>
      <c r="Z544" s="36"/>
    </row>
    <row r="545" spans="1:26" ht="14">
      <c r="A545" s="13">
        <v>42263</v>
      </c>
      <c r="B545" s="72" t="s">
        <v>157</v>
      </c>
      <c r="C545" s="165">
        <v>2015</v>
      </c>
      <c r="D545" s="65">
        <v>8</v>
      </c>
      <c r="E545" s="52" t="s">
        <v>223</v>
      </c>
      <c r="F545" s="52" t="s">
        <v>317</v>
      </c>
      <c r="G545" s="52" t="s">
        <v>314</v>
      </c>
      <c r="H545" s="52" t="s">
        <v>346</v>
      </c>
      <c r="I545" s="52" t="s">
        <v>315</v>
      </c>
      <c r="J545" s="51" t="s">
        <v>365</v>
      </c>
      <c r="K545" s="3" t="s">
        <v>366</v>
      </c>
      <c r="L545" s="3">
        <v>1</v>
      </c>
      <c r="M545" s="36" t="s">
        <v>247</v>
      </c>
      <c r="N545" s="3" t="s">
        <v>345</v>
      </c>
      <c r="O545" s="3">
        <v>244</v>
      </c>
      <c r="P545" s="36">
        <v>0.4098360655737705</v>
      </c>
      <c r="Q545" s="36">
        <v>250</v>
      </c>
      <c r="R545" s="3"/>
      <c r="S545" s="3"/>
      <c r="T545" s="36"/>
      <c r="U545" s="36"/>
      <c r="V545" s="36"/>
      <c r="W545" s="36"/>
      <c r="X545" s="36"/>
      <c r="Y545" s="36"/>
      <c r="Z545" s="36"/>
    </row>
    <row r="546" spans="1:26" ht="14">
      <c r="A546" s="71">
        <v>42206</v>
      </c>
      <c r="B546" s="72" t="s">
        <v>154</v>
      </c>
      <c r="C546" s="165">
        <v>2015</v>
      </c>
      <c r="D546" s="36">
        <v>5</v>
      </c>
      <c r="E546" s="3" t="s">
        <v>223</v>
      </c>
      <c r="F546" s="3" t="s">
        <v>317</v>
      </c>
      <c r="G546" s="3" t="s">
        <v>314</v>
      </c>
      <c r="H546" s="3" t="s">
        <v>346</v>
      </c>
      <c r="I546" s="3" t="s">
        <v>315</v>
      </c>
      <c r="J546" s="3" t="s">
        <v>347</v>
      </c>
      <c r="K546" s="3"/>
      <c r="L546" s="3">
        <v>1</v>
      </c>
      <c r="M546" s="3" t="s">
        <v>229</v>
      </c>
      <c r="N546" s="36" t="s">
        <v>345</v>
      </c>
      <c r="O546" s="3">
        <v>251</v>
      </c>
      <c r="P546" s="65">
        <v>0.3983156294006901</v>
      </c>
      <c r="Q546" s="36">
        <v>250</v>
      </c>
      <c r="R546" s="3"/>
      <c r="S546" s="3"/>
      <c r="T546" s="36"/>
      <c r="U546" s="36"/>
      <c r="V546" s="36"/>
      <c r="W546" s="36"/>
      <c r="X546" s="36"/>
      <c r="Y546" s="36"/>
      <c r="Z546" s="36"/>
    </row>
    <row r="547" spans="1:26" ht="14">
      <c r="A547" s="71">
        <v>42206</v>
      </c>
      <c r="B547" s="72" t="s">
        <v>154</v>
      </c>
      <c r="C547" s="165">
        <v>2015</v>
      </c>
      <c r="D547" s="36">
        <v>5</v>
      </c>
      <c r="E547" s="65" t="s">
        <v>223</v>
      </c>
      <c r="F547" s="65" t="s">
        <v>310</v>
      </c>
      <c r="G547" s="65" t="s">
        <v>314</v>
      </c>
      <c r="H547" s="65" t="s">
        <v>311</v>
      </c>
      <c r="I547" s="65" t="s">
        <v>315</v>
      </c>
      <c r="J547" s="36" t="s">
        <v>316</v>
      </c>
      <c r="K547" s="3"/>
      <c r="L547" s="3">
        <v>3</v>
      </c>
      <c r="M547" s="3" t="s">
        <v>229</v>
      </c>
      <c r="N547" s="36" t="s">
        <v>345</v>
      </c>
      <c r="O547" s="3">
        <v>251</v>
      </c>
      <c r="P547" s="65">
        <v>1.1949468882020704</v>
      </c>
      <c r="Q547" s="3">
        <v>250</v>
      </c>
      <c r="R547" s="3"/>
      <c r="S547" s="3"/>
      <c r="T547" s="36"/>
      <c r="U547" s="36"/>
      <c r="V547" s="36"/>
      <c r="W547" s="36"/>
      <c r="X547" s="36"/>
      <c r="Y547" s="36"/>
      <c r="Z547" s="36"/>
    </row>
    <row r="548" spans="1:26" ht="14">
      <c r="A548" s="71">
        <v>42206</v>
      </c>
      <c r="B548" s="72" t="s">
        <v>154</v>
      </c>
      <c r="C548" s="165">
        <v>2015</v>
      </c>
      <c r="D548" s="65">
        <v>8</v>
      </c>
      <c r="E548" s="3" t="s">
        <v>223</v>
      </c>
      <c r="F548" s="3" t="s">
        <v>317</v>
      </c>
      <c r="G548" s="3" t="s">
        <v>314</v>
      </c>
      <c r="H548" s="3" t="s">
        <v>346</v>
      </c>
      <c r="I548" s="3" t="s">
        <v>315</v>
      </c>
      <c r="J548" s="3" t="s">
        <v>347</v>
      </c>
      <c r="K548" s="3"/>
      <c r="L548" s="3">
        <v>10</v>
      </c>
      <c r="M548" s="3" t="s">
        <v>229</v>
      </c>
      <c r="N548" s="36" t="s">
        <v>345</v>
      </c>
      <c r="O548" s="3">
        <v>199</v>
      </c>
      <c r="P548" s="65">
        <v>5.0207624713163339</v>
      </c>
      <c r="Q548" s="3">
        <v>250</v>
      </c>
      <c r="R548" s="3" t="s">
        <v>478</v>
      </c>
      <c r="S548" s="3"/>
      <c r="T548" s="36"/>
      <c r="U548" s="36"/>
      <c r="V548" s="36"/>
      <c r="W548" s="36"/>
      <c r="X548" s="36"/>
      <c r="Y548" s="36"/>
      <c r="Z548" s="36"/>
    </row>
    <row r="549" spans="1:26" ht="14">
      <c r="A549" s="71">
        <v>42206</v>
      </c>
      <c r="B549" s="72" t="s">
        <v>154</v>
      </c>
      <c r="C549" s="165">
        <v>2015</v>
      </c>
      <c r="D549" s="65">
        <v>8</v>
      </c>
      <c r="E549" s="65" t="s">
        <v>223</v>
      </c>
      <c r="F549" s="65" t="s">
        <v>310</v>
      </c>
      <c r="G549" s="65" t="s">
        <v>314</v>
      </c>
      <c r="H549" s="65" t="s">
        <v>311</v>
      </c>
      <c r="I549" s="65" t="s">
        <v>315</v>
      </c>
      <c r="J549" s="36" t="s">
        <v>316</v>
      </c>
      <c r="K549" s="3"/>
      <c r="L549" s="3">
        <v>5</v>
      </c>
      <c r="M549" s="3" t="s">
        <v>229</v>
      </c>
      <c r="N549" s="36" t="s">
        <v>345</v>
      </c>
      <c r="O549" s="3">
        <v>199</v>
      </c>
      <c r="P549" s="65">
        <v>2.510381235658167</v>
      </c>
      <c r="Q549" s="36">
        <v>250</v>
      </c>
      <c r="R549" s="3"/>
      <c r="S549" s="3"/>
      <c r="T549" s="36"/>
      <c r="U549" s="36"/>
      <c r="V549" s="36"/>
      <c r="W549" s="36"/>
      <c r="X549" s="36"/>
      <c r="Y549" s="36"/>
      <c r="Z549" s="36"/>
    </row>
    <row r="550" spans="1:26" ht="14">
      <c r="A550" s="71">
        <v>42144</v>
      </c>
      <c r="B550" s="72" t="s">
        <v>144</v>
      </c>
      <c r="C550" s="165">
        <v>2015</v>
      </c>
      <c r="D550" s="65">
        <v>2</v>
      </c>
      <c r="E550" s="3" t="s">
        <v>223</v>
      </c>
      <c r="F550" s="3" t="s">
        <v>310</v>
      </c>
      <c r="G550" s="3" t="s">
        <v>314</v>
      </c>
      <c r="H550" s="3" t="s">
        <v>311</v>
      </c>
      <c r="I550" s="3" t="s">
        <v>315</v>
      </c>
      <c r="J550" s="3" t="s">
        <v>347</v>
      </c>
      <c r="K550" s="3"/>
      <c r="L550" s="3">
        <v>1</v>
      </c>
      <c r="M550" s="36" t="s">
        <v>229</v>
      </c>
      <c r="N550" s="3" t="s">
        <v>345</v>
      </c>
      <c r="O550" s="3">
        <v>333</v>
      </c>
      <c r="P550" s="65">
        <v>0.30022231204405447</v>
      </c>
      <c r="Q550" s="3">
        <v>250</v>
      </c>
      <c r="R550" s="3"/>
      <c r="S550" s="3"/>
      <c r="T550" s="36"/>
      <c r="U550" s="36"/>
      <c r="V550" s="36"/>
      <c r="W550" s="36"/>
      <c r="X550" s="36"/>
      <c r="Y550" s="36"/>
      <c r="Z550" s="36"/>
    </row>
    <row r="551" spans="1:26" ht="14">
      <c r="A551" s="35">
        <v>42144</v>
      </c>
      <c r="B551" s="72" t="s">
        <v>144</v>
      </c>
      <c r="C551" s="165">
        <v>2015</v>
      </c>
      <c r="D551" s="36">
        <v>4</v>
      </c>
      <c r="E551" s="65" t="s">
        <v>223</v>
      </c>
      <c r="F551" s="65" t="s">
        <v>310</v>
      </c>
      <c r="G551" s="65" t="s">
        <v>314</v>
      </c>
      <c r="H551" s="65" t="s">
        <v>311</v>
      </c>
      <c r="I551" s="65" t="s">
        <v>315</v>
      </c>
      <c r="J551" s="65" t="s">
        <v>316</v>
      </c>
      <c r="K551" s="36"/>
      <c r="L551" s="36">
        <v>1</v>
      </c>
      <c r="M551" s="36" t="s">
        <v>229</v>
      </c>
      <c r="N551" s="36" t="s">
        <v>345</v>
      </c>
      <c r="O551" s="36">
        <v>229</v>
      </c>
      <c r="P551" s="65">
        <v>0.43629167816834835</v>
      </c>
      <c r="Q551" s="65">
        <v>250</v>
      </c>
      <c r="R551" s="65"/>
      <c r="S551" s="65"/>
      <c r="T551" s="65"/>
      <c r="U551" s="36"/>
      <c r="V551" s="36"/>
      <c r="W551" s="36"/>
      <c r="X551" s="36"/>
      <c r="Y551" s="36"/>
      <c r="Z551" s="36"/>
    </row>
    <row r="552" spans="1:26" ht="14">
      <c r="A552" s="72">
        <v>42144</v>
      </c>
      <c r="B552" s="72" t="s">
        <v>144</v>
      </c>
      <c r="C552" s="165">
        <v>2015</v>
      </c>
      <c r="D552" s="36">
        <v>5</v>
      </c>
      <c r="E552" s="36" t="s">
        <v>223</v>
      </c>
      <c r="F552" s="36" t="s">
        <v>310</v>
      </c>
      <c r="G552" s="36" t="s">
        <v>314</v>
      </c>
      <c r="H552" s="36" t="s">
        <v>311</v>
      </c>
      <c r="I552" s="36" t="s">
        <v>315</v>
      </c>
      <c r="J552" s="36" t="s">
        <v>347</v>
      </c>
      <c r="K552" s="36"/>
      <c r="L552" s="36">
        <v>1</v>
      </c>
      <c r="M552" s="36" t="s">
        <v>229</v>
      </c>
      <c r="N552" s="36" t="s">
        <v>345</v>
      </c>
      <c r="O552" s="36">
        <v>327</v>
      </c>
      <c r="P552" s="65">
        <v>0.3056978920604308</v>
      </c>
      <c r="Q552" s="36">
        <v>250</v>
      </c>
      <c r="R552" s="36"/>
      <c r="S552" s="36"/>
      <c r="T552" s="36"/>
      <c r="U552" s="36"/>
      <c r="V552" s="36"/>
      <c r="W552" s="36"/>
      <c r="X552" s="36"/>
      <c r="Y552" s="36"/>
      <c r="Z552" s="36"/>
    </row>
    <row r="553" spans="1:26" ht="14">
      <c r="A553" s="13">
        <v>41912</v>
      </c>
      <c r="B553" s="35" t="s">
        <v>157</v>
      </c>
      <c r="C553" s="165">
        <v>2014</v>
      </c>
      <c r="D553" s="36">
        <v>5</v>
      </c>
      <c r="E553" s="51" t="s">
        <v>223</v>
      </c>
      <c r="F553" s="51" t="s">
        <v>310</v>
      </c>
      <c r="G553" s="51" t="s">
        <v>314</v>
      </c>
      <c r="H553" s="51" t="s">
        <v>311</v>
      </c>
      <c r="I553" s="51" t="s">
        <v>315</v>
      </c>
      <c r="J553" s="3" t="s">
        <v>316</v>
      </c>
      <c r="K553" s="3"/>
      <c r="L553" s="3">
        <v>1</v>
      </c>
      <c r="M553" s="36" t="s">
        <v>229</v>
      </c>
      <c r="N553" s="3" t="s">
        <v>345</v>
      </c>
      <c r="O553" s="3">
        <v>216</v>
      </c>
      <c r="P553" s="65">
        <v>0.46205433924743899</v>
      </c>
      <c r="Q553" s="3">
        <v>250</v>
      </c>
      <c r="R553" s="3"/>
      <c r="S553" s="3"/>
      <c r="T553" s="36"/>
      <c r="U553" s="36"/>
      <c r="V553" s="36"/>
      <c r="W553" s="36"/>
      <c r="X553" s="36"/>
      <c r="Y553" s="36"/>
      <c r="Z553" s="36"/>
    </row>
    <row r="554" spans="1:26" ht="14">
      <c r="A554" s="13">
        <v>41912</v>
      </c>
      <c r="B554" s="35" t="s">
        <v>157</v>
      </c>
      <c r="C554" s="165">
        <v>2014</v>
      </c>
      <c r="D554" s="36">
        <v>5</v>
      </c>
      <c r="E554" s="51" t="s">
        <v>223</v>
      </c>
      <c r="F554" s="51" t="s">
        <v>310</v>
      </c>
      <c r="G554" s="51" t="s">
        <v>314</v>
      </c>
      <c r="H554" s="51" t="s">
        <v>311</v>
      </c>
      <c r="I554" s="51" t="s">
        <v>315</v>
      </c>
      <c r="J554" s="3" t="s">
        <v>347</v>
      </c>
      <c r="K554" s="3"/>
      <c r="L554" s="3">
        <v>3</v>
      </c>
      <c r="M554" s="36" t="s">
        <v>229</v>
      </c>
      <c r="N554" s="3" t="s">
        <v>345</v>
      </c>
      <c r="O554" s="3">
        <v>216</v>
      </c>
      <c r="P554" s="65">
        <v>1.3861630177423172</v>
      </c>
      <c r="Q554" s="36">
        <v>250</v>
      </c>
      <c r="R554" s="3"/>
      <c r="S554" s="3"/>
      <c r="T554" s="36"/>
      <c r="U554" s="36"/>
      <c r="V554" s="36"/>
      <c r="W554" s="36"/>
      <c r="X554" s="36"/>
      <c r="Y554" s="36"/>
      <c r="Z554" s="36"/>
    </row>
    <row r="555" spans="1:26" ht="14">
      <c r="A555" s="13">
        <v>41912</v>
      </c>
      <c r="B555" s="35" t="s">
        <v>157</v>
      </c>
      <c r="C555" s="165">
        <v>2014</v>
      </c>
      <c r="D555" s="65">
        <v>8</v>
      </c>
      <c r="E555" s="51" t="s">
        <v>223</v>
      </c>
      <c r="F555" s="51" t="s">
        <v>310</v>
      </c>
      <c r="G555" s="51" t="s">
        <v>314</v>
      </c>
      <c r="H555" s="51" t="s">
        <v>311</v>
      </c>
      <c r="I555" s="51" t="s">
        <v>315</v>
      </c>
      <c r="J555" s="51" t="s">
        <v>316</v>
      </c>
      <c r="K555" s="3"/>
      <c r="L555" s="3">
        <v>7</v>
      </c>
      <c r="M555" s="36" t="s">
        <v>229</v>
      </c>
      <c r="N555" s="3" t="s">
        <v>345</v>
      </c>
      <c r="O555" s="3">
        <v>217</v>
      </c>
      <c r="P555" s="65">
        <v>3.2247240038027556</v>
      </c>
      <c r="Q555" s="3">
        <v>250</v>
      </c>
      <c r="R555" s="3" t="s">
        <v>495</v>
      </c>
      <c r="S555" s="3"/>
      <c r="T555" s="36"/>
      <c r="U555" s="36"/>
      <c r="V555" s="36"/>
      <c r="W555" s="36"/>
      <c r="X555" s="36"/>
      <c r="Y555" s="36"/>
      <c r="Z555" s="36"/>
    </row>
    <row r="556" spans="1:26" ht="14">
      <c r="A556" s="13">
        <v>41912</v>
      </c>
      <c r="B556" s="35" t="s">
        <v>157</v>
      </c>
      <c r="C556" s="165">
        <v>2014</v>
      </c>
      <c r="D556" s="65">
        <v>8</v>
      </c>
      <c r="E556" s="51" t="s">
        <v>223</v>
      </c>
      <c r="F556" s="51" t="s">
        <v>310</v>
      </c>
      <c r="G556" s="51" t="s">
        <v>314</v>
      </c>
      <c r="H556" s="51" t="s">
        <v>311</v>
      </c>
      <c r="I556" s="51" t="s">
        <v>315</v>
      </c>
      <c r="J556" s="3" t="s">
        <v>347</v>
      </c>
      <c r="K556" s="3"/>
      <c r="L556" s="3">
        <v>2</v>
      </c>
      <c r="M556" s="36" t="s">
        <v>229</v>
      </c>
      <c r="N556" s="3" t="s">
        <v>345</v>
      </c>
      <c r="O556" s="3">
        <v>217</v>
      </c>
      <c r="P556" s="65">
        <v>0.92134971537221577</v>
      </c>
      <c r="Q556" s="36">
        <v>250</v>
      </c>
      <c r="R556" s="3"/>
      <c r="S556" s="3"/>
      <c r="T556" s="36"/>
      <c r="U556" s="36"/>
      <c r="V556" s="36"/>
      <c r="W556" s="36"/>
      <c r="X556" s="36"/>
      <c r="Y556" s="36"/>
      <c r="Z556" s="36"/>
    </row>
    <row r="557" spans="1:26" ht="14">
      <c r="A557" s="71">
        <v>41542</v>
      </c>
      <c r="B557" s="64" t="s">
        <v>157</v>
      </c>
      <c r="C557" s="165">
        <v>2013</v>
      </c>
      <c r="D557" s="51">
        <v>2</v>
      </c>
      <c r="E557" s="3" t="s">
        <v>223</v>
      </c>
      <c r="F557" s="3" t="s">
        <v>310</v>
      </c>
      <c r="G557" s="3" t="s">
        <v>314</v>
      </c>
      <c r="H557" s="3" t="s">
        <v>311</v>
      </c>
      <c r="I557" s="3" t="s">
        <v>315</v>
      </c>
      <c r="J557" s="3" t="s">
        <v>347</v>
      </c>
      <c r="K557" s="3" t="s">
        <v>348</v>
      </c>
      <c r="L557" s="3">
        <v>1</v>
      </c>
      <c r="M557" s="3" t="s">
        <v>247</v>
      </c>
      <c r="N557" s="3" t="s">
        <v>345</v>
      </c>
      <c r="O557" s="3">
        <v>110</v>
      </c>
      <c r="P557" s="65">
        <v>0.90090212217539389</v>
      </c>
      <c r="Q557" s="3">
        <v>250</v>
      </c>
      <c r="R557" s="3"/>
      <c r="S557" s="3"/>
      <c r="T557" s="36"/>
      <c r="U557" s="36"/>
      <c r="V557" s="36"/>
      <c r="W557" s="36"/>
      <c r="X557" s="36"/>
      <c r="Y557" s="36"/>
      <c r="Z557" s="36"/>
    </row>
    <row r="558" spans="1:26" ht="14">
      <c r="A558" s="71">
        <v>41542</v>
      </c>
      <c r="B558" s="72" t="s">
        <v>157</v>
      </c>
      <c r="C558" s="165">
        <v>2013</v>
      </c>
      <c r="D558" s="51">
        <v>4</v>
      </c>
      <c r="E558" s="51" t="s">
        <v>223</v>
      </c>
      <c r="F558" s="51" t="s">
        <v>310</v>
      </c>
      <c r="G558" s="51" t="s">
        <v>314</v>
      </c>
      <c r="H558" s="51" t="s">
        <v>311</v>
      </c>
      <c r="I558" s="51" t="s">
        <v>315</v>
      </c>
      <c r="J558" s="3" t="s">
        <v>316</v>
      </c>
      <c r="K558" s="3"/>
      <c r="L558" s="3">
        <v>1</v>
      </c>
      <c r="M558" s="3" t="s">
        <v>229</v>
      </c>
      <c r="N558" s="3" t="s">
        <v>345</v>
      </c>
      <c r="O558" s="3">
        <v>159</v>
      </c>
      <c r="P558" s="65">
        <v>0.62206233822921186</v>
      </c>
      <c r="Q558" s="3">
        <v>250</v>
      </c>
      <c r="R558" s="3"/>
      <c r="S558" s="3"/>
      <c r="T558" s="36"/>
      <c r="U558" s="36"/>
      <c r="V558" s="36"/>
      <c r="W558" s="36"/>
      <c r="X558" s="36"/>
      <c r="Y558" s="36"/>
      <c r="Z558" s="36"/>
    </row>
    <row r="559" spans="1:26" ht="14">
      <c r="A559" s="71">
        <v>41542</v>
      </c>
      <c r="B559" s="64" t="s">
        <v>157</v>
      </c>
      <c r="C559" s="165">
        <v>2013</v>
      </c>
      <c r="D559" s="51">
        <v>5</v>
      </c>
      <c r="E559" s="3" t="s">
        <v>223</v>
      </c>
      <c r="F559" s="3" t="s">
        <v>310</v>
      </c>
      <c r="G559" s="3" t="s">
        <v>314</v>
      </c>
      <c r="H559" s="3" t="s">
        <v>311</v>
      </c>
      <c r="I559" s="3" t="s">
        <v>315</v>
      </c>
      <c r="J559" s="3" t="s">
        <v>347</v>
      </c>
      <c r="K559" s="3" t="s">
        <v>348</v>
      </c>
      <c r="L559" s="3">
        <v>1</v>
      </c>
      <c r="M559" s="3" t="s">
        <v>247</v>
      </c>
      <c r="N559" s="3" t="s">
        <v>345</v>
      </c>
      <c r="O559" s="3">
        <v>206</v>
      </c>
      <c r="P559" s="65">
        <v>0.48528051994299326</v>
      </c>
      <c r="Q559" s="3">
        <v>250</v>
      </c>
      <c r="R559" s="3"/>
      <c r="S559" s="3"/>
      <c r="T559" s="36"/>
      <c r="U559" s="36"/>
      <c r="V559" s="36"/>
      <c r="W559" s="36"/>
      <c r="X559" s="36"/>
      <c r="Y559" s="36"/>
      <c r="Z559" s="36"/>
    </row>
    <row r="560" spans="1:26" ht="14">
      <c r="A560" s="13">
        <v>41480</v>
      </c>
      <c r="B560" s="72" t="s">
        <v>154</v>
      </c>
      <c r="C560" s="165">
        <v>2013</v>
      </c>
      <c r="D560" s="51">
        <v>4</v>
      </c>
      <c r="E560" s="51" t="s">
        <v>223</v>
      </c>
      <c r="F560" s="51" t="s">
        <v>317</v>
      </c>
      <c r="G560" s="51" t="s">
        <v>314</v>
      </c>
      <c r="H560" s="51" t="s">
        <v>346</v>
      </c>
      <c r="I560" s="51" t="s">
        <v>315</v>
      </c>
      <c r="J560" s="3" t="s">
        <v>347</v>
      </c>
      <c r="K560" s="3" t="s">
        <v>348</v>
      </c>
      <c r="L560" s="3">
        <v>1</v>
      </c>
      <c r="M560" s="3" t="s">
        <v>247</v>
      </c>
      <c r="N560" s="3" t="s">
        <v>345</v>
      </c>
      <c r="O560" s="3">
        <v>124</v>
      </c>
      <c r="P560" s="36">
        <v>0.80423522173133577</v>
      </c>
      <c r="Q560" s="3">
        <v>250</v>
      </c>
      <c r="R560" s="3"/>
      <c r="S560" s="3"/>
      <c r="T560" s="36"/>
      <c r="U560" s="36"/>
      <c r="V560" s="36"/>
      <c r="W560" s="36"/>
      <c r="X560" s="36"/>
      <c r="Y560" s="36"/>
      <c r="Z560" s="36"/>
    </row>
    <row r="561" spans="1:26" ht="14">
      <c r="A561" s="13">
        <v>41480</v>
      </c>
      <c r="B561" s="64" t="s">
        <v>154</v>
      </c>
      <c r="C561" s="165">
        <v>2013</v>
      </c>
      <c r="D561" s="51">
        <v>5</v>
      </c>
      <c r="E561" s="51" t="s">
        <v>223</v>
      </c>
      <c r="F561" s="51" t="s">
        <v>317</v>
      </c>
      <c r="G561" s="51" t="s">
        <v>314</v>
      </c>
      <c r="H561" s="51" t="s">
        <v>346</v>
      </c>
      <c r="I561" s="51" t="s">
        <v>315</v>
      </c>
      <c r="J561" s="3" t="s">
        <v>347</v>
      </c>
      <c r="K561" s="3" t="s">
        <v>348</v>
      </c>
      <c r="L561" s="3">
        <v>1</v>
      </c>
      <c r="M561" s="3" t="s">
        <v>247</v>
      </c>
      <c r="N561" s="3" t="s">
        <v>345</v>
      </c>
      <c r="O561" s="3">
        <v>155</v>
      </c>
      <c r="P561" s="65">
        <v>0.64507032099814654</v>
      </c>
      <c r="Q561" s="3">
        <v>250</v>
      </c>
      <c r="R561" s="3"/>
      <c r="S561" s="3"/>
      <c r="T561" s="36"/>
      <c r="U561" s="36"/>
      <c r="V561" s="36"/>
      <c r="W561" s="36"/>
      <c r="X561" s="36"/>
      <c r="Y561" s="36"/>
      <c r="Z561" s="36"/>
    </row>
    <row r="562" spans="1:26" ht="14">
      <c r="A562" s="13">
        <v>41480</v>
      </c>
      <c r="B562" s="35" t="s">
        <v>154</v>
      </c>
      <c r="C562" s="165">
        <v>2013</v>
      </c>
      <c r="D562" s="51">
        <v>8</v>
      </c>
      <c r="E562" s="3" t="s">
        <v>223</v>
      </c>
      <c r="F562" s="3" t="s">
        <v>310</v>
      </c>
      <c r="G562" s="3" t="s">
        <v>314</v>
      </c>
      <c r="H562" s="3" t="s">
        <v>311</v>
      </c>
      <c r="I562" s="3" t="s">
        <v>315</v>
      </c>
      <c r="J562" s="3" t="s">
        <v>343</v>
      </c>
      <c r="K562" s="3" t="s">
        <v>344</v>
      </c>
      <c r="L562" s="3">
        <v>3</v>
      </c>
      <c r="M562" s="3" t="s">
        <v>247</v>
      </c>
      <c r="N562" s="3" t="s">
        <v>345</v>
      </c>
      <c r="O562" s="3">
        <v>251</v>
      </c>
      <c r="P562" s="65">
        <v>1.1951659620839281</v>
      </c>
      <c r="Q562" s="3">
        <v>250</v>
      </c>
      <c r="R562" s="3"/>
      <c r="S562" s="3"/>
      <c r="T562" s="36"/>
      <c r="U562" s="36"/>
      <c r="V562" s="36"/>
      <c r="W562" s="36"/>
      <c r="X562" s="36"/>
      <c r="Y562" s="36"/>
      <c r="Z562" s="36"/>
    </row>
    <row r="563" spans="1:26" ht="14">
      <c r="A563" s="13">
        <v>41480</v>
      </c>
      <c r="B563" s="64" t="s">
        <v>154</v>
      </c>
      <c r="C563" s="165">
        <v>2013</v>
      </c>
      <c r="D563" s="51">
        <v>8</v>
      </c>
      <c r="E563" s="51" t="s">
        <v>223</v>
      </c>
      <c r="F563" s="51" t="s">
        <v>310</v>
      </c>
      <c r="G563" s="51" t="s">
        <v>314</v>
      </c>
      <c r="H563" s="51" t="s">
        <v>311</v>
      </c>
      <c r="I563" s="51" t="s">
        <v>315</v>
      </c>
      <c r="J563" s="3" t="s">
        <v>316</v>
      </c>
      <c r="K563" s="3" t="s">
        <v>342</v>
      </c>
      <c r="L563" s="3">
        <v>4</v>
      </c>
      <c r="M563" s="3" t="s">
        <v>247</v>
      </c>
      <c r="N563" s="3" t="s">
        <v>345</v>
      </c>
      <c r="O563" s="3">
        <v>251</v>
      </c>
      <c r="P563" s="65">
        <v>1.5935546161119041</v>
      </c>
      <c r="Q563" s="3">
        <v>250</v>
      </c>
      <c r="R563" s="3"/>
      <c r="S563" s="3"/>
      <c r="T563" s="36"/>
      <c r="U563" s="36"/>
      <c r="V563" s="36"/>
      <c r="W563" s="36"/>
      <c r="X563" s="36"/>
      <c r="Y563" s="36"/>
      <c r="Z563" s="36"/>
    </row>
    <row r="564" spans="1:26" ht="14">
      <c r="A564" s="72">
        <v>41422</v>
      </c>
      <c r="B564" s="72" t="s">
        <v>144</v>
      </c>
      <c r="C564" s="165">
        <v>2013</v>
      </c>
      <c r="D564" s="65">
        <v>2</v>
      </c>
      <c r="E564" s="36" t="s">
        <v>223</v>
      </c>
      <c r="F564" s="36" t="s">
        <v>317</v>
      </c>
      <c r="G564" s="36"/>
      <c r="H564" s="36" t="s">
        <v>311</v>
      </c>
      <c r="I564" s="36" t="s">
        <v>318</v>
      </c>
      <c r="J564" s="36" t="s">
        <v>319</v>
      </c>
      <c r="K564" s="36"/>
      <c r="L564" s="36">
        <v>11</v>
      </c>
      <c r="M564" s="36" t="s">
        <v>229</v>
      </c>
      <c r="N564" s="36" t="s">
        <v>345</v>
      </c>
      <c r="O564" s="36">
        <v>40</v>
      </c>
      <c r="P564" s="36">
        <v>27.48701915219327</v>
      </c>
      <c r="Q564" s="36">
        <v>250</v>
      </c>
      <c r="R564" s="36" t="s">
        <v>271</v>
      </c>
      <c r="S564" s="36"/>
      <c r="T564" s="36"/>
      <c r="U564" s="36"/>
      <c r="V564" s="36"/>
      <c r="W564" s="36"/>
      <c r="X564" s="36"/>
      <c r="Y564" s="36"/>
      <c r="Z564" s="36"/>
    </row>
    <row r="565" spans="1:26" ht="14">
      <c r="A565" s="71">
        <v>41422</v>
      </c>
      <c r="B565" s="64" t="s">
        <v>144</v>
      </c>
      <c r="C565" s="165">
        <v>2013</v>
      </c>
      <c r="D565" s="51">
        <v>2</v>
      </c>
      <c r="E565" s="3" t="s">
        <v>223</v>
      </c>
      <c r="F565" s="3" t="s">
        <v>310</v>
      </c>
      <c r="G565" s="3"/>
      <c r="H565" s="3" t="s">
        <v>311</v>
      </c>
      <c r="I565" s="3" t="s">
        <v>312</v>
      </c>
      <c r="J565" s="3" t="s">
        <v>313</v>
      </c>
      <c r="K565" s="3"/>
      <c r="L565" s="3">
        <v>2</v>
      </c>
      <c r="M565" s="3" t="s">
        <v>229</v>
      </c>
      <c r="N565" s="3" t="s">
        <v>345</v>
      </c>
      <c r="O565" s="3">
        <v>40</v>
      </c>
      <c r="P565" s="65">
        <v>4.997639845853322</v>
      </c>
      <c r="Q565" s="3">
        <v>250</v>
      </c>
      <c r="R565" s="3"/>
      <c r="S565" s="3"/>
      <c r="T565" s="36"/>
      <c r="U565" s="36"/>
      <c r="V565" s="36"/>
      <c r="W565" s="36"/>
      <c r="X565" s="36"/>
      <c r="Y565" s="36"/>
      <c r="Z565" s="36"/>
    </row>
    <row r="566" spans="1:26" ht="14">
      <c r="A566" s="13">
        <v>41422</v>
      </c>
      <c r="B566" s="72" t="s">
        <v>144</v>
      </c>
      <c r="C566" s="165">
        <v>2013</v>
      </c>
      <c r="D566" s="51">
        <v>4</v>
      </c>
      <c r="E566" s="3" t="s">
        <v>223</v>
      </c>
      <c r="F566" s="3" t="s">
        <v>310</v>
      </c>
      <c r="G566" s="3" t="s">
        <v>314</v>
      </c>
      <c r="H566" s="3" t="s">
        <v>311</v>
      </c>
      <c r="I566" s="3" t="s">
        <v>312</v>
      </c>
      <c r="J566" s="3" t="s">
        <v>313</v>
      </c>
      <c r="K566" s="3"/>
      <c r="L566" s="3">
        <v>4</v>
      </c>
      <c r="M566" s="3" t="s">
        <v>229</v>
      </c>
      <c r="N566" s="3" t="s">
        <v>345</v>
      </c>
      <c r="O566" s="3">
        <v>106</v>
      </c>
      <c r="P566" s="65">
        <v>3.7680184894974786</v>
      </c>
      <c r="Q566" s="3">
        <v>250</v>
      </c>
      <c r="R566" s="3"/>
      <c r="S566" s="3"/>
      <c r="T566" s="36"/>
      <c r="U566" s="36"/>
      <c r="V566" s="36"/>
      <c r="W566" s="36"/>
      <c r="X566" s="36"/>
      <c r="Y566" s="36"/>
      <c r="Z566" s="36"/>
    </row>
    <row r="567" spans="1:26" ht="14">
      <c r="A567" s="13">
        <v>41422</v>
      </c>
      <c r="B567" s="64" t="s">
        <v>144</v>
      </c>
      <c r="C567" s="165">
        <v>2013</v>
      </c>
      <c r="D567" s="51">
        <v>4</v>
      </c>
      <c r="E567" s="3" t="s">
        <v>223</v>
      </c>
      <c r="F567" s="3" t="s">
        <v>310</v>
      </c>
      <c r="G567" s="3" t="s">
        <v>314</v>
      </c>
      <c r="H567" s="3" t="s">
        <v>311</v>
      </c>
      <c r="I567" s="3" t="s">
        <v>315</v>
      </c>
      <c r="J567" s="3" t="s">
        <v>316</v>
      </c>
      <c r="K567" s="3"/>
      <c r="L567" s="3">
        <v>3</v>
      </c>
      <c r="M567" s="3" t="s">
        <v>229</v>
      </c>
      <c r="N567" s="3" t="s">
        <v>345</v>
      </c>
      <c r="O567" s="3">
        <v>106</v>
      </c>
      <c r="P567" s="65">
        <v>2.8260138671231094</v>
      </c>
      <c r="Q567" s="3">
        <v>250</v>
      </c>
      <c r="R567" s="3"/>
      <c r="S567" s="3"/>
      <c r="T567" s="36"/>
      <c r="U567" s="36"/>
      <c r="V567" s="36"/>
      <c r="W567" s="36"/>
      <c r="X567" s="36"/>
      <c r="Y567" s="36"/>
      <c r="Z567" s="36"/>
    </row>
    <row r="568" spans="1:26" ht="14">
      <c r="A568" s="72">
        <v>42206</v>
      </c>
      <c r="B568" s="72" t="s">
        <v>154</v>
      </c>
      <c r="C568" s="165">
        <v>2015</v>
      </c>
      <c r="D568" s="65">
        <v>2</v>
      </c>
      <c r="E568" s="36" t="s">
        <v>223</v>
      </c>
      <c r="F568" s="36" t="s">
        <v>224</v>
      </c>
      <c r="G568" s="36" t="s">
        <v>225</v>
      </c>
      <c r="H568" s="36" t="s">
        <v>226</v>
      </c>
      <c r="I568" s="36" t="s">
        <v>235</v>
      </c>
      <c r="J568" s="36" t="s">
        <v>236</v>
      </c>
      <c r="K568" s="36"/>
      <c r="L568" s="36">
        <v>1</v>
      </c>
      <c r="M568" s="36" t="s">
        <v>229</v>
      </c>
      <c r="N568" s="36" t="s">
        <v>238</v>
      </c>
      <c r="O568" s="36">
        <v>337</v>
      </c>
      <c r="P568" s="36">
        <v>0.29663811623326186</v>
      </c>
      <c r="Q568" s="36">
        <v>250</v>
      </c>
      <c r="R568" s="36"/>
      <c r="S568" s="36"/>
      <c r="T568" s="36"/>
      <c r="U568" s="36"/>
      <c r="V568" s="36"/>
      <c r="W568" s="36"/>
      <c r="X568" s="36"/>
      <c r="Y568" s="36"/>
      <c r="Z568" s="36"/>
    </row>
    <row r="569" spans="1:26" ht="14">
      <c r="A569" s="13">
        <v>41542</v>
      </c>
      <c r="B569" s="64" t="s">
        <v>157</v>
      </c>
      <c r="C569" s="165">
        <v>2013</v>
      </c>
      <c r="D569" s="51">
        <v>4</v>
      </c>
      <c r="E569" s="3" t="s">
        <v>223</v>
      </c>
      <c r="F569" s="3" t="s">
        <v>224</v>
      </c>
      <c r="G569" s="3" t="s">
        <v>225</v>
      </c>
      <c r="H569" s="3" t="s">
        <v>226</v>
      </c>
      <c r="I569" s="3" t="s">
        <v>235</v>
      </c>
      <c r="J569" s="3" t="s">
        <v>236</v>
      </c>
      <c r="K569" s="3" t="s">
        <v>237</v>
      </c>
      <c r="L569" s="3">
        <v>7</v>
      </c>
      <c r="M569" s="3" t="s">
        <v>247</v>
      </c>
      <c r="N569" s="3" t="s">
        <v>238</v>
      </c>
      <c r="O569" s="3">
        <v>159</v>
      </c>
      <c r="P569" s="36">
        <v>4.3544363676044817</v>
      </c>
      <c r="Q569" s="3">
        <v>250</v>
      </c>
      <c r="R569" s="3"/>
      <c r="S569" s="3"/>
      <c r="T569" s="36"/>
      <c r="U569" s="36"/>
      <c r="V569" s="36"/>
      <c r="W569" s="36"/>
      <c r="X569" s="36"/>
      <c r="Y569" s="36"/>
      <c r="Z569" s="36"/>
    </row>
    <row r="570" spans="1:26" ht="14">
      <c r="A570" s="71">
        <v>41542</v>
      </c>
      <c r="B570" s="72" t="s">
        <v>157</v>
      </c>
      <c r="C570" s="165">
        <v>2013</v>
      </c>
      <c r="D570" s="51">
        <v>5</v>
      </c>
      <c r="E570" s="51" t="s">
        <v>223</v>
      </c>
      <c r="F570" s="51" t="s">
        <v>224</v>
      </c>
      <c r="G570" s="51" t="s">
        <v>225</v>
      </c>
      <c r="H570" s="51" t="s">
        <v>226</v>
      </c>
      <c r="I570" s="51" t="s">
        <v>235</v>
      </c>
      <c r="J570" s="51" t="s">
        <v>236</v>
      </c>
      <c r="K570" s="3" t="s">
        <v>237</v>
      </c>
      <c r="L570" s="3">
        <v>8</v>
      </c>
      <c r="M570" s="3" t="s">
        <v>247</v>
      </c>
      <c r="N570" s="3" t="s">
        <v>238</v>
      </c>
      <c r="O570" s="3">
        <v>206</v>
      </c>
      <c r="P570" s="36">
        <v>3.8822441595439461</v>
      </c>
      <c r="Q570" s="3">
        <v>250</v>
      </c>
      <c r="R570" s="3"/>
      <c r="S570" s="3"/>
      <c r="T570" s="36"/>
      <c r="U570" s="36"/>
      <c r="V570" s="36"/>
      <c r="W570" s="36"/>
      <c r="X570" s="36"/>
      <c r="Y570" s="36"/>
      <c r="Z570" s="36"/>
    </row>
    <row r="571" spans="1:26" ht="14">
      <c r="A571" s="71">
        <v>41542</v>
      </c>
      <c r="B571" s="64" t="s">
        <v>157</v>
      </c>
      <c r="C571" s="165">
        <v>2013</v>
      </c>
      <c r="D571" s="51">
        <v>8</v>
      </c>
      <c r="E571" s="3" t="s">
        <v>223</v>
      </c>
      <c r="F571" s="3" t="s">
        <v>224</v>
      </c>
      <c r="G571" s="3" t="s">
        <v>225</v>
      </c>
      <c r="H571" s="3" t="s">
        <v>226</v>
      </c>
      <c r="I571" s="3" t="s">
        <v>235</v>
      </c>
      <c r="J571" s="3" t="s">
        <v>236</v>
      </c>
      <c r="K571" s="3" t="s">
        <v>237</v>
      </c>
      <c r="L571" s="3">
        <v>15</v>
      </c>
      <c r="M571" s="3" t="s">
        <v>247</v>
      </c>
      <c r="N571" s="3" t="s">
        <v>238</v>
      </c>
      <c r="O571" s="3">
        <v>183</v>
      </c>
      <c r="P571" s="36">
        <v>8.1964724715821102</v>
      </c>
      <c r="Q571" s="3">
        <v>250</v>
      </c>
      <c r="R571" s="3"/>
      <c r="S571" s="3"/>
      <c r="T571" s="36"/>
      <c r="U571" s="36"/>
      <c r="V571" s="36"/>
      <c r="W571" s="36"/>
      <c r="X571" s="36"/>
      <c r="Y571" s="36"/>
      <c r="Z571" s="36"/>
    </row>
    <row r="572" spans="1:26" ht="14">
      <c r="A572" s="13">
        <v>41480</v>
      </c>
      <c r="B572" s="72" t="s">
        <v>154</v>
      </c>
      <c r="C572" s="165">
        <v>2013</v>
      </c>
      <c r="D572" s="51">
        <v>8</v>
      </c>
      <c r="E572" s="51" t="s">
        <v>223</v>
      </c>
      <c r="F572" s="51" t="s">
        <v>224</v>
      </c>
      <c r="G572" s="51" t="s">
        <v>225</v>
      </c>
      <c r="H572" s="51" t="s">
        <v>226</v>
      </c>
      <c r="I572" s="51" t="s">
        <v>235</v>
      </c>
      <c r="J572" s="3" t="s">
        <v>236</v>
      </c>
      <c r="K572" s="3" t="s">
        <v>237</v>
      </c>
      <c r="L572" s="3">
        <v>3</v>
      </c>
      <c r="M572" s="3" t="s">
        <v>247</v>
      </c>
      <c r="N572" s="3" t="s">
        <v>238</v>
      </c>
      <c r="O572" s="3">
        <v>251</v>
      </c>
      <c r="P572" s="65">
        <v>1.1951659620839281</v>
      </c>
      <c r="Q572" s="3">
        <v>250</v>
      </c>
      <c r="R572" s="3"/>
      <c r="S572" s="3"/>
      <c r="T572" s="36"/>
      <c r="U572" s="36"/>
      <c r="V572" s="36"/>
      <c r="W572" s="36"/>
      <c r="X572" s="36"/>
      <c r="Y572" s="36"/>
      <c r="Z572" s="36"/>
    </row>
    <row r="573" spans="1:26" ht="14">
      <c r="A573" s="13">
        <v>41422</v>
      </c>
      <c r="B573" s="64" t="s">
        <v>144</v>
      </c>
      <c r="C573" s="165">
        <v>2013</v>
      </c>
      <c r="D573" s="51">
        <v>4</v>
      </c>
      <c r="E573" s="3" t="s">
        <v>223</v>
      </c>
      <c r="F573" s="3" t="s">
        <v>224</v>
      </c>
      <c r="G573" s="3" t="s">
        <v>225</v>
      </c>
      <c r="H573" s="3" t="s">
        <v>226</v>
      </c>
      <c r="I573" s="3" t="s">
        <v>235</v>
      </c>
      <c r="J573" s="3" t="s">
        <v>236</v>
      </c>
      <c r="K573" s="3" t="s">
        <v>237</v>
      </c>
      <c r="L573" s="3">
        <v>1</v>
      </c>
      <c r="M573" s="3" t="s">
        <v>247</v>
      </c>
      <c r="N573" s="3" t="s">
        <v>238</v>
      </c>
      <c r="O573" s="3">
        <v>106</v>
      </c>
      <c r="P573" s="65">
        <v>0.94200462237436966</v>
      </c>
      <c r="Q573" s="3">
        <v>250</v>
      </c>
      <c r="R573" s="3"/>
      <c r="S573" s="3"/>
      <c r="T573" s="36"/>
      <c r="U573" s="36"/>
      <c r="V573" s="36"/>
      <c r="W573" s="36"/>
      <c r="X573" s="36"/>
      <c r="Y573" s="36"/>
      <c r="Z573" s="36"/>
    </row>
    <row r="574" spans="1:26" ht="14">
      <c r="A574" s="71">
        <v>41422</v>
      </c>
      <c r="B574" s="35" t="s">
        <v>144</v>
      </c>
      <c r="C574" s="165">
        <v>2013</v>
      </c>
      <c r="D574" s="51">
        <v>5</v>
      </c>
      <c r="E574" s="3" t="s">
        <v>223</v>
      </c>
      <c r="F574" s="3" t="s">
        <v>224</v>
      </c>
      <c r="G574" s="3" t="s">
        <v>225</v>
      </c>
      <c r="H574" s="3" t="s">
        <v>226</v>
      </c>
      <c r="I574" s="3" t="s">
        <v>235</v>
      </c>
      <c r="J574" s="3" t="s">
        <v>236</v>
      </c>
      <c r="K574" s="3" t="s">
        <v>237</v>
      </c>
      <c r="L574" s="3">
        <v>7</v>
      </c>
      <c r="M574" s="3" t="s">
        <v>247</v>
      </c>
      <c r="N574" s="3" t="s">
        <v>238</v>
      </c>
      <c r="O574" s="3">
        <v>120</v>
      </c>
      <c r="P574" s="36">
        <v>5.8333333333333321</v>
      </c>
      <c r="Q574" s="3">
        <v>250</v>
      </c>
      <c r="R574" s="3"/>
      <c r="S574" s="3"/>
      <c r="T574" s="36"/>
      <c r="U574" s="36"/>
      <c r="V574" s="36"/>
      <c r="W574" s="36"/>
      <c r="X574" s="36"/>
      <c r="Y574" s="36"/>
      <c r="Z574" s="36"/>
    </row>
    <row r="575" spans="1:26" ht="14">
      <c r="A575" s="13">
        <v>41422</v>
      </c>
      <c r="B575" s="64" t="s">
        <v>144</v>
      </c>
      <c r="C575" s="165">
        <v>2013</v>
      </c>
      <c r="D575" s="51">
        <v>8</v>
      </c>
      <c r="E575" s="3" t="s">
        <v>223</v>
      </c>
      <c r="F575" s="3" t="s">
        <v>224</v>
      </c>
      <c r="G575" s="3" t="s">
        <v>225</v>
      </c>
      <c r="H575" s="3" t="s">
        <v>226</v>
      </c>
      <c r="I575" s="3" t="s">
        <v>235</v>
      </c>
      <c r="J575" s="3" t="s">
        <v>236</v>
      </c>
      <c r="K575" s="3" t="s">
        <v>237</v>
      </c>
      <c r="L575" s="3">
        <v>4</v>
      </c>
      <c r="M575" s="3" t="s">
        <v>247</v>
      </c>
      <c r="N575" s="3" t="s">
        <v>238</v>
      </c>
      <c r="O575" s="3">
        <v>89</v>
      </c>
      <c r="P575" s="36">
        <v>4.4932393943246405</v>
      </c>
      <c r="Q575" s="3">
        <v>250</v>
      </c>
      <c r="R575" s="3"/>
      <c r="S575" s="3"/>
      <c r="T575" s="36"/>
      <c r="U575" s="36"/>
      <c r="V575" s="36"/>
      <c r="W575" s="36"/>
      <c r="X575" s="36"/>
      <c r="Y575" s="36"/>
      <c r="Z575" s="36"/>
    </row>
    <row r="576" spans="1:26" ht="14">
      <c r="A576" s="13">
        <v>43019</v>
      </c>
      <c r="B576" s="72" t="s">
        <v>159</v>
      </c>
      <c r="C576" s="165">
        <v>2017</v>
      </c>
      <c r="D576" s="65">
        <v>4</v>
      </c>
      <c r="E576" s="3" t="s">
        <v>223</v>
      </c>
      <c r="F576" s="3" t="s">
        <v>224</v>
      </c>
      <c r="G576" s="3" t="s">
        <v>225</v>
      </c>
      <c r="H576" s="3" t="s">
        <v>226</v>
      </c>
      <c r="I576" s="51" t="s">
        <v>235</v>
      </c>
      <c r="J576" s="51" t="s">
        <v>236</v>
      </c>
      <c r="K576" s="3"/>
      <c r="L576" s="36">
        <v>7</v>
      </c>
      <c r="M576" s="3" t="s">
        <v>229</v>
      </c>
      <c r="N576" s="36" t="s">
        <v>236</v>
      </c>
      <c r="O576" s="3">
        <v>248</v>
      </c>
      <c r="P576" s="36">
        <v>2.7845079161898845</v>
      </c>
      <c r="Q576" s="65">
        <v>250</v>
      </c>
      <c r="R576" s="51"/>
      <c r="S576" s="51"/>
      <c r="T576" s="65"/>
      <c r="U576" s="36"/>
      <c r="V576" s="36"/>
      <c r="W576" s="36"/>
      <c r="X576" s="36"/>
      <c r="Y576" s="36"/>
      <c r="Z576" s="36"/>
    </row>
    <row r="577" spans="1:26" ht="14">
      <c r="A577" s="13">
        <v>43019</v>
      </c>
      <c r="B577" s="64" t="s">
        <v>159</v>
      </c>
      <c r="C577" s="165">
        <v>2017</v>
      </c>
      <c r="D577" s="65">
        <v>5</v>
      </c>
      <c r="E577" s="3" t="s">
        <v>223</v>
      </c>
      <c r="F577" s="3" t="s">
        <v>224</v>
      </c>
      <c r="G577" s="3" t="s">
        <v>225</v>
      </c>
      <c r="H577" s="3" t="s">
        <v>226</v>
      </c>
      <c r="I577" s="51" t="s">
        <v>235</v>
      </c>
      <c r="J577" s="51" t="s">
        <v>236</v>
      </c>
      <c r="K577" s="3"/>
      <c r="L577" s="36">
        <v>2</v>
      </c>
      <c r="M577" s="3" t="s">
        <v>229</v>
      </c>
      <c r="N577" s="36" t="s">
        <v>236</v>
      </c>
      <c r="O577" s="3">
        <v>255</v>
      </c>
      <c r="P577" s="36">
        <v>0.78413982443045338</v>
      </c>
      <c r="Q577" s="51">
        <v>250</v>
      </c>
      <c r="R577" s="51"/>
      <c r="S577" s="51"/>
      <c r="T577" s="65"/>
      <c r="U577" s="36"/>
      <c r="V577" s="36"/>
      <c r="W577" s="36"/>
      <c r="X577" s="36"/>
      <c r="Y577" s="36"/>
      <c r="Z577" s="36"/>
    </row>
    <row r="578" spans="1:26" ht="14">
      <c r="A578" s="13">
        <v>43019</v>
      </c>
      <c r="B578" s="35" t="s">
        <v>159</v>
      </c>
      <c r="C578" s="165">
        <v>2017</v>
      </c>
      <c r="D578" s="65">
        <v>8</v>
      </c>
      <c r="E578" s="3" t="s">
        <v>223</v>
      </c>
      <c r="F578" s="3" t="s">
        <v>224</v>
      </c>
      <c r="G578" s="3" t="s">
        <v>225</v>
      </c>
      <c r="H578" s="3" t="s">
        <v>226</v>
      </c>
      <c r="I578" s="3" t="s">
        <v>235</v>
      </c>
      <c r="J578" s="3" t="s">
        <v>236</v>
      </c>
      <c r="K578" s="3"/>
      <c r="L578" s="36">
        <v>17</v>
      </c>
      <c r="M578" s="3" t="s">
        <v>229</v>
      </c>
      <c r="N578" s="36" t="s">
        <v>236</v>
      </c>
      <c r="O578" s="3">
        <v>288</v>
      </c>
      <c r="P578" s="36">
        <v>5.6713781805583228</v>
      </c>
      <c r="Q578" s="51">
        <v>250</v>
      </c>
      <c r="R578" s="51"/>
      <c r="S578" s="51"/>
      <c r="T578" s="65"/>
      <c r="U578" s="36"/>
      <c r="V578" s="36"/>
      <c r="W578" s="36"/>
      <c r="X578" s="36"/>
      <c r="Y578" s="36"/>
      <c r="Z578" s="36"/>
    </row>
    <row r="579" spans="1:26" ht="14">
      <c r="A579" s="13">
        <v>42928</v>
      </c>
      <c r="B579" s="64" t="s">
        <v>154</v>
      </c>
      <c r="C579" s="165">
        <v>2017</v>
      </c>
      <c r="D579" s="65">
        <v>2</v>
      </c>
      <c r="E579" s="3" t="s">
        <v>223</v>
      </c>
      <c r="F579" s="3" t="s">
        <v>224</v>
      </c>
      <c r="G579" s="3" t="s">
        <v>225</v>
      </c>
      <c r="H579" s="3" t="s">
        <v>226</v>
      </c>
      <c r="I579" s="51" t="s">
        <v>235</v>
      </c>
      <c r="J579" s="51" t="s">
        <v>236</v>
      </c>
      <c r="K579" s="3"/>
      <c r="L579" s="36">
        <v>1</v>
      </c>
      <c r="M579" s="3" t="s">
        <v>229</v>
      </c>
      <c r="N579" s="36" t="s">
        <v>236</v>
      </c>
      <c r="O579" s="3">
        <v>656</v>
      </c>
      <c r="P579" s="36">
        <v>0.15228432618094218</v>
      </c>
      <c r="Q579" s="65">
        <v>250</v>
      </c>
      <c r="R579" s="51"/>
      <c r="S579" s="51"/>
      <c r="T579" s="65"/>
      <c r="U579" s="36"/>
      <c r="V579" s="36"/>
      <c r="W579" s="36"/>
      <c r="X579" s="36"/>
      <c r="Y579" s="36"/>
      <c r="Z579" s="36"/>
    </row>
    <row r="580" spans="1:26" ht="14">
      <c r="A580" s="13">
        <v>42928</v>
      </c>
      <c r="B580" s="72" t="s">
        <v>154</v>
      </c>
      <c r="C580" s="165">
        <v>2017</v>
      </c>
      <c r="D580" s="65">
        <v>4</v>
      </c>
      <c r="E580" s="3" t="s">
        <v>223</v>
      </c>
      <c r="F580" s="3" t="s">
        <v>224</v>
      </c>
      <c r="G580" s="3" t="s">
        <v>225</v>
      </c>
      <c r="H580" s="3" t="s">
        <v>226</v>
      </c>
      <c r="I580" s="3" t="s">
        <v>235</v>
      </c>
      <c r="J580" s="3" t="s">
        <v>236</v>
      </c>
      <c r="K580" s="3"/>
      <c r="L580" s="36">
        <v>9</v>
      </c>
      <c r="M580" s="3" t="s">
        <v>229</v>
      </c>
      <c r="N580" s="36" t="s">
        <v>236</v>
      </c>
      <c r="O580" s="3">
        <v>225</v>
      </c>
      <c r="P580" s="36">
        <v>3.9839547659193042</v>
      </c>
      <c r="Q580" s="65">
        <v>250</v>
      </c>
      <c r="R580" s="51"/>
      <c r="S580" s="51"/>
      <c r="T580" s="65"/>
      <c r="U580" s="36"/>
      <c r="V580" s="36"/>
      <c r="W580" s="36"/>
      <c r="X580" s="36"/>
      <c r="Y580" s="36"/>
      <c r="Z580" s="36"/>
    </row>
    <row r="581" spans="1:26" ht="14">
      <c r="A581" s="35">
        <v>42928</v>
      </c>
      <c r="B581" s="64" t="s">
        <v>154</v>
      </c>
      <c r="C581" s="165">
        <v>2017</v>
      </c>
      <c r="D581" s="65">
        <v>5</v>
      </c>
      <c r="E581" s="36" t="s">
        <v>223</v>
      </c>
      <c r="F581" s="36" t="s">
        <v>224</v>
      </c>
      <c r="G581" s="36" t="s">
        <v>225</v>
      </c>
      <c r="H581" s="36" t="s">
        <v>226</v>
      </c>
      <c r="I581" s="36" t="s">
        <v>235</v>
      </c>
      <c r="J581" s="36" t="s">
        <v>236</v>
      </c>
      <c r="K581" s="36"/>
      <c r="L581" s="36">
        <v>8</v>
      </c>
      <c r="M581" s="36" t="s">
        <v>229</v>
      </c>
      <c r="N581" s="36" t="s">
        <v>236</v>
      </c>
      <c r="O581" s="36">
        <v>385</v>
      </c>
      <c r="P581" s="36">
        <v>2.077011492514687</v>
      </c>
      <c r="Q581" s="65">
        <v>250</v>
      </c>
      <c r="R581" s="65"/>
      <c r="S581" s="65"/>
      <c r="T581" s="65"/>
      <c r="U581" s="36"/>
      <c r="V581" s="36"/>
      <c r="W581" s="36"/>
      <c r="X581" s="36"/>
      <c r="Y581" s="36"/>
      <c r="Z581" s="36"/>
    </row>
    <row r="582" spans="1:26" ht="14">
      <c r="A582" s="13">
        <v>42928</v>
      </c>
      <c r="B582" s="35" t="s">
        <v>154</v>
      </c>
      <c r="C582" s="165">
        <v>2017</v>
      </c>
      <c r="D582" s="65">
        <v>8</v>
      </c>
      <c r="E582" s="3" t="s">
        <v>223</v>
      </c>
      <c r="F582" s="3" t="s">
        <v>224</v>
      </c>
      <c r="G582" s="3" t="s">
        <v>225</v>
      </c>
      <c r="H582" s="3" t="s">
        <v>226</v>
      </c>
      <c r="I582" s="51" t="s">
        <v>235</v>
      </c>
      <c r="J582" s="51" t="s">
        <v>236</v>
      </c>
      <c r="K582" s="3"/>
      <c r="L582" s="36">
        <v>14</v>
      </c>
      <c r="M582" s="3" t="s">
        <v>229</v>
      </c>
      <c r="N582" s="36" t="s">
        <v>236</v>
      </c>
      <c r="O582" s="3">
        <v>319</v>
      </c>
      <c r="P582" s="36">
        <v>4.3870507884186347</v>
      </c>
      <c r="Q582" s="65">
        <v>250</v>
      </c>
      <c r="R582" s="51"/>
      <c r="S582" s="51"/>
      <c r="T582" s="65"/>
      <c r="U582" s="36"/>
      <c r="V582" s="36"/>
      <c r="W582" s="36"/>
      <c r="X582" s="36"/>
      <c r="Y582" s="36"/>
      <c r="Z582" s="36"/>
    </row>
    <row r="583" spans="1:26" ht="14">
      <c r="A583" s="13">
        <v>42867</v>
      </c>
      <c r="B583" s="64" t="s">
        <v>144</v>
      </c>
      <c r="C583" s="165">
        <v>2017</v>
      </c>
      <c r="D583" s="65">
        <v>8</v>
      </c>
      <c r="E583" s="3" t="s">
        <v>223</v>
      </c>
      <c r="F583" s="3" t="s">
        <v>224</v>
      </c>
      <c r="G583" s="3" t="s">
        <v>225</v>
      </c>
      <c r="H583" s="3" t="s">
        <v>226</v>
      </c>
      <c r="I583" s="51" t="s">
        <v>235</v>
      </c>
      <c r="J583" s="51" t="s">
        <v>236</v>
      </c>
      <c r="K583" s="3"/>
      <c r="L583" s="36">
        <v>2</v>
      </c>
      <c r="M583" s="3" t="s">
        <v>229</v>
      </c>
      <c r="N583" s="36" t="s">
        <v>236</v>
      </c>
      <c r="O583" s="3">
        <v>268</v>
      </c>
      <c r="P583" s="36">
        <v>0.74498727455326275</v>
      </c>
      <c r="Q583" s="51"/>
      <c r="R583" s="51"/>
      <c r="S583" s="51"/>
      <c r="T583" s="65"/>
      <c r="U583" s="36"/>
      <c r="V583" s="36"/>
      <c r="W583" s="36"/>
      <c r="X583" s="36"/>
      <c r="Y583" s="36"/>
      <c r="Z583" s="36"/>
    </row>
    <row r="584" spans="1:26" ht="14">
      <c r="A584" s="35">
        <v>42634</v>
      </c>
      <c r="B584" s="72" t="s">
        <v>157</v>
      </c>
      <c r="C584" s="165">
        <v>2016</v>
      </c>
      <c r="D584" s="65">
        <v>4</v>
      </c>
      <c r="E584" s="65" t="s">
        <v>223</v>
      </c>
      <c r="F584" s="65" t="s">
        <v>224</v>
      </c>
      <c r="G584" s="65" t="s">
        <v>225</v>
      </c>
      <c r="H584" s="65" t="s">
        <v>226</v>
      </c>
      <c r="I584" s="65" t="s">
        <v>235</v>
      </c>
      <c r="J584" s="36" t="s">
        <v>236</v>
      </c>
      <c r="K584" s="36"/>
      <c r="L584" s="65">
        <v>1</v>
      </c>
      <c r="M584" s="65" t="s">
        <v>229</v>
      </c>
      <c r="N584" s="65" t="s">
        <v>236</v>
      </c>
      <c r="O584" s="36">
        <v>156</v>
      </c>
      <c r="P584" s="76">
        <v>0.63937497457156689</v>
      </c>
      <c r="Q584" s="65">
        <v>250</v>
      </c>
      <c r="R584" s="65"/>
      <c r="S584" s="65"/>
      <c r="T584" s="65"/>
      <c r="U584" s="36"/>
      <c r="V584" s="36"/>
      <c r="W584" s="36"/>
      <c r="X584" s="36"/>
      <c r="Y584" s="36"/>
      <c r="Z584" s="36"/>
    </row>
    <row r="585" spans="1:26" ht="14">
      <c r="A585" s="13">
        <v>42634</v>
      </c>
      <c r="B585" s="64" t="s">
        <v>157</v>
      </c>
      <c r="C585" s="165">
        <v>2016</v>
      </c>
      <c r="D585" s="65">
        <v>5</v>
      </c>
      <c r="E585" s="36" t="s">
        <v>223</v>
      </c>
      <c r="F585" s="36" t="s">
        <v>224</v>
      </c>
      <c r="G585" s="36" t="s">
        <v>225</v>
      </c>
      <c r="H585" s="36" t="s">
        <v>226</v>
      </c>
      <c r="I585" s="36" t="s">
        <v>235</v>
      </c>
      <c r="J585" s="36" t="s">
        <v>236</v>
      </c>
      <c r="K585" s="36"/>
      <c r="L585" s="3">
        <v>3</v>
      </c>
      <c r="M585" s="3" t="s">
        <v>229</v>
      </c>
      <c r="N585" s="36" t="s">
        <v>236</v>
      </c>
      <c r="O585" s="3">
        <v>203</v>
      </c>
      <c r="P585" s="36">
        <v>1.4765387849693219</v>
      </c>
      <c r="Q585" s="65">
        <v>250</v>
      </c>
      <c r="R585" s="51"/>
      <c r="S585" s="51"/>
      <c r="T585" s="65"/>
      <c r="U585" s="36"/>
      <c r="V585" s="36"/>
      <c r="W585" s="36"/>
      <c r="X585" s="36"/>
      <c r="Y585" s="36"/>
      <c r="Z585" s="36"/>
    </row>
    <row r="586" spans="1:26" ht="14">
      <c r="A586" s="72">
        <v>42634</v>
      </c>
      <c r="B586" s="72" t="s">
        <v>157</v>
      </c>
      <c r="C586" s="165">
        <v>2016</v>
      </c>
      <c r="D586" s="65">
        <v>8</v>
      </c>
      <c r="E586" s="36" t="s">
        <v>223</v>
      </c>
      <c r="F586" s="36" t="s">
        <v>224</v>
      </c>
      <c r="G586" s="36" t="s">
        <v>225</v>
      </c>
      <c r="H586" s="36" t="s">
        <v>226</v>
      </c>
      <c r="I586" s="65" t="s">
        <v>235</v>
      </c>
      <c r="J586" s="65" t="s">
        <v>236</v>
      </c>
      <c r="K586" s="36"/>
      <c r="L586" s="36">
        <v>22</v>
      </c>
      <c r="M586" s="3" t="s">
        <v>229</v>
      </c>
      <c r="N586" s="36" t="s">
        <v>236</v>
      </c>
      <c r="O586" s="36">
        <v>294</v>
      </c>
      <c r="P586" s="36">
        <v>6.9992684570234696</v>
      </c>
      <c r="Q586" s="65">
        <v>250</v>
      </c>
      <c r="R586" s="65"/>
      <c r="S586" s="65"/>
      <c r="T586" s="65"/>
      <c r="U586" s="36"/>
      <c r="V586" s="36"/>
      <c r="W586" s="36"/>
      <c r="X586" s="36"/>
      <c r="Y586" s="36"/>
      <c r="Z586" s="36"/>
    </row>
    <row r="587" spans="1:26" ht="14">
      <c r="A587" s="72">
        <v>42571</v>
      </c>
      <c r="B587" s="64" t="s">
        <v>154</v>
      </c>
      <c r="C587" s="165">
        <v>2016</v>
      </c>
      <c r="D587" s="65">
        <v>4</v>
      </c>
      <c r="E587" s="51" t="s">
        <v>223</v>
      </c>
      <c r="F587" s="51" t="s">
        <v>224</v>
      </c>
      <c r="G587" s="51" t="s">
        <v>225</v>
      </c>
      <c r="H587" s="51" t="s">
        <v>226</v>
      </c>
      <c r="I587" s="51" t="s">
        <v>235</v>
      </c>
      <c r="J587" s="3" t="s">
        <v>236</v>
      </c>
      <c r="K587" s="3"/>
      <c r="L587" s="65">
        <v>1</v>
      </c>
      <c r="M587" s="51" t="s">
        <v>229</v>
      </c>
      <c r="N587" s="65" t="s">
        <v>236</v>
      </c>
      <c r="O587" s="3">
        <v>223</v>
      </c>
      <c r="P587" s="36">
        <v>0.44825487671998654</v>
      </c>
      <c r="Q587" s="51">
        <v>250</v>
      </c>
      <c r="R587" s="51"/>
      <c r="S587" s="51"/>
      <c r="T587" s="166"/>
      <c r="U587" s="36"/>
      <c r="V587" s="36"/>
      <c r="W587" s="36"/>
      <c r="X587" s="36"/>
      <c r="Y587" s="36"/>
      <c r="Z587" s="36"/>
    </row>
    <row r="588" spans="1:26" ht="14">
      <c r="A588" s="72">
        <v>42571</v>
      </c>
      <c r="B588" s="35" t="s">
        <v>154</v>
      </c>
      <c r="C588" s="165">
        <v>2016</v>
      </c>
      <c r="D588" s="65">
        <v>5</v>
      </c>
      <c r="E588" s="3" t="s">
        <v>223</v>
      </c>
      <c r="F588" s="3" t="s">
        <v>224</v>
      </c>
      <c r="G588" s="3" t="s">
        <v>225</v>
      </c>
      <c r="H588" s="3" t="s">
        <v>226</v>
      </c>
      <c r="I588" s="51" t="s">
        <v>235</v>
      </c>
      <c r="J588" s="51" t="s">
        <v>236</v>
      </c>
      <c r="K588" s="3"/>
      <c r="L588" s="36">
        <v>6</v>
      </c>
      <c r="M588" s="3" t="s">
        <v>229</v>
      </c>
      <c r="N588" s="36" t="s">
        <v>236</v>
      </c>
      <c r="O588" s="3">
        <v>211</v>
      </c>
      <c r="P588" s="65">
        <v>2.8433311070736287</v>
      </c>
      <c r="Q588" s="65">
        <v>250</v>
      </c>
      <c r="R588" s="51"/>
      <c r="S588" s="51"/>
      <c r="T588" s="65"/>
      <c r="U588" s="36"/>
      <c r="V588" s="36"/>
      <c r="W588" s="36"/>
      <c r="X588" s="36"/>
      <c r="Y588" s="36"/>
      <c r="Z588" s="36"/>
    </row>
    <row r="589" spans="1:26" ht="14">
      <c r="A589" s="72">
        <v>42571</v>
      </c>
      <c r="B589" s="64" t="s">
        <v>154</v>
      </c>
      <c r="C589" s="165">
        <v>2016</v>
      </c>
      <c r="D589" s="65">
        <v>8</v>
      </c>
      <c r="E589" s="3" t="s">
        <v>223</v>
      </c>
      <c r="F589" s="3" t="s">
        <v>224</v>
      </c>
      <c r="G589" s="3" t="s">
        <v>225</v>
      </c>
      <c r="H589" s="3" t="s">
        <v>226</v>
      </c>
      <c r="I589" s="51" t="s">
        <v>235</v>
      </c>
      <c r="J589" s="51" t="s">
        <v>236</v>
      </c>
      <c r="K589" s="3"/>
      <c r="L589" s="36">
        <v>8</v>
      </c>
      <c r="M589" s="3" t="s">
        <v>229</v>
      </c>
      <c r="N589" s="36" t="s">
        <v>236</v>
      </c>
      <c r="O589" s="3">
        <v>237</v>
      </c>
      <c r="P589" s="36">
        <v>3.3750581215420619</v>
      </c>
      <c r="Q589" s="65">
        <v>250</v>
      </c>
      <c r="R589" s="51"/>
      <c r="S589" s="51"/>
      <c r="T589" s="65"/>
      <c r="U589" s="36"/>
      <c r="V589" s="36"/>
      <c r="W589" s="36"/>
      <c r="X589" s="36"/>
      <c r="Y589" s="36"/>
      <c r="Z589" s="36"/>
    </row>
    <row r="590" spans="1:26" ht="14">
      <c r="A590" s="71">
        <v>42515</v>
      </c>
      <c r="B590" s="35" t="s">
        <v>144</v>
      </c>
      <c r="C590" s="165">
        <v>2016</v>
      </c>
      <c r="D590" s="3">
        <v>4</v>
      </c>
      <c r="E590" s="3" t="s">
        <v>223</v>
      </c>
      <c r="F590" s="3" t="s">
        <v>224</v>
      </c>
      <c r="G590" s="3" t="s">
        <v>225</v>
      </c>
      <c r="H590" s="3" t="s">
        <v>226</v>
      </c>
      <c r="I590" s="3" t="s">
        <v>235</v>
      </c>
      <c r="J590" s="3" t="s">
        <v>236</v>
      </c>
      <c r="K590" s="3"/>
      <c r="L590" s="3">
        <v>2</v>
      </c>
      <c r="M590" s="3" t="s">
        <v>229</v>
      </c>
      <c r="N590" s="3" t="s">
        <v>236</v>
      </c>
      <c r="O590" s="3">
        <v>217</v>
      </c>
      <c r="P590" s="36">
        <v>0.9209290862393783</v>
      </c>
      <c r="Q590" s="3">
        <v>250</v>
      </c>
      <c r="R590" s="3"/>
      <c r="S590" s="3"/>
      <c r="T590" s="36"/>
      <c r="U590" s="36"/>
      <c r="V590" s="36"/>
      <c r="W590" s="36"/>
      <c r="X590" s="36"/>
      <c r="Y590" s="36"/>
      <c r="Z590" s="36"/>
    </row>
    <row r="591" spans="1:26" ht="14">
      <c r="A591" s="173">
        <v>42515</v>
      </c>
      <c r="B591" s="178" t="s">
        <v>144</v>
      </c>
      <c r="C591" s="179">
        <v>2016</v>
      </c>
      <c r="D591" s="170">
        <v>8</v>
      </c>
      <c r="E591" s="171" t="s">
        <v>223</v>
      </c>
      <c r="F591" s="171" t="s">
        <v>224</v>
      </c>
      <c r="G591" s="171" t="s">
        <v>225</v>
      </c>
      <c r="H591" s="171" t="s">
        <v>226</v>
      </c>
      <c r="I591" s="171" t="s">
        <v>235</v>
      </c>
      <c r="J591" s="171" t="s">
        <v>236</v>
      </c>
      <c r="K591" s="171"/>
      <c r="L591" s="171">
        <v>2</v>
      </c>
      <c r="M591" s="171" t="s">
        <v>229</v>
      </c>
      <c r="N591" s="171" t="s">
        <v>236</v>
      </c>
      <c r="O591" s="171">
        <v>252</v>
      </c>
      <c r="P591" s="171">
        <v>0.79355420013905775</v>
      </c>
      <c r="Q591" s="171">
        <v>250</v>
      </c>
      <c r="R591" s="171"/>
      <c r="S591" s="171"/>
      <c r="T591" s="36"/>
      <c r="U591" s="36"/>
      <c r="V591" s="36"/>
      <c r="W591" s="36"/>
      <c r="X591" s="36"/>
      <c r="Y591" s="36"/>
      <c r="Z591" s="36"/>
    </row>
    <row r="592" spans="1:26" ht="14">
      <c r="A592" s="13">
        <v>42263</v>
      </c>
      <c r="B592" s="35" t="s">
        <v>157</v>
      </c>
      <c r="C592" s="165">
        <v>2015</v>
      </c>
      <c r="D592" s="36">
        <v>4</v>
      </c>
      <c r="E592" s="51" t="s">
        <v>223</v>
      </c>
      <c r="F592" s="51" t="s">
        <v>224</v>
      </c>
      <c r="G592" s="51" t="s">
        <v>225</v>
      </c>
      <c r="H592" s="51" t="s">
        <v>226</v>
      </c>
      <c r="I592" s="51" t="s">
        <v>235</v>
      </c>
      <c r="J592" s="51" t="s">
        <v>236</v>
      </c>
      <c r="K592" s="3"/>
      <c r="L592" s="3">
        <v>12</v>
      </c>
      <c r="M592" s="3" t="s">
        <v>229</v>
      </c>
      <c r="N592" s="36" t="s">
        <v>236</v>
      </c>
      <c r="O592" s="3">
        <v>161</v>
      </c>
      <c r="P592" s="65">
        <v>7.4404370192552678</v>
      </c>
      <c r="Q592" s="51">
        <v>250</v>
      </c>
      <c r="R592" s="51"/>
      <c r="S592" s="51"/>
      <c r="T592" s="65"/>
      <c r="U592" s="36"/>
      <c r="V592" s="36"/>
      <c r="W592" s="36"/>
      <c r="X592" s="36"/>
      <c r="Y592" s="36"/>
      <c r="Z592" s="36"/>
    </row>
    <row r="593" spans="1:26" ht="14">
      <c r="A593" s="13">
        <v>42263</v>
      </c>
      <c r="B593" s="64" t="s">
        <v>157</v>
      </c>
      <c r="C593" s="165">
        <v>2015</v>
      </c>
      <c r="D593" s="36">
        <v>5</v>
      </c>
      <c r="E593" s="51" t="s">
        <v>223</v>
      </c>
      <c r="F593" s="51" t="s">
        <v>224</v>
      </c>
      <c r="G593" s="51" t="s">
        <v>225</v>
      </c>
      <c r="H593" s="51" t="s">
        <v>226</v>
      </c>
      <c r="I593" s="51" t="s">
        <v>235</v>
      </c>
      <c r="J593" s="3" t="s">
        <v>236</v>
      </c>
      <c r="K593" s="3"/>
      <c r="L593" s="36">
        <v>6</v>
      </c>
      <c r="M593" s="3" t="s">
        <v>229</v>
      </c>
      <c r="N593" s="3" t="s">
        <v>236</v>
      </c>
      <c r="O593" s="3">
        <v>222</v>
      </c>
      <c r="P593" s="36">
        <v>2.7019387546482601</v>
      </c>
      <c r="Q593" s="3">
        <v>250</v>
      </c>
      <c r="R593" s="3"/>
      <c r="S593" s="3"/>
      <c r="T593" s="36"/>
      <c r="U593" s="36"/>
      <c r="V593" s="36"/>
      <c r="W593" s="36"/>
      <c r="X593" s="36"/>
      <c r="Y593" s="36"/>
      <c r="Z593" s="36"/>
    </row>
    <row r="594" spans="1:26" ht="14">
      <c r="A594" s="13">
        <v>42263</v>
      </c>
      <c r="B594" s="72" t="s">
        <v>157</v>
      </c>
      <c r="C594" s="165">
        <v>2015</v>
      </c>
      <c r="D594" s="65">
        <v>8</v>
      </c>
      <c r="E594" s="3" t="s">
        <v>223</v>
      </c>
      <c r="F594" s="3" t="s">
        <v>224</v>
      </c>
      <c r="G594" s="3" t="s">
        <v>225</v>
      </c>
      <c r="H594" s="3" t="s">
        <v>226</v>
      </c>
      <c r="I594" s="3" t="s">
        <v>235</v>
      </c>
      <c r="J594" s="3" t="s">
        <v>236</v>
      </c>
      <c r="K594" s="3"/>
      <c r="L594" s="3">
        <v>20</v>
      </c>
      <c r="M594" s="3" t="s">
        <v>229</v>
      </c>
      <c r="N594" s="3" t="s">
        <v>236</v>
      </c>
      <c r="O594" s="3">
        <v>244</v>
      </c>
      <c r="P594" s="36">
        <v>8.1967213114754092</v>
      </c>
      <c r="Q594" s="36">
        <v>250</v>
      </c>
      <c r="R594" s="3"/>
      <c r="S594" s="3"/>
      <c r="T594" s="36"/>
      <c r="U594" s="36"/>
      <c r="V594" s="36"/>
      <c r="W594" s="36"/>
      <c r="X594" s="36"/>
      <c r="Y594" s="36"/>
      <c r="Z594" s="36"/>
    </row>
    <row r="595" spans="1:26" ht="14">
      <c r="A595" s="13">
        <v>42206</v>
      </c>
      <c r="B595" s="64" t="s">
        <v>154</v>
      </c>
      <c r="C595" s="165">
        <v>2015</v>
      </c>
      <c r="D595" s="36">
        <v>4</v>
      </c>
      <c r="E595" s="51" t="s">
        <v>223</v>
      </c>
      <c r="F595" s="51" t="s">
        <v>224</v>
      </c>
      <c r="G595" s="51" t="s">
        <v>225</v>
      </c>
      <c r="H595" s="51" t="s">
        <v>226</v>
      </c>
      <c r="I595" s="51" t="s">
        <v>235</v>
      </c>
      <c r="J595" s="51" t="s">
        <v>236</v>
      </c>
      <c r="K595" s="3"/>
      <c r="L595" s="3">
        <v>38</v>
      </c>
      <c r="M595" s="3" t="s">
        <v>229</v>
      </c>
      <c r="N595" s="36" t="s">
        <v>236</v>
      </c>
      <c r="O595" s="3">
        <v>273</v>
      </c>
      <c r="P595" s="65">
        <v>13.732852395648059</v>
      </c>
      <c r="Q595" s="51">
        <v>250</v>
      </c>
      <c r="R595" s="51"/>
      <c r="S595" s="51"/>
      <c r="T595" s="65"/>
      <c r="U595" s="36"/>
      <c r="V595" s="36"/>
      <c r="W595" s="36"/>
      <c r="X595" s="36"/>
      <c r="Y595" s="36"/>
      <c r="Z595" s="36"/>
    </row>
    <row r="596" spans="1:26" ht="14">
      <c r="A596" s="71">
        <v>42206</v>
      </c>
      <c r="B596" s="72" t="s">
        <v>154</v>
      </c>
      <c r="C596" s="165">
        <v>2015</v>
      </c>
      <c r="D596" s="36">
        <v>5</v>
      </c>
      <c r="E596" s="51" t="s">
        <v>223</v>
      </c>
      <c r="F596" s="51" t="s">
        <v>224</v>
      </c>
      <c r="G596" s="51" t="s">
        <v>225</v>
      </c>
      <c r="H596" s="51" t="s">
        <v>226</v>
      </c>
      <c r="I596" s="51" t="s">
        <v>235</v>
      </c>
      <c r="J596" s="3" t="s">
        <v>236</v>
      </c>
      <c r="K596" s="3"/>
      <c r="L596" s="3">
        <v>2</v>
      </c>
      <c r="M596" s="3" t="s">
        <v>229</v>
      </c>
      <c r="N596" s="36" t="s">
        <v>236</v>
      </c>
      <c r="O596" s="3">
        <v>251</v>
      </c>
      <c r="P596" s="65">
        <v>0.79663125880138019</v>
      </c>
      <c r="Q596" s="36">
        <v>250</v>
      </c>
      <c r="R596" s="3"/>
      <c r="S596" s="3"/>
      <c r="T596" s="36"/>
      <c r="U596" s="36"/>
      <c r="V596" s="36"/>
      <c r="W596" s="36"/>
      <c r="X596" s="36"/>
      <c r="Y596" s="36"/>
      <c r="Z596" s="36"/>
    </row>
    <row r="597" spans="1:26" ht="14">
      <c r="A597" s="71">
        <v>42206</v>
      </c>
      <c r="B597" s="64" t="s">
        <v>154</v>
      </c>
      <c r="C597" s="165">
        <v>2015</v>
      </c>
      <c r="D597" s="65">
        <v>8</v>
      </c>
      <c r="E597" s="3" t="s">
        <v>223</v>
      </c>
      <c r="F597" s="3" t="s">
        <v>224</v>
      </c>
      <c r="G597" s="3" t="s">
        <v>225</v>
      </c>
      <c r="H597" s="3" t="s">
        <v>226</v>
      </c>
      <c r="I597" s="3" t="s">
        <v>235</v>
      </c>
      <c r="J597" s="3" t="s">
        <v>236</v>
      </c>
      <c r="K597" s="3"/>
      <c r="L597" s="3">
        <v>2</v>
      </c>
      <c r="M597" s="3" t="s">
        <v>229</v>
      </c>
      <c r="N597" s="36" t="s">
        <v>236</v>
      </c>
      <c r="O597" s="3">
        <v>199</v>
      </c>
      <c r="P597" s="65">
        <v>1.0041524942632667</v>
      </c>
      <c r="Q597" s="3">
        <v>250</v>
      </c>
      <c r="R597" s="3"/>
      <c r="S597" s="3"/>
      <c r="T597" s="36"/>
      <c r="U597" s="36"/>
      <c r="V597" s="36"/>
      <c r="W597" s="36"/>
      <c r="X597" s="36"/>
      <c r="Y597" s="36"/>
      <c r="Z597" s="36"/>
    </row>
    <row r="598" spans="1:26" ht="14">
      <c r="A598" s="63">
        <v>41912</v>
      </c>
      <c r="B598" s="72" t="s">
        <v>157</v>
      </c>
      <c r="C598" s="165">
        <v>2014</v>
      </c>
      <c r="D598" s="65">
        <v>2</v>
      </c>
      <c r="E598" s="51" t="s">
        <v>223</v>
      </c>
      <c r="F598" s="51" t="s">
        <v>224</v>
      </c>
      <c r="G598" s="51" t="s">
        <v>225</v>
      </c>
      <c r="H598" s="51" t="s">
        <v>226</v>
      </c>
      <c r="I598" s="51" t="s">
        <v>235</v>
      </c>
      <c r="J598" s="3" t="s">
        <v>236</v>
      </c>
      <c r="K598" s="3"/>
      <c r="L598" s="3">
        <v>3</v>
      </c>
      <c r="M598" s="3" t="s">
        <v>229</v>
      </c>
      <c r="N598" s="3" t="s">
        <v>236</v>
      </c>
      <c r="O598" s="3">
        <v>232</v>
      </c>
      <c r="P598" s="36">
        <v>1.2915413470768977</v>
      </c>
      <c r="Q598" s="36">
        <v>250</v>
      </c>
      <c r="R598" s="3" t="s">
        <v>497</v>
      </c>
      <c r="S598" s="3"/>
      <c r="T598" s="36"/>
      <c r="U598" s="36"/>
      <c r="V598" s="36"/>
      <c r="W598" s="36"/>
      <c r="X598" s="36"/>
      <c r="Y598" s="36"/>
      <c r="Z598" s="36"/>
    </row>
    <row r="599" spans="1:26" ht="14">
      <c r="A599" s="13">
        <v>41912</v>
      </c>
      <c r="B599" s="35" t="s">
        <v>157</v>
      </c>
      <c r="C599" s="165">
        <v>2014</v>
      </c>
      <c r="D599" s="36">
        <v>4</v>
      </c>
      <c r="E599" s="51" t="s">
        <v>223</v>
      </c>
      <c r="F599" s="51" t="s">
        <v>224</v>
      </c>
      <c r="G599" s="51" t="s">
        <v>225</v>
      </c>
      <c r="H599" s="51" t="s">
        <v>226</v>
      </c>
      <c r="I599" s="51" t="s">
        <v>235</v>
      </c>
      <c r="J599" s="3" t="s">
        <v>236</v>
      </c>
      <c r="K599" s="3"/>
      <c r="L599" s="3">
        <v>41</v>
      </c>
      <c r="M599" s="3" t="s">
        <v>229</v>
      </c>
      <c r="N599" s="3" t="s">
        <v>236</v>
      </c>
      <c r="O599" s="3">
        <v>237</v>
      </c>
      <c r="P599" s="65">
        <v>17.264931884340555</v>
      </c>
      <c r="Q599" s="3">
        <v>250</v>
      </c>
      <c r="R599" s="3"/>
      <c r="S599" s="3"/>
      <c r="T599" s="36"/>
      <c r="U599" s="36"/>
      <c r="V599" s="36"/>
      <c r="W599" s="36"/>
      <c r="X599" s="36"/>
      <c r="Y599" s="36"/>
      <c r="Z599" s="36"/>
    </row>
    <row r="600" spans="1:26" ht="14">
      <c r="A600" s="13">
        <v>41912</v>
      </c>
      <c r="B600" s="35" t="s">
        <v>157</v>
      </c>
      <c r="C600" s="165">
        <v>2014</v>
      </c>
      <c r="D600" s="36">
        <v>5</v>
      </c>
      <c r="E600" s="51" t="s">
        <v>223</v>
      </c>
      <c r="F600" s="51" t="s">
        <v>224</v>
      </c>
      <c r="G600" s="51" t="s">
        <v>225</v>
      </c>
      <c r="H600" s="51" t="s">
        <v>226</v>
      </c>
      <c r="I600" s="51" t="s">
        <v>235</v>
      </c>
      <c r="J600" s="3" t="s">
        <v>236</v>
      </c>
      <c r="K600" s="3"/>
      <c r="L600" s="3">
        <v>16</v>
      </c>
      <c r="M600" s="3" t="s">
        <v>229</v>
      </c>
      <c r="N600" s="3" t="s">
        <v>236</v>
      </c>
      <c r="O600" s="3">
        <v>216</v>
      </c>
      <c r="P600" s="36">
        <v>7.3928694279590239</v>
      </c>
      <c r="Q600" s="3">
        <v>250</v>
      </c>
      <c r="R600" s="3"/>
      <c r="S600" s="3"/>
      <c r="T600" s="36"/>
      <c r="U600" s="36"/>
      <c r="V600" s="36"/>
      <c r="W600" s="36"/>
      <c r="X600" s="36"/>
      <c r="Y600" s="36"/>
      <c r="Z600" s="36"/>
    </row>
    <row r="601" spans="1:26" ht="14">
      <c r="A601" s="13">
        <v>41912</v>
      </c>
      <c r="B601" s="35" t="s">
        <v>157</v>
      </c>
      <c r="C601" s="165">
        <v>2014</v>
      </c>
      <c r="D601" s="65">
        <v>8</v>
      </c>
      <c r="E601" s="51" t="s">
        <v>223</v>
      </c>
      <c r="F601" s="51" t="s">
        <v>224</v>
      </c>
      <c r="G601" s="51" t="s">
        <v>225</v>
      </c>
      <c r="H601" s="51" t="s">
        <v>226</v>
      </c>
      <c r="I601" s="51" t="s">
        <v>235</v>
      </c>
      <c r="J601" s="3" t="s">
        <v>236</v>
      </c>
      <c r="K601" s="3"/>
      <c r="L601" s="3">
        <v>20</v>
      </c>
      <c r="M601" s="3" t="s">
        <v>229</v>
      </c>
      <c r="N601" s="3" t="s">
        <v>236</v>
      </c>
      <c r="O601" s="3">
        <v>217</v>
      </c>
      <c r="P601" s="36">
        <v>9.2134971537221588</v>
      </c>
      <c r="Q601" s="36">
        <v>250</v>
      </c>
      <c r="R601" s="3"/>
      <c r="S601" s="3"/>
      <c r="T601" s="36"/>
      <c r="U601" s="36"/>
      <c r="V601" s="36"/>
      <c r="W601" s="36"/>
      <c r="X601" s="36"/>
      <c r="Y601" s="36"/>
      <c r="Z601" s="36"/>
    </row>
    <row r="602" spans="1:26" ht="14">
      <c r="A602" s="13">
        <v>41761</v>
      </c>
      <c r="B602" s="72" t="s">
        <v>144</v>
      </c>
      <c r="C602" s="165">
        <v>2014</v>
      </c>
      <c r="D602" s="36">
        <v>4</v>
      </c>
      <c r="E602" s="65" t="s">
        <v>223</v>
      </c>
      <c r="F602" s="65" t="s">
        <v>224</v>
      </c>
      <c r="G602" s="65" t="s">
        <v>225</v>
      </c>
      <c r="H602" s="65" t="s">
        <v>226</v>
      </c>
      <c r="I602" s="65" t="s">
        <v>235</v>
      </c>
      <c r="J602" s="36" t="s">
        <v>236</v>
      </c>
      <c r="K602" s="36"/>
      <c r="L602" s="36">
        <v>1</v>
      </c>
      <c r="M602" s="3" t="s">
        <v>229</v>
      </c>
      <c r="N602" s="3" t="s">
        <v>236</v>
      </c>
      <c r="O602" s="3">
        <v>256</v>
      </c>
      <c r="P602" s="36">
        <v>0.38129187294839412</v>
      </c>
      <c r="Q602" s="3">
        <v>250</v>
      </c>
      <c r="R602" s="3"/>
      <c r="S602" s="3"/>
      <c r="T602" s="36"/>
      <c r="U602" s="36"/>
      <c r="V602" s="36"/>
      <c r="W602" s="36"/>
      <c r="X602" s="36"/>
      <c r="Y602" s="36"/>
      <c r="Z602" s="36"/>
    </row>
    <row r="603" spans="1:26" ht="14">
      <c r="A603" s="84">
        <v>41761</v>
      </c>
      <c r="B603" s="35" t="s">
        <v>144</v>
      </c>
      <c r="C603" s="165">
        <v>2014</v>
      </c>
      <c r="D603" s="53">
        <v>5</v>
      </c>
      <c r="E603" s="3" t="s">
        <v>223</v>
      </c>
      <c r="F603" s="3" t="s">
        <v>224</v>
      </c>
      <c r="G603" s="3" t="s">
        <v>225</v>
      </c>
      <c r="H603" s="3" t="s">
        <v>226</v>
      </c>
      <c r="I603" s="3" t="s">
        <v>235</v>
      </c>
      <c r="J603" s="3" t="s">
        <v>236</v>
      </c>
      <c r="K603" s="3"/>
      <c r="L603" s="3">
        <v>1</v>
      </c>
      <c r="M603" s="3" t="s">
        <v>229</v>
      </c>
      <c r="N603" s="3" t="s">
        <v>236</v>
      </c>
      <c r="O603" s="3">
        <v>300</v>
      </c>
      <c r="P603" s="65">
        <v>0.33263927147670036</v>
      </c>
      <c r="Q603" s="3">
        <v>250</v>
      </c>
      <c r="R603" s="3"/>
      <c r="S603" s="3"/>
      <c r="T603" s="36"/>
      <c r="U603" s="36"/>
      <c r="V603" s="36"/>
      <c r="W603" s="36"/>
      <c r="X603" s="36"/>
      <c r="Y603" s="36"/>
      <c r="Z603" s="36"/>
    </row>
    <row r="604" spans="1:26" ht="14">
      <c r="A604" s="84">
        <v>43019</v>
      </c>
      <c r="B604" s="72" t="s">
        <v>159</v>
      </c>
      <c r="C604" s="165">
        <v>2017</v>
      </c>
      <c r="D604" s="53">
        <v>4</v>
      </c>
      <c r="E604" s="36" t="s">
        <v>223</v>
      </c>
      <c r="F604" s="36" t="s">
        <v>224</v>
      </c>
      <c r="G604" s="36" t="s">
        <v>225</v>
      </c>
      <c r="H604" s="36" t="s">
        <v>555</v>
      </c>
      <c r="I604" s="36" t="s">
        <v>556</v>
      </c>
      <c r="J604" s="36" t="s">
        <v>557</v>
      </c>
      <c r="K604" s="36"/>
      <c r="L604" s="36">
        <v>1</v>
      </c>
      <c r="M604" s="36" t="s">
        <v>229</v>
      </c>
      <c r="N604" s="36" t="s">
        <v>557</v>
      </c>
      <c r="O604" s="3">
        <v>214</v>
      </c>
      <c r="P604" s="36">
        <v>6.303095317028373E-3</v>
      </c>
      <c r="Q604" s="36">
        <v>1000</v>
      </c>
      <c r="R604" s="3"/>
      <c r="S604" s="3"/>
      <c r="T604" s="36"/>
      <c r="U604" s="36"/>
      <c r="V604" s="36"/>
      <c r="W604" s="36"/>
      <c r="X604" s="36"/>
      <c r="Y604" s="36"/>
      <c r="Z604" s="36"/>
    </row>
    <row r="605" spans="1:26" ht="14">
      <c r="A605" s="35">
        <v>42571</v>
      </c>
      <c r="B605" s="72" t="s">
        <v>154</v>
      </c>
      <c r="C605" s="165">
        <v>2016</v>
      </c>
      <c r="D605" s="53">
        <v>8</v>
      </c>
      <c r="E605" s="65" t="s">
        <v>223</v>
      </c>
      <c r="F605" s="65" t="s">
        <v>224</v>
      </c>
      <c r="G605" s="65" t="s">
        <v>225</v>
      </c>
      <c r="H605" s="65" t="s">
        <v>555</v>
      </c>
      <c r="I605" s="65" t="s">
        <v>556</v>
      </c>
      <c r="J605" s="36" t="s">
        <v>557</v>
      </c>
      <c r="K605" s="36"/>
      <c r="L605" s="36">
        <v>1</v>
      </c>
      <c r="M605" s="36" t="s">
        <v>229</v>
      </c>
      <c r="N605" s="36" t="s">
        <v>557</v>
      </c>
      <c r="O605" s="36">
        <v>3</v>
      </c>
      <c r="P605" s="36">
        <v>4.6343831054653072E-3</v>
      </c>
      <c r="Q605" s="65">
        <v>1000</v>
      </c>
      <c r="R605" s="65"/>
      <c r="S605" s="65"/>
      <c r="T605" s="65"/>
      <c r="U605" s="36"/>
      <c r="V605" s="36"/>
      <c r="W605" s="36"/>
      <c r="X605" s="36"/>
      <c r="Y605" s="36"/>
      <c r="Z605" s="36"/>
    </row>
    <row r="606" spans="1:26" ht="14">
      <c r="A606" s="13">
        <v>41761</v>
      </c>
      <c r="B606" s="35" t="s">
        <v>144</v>
      </c>
      <c r="C606" s="165">
        <v>2014</v>
      </c>
      <c r="D606" s="53">
        <v>5</v>
      </c>
      <c r="E606" s="51" t="s">
        <v>223</v>
      </c>
      <c r="F606" s="51" t="s">
        <v>224</v>
      </c>
      <c r="G606" s="51" t="s">
        <v>225</v>
      </c>
      <c r="H606" s="51" t="s">
        <v>226</v>
      </c>
      <c r="I606" s="51" t="s">
        <v>232</v>
      </c>
      <c r="J606" s="3" t="s">
        <v>233</v>
      </c>
      <c r="K606" s="3"/>
      <c r="L606" s="3">
        <v>1</v>
      </c>
      <c r="M606" s="3" t="s">
        <v>229</v>
      </c>
      <c r="N606" s="3" t="s">
        <v>506</v>
      </c>
      <c r="O606" s="3">
        <v>300</v>
      </c>
      <c r="P606" s="65">
        <v>0.33263927147670036</v>
      </c>
      <c r="Q606" s="36">
        <v>250</v>
      </c>
      <c r="R606" s="3"/>
      <c r="S606" s="3"/>
      <c r="T606" s="36"/>
      <c r="U606" s="36"/>
      <c r="V606" s="36"/>
      <c r="W606" s="36"/>
      <c r="X606" s="36"/>
      <c r="Y606" s="36"/>
      <c r="Z606" s="36"/>
    </row>
    <row r="607" spans="1:26" ht="14">
      <c r="A607" s="13">
        <v>42928</v>
      </c>
      <c r="B607" s="72" t="s">
        <v>154</v>
      </c>
      <c r="C607" s="165">
        <v>2017</v>
      </c>
      <c r="D607" s="53">
        <v>4</v>
      </c>
      <c r="E607" s="3" t="s">
        <v>223</v>
      </c>
      <c r="F607" s="3" t="s">
        <v>224</v>
      </c>
      <c r="G607" s="3" t="s">
        <v>225</v>
      </c>
      <c r="H607" s="3" t="s">
        <v>226</v>
      </c>
      <c r="I607" s="3" t="s">
        <v>232</v>
      </c>
      <c r="J607" s="3" t="s">
        <v>233</v>
      </c>
      <c r="K607" s="3"/>
      <c r="L607" s="3">
        <v>2</v>
      </c>
      <c r="M607" s="3" t="s">
        <v>229</v>
      </c>
      <c r="N607" s="3" t="s">
        <v>233</v>
      </c>
      <c r="O607" s="3">
        <v>225</v>
      </c>
      <c r="P607" s="36">
        <v>0.88532328131540106</v>
      </c>
      <c r="Q607" s="36">
        <v>250</v>
      </c>
      <c r="R607" s="3"/>
      <c r="S607" s="3"/>
      <c r="T607" s="36"/>
      <c r="U607" s="36"/>
      <c r="V607" s="36"/>
      <c r="W607" s="36"/>
      <c r="X607" s="36"/>
      <c r="Y607" s="36"/>
      <c r="Z607" s="36"/>
    </row>
    <row r="608" spans="1:26" ht="14">
      <c r="A608" s="13">
        <v>42867</v>
      </c>
      <c r="B608" s="72" t="s">
        <v>144</v>
      </c>
      <c r="C608" s="165">
        <v>2017</v>
      </c>
      <c r="D608" s="53">
        <v>4</v>
      </c>
      <c r="E608" s="3" t="s">
        <v>223</v>
      </c>
      <c r="F608" s="3" t="s">
        <v>224</v>
      </c>
      <c r="G608" s="3" t="s">
        <v>225</v>
      </c>
      <c r="H608" s="3" t="s">
        <v>226</v>
      </c>
      <c r="I608" s="3" t="s">
        <v>232</v>
      </c>
      <c r="J608" s="3" t="s">
        <v>233</v>
      </c>
      <c r="K608" s="3" t="s">
        <v>234</v>
      </c>
      <c r="L608" s="3">
        <v>1</v>
      </c>
      <c r="M608" s="3" t="s">
        <v>247</v>
      </c>
      <c r="N608" s="3" t="s">
        <v>233</v>
      </c>
      <c r="O608" s="3">
        <v>225</v>
      </c>
      <c r="P608" s="36">
        <v>0.43704009400170857</v>
      </c>
      <c r="Q608" s="3"/>
      <c r="R608" s="3"/>
      <c r="S608" s="3"/>
      <c r="T608" s="36"/>
      <c r="U608" s="36"/>
      <c r="V608" s="36"/>
      <c r="W608" s="36"/>
      <c r="X608" s="36"/>
      <c r="Y608" s="36"/>
      <c r="Z608" s="36"/>
    </row>
    <row r="609" spans="1:26" ht="14">
      <c r="A609" s="13">
        <v>42515</v>
      </c>
      <c r="B609" s="35" t="s">
        <v>144</v>
      </c>
      <c r="C609" s="165">
        <v>2016</v>
      </c>
      <c r="D609" s="34">
        <v>4</v>
      </c>
      <c r="E609" s="3" t="s">
        <v>223</v>
      </c>
      <c r="F609" s="3" t="s">
        <v>224</v>
      </c>
      <c r="G609" s="3" t="s">
        <v>225</v>
      </c>
      <c r="H609" s="3" t="s">
        <v>226</v>
      </c>
      <c r="I609" s="3" t="s">
        <v>232</v>
      </c>
      <c r="J609" s="3" t="s">
        <v>233</v>
      </c>
      <c r="K609" s="3" t="s">
        <v>234</v>
      </c>
      <c r="L609" s="3">
        <v>1</v>
      </c>
      <c r="M609" s="3" t="s">
        <v>247</v>
      </c>
      <c r="N609" s="3" t="s">
        <v>233</v>
      </c>
      <c r="O609" s="3">
        <v>217</v>
      </c>
      <c r="P609" s="36">
        <v>0.46046454311968915</v>
      </c>
      <c r="Q609" s="36">
        <v>250</v>
      </c>
      <c r="R609" s="3"/>
      <c r="S609" s="3"/>
      <c r="T609" s="36"/>
      <c r="U609" s="36"/>
      <c r="V609" s="36"/>
      <c r="W609" s="36"/>
      <c r="X609" s="36"/>
      <c r="Y609" s="36"/>
      <c r="Z609" s="36"/>
    </row>
    <row r="610" spans="1:26" ht="14">
      <c r="A610" s="35">
        <v>42206</v>
      </c>
      <c r="B610" s="72" t="s">
        <v>154</v>
      </c>
      <c r="C610" s="165">
        <v>2015</v>
      </c>
      <c r="D610" s="53">
        <v>4</v>
      </c>
      <c r="E610" s="65" t="s">
        <v>223</v>
      </c>
      <c r="F610" s="65" t="s">
        <v>224</v>
      </c>
      <c r="G610" s="65" t="s">
        <v>225</v>
      </c>
      <c r="H610" s="65" t="s">
        <v>226</v>
      </c>
      <c r="I610" s="65" t="s">
        <v>232</v>
      </c>
      <c r="J610" s="36" t="s">
        <v>233</v>
      </c>
      <c r="K610" s="36"/>
      <c r="L610" s="36">
        <v>1</v>
      </c>
      <c r="M610" s="36" t="s">
        <v>229</v>
      </c>
      <c r="N610" s="36" t="s">
        <v>233</v>
      </c>
      <c r="O610" s="36">
        <v>273</v>
      </c>
      <c r="P610" s="65">
        <v>0.36139085251705416</v>
      </c>
      <c r="Q610" s="65">
        <v>250</v>
      </c>
      <c r="R610" s="65" t="s">
        <v>475</v>
      </c>
      <c r="S610" s="65"/>
      <c r="T610" s="65"/>
      <c r="U610" s="36"/>
      <c r="V610" s="36"/>
      <c r="W610" s="36"/>
      <c r="X610" s="36"/>
      <c r="Y610" s="36"/>
      <c r="Z610" s="36"/>
    </row>
    <row r="611" spans="1:26" ht="14">
      <c r="A611" s="13">
        <v>42206</v>
      </c>
      <c r="B611" s="72" t="s">
        <v>154</v>
      </c>
      <c r="C611" s="165">
        <v>2015</v>
      </c>
      <c r="D611" s="53">
        <v>5</v>
      </c>
      <c r="E611" s="51" t="s">
        <v>223</v>
      </c>
      <c r="F611" s="51" t="s">
        <v>224</v>
      </c>
      <c r="G611" s="51" t="s">
        <v>225</v>
      </c>
      <c r="H611" s="51" t="s">
        <v>226</v>
      </c>
      <c r="I611" s="51" t="s">
        <v>232</v>
      </c>
      <c r="J611" s="3" t="s">
        <v>233</v>
      </c>
      <c r="K611" s="3"/>
      <c r="L611" s="3">
        <v>1</v>
      </c>
      <c r="M611" s="3" t="s">
        <v>229</v>
      </c>
      <c r="N611" s="36" t="s">
        <v>233</v>
      </c>
      <c r="O611" s="3">
        <v>251</v>
      </c>
      <c r="P611" s="65">
        <v>0.3983156294006901</v>
      </c>
      <c r="Q611" s="36">
        <v>250</v>
      </c>
      <c r="R611" s="3"/>
      <c r="S611" s="3"/>
      <c r="T611" s="36"/>
      <c r="U611" s="36"/>
      <c r="V611" s="36"/>
      <c r="W611" s="36"/>
      <c r="X611" s="36"/>
      <c r="Y611" s="36"/>
      <c r="Z611" s="36"/>
    </row>
    <row r="612" spans="1:26" ht="14">
      <c r="A612" s="35">
        <v>42144</v>
      </c>
      <c r="B612" s="72" t="s">
        <v>144</v>
      </c>
      <c r="C612" s="165">
        <v>2015</v>
      </c>
      <c r="D612" s="53">
        <v>4</v>
      </c>
      <c r="E612" s="36" t="s">
        <v>223</v>
      </c>
      <c r="F612" s="36" t="s">
        <v>224</v>
      </c>
      <c r="G612" s="36" t="s">
        <v>225</v>
      </c>
      <c r="H612" s="36" t="s">
        <v>226</v>
      </c>
      <c r="I612" s="65" t="s">
        <v>232</v>
      </c>
      <c r="J612" s="65" t="s">
        <v>233</v>
      </c>
      <c r="K612" s="36"/>
      <c r="L612" s="36">
        <v>1</v>
      </c>
      <c r="M612" s="36" t="s">
        <v>229</v>
      </c>
      <c r="N612" s="36" t="s">
        <v>233</v>
      </c>
      <c r="O612" s="36">
        <v>229</v>
      </c>
      <c r="P612" s="65">
        <v>0.43629167816834835</v>
      </c>
      <c r="Q612" s="65">
        <v>250</v>
      </c>
      <c r="R612" s="65"/>
      <c r="S612" s="65"/>
      <c r="T612" s="65"/>
      <c r="U612" s="36"/>
      <c r="V612" s="36"/>
      <c r="W612" s="36"/>
      <c r="X612" s="36"/>
      <c r="Y612" s="36"/>
      <c r="Z612" s="36"/>
    </row>
    <row r="613" spans="1:26" ht="14">
      <c r="A613" s="13">
        <v>41912</v>
      </c>
      <c r="B613" s="35" t="s">
        <v>157</v>
      </c>
      <c r="C613" s="165">
        <v>2014</v>
      </c>
      <c r="D613" s="53">
        <v>4</v>
      </c>
      <c r="E613" s="3" t="s">
        <v>223</v>
      </c>
      <c r="F613" s="3" t="s">
        <v>224</v>
      </c>
      <c r="G613" s="3" t="s">
        <v>225</v>
      </c>
      <c r="H613" s="3" t="s">
        <v>226</v>
      </c>
      <c r="I613" s="3" t="s">
        <v>232</v>
      </c>
      <c r="J613" s="3" t="s">
        <v>233</v>
      </c>
      <c r="K613" s="3"/>
      <c r="L613" s="3">
        <v>1</v>
      </c>
      <c r="M613" s="3" t="s">
        <v>229</v>
      </c>
      <c r="N613" s="3" t="s">
        <v>233</v>
      </c>
      <c r="O613" s="3">
        <v>237</v>
      </c>
      <c r="P613" s="65">
        <v>0.42109589961806221</v>
      </c>
      <c r="Q613" s="3">
        <v>250</v>
      </c>
      <c r="R613" s="3"/>
      <c r="S613" s="3"/>
      <c r="T613" s="36"/>
      <c r="U613" s="36"/>
      <c r="V613" s="36"/>
      <c r="W613" s="36"/>
      <c r="X613" s="36"/>
      <c r="Y613" s="36"/>
      <c r="Z613" s="36"/>
    </row>
    <row r="614" spans="1:26" ht="14">
      <c r="A614" s="13">
        <v>41480</v>
      </c>
      <c r="B614" s="35" t="s">
        <v>154</v>
      </c>
      <c r="C614" s="165">
        <v>2013</v>
      </c>
      <c r="D614" s="34">
        <v>4</v>
      </c>
      <c r="E614" s="3" t="s">
        <v>223</v>
      </c>
      <c r="F614" s="3" t="s">
        <v>224</v>
      </c>
      <c r="G614" s="3" t="s">
        <v>225</v>
      </c>
      <c r="H614" s="3" t="s">
        <v>226</v>
      </c>
      <c r="I614" s="3" t="s">
        <v>232</v>
      </c>
      <c r="J614" s="3" t="s">
        <v>233</v>
      </c>
      <c r="K614" s="3" t="s">
        <v>234</v>
      </c>
      <c r="L614" s="3">
        <v>4</v>
      </c>
      <c r="M614" s="3" t="s">
        <v>247</v>
      </c>
      <c r="N614" s="3" t="s">
        <v>233</v>
      </c>
      <c r="O614" s="3">
        <v>124</v>
      </c>
      <c r="P614" s="36">
        <v>3.2169408869253431</v>
      </c>
      <c r="Q614" s="3">
        <v>250</v>
      </c>
      <c r="R614" s="3"/>
      <c r="S614" s="3"/>
      <c r="T614" s="36"/>
      <c r="U614" s="36"/>
      <c r="V614" s="36"/>
      <c r="W614" s="36"/>
      <c r="X614" s="36"/>
      <c r="Y614" s="36"/>
      <c r="Z614" s="36"/>
    </row>
    <row r="615" spans="1:26" ht="14">
      <c r="A615" s="13">
        <v>41422</v>
      </c>
      <c r="B615" s="35" t="s">
        <v>144</v>
      </c>
      <c r="C615" s="165">
        <v>2013</v>
      </c>
      <c r="D615" s="34">
        <v>8</v>
      </c>
      <c r="E615" s="3" t="s">
        <v>223</v>
      </c>
      <c r="F615" s="3" t="s">
        <v>224</v>
      </c>
      <c r="G615" s="3" t="s">
        <v>225</v>
      </c>
      <c r="H615" s="3" t="s">
        <v>226</v>
      </c>
      <c r="I615" s="3" t="s">
        <v>232</v>
      </c>
      <c r="J615" s="3" t="s">
        <v>233</v>
      </c>
      <c r="K615" s="3" t="s">
        <v>234</v>
      </c>
      <c r="L615" s="3">
        <v>1</v>
      </c>
      <c r="M615" s="3" t="s">
        <v>247</v>
      </c>
      <c r="N615" s="3" t="s">
        <v>233</v>
      </c>
      <c r="O615" s="3">
        <v>89</v>
      </c>
      <c r="P615" s="36">
        <v>1.1233098485811601</v>
      </c>
      <c r="Q615" s="3">
        <v>250</v>
      </c>
      <c r="R615" s="3"/>
      <c r="S615" s="3"/>
      <c r="T615" s="36"/>
      <c r="U615" s="36"/>
      <c r="V615" s="36"/>
      <c r="W615" s="36"/>
      <c r="X615" s="36"/>
      <c r="Y615" s="36"/>
      <c r="Z615" s="36"/>
    </row>
    <row r="616" spans="1:26" ht="14">
      <c r="A616" s="35">
        <v>42571</v>
      </c>
      <c r="B616" s="35" t="s">
        <v>154</v>
      </c>
      <c r="C616" s="165">
        <v>2016</v>
      </c>
      <c r="D616" s="53">
        <v>4</v>
      </c>
      <c r="E616" s="36" t="s">
        <v>223</v>
      </c>
      <c r="F616" s="36" t="s">
        <v>224</v>
      </c>
      <c r="G616" s="36" t="s">
        <v>225</v>
      </c>
      <c r="H616" s="36" t="s">
        <v>226</v>
      </c>
      <c r="I616" s="3"/>
      <c r="J616" s="3"/>
      <c r="K616" s="3"/>
      <c r="L616" s="36">
        <v>1</v>
      </c>
      <c r="M616" s="3" t="s">
        <v>508</v>
      </c>
      <c r="N616" s="36" t="s">
        <v>600</v>
      </c>
      <c r="O616" s="3">
        <v>223</v>
      </c>
      <c r="P616" s="36">
        <v>0.44825487671998654</v>
      </c>
      <c r="Q616" s="65">
        <v>250</v>
      </c>
      <c r="R616" s="51"/>
      <c r="S616" s="51"/>
      <c r="T616" s="166"/>
      <c r="U616" s="36"/>
      <c r="V616" s="36"/>
      <c r="W616" s="36"/>
      <c r="X616" s="36"/>
      <c r="Y616" s="36"/>
      <c r="Z616" s="36"/>
    </row>
    <row r="617" spans="1:26" ht="14">
      <c r="A617" s="13">
        <v>41480</v>
      </c>
      <c r="B617" s="35" t="s">
        <v>154</v>
      </c>
      <c r="C617" s="165">
        <v>2013</v>
      </c>
      <c r="D617" s="34">
        <v>4</v>
      </c>
      <c r="E617" s="3" t="s">
        <v>223</v>
      </c>
      <c r="F617" s="3" t="s">
        <v>224</v>
      </c>
      <c r="G617" s="3" t="s">
        <v>225</v>
      </c>
      <c r="H617" s="3" t="s">
        <v>226</v>
      </c>
      <c r="I617" s="3"/>
      <c r="J617" s="3"/>
      <c r="K617" s="3"/>
      <c r="L617" s="3">
        <v>2</v>
      </c>
      <c r="M617" s="3" t="s">
        <v>508</v>
      </c>
      <c r="N617" s="36" t="s">
        <v>600</v>
      </c>
      <c r="O617" s="3">
        <v>124</v>
      </c>
      <c r="P617" s="36">
        <v>1.6084704434626715</v>
      </c>
      <c r="Q617" s="3">
        <v>250</v>
      </c>
      <c r="R617" s="3" t="s">
        <v>309</v>
      </c>
      <c r="S617" s="3"/>
      <c r="T617" s="36"/>
      <c r="U617" s="36"/>
      <c r="V617" s="36"/>
      <c r="W617" s="36"/>
      <c r="X617" s="36"/>
      <c r="Y617" s="36"/>
      <c r="Z617" s="36"/>
    </row>
    <row r="618" spans="1:26" ht="14">
      <c r="A618" s="13">
        <v>41480</v>
      </c>
      <c r="B618" s="72" t="s">
        <v>154</v>
      </c>
      <c r="C618" s="165">
        <v>2013</v>
      </c>
      <c r="D618" s="34">
        <v>4</v>
      </c>
      <c r="E618" s="3" t="s">
        <v>223</v>
      </c>
      <c r="F618" s="3" t="s">
        <v>224</v>
      </c>
      <c r="G618" s="3" t="s">
        <v>225</v>
      </c>
      <c r="H618" s="3" t="s">
        <v>226</v>
      </c>
      <c r="I618" s="3"/>
      <c r="J618" s="3"/>
      <c r="K618" s="3"/>
      <c r="L618" s="3">
        <v>1</v>
      </c>
      <c r="M618" s="3" t="s">
        <v>508</v>
      </c>
      <c r="N618" s="36" t="s">
        <v>600</v>
      </c>
      <c r="O618" s="3">
        <v>124</v>
      </c>
      <c r="P618" s="65">
        <v>0.80423522173133577</v>
      </c>
      <c r="Q618" s="3">
        <v>250</v>
      </c>
      <c r="R618" s="3" t="s">
        <v>331</v>
      </c>
      <c r="S618" s="3"/>
      <c r="T618" s="36"/>
      <c r="U618" s="36"/>
      <c r="V618" s="36"/>
      <c r="W618" s="36"/>
      <c r="X618" s="36"/>
      <c r="Y618" s="36"/>
      <c r="Z618" s="36"/>
    </row>
    <row r="619" spans="1:26" ht="14">
      <c r="A619" s="13">
        <v>41480</v>
      </c>
      <c r="B619" s="35" t="s">
        <v>154</v>
      </c>
      <c r="C619" s="165">
        <v>2013</v>
      </c>
      <c r="D619" s="34">
        <v>8</v>
      </c>
      <c r="E619" s="51" t="s">
        <v>223</v>
      </c>
      <c r="F619" s="51" t="s">
        <v>224</v>
      </c>
      <c r="G619" s="51" t="s">
        <v>225</v>
      </c>
      <c r="H619" s="51" t="s">
        <v>226</v>
      </c>
      <c r="I619" s="51"/>
      <c r="J619" s="3"/>
      <c r="K619" s="3"/>
      <c r="L619" s="3">
        <v>4</v>
      </c>
      <c r="M619" s="3" t="s">
        <v>508</v>
      </c>
      <c r="N619" s="36" t="s">
        <v>600</v>
      </c>
      <c r="O619" s="3">
        <v>251</v>
      </c>
      <c r="P619" s="65">
        <v>1.5935546161119041</v>
      </c>
      <c r="Q619" s="3">
        <v>250</v>
      </c>
      <c r="R619" s="3" t="s">
        <v>332</v>
      </c>
      <c r="S619" s="3"/>
      <c r="T619" s="36"/>
      <c r="U619" s="36"/>
      <c r="V619" s="36"/>
      <c r="W619" s="36"/>
      <c r="X619" s="36"/>
      <c r="Y619" s="36"/>
      <c r="Z619" s="36"/>
    </row>
    <row r="620" spans="1:26" ht="14">
      <c r="A620" s="13">
        <v>41422</v>
      </c>
      <c r="B620" s="72" t="s">
        <v>144</v>
      </c>
      <c r="C620" s="165">
        <v>2013</v>
      </c>
      <c r="D620" s="34">
        <v>4</v>
      </c>
      <c r="E620" s="3" t="s">
        <v>223</v>
      </c>
      <c r="F620" s="3" t="s">
        <v>224</v>
      </c>
      <c r="G620" s="3" t="s">
        <v>225</v>
      </c>
      <c r="H620" s="3" t="s">
        <v>226</v>
      </c>
      <c r="I620" s="3"/>
      <c r="J620" s="3"/>
      <c r="K620" s="3"/>
      <c r="L620" s="3">
        <v>11</v>
      </c>
      <c r="M620" s="3" t="s">
        <v>508</v>
      </c>
      <c r="N620" s="36" t="s">
        <v>600</v>
      </c>
      <c r="O620" s="3">
        <v>106</v>
      </c>
      <c r="P620" s="65">
        <v>10.362050846118066</v>
      </c>
      <c r="Q620" s="3">
        <v>250</v>
      </c>
      <c r="R620" s="3" t="s">
        <v>265</v>
      </c>
      <c r="S620" s="3"/>
      <c r="T620" s="36"/>
      <c r="U620" s="36"/>
      <c r="V620" s="36"/>
      <c r="W620" s="36"/>
      <c r="X620" s="36"/>
      <c r="Y620" s="36"/>
      <c r="Z620" s="36"/>
    </row>
    <row r="621" spans="1:26" ht="14">
      <c r="A621" s="71">
        <v>41422</v>
      </c>
      <c r="B621" s="35" t="s">
        <v>144</v>
      </c>
      <c r="C621" s="165">
        <v>2013</v>
      </c>
      <c r="D621" s="34">
        <v>5</v>
      </c>
      <c r="E621" s="3" t="s">
        <v>223</v>
      </c>
      <c r="F621" s="3" t="s">
        <v>224</v>
      </c>
      <c r="G621" s="3" t="s">
        <v>225</v>
      </c>
      <c r="H621" s="3" t="s">
        <v>226</v>
      </c>
      <c r="I621" s="3"/>
      <c r="J621" s="3"/>
      <c r="K621" s="3"/>
      <c r="L621" s="3">
        <v>3</v>
      </c>
      <c r="M621" s="3" t="s">
        <v>508</v>
      </c>
      <c r="N621" s="36" t="s">
        <v>600</v>
      </c>
      <c r="O621" s="3">
        <v>120</v>
      </c>
      <c r="P621" s="36">
        <v>2.5000000000000004</v>
      </c>
      <c r="Q621" s="3">
        <v>250</v>
      </c>
      <c r="R621" s="3" t="s">
        <v>222</v>
      </c>
      <c r="S621" s="3"/>
      <c r="T621" s="36"/>
      <c r="U621" s="36"/>
      <c r="V621" s="36"/>
      <c r="W621" s="36"/>
      <c r="X621" s="36"/>
      <c r="Y621" s="36"/>
      <c r="Z621" s="36"/>
    </row>
    <row r="622" spans="1:26" ht="14">
      <c r="A622" s="13">
        <v>41422</v>
      </c>
      <c r="B622" s="35" t="s">
        <v>144</v>
      </c>
      <c r="C622" s="165">
        <v>2013</v>
      </c>
      <c r="D622" s="34">
        <v>8</v>
      </c>
      <c r="E622" s="3" t="s">
        <v>223</v>
      </c>
      <c r="F622" s="3" t="s">
        <v>224</v>
      </c>
      <c r="G622" s="3" t="s">
        <v>225</v>
      </c>
      <c r="H622" s="3" t="s">
        <v>226</v>
      </c>
      <c r="I622" s="3"/>
      <c r="J622" s="3"/>
      <c r="K622" s="3"/>
      <c r="L622" s="3">
        <v>7</v>
      </c>
      <c r="M622" s="3" t="s">
        <v>508</v>
      </c>
      <c r="N622" s="36" t="s">
        <v>600</v>
      </c>
      <c r="O622" s="3">
        <v>89</v>
      </c>
      <c r="P622" s="65">
        <v>7.8631689400681202</v>
      </c>
      <c r="Q622" s="3">
        <v>250</v>
      </c>
      <c r="R622" s="3" t="s">
        <v>266</v>
      </c>
      <c r="S622" s="3"/>
      <c r="T622" s="36"/>
      <c r="U622" s="36"/>
      <c r="V622" s="36"/>
      <c r="W622" s="36"/>
      <c r="X622" s="36"/>
      <c r="Y622" s="36"/>
      <c r="Z622" s="36"/>
    </row>
    <row r="623" spans="1:26" ht="14">
      <c r="A623" s="13">
        <v>43019</v>
      </c>
      <c r="B623" s="72" t="s">
        <v>159</v>
      </c>
      <c r="C623" s="165">
        <v>2017</v>
      </c>
      <c r="D623" s="53">
        <v>5</v>
      </c>
      <c r="E623" s="3" t="s">
        <v>295</v>
      </c>
      <c r="F623" s="3" t="s">
        <v>296</v>
      </c>
      <c r="G623" s="3"/>
      <c r="H623" s="3" t="s">
        <v>297</v>
      </c>
      <c r="I623" s="3" t="s">
        <v>298</v>
      </c>
      <c r="J623" s="3" t="s">
        <v>299</v>
      </c>
      <c r="K623" s="3"/>
      <c r="L623" s="3">
        <v>17</v>
      </c>
      <c r="M623" s="3" t="s">
        <v>229</v>
      </c>
      <c r="N623" s="3" t="s">
        <v>479</v>
      </c>
      <c r="O623" s="3">
        <v>255</v>
      </c>
      <c r="P623" s="36">
        <v>6.6651885076588533</v>
      </c>
      <c r="Q623" s="3">
        <v>250</v>
      </c>
      <c r="R623" s="3"/>
      <c r="S623" s="3"/>
      <c r="T623" s="36"/>
      <c r="U623" s="36"/>
      <c r="V623" s="36"/>
      <c r="W623" s="36"/>
      <c r="X623" s="36"/>
      <c r="Y623" s="36"/>
      <c r="Z623" s="36"/>
    </row>
    <row r="624" spans="1:26" ht="14">
      <c r="A624" s="13">
        <v>43019</v>
      </c>
      <c r="B624" s="35" t="s">
        <v>159</v>
      </c>
      <c r="C624" s="165">
        <v>2017</v>
      </c>
      <c r="D624" s="53">
        <v>8</v>
      </c>
      <c r="E624" s="3" t="s">
        <v>295</v>
      </c>
      <c r="F624" s="3" t="s">
        <v>296</v>
      </c>
      <c r="G624" s="3"/>
      <c r="H624" s="3" t="s">
        <v>297</v>
      </c>
      <c r="I624" s="3" t="s">
        <v>298</v>
      </c>
      <c r="J624" s="3" t="s">
        <v>299</v>
      </c>
      <c r="K624" s="3"/>
      <c r="L624" s="3">
        <v>7</v>
      </c>
      <c r="M624" s="3" t="s">
        <v>229</v>
      </c>
      <c r="N624" s="3" t="s">
        <v>479</v>
      </c>
      <c r="O624" s="3">
        <v>288</v>
      </c>
      <c r="P624" s="36">
        <v>2.3352733684651921</v>
      </c>
      <c r="Q624" s="3">
        <v>250</v>
      </c>
      <c r="R624" s="3"/>
      <c r="S624" s="3"/>
      <c r="T624" s="36"/>
      <c r="U624" s="36"/>
      <c r="V624" s="36"/>
      <c r="W624" s="36"/>
      <c r="X624" s="36"/>
      <c r="Y624" s="36"/>
      <c r="Z624" s="36"/>
    </row>
    <row r="625" spans="1:26" ht="14">
      <c r="A625" s="13">
        <v>42928</v>
      </c>
      <c r="B625" s="72" t="s">
        <v>154</v>
      </c>
      <c r="C625" s="165">
        <v>2017</v>
      </c>
      <c r="D625" s="53">
        <v>8</v>
      </c>
      <c r="E625" s="3" t="s">
        <v>295</v>
      </c>
      <c r="F625" s="3" t="s">
        <v>296</v>
      </c>
      <c r="G625" s="3"/>
      <c r="H625" s="3" t="s">
        <v>297</v>
      </c>
      <c r="I625" s="3" t="s">
        <v>298</v>
      </c>
      <c r="J625" s="3" t="s">
        <v>299</v>
      </c>
      <c r="K625" s="3"/>
      <c r="L625" s="3">
        <v>1</v>
      </c>
      <c r="M625" s="3" t="s">
        <v>229</v>
      </c>
      <c r="N625" s="3" t="s">
        <v>479</v>
      </c>
      <c r="O625" s="3">
        <v>319</v>
      </c>
      <c r="P625" s="36">
        <v>0.31336077060133105</v>
      </c>
      <c r="Q625" s="36">
        <v>250</v>
      </c>
      <c r="R625" s="3"/>
      <c r="S625" s="3"/>
      <c r="T625" s="36"/>
      <c r="U625" s="36"/>
      <c r="V625" s="36"/>
      <c r="W625" s="36"/>
      <c r="X625" s="36"/>
      <c r="Y625" s="36"/>
      <c r="Z625" s="36"/>
    </row>
    <row r="626" spans="1:26" ht="14">
      <c r="A626" s="35">
        <v>42263</v>
      </c>
      <c r="B626" s="35" t="s">
        <v>157</v>
      </c>
      <c r="C626" s="165">
        <v>2015</v>
      </c>
      <c r="D626" s="53">
        <v>5</v>
      </c>
      <c r="E626" s="65" t="s">
        <v>295</v>
      </c>
      <c r="F626" s="36" t="s">
        <v>296</v>
      </c>
      <c r="G626" s="36"/>
      <c r="H626" s="65" t="s">
        <v>297</v>
      </c>
      <c r="I626" s="65" t="s">
        <v>298</v>
      </c>
      <c r="J626" s="65" t="s">
        <v>299</v>
      </c>
      <c r="K626" s="36"/>
      <c r="L626" s="36">
        <v>2</v>
      </c>
      <c r="M626" s="36" t="s">
        <v>229</v>
      </c>
      <c r="N626" s="36" t="s">
        <v>479</v>
      </c>
      <c r="O626" s="36">
        <v>222</v>
      </c>
      <c r="P626" s="36">
        <v>0.90064625154942013</v>
      </c>
      <c r="Q626" s="36">
        <v>250</v>
      </c>
      <c r="R626" s="36"/>
      <c r="S626" s="36"/>
      <c r="T626" s="36"/>
      <c r="U626" s="36"/>
      <c r="V626" s="36"/>
      <c r="W626" s="36"/>
      <c r="X626" s="36"/>
      <c r="Y626" s="36"/>
      <c r="Z626" s="36"/>
    </row>
    <row r="627" spans="1:26" ht="14">
      <c r="A627" s="71">
        <v>41542</v>
      </c>
      <c r="B627" s="72" t="s">
        <v>157</v>
      </c>
      <c r="C627" s="165">
        <v>2013</v>
      </c>
      <c r="D627" s="34">
        <v>2</v>
      </c>
      <c r="E627" s="3" t="s">
        <v>295</v>
      </c>
      <c r="F627" s="3" t="s">
        <v>296</v>
      </c>
      <c r="G627" s="3"/>
      <c r="H627" s="3" t="s">
        <v>297</v>
      </c>
      <c r="I627" s="3" t="s">
        <v>298</v>
      </c>
      <c r="J627" s="3" t="s">
        <v>299</v>
      </c>
      <c r="K627" s="3"/>
      <c r="L627" s="3">
        <v>1</v>
      </c>
      <c r="M627" s="3" t="s">
        <v>229</v>
      </c>
      <c r="N627" s="3" t="s">
        <v>479</v>
      </c>
      <c r="O627" s="3">
        <v>110</v>
      </c>
      <c r="P627" s="36">
        <v>0.90090212217539389</v>
      </c>
      <c r="Q627" s="3">
        <v>250</v>
      </c>
      <c r="R627" s="3" t="s">
        <v>222</v>
      </c>
      <c r="S627" s="3"/>
      <c r="T627" s="36"/>
      <c r="U627" s="36"/>
      <c r="V627" s="36"/>
      <c r="W627" s="36"/>
      <c r="X627" s="36"/>
      <c r="Y627" s="36"/>
      <c r="Z627" s="36"/>
    </row>
    <row r="628" spans="1:26" ht="14">
      <c r="A628" s="71">
        <v>41542</v>
      </c>
      <c r="B628" s="72" t="s">
        <v>157</v>
      </c>
      <c r="C628" s="165">
        <v>2013</v>
      </c>
      <c r="D628" s="34">
        <v>4</v>
      </c>
      <c r="E628" s="3" t="s">
        <v>295</v>
      </c>
      <c r="F628" s="3" t="s">
        <v>296</v>
      </c>
      <c r="G628" s="3"/>
      <c r="H628" s="3" t="s">
        <v>297</v>
      </c>
      <c r="I628" s="3" t="s">
        <v>298</v>
      </c>
      <c r="J628" s="3" t="s">
        <v>299</v>
      </c>
      <c r="K628" s="3"/>
      <c r="L628" s="3">
        <v>3</v>
      </c>
      <c r="M628" s="3" t="s">
        <v>229</v>
      </c>
      <c r="N628" s="3" t="s">
        <v>479</v>
      </c>
      <c r="O628" s="3">
        <v>159</v>
      </c>
      <c r="P628" s="36">
        <v>1.8661870146876351</v>
      </c>
      <c r="Q628" s="3">
        <v>250</v>
      </c>
      <c r="R628" s="3" t="s">
        <v>222</v>
      </c>
      <c r="S628" s="3"/>
      <c r="T628" s="36"/>
      <c r="U628" s="36"/>
      <c r="V628" s="36"/>
      <c r="W628" s="36"/>
      <c r="X628" s="36"/>
      <c r="Y628" s="36"/>
      <c r="Z628" s="36"/>
    </row>
    <row r="629" spans="1:26" ht="14">
      <c r="A629" s="71">
        <v>41542</v>
      </c>
      <c r="B629" s="72" t="s">
        <v>157</v>
      </c>
      <c r="C629" s="165">
        <v>2013</v>
      </c>
      <c r="D629" s="34">
        <v>5</v>
      </c>
      <c r="E629" s="51" t="s">
        <v>295</v>
      </c>
      <c r="F629" s="3" t="s">
        <v>296</v>
      </c>
      <c r="G629" s="3"/>
      <c r="H629" s="51" t="s">
        <v>297</v>
      </c>
      <c r="I629" s="51" t="s">
        <v>298</v>
      </c>
      <c r="J629" s="51" t="s">
        <v>299</v>
      </c>
      <c r="K629" s="3"/>
      <c r="L629" s="3">
        <v>6</v>
      </c>
      <c r="M629" s="3" t="s">
        <v>229</v>
      </c>
      <c r="N629" s="3" t="s">
        <v>479</v>
      </c>
      <c r="O629" s="3">
        <v>206</v>
      </c>
      <c r="P629" s="36">
        <v>2.9116831196579596</v>
      </c>
      <c r="Q629" s="3">
        <v>250</v>
      </c>
      <c r="R629" s="3"/>
      <c r="S629" s="3"/>
      <c r="T629" s="36"/>
      <c r="U629" s="36"/>
      <c r="V629" s="36"/>
      <c r="W629" s="36"/>
      <c r="X629" s="36"/>
      <c r="Y629" s="36"/>
      <c r="Z629" s="36"/>
    </row>
    <row r="630" spans="1:26" ht="14">
      <c r="A630" s="13">
        <v>41542</v>
      </c>
      <c r="B630" s="72" t="s">
        <v>157</v>
      </c>
      <c r="C630" s="165">
        <v>2013</v>
      </c>
      <c r="D630" s="34">
        <v>8</v>
      </c>
      <c r="E630" s="3" t="s">
        <v>295</v>
      </c>
      <c r="F630" s="3" t="s">
        <v>296</v>
      </c>
      <c r="G630" s="3"/>
      <c r="H630" s="3" t="s">
        <v>297</v>
      </c>
      <c r="I630" s="3" t="s">
        <v>298</v>
      </c>
      <c r="J630" s="3" t="s">
        <v>299</v>
      </c>
      <c r="K630" s="3"/>
      <c r="L630" s="3">
        <v>7</v>
      </c>
      <c r="M630" s="3" t="s">
        <v>229</v>
      </c>
      <c r="N630" s="3" t="s">
        <v>479</v>
      </c>
      <c r="O630" s="3">
        <v>183</v>
      </c>
      <c r="P630" s="36">
        <v>3.8250204867383184</v>
      </c>
      <c r="Q630" s="3">
        <v>250</v>
      </c>
      <c r="R630" s="3" t="s">
        <v>222</v>
      </c>
      <c r="S630" s="3"/>
      <c r="T630" s="36"/>
      <c r="U630" s="36"/>
      <c r="V630" s="36"/>
      <c r="W630" s="36"/>
      <c r="X630" s="36"/>
      <c r="Y630" s="36"/>
      <c r="Z630" s="36"/>
    </row>
    <row r="631" spans="1:26" ht="14">
      <c r="A631" s="13">
        <v>41422</v>
      </c>
      <c r="B631" s="72" t="s">
        <v>144</v>
      </c>
      <c r="C631" s="165">
        <v>2013</v>
      </c>
      <c r="D631" s="34">
        <v>4</v>
      </c>
      <c r="E631" s="3" t="s">
        <v>295</v>
      </c>
      <c r="F631" s="3" t="s">
        <v>296</v>
      </c>
      <c r="G631" s="3"/>
      <c r="H631" s="3" t="s">
        <v>297</v>
      </c>
      <c r="I631" s="3" t="s">
        <v>298</v>
      </c>
      <c r="J631" s="3" t="s">
        <v>299</v>
      </c>
      <c r="K631" s="3"/>
      <c r="L631" s="3">
        <v>1</v>
      </c>
      <c r="M631" s="3" t="s">
        <v>229</v>
      </c>
      <c r="N631" s="3" t="s">
        <v>479</v>
      </c>
      <c r="O631" s="3">
        <v>106</v>
      </c>
      <c r="P631" s="65">
        <v>0.94200462237436966</v>
      </c>
      <c r="Q631" s="3">
        <v>250</v>
      </c>
      <c r="R631" s="3" t="s">
        <v>222</v>
      </c>
      <c r="S631" s="3"/>
      <c r="T631" s="36"/>
      <c r="U631" s="36"/>
      <c r="V631" s="36"/>
      <c r="W631" s="36"/>
      <c r="X631" s="36"/>
      <c r="Y631" s="36"/>
      <c r="Z631" s="36"/>
    </row>
    <row r="632" spans="1:26" ht="14">
      <c r="A632" s="72">
        <v>42571</v>
      </c>
      <c r="B632" s="35" t="s">
        <v>154</v>
      </c>
      <c r="C632" s="165">
        <v>2016</v>
      </c>
      <c r="D632" s="53">
        <v>8</v>
      </c>
      <c r="E632" s="76" t="s">
        <v>295</v>
      </c>
      <c r="F632" s="38" t="s">
        <v>296</v>
      </c>
      <c r="G632" s="38"/>
      <c r="H632" s="76" t="s">
        <v>297</v>
      </c>
      <c r="I632" s="76" t="s">
        <v>298</v>
      </c>
      <c r="J632" s="76" t="s">
        <v>299</v>
      </c>
      <c r="K632" s="36"/>
      <c r="L632" s="36">
        <v>1</v>
      </c>
      <c r="M632" s="36" t="s">
        <v>229</v>
      </c>
      <c r="N632" s="36" t="s">
        <v>369</v>
      </c>
      <c r="O632" s="36">
        <v>237</v>
      </c>
      <c r="P632" s="36">
        <v>0.42188226519275773</v>
      </c>
      <c r="Q632" s="36">
        <v>250</v>
      </c>
      <c r="R632" s="36"/>
      <c r="S632" s="36"/>
      <c r="T632" s="36"/>
      <c r="U632" s="36"/>
      <c r="V632" s="36"/>
      <c r="W632" s="36"/>
      <c r="X632" s="36"/>
      <c r="Y632" s="36"/>
      <c r="Z632" s="36"/>
    </row>
    <row r="633" spans="1:26" ht="14">
      <c r="A633" s="13">
        <v>42206</v>
      </c>
      <c r="B633" s="72" t="s">
        <v>154</v>
      </c>
      <c r="C633" s="165">
        <v>2015</v>
      </c>
      <c r="D633" s="53">
        <v>8</v>
      </c>
      <c r="E633" s="76" t="s">
        <v>295</v>
      </c>
      <c r="F633" s="38" t="s">
        <v>296</v>
      </c>
      <c r="G633" s="38"/>
      <c r="H633" s="76" t="s">
        <v>297</v>
      </c>
      <c r="I633" s="76" t="s">
        <v>298</v>
      </c>
      <c r="J633" s="76" t="s">
        <v>299</v>
      </c>
      <c r="K633" s="36"/>
      <c r="L633" s="36">
        <v>9</v>
      </c>
      <c r="M633" s="36" t="s">
        <v>229</v>
      </c>
      <c r="N633" s="36" t="s">
        <v>369</v>
      </c>
      <c r="O633" s="3">
        <v>199</v>
      </c>
      <c r="P633" s="65">
        <v>4.5186862241847008</v>
      </c>
      <c r="Q633" s="3">
        <v>250</v>
      </c>
      <c r="R633" s="32"/>
      <c r="S633" s="32"/>
      <c r="T633" s="36"/>
      <c r="U633" s="36"/>
      <c r="V633" s="36"/>
      <c r="W633" s="36"/>
      <c r="X633" s="36"/>
      <c r="Y633" s="36"/>
      <c r="Z633" s="36"/>
    </row>
    <row r="634" spans="1:26" ht="14">
      <c r="A634" s="35">
        <v>42634</v>
      </c>
      <c r="B634" s="72" t="s">
        <v>157</v>
      </c>
      <c r="C634" s="165">
        <v>2016</v>
      </c>
      <c r="D634" s="53">
        <v>5</v>
      </c>
      <c r="E634" s="36" t="s">
        <v>514</v>
      </c>
      <c r="F634" s="82" t="s">
        <v>515</v>
      </c>
      <c r="G634" s="36"/>
      <c r="H634" s="36"/>
      <c r="I634" s="36"/>
      <c r="J634" s="36"/>
      <c r="K634" s="36"/>
      <c r="L634" s="36">
        <v>1</v>
      </c>
      <c r="M634" s="36" t="s">
        <v>221</v>
      </c>
      <c r="N634" s="36" t="s">
        <v>516</v>
      </c>
      <c r="O634" s="36">
        <v>93</v>
      </c>
      <c r="P634" s="36">
        <v>9.4131416210630576E-4</v>
      </c>
      <c r="Q634" s="36">
        <v>1000</v>
      </c>
      <c r="R634" s="36"/>
      <c r="S634" s="36"/>
      <c r="T634" s="36"/>
      <c r="U634" s="36"/>
      <c r="V634" s="36"/>
      <c r="W634" s="36"/>
      <c r="X634" s="36"/>
      <c r="Y634" s="36"/>
      <c r="Z634" s="36"/>
    </row>
    <row r="635" spans="1:26" ht="14">
      <c r="A635" s="72">
        <v>42634</v>
      </c>
      <c r="B635" s="72" t="s">
        <v>157</v>
      </c>
      <c r="C635" s="165">
        <v>2016</v>
      </c>
      <c r="D635" s="53">
        <v>4</v>
      </c>
      <c r="E635" s="36" t="s">
        <v>300</v>
      </c>
      <c r="F635" s="36" t="s">
        <v>320</v>
      </c>
      <c r="G635" s="36"/>
      <c r="H635" s="36"/>
      <c r="I635" s="36"/>
      <c r="J635" s="36"/>
      <c r="K635" s="36"/>
      <c r="L635" s="36">
        <v>2</v>
      </c>
      <c r="M635" s="36" t="s">
        <v>221</v>
      </c>
      <c r="N635" s="36" t="s">
        <v>512</v>
      </c>
      <c r="O635" s="36">
        <v>127</v>
      </c>
      <c r="P635" s="65">
        <v>4.0551805800878851E-3</v>
      </c>
      <c r="Q635" s="36">
        <v>1000</v>
      </c>
      <c r="R635" s="36"/>
      <c r="S635" s="36"/>
      <c r="T635" s="36"/>
      <c r="U635" s="36"/>
      <c r="V635" s="36"/>
      <c r="W635" s="36"/>
      <c r="X635" s="36"/>
      <c r="Y635" s="36"/>
      <c r="Z635" s="36"/>
    </row>
    <row r="636" spans="1:26" ht="14">
      <c r="A636" s="35">
        <v>42634</v>
      </c>
      <c r="B636" s="72" t="s">
        <v>157</v>
      </c>
      <c r="C636" s="165">
        <v>2016</v>
      </c>
      <c r="D636" s="53">
        <v>5</v>
      </c>
      <c r="E636" s="36" t="s">
        <v>300</v>
      </c>
      <c r="F636" s="36" t="s">
        <v>320</v>
      </c>
      <c r="G636" s="36"/>
      <c r="H636" s="36"/>
      <c r="I636" s="36"/>
      <c r="J636" s="36"/>
      <c r="K636" s="36"/>
      <c r="L636" s="36">
        <v>38</v>
      </c>
      <c r="M636" s="36" t="s">
        <v>221</v>
      </c>
      <c r="N636" s="36" t="s">
        <v>512</v>
      </c>
      <c r="O636" s="36">
        <v>93</v>
      </c>
      <c r="P636" s="36">
        <v>3.5769938160039622E-2</v>
      </c>
      <c r="Q636" s="36">
        <v>1000</v>
      </c>
      <c r="R636" s="36"/>
      <c r="S636" s="36"/>
      <c r="T636" s="36"/>
      <c r="U636" s="36"/>
      <c r="V636" s="36"/>
      <c r="W636" s="36"/>
      <c r="X636" s="36"/>
      <c r="Y636" s="36"/>
      <c r="Z636" s="36"/>
    </row>
    <row r="637" spans="1:26" ht="14">
      <c r="A637" s="13">
        <v>43019</v>
      </c>
      <c r="B637" s="72" t="s">
        <v>159</v>
      </c>
      <c r="C637" s="165">
        <v>2017</v>
      </c>
      <c r="D637" s="53">
        <v>5</v>
      </c>
      <c r="E637" s="65" t="s">
        <v>300</v>
      </c>
      <c r="F637" s="65" t="s">
        <v>320</v>
      </c>
      <c r="G637" s="65"/>
      <c r="H637" s="65"/>
      <c r="I637" s="65"/>
      <c r="J637" s="36"/>
      <c r="K637" s="36"/>
      <c r="L637" s="36">
        <v>1</v>
      </c>
      <c r="M637" s="36" t="s">
        <v>221</v>
      </c>
      <c r="N637" s="36" t="s">
        <v>322</v>
      </c>
      <c r="O637" s="3">
        <v>255</v>
      </c>
      <c r="P637" s="36">
        <v>0.39206991221522669</v>
      </c>
      <c r="Q637" s="3">
        <v>250</v>
      </c>
      <c r="R637" s="3"/>
      <c r="S637" s="3"/>
      <c r="T637" s="36"/>
      <c r="U637" s="36"/>
      <c r="V637" s="36"/>
      <c r="W637" s="36"/>
      <c r="X637" s="36"/>
      <c r="Y637" s="36"/>
      <c r="Z637" s="36"/>
    </row>
    <row r="638" spans="1:26" ht="14">
      <c r="A638" s="35">
        <v>42634</v>
      </c>
      <c r="B638" s="72" t="s">
        <v>157</v>
      </c>
      <c r="C638" s="165">
        <v>2016</v>
      </c>
      <c r="D638" s="53">
        <v>8</v>
      </c>
      <c r="E638" s="65" t="s">
        <v>300</v>
      </c>
      <c r="F638" s="65" t="s">
        <v>320</v>
      </c>
      <c r="G638" s="65"/>
      <c r="H638" s="65"/>
      <c r="I638" s="65"/>
      <c r="J638" s="36"/>
      <c r="K638" s="36"/>
      <c r="L638" s="36">
        <v>3</v>
      </c>
      <c r="M638" s="36" t="s">
        <v>221</v>
      </c>
      <c r="N638" s="36" t="s">
        <v>322</v>
      </c>
      <c r="O638" s="36">
        <v>3658</v>
      </c>
      <c r="P638" s="36">
        <v>5.3015212101160721E-3</v>
      </c>
      <c r="Q638" s="36">
        <v>1000</v>
      </c>
      <c r="R638" s="36"/>
      <c r="S638" s="36"/>
      <c r="T638" s="36"/>
      <c r="U638" s="36"/>
      <c r="V638" s="36"/>
      <c r="W638" s="36"/>
      <c r="X638" s="36"/>
      <c r="Y638" s="36"/>
      <c r="Z638" s="36"/>
    </row>
    <row r="639" spans="1:26" ht="14">
      <c r="A639" s="72">
        <v>42571</v>
      </c>
      <c r="B639" s="72" t="s">
        <v>154</v>
      </c>
      <c r="C639" s="165">
        <v>2016</v>
      </c>
      <c r="D639" s="53">
        <v>8</v>
      </c>
      <c r="E639" s="36" t="s">
        <v>300</v>
      </c>
      <c r="F639" s="36" t="s">
        <v>320</v>
      </c>
      <c r="G639" s="36"/>
      <c r="H639" s="36"/>
      <c r="I639" s="36"/>
      <c r="J639" s="36"/>
      <c r="K639" s="36"/>
      <c r="L639" s="36">
        <v>3</v>
      </c>
      <c r="M639" s="36" t="s">
        <v>221</v>
      </c>
      <c r="N639" s="36" t="s">
        <v>322</v>
      </c>
      <c r="O639" s="36">
        <v>237</v>
      </c>
      <c r="P639" s="36">
        <v>1.2656467955782735</v>
      </c>
      <c r="Q639" s="36">
        <v>250</v>
      </c>
      <c r="R639" s="36"/>
      <c r="S639" s="36"/>
      <c r="T639" s="36"/>
      <c r="U639" s="36"/>
      <c r="V639" s="36"/>
      <c r="W639" s="36"/>
      <c r="X639" s="36"/>
      <c r="Y639" s="36"/>
      <c r="Z639" s="36"/>
    </row>
    <row r="640" spans="1:26" ht="14">
      <c r="A640" s="35">
        <v>42206</v>
      </c>
      <c r="B640" s="72" t="s">
        <v>154</v>
      </c>
      <c r="C640" s="165">
        <v>2015</v>
      </c>
      <c r="D640" s="53">
        <v>8</v>
      </c>
      <c r="E640" s="65" t="s">
        <v>300</v>
      </c>
      <c r="F640" s="65" t="s">
        <v>320</v>
      </c>
      <c r="G640" s="65"/>
      <c r="H640" s="65"/>
      <c r="I640" s="65"/>
      <c r="J640" s="36"/>
      <c r="K640" s="36"/>
      <c r="L640" s="36">
        <v>1</v>
      </c>
      <c r="M640" s="36" t="s">
        <v>221</v>
      </c>
      <c r="N640" s="36" t="s">
        <v>322</v>
      </c>
      <c r="O640" s="36">
        <v>7</v>
      </c>
      <c r="P640" s="36">
        <v>1.2403831543563807E-2</v>
      </c>
      <c r="Q640" s="36">
        <v>1000</v>
      </c>
      <c r="R640" s="36"/>
      <c r="S640" s="36"/>
      <c r="T640" s="36"/>
      <c r="U640" s="36"/>
      <c r="V640" s="36"/>
      <c r="W640" s="36"/>
      <c r="X640" s="36"/>
      <c r="Y640" s="36"/>
      <c r="Z640" s="36"/>
    </row>
    <row r="641" spans="1:26" ht="14">
      <c r="A641" s="72">
        <v>41480</v>
      </c>
      <c r="B641" s="72" t="s">
        <v>154</v>
      </c>
      <c r="C641" s="165">
        <v>2013</v>
      </c>
      <c r="D641" s="53">
        <v>4</v>
      </c>
      <c r="E641" s="53" t="s">
        <v>300</v>
      </c>
      <c r="F641" s="65" t="s">
        <v>320</v>
      </c>
      <c r="G641" s="65"/>
      <c r="H641" s="53"/>
      <c r="I641" s="53"/>
      <c r="J641" s="53"/>
      <c r="K641" s="53"/>
      <c r="L641" s="53">
        <v>9</v>
      </c>
      <c r="M641" s="53" t="s">
        <v>221</v>
      </c>
      <c r="N641" s="53" t="s">
        <v>322</v>
      </c>
      <c r="O641" s="36">
        <v>124</v>
      </c>
      <c r="P641" s="65">
        <v>7.238116995582021</v>
      </c>
      <c r="Q641" s="36">
        <v>250</v>
      </c>
      <c r="R641" s="36" t="s">
        <v>222</v>
      </c>
      <c r="S641" s="36"/>
      <c r="T641" s="36"/>
      <c r="U641" s="36"/>
      <c r="V641" s="36"/>
      <c r="W641" s="36"/>
      <c r="X641" s="36"/>
      <c r="Y641" s="36"/>
      <c r="Z641" s="36"/>
    </row>
    <row r="642" spans="1:26" ht="14">
      <c r="A642" s="35">
        <v>41480</v>
      </c>
      <c r="B642" s="72" t="s">
        <v>154</v>
      </c>
      <c r="C642" s="165">
        <v>2013</v>
      </c>
      <c r="D642" s="53">
        <v>5</v>
      </c>
      <c r="E642" s="36" t="s">
        <v>300</v>
      </c>
      <c r="F642" s="36" t="s">
        <v>320</v>
      </c>
      <c r="G642" s="36"/>
      <c r="H642" s="36"/>
      <c r="I642" s="36"/>
      <c r="J642" s="36"/>
      <c r="K642" s="36"/>
      <c r="L642" s="36">
        <v>8</v>
      </c>
      <c r="M642" s="36" t="s">
        <v>221</v>
      </c>
      <c r="N642" s="36" t="s">
        <v>322</v>
      </c>
      <c r="O642" s="3">
        <v>155</v>
      </c>
      <c r="P642" s="36">
        <v>5.1605625679851723</v>
      </c>
      <c r="Q642" s="36">
        <v>250</v>
      </c>
      <c r="R642" s="36" t="s">
        <v>222</v>
      </c>
      <c r="S642" s="36"/>
      <c r="T642" s="36"/>
      <c r="U642" s="36"/>
      <c r="V642" s="36"/>
      <c r="W642" s="36"/>
      <c r="X642" s="36"/>
      <c r="Y642" s="36"/>
      <c r="Z642" s="36"/>
    </row>
    <row r="643" spans="1:26" ht="14">
      <c r="A643" s="72">
        <v>41422</v>
      </c>
      <c r="B643" s="72" t="s">
        <v>144</v>
      </c>
      <c r="C643" s="165">
        <v>2013</v>
      </c>
      <c r="D643" s="53">
        <v>2</v>
      </c>
      <c r="E643" s="36" t="s">
        <v>300</v>
      </c>
      <c r="F643" s="36" t="s">
        <v>320</v>
      </c>
      <c r="G643" s="36"/>
      <c r="H643" s="36"/>
      <c r="I643" s="36"/>
      <c r="J643" s="36" t="s">
        <v>321</v>
      </c>
      <c r="K643" s="36"/>
      <c r="L643" s="36">
        <v>2</v>
      </c>
      <c r="M643" s="36" t="s">
        <v>221</v>
      </c>
      <c r="N643" s="36" t="s">
        <v>322</v>
      </c>
      <c r="O643" s="36">
        <v>40</v>
      </c>
      <c r="P643" s="36">
        <v>4.997639845853322</v>
      </c>
      <c r="Q643" s="36">
        <v>250</v>
      </c>
      <c r="R643" s="36" t="s">
        <v>222</v>
      </c>
      <c r="S643" s="36"/>
      <c r="T643" s="36"/>
      <c r="U643" s="36"/>
      <c r="V643" s="36"/>
      <c r="W643" s="36"/>
      <c r="X643" s="36"/>
      <c r="Y643" s="36"/>
      <c r="Z643" s="36"/>
    </row>
    <row r="644" spans="1:26" ht="14">
      <c r="A644" s="72">
        <v>41422</v>
      </c>
      <c r="B644" s="72" t="s">
        <v>144</v>
      </c>
      <c r="C644" s="165">
        <v>2013</v>
      </c>
      <c r="D644" s="53">
        <v>4</v>
      </c>
      <c r="E644" s="65" t="s">
        <v>300</v>
      </c>
      <c r="F644" s="65" t="s">
        <v>320</v>
      </c>
      <c r="G644" s="65"/>
      <c r="H644" s="65"/>
      <c r="I644" s="65"/>
      <c r="J644" s="36"/>
      <c r="K644" s="36"/>
      <c r="L644" s="36">
        <v>1</v>
      </c>
      <c r="M644" s="36" t="s">
        <v>221</v>
      </c>
      <c r="N644" s="36" t="s">
        <v>322</v>
      </c>
      <c r="O644" s="3">
        <v>106</v>
      </c>
      <c r="P644" s="65">
        <v>0.94200462237436966</v>
      </c>
      <c r="Q644" s="36">
        <v>250</v>
      </c>
      <c r="R644" s="36" t="s">
        <v>222</v>
      </c>
      <c r="S644" s="36"/>
      <c r="T644" s="36"/>
      <c r="U644" s="36"/>
      <c r="V644" s="36"/>
      <c r="W644" s="36"/>
      <c r="X644" s="36"/>
      <c r="Y644" s="36"/>
      <c r="Z644" s="36"/>
    </row>
    <row r="645" spans="1:26" ht="14">
      <c r="A645" s="72">
        <v>41422</v>
      </c>
      <c r="B645" s="72" t="s">
        <v>144</v>
      </c>
      <c r="C645" s="165">
        <v>2013</v>
      </c>
      <c r="D645" s="65">
        <v>5</v>
      </c>
      <c r="E645" s="36" t="s">
        <v>300</v>
      </c>
      <c r="F645" s="36" t="s">
        <v>320</v>
      </c>
      <c r="G645" s="36"/>
      <c r="H645" s="36"/>
      <c r="I645" s="36"/>
      <c r="J645" s="36"/>
      <c r="K645" s="36"/>
      <c r="L645" s="36">
        <v>2</v>
      </c>
      <c r="M645" s="36" t="s">
        <v>221</v>
      </c>
      <c r="N645" s="36" t="s">
        <v>322</v>
      </c>
      <c r="O645" s="3">
        <v>120</v>
      </c>
      <c r="P645" s="36">
        <v>1.6666666666666667</v>
      </c>
      <c r="Q645" s="36">
        <v>250</v>
      </c>
      <c r="R645" s="36" t="s">
        <v>222</v>
      </c>
      <c r="S645" s="36"/>
      <c r="T645" s="36"/>
      <c r="U645" s="36"/>
      <c r="V645" s="36"/>
      <c r="W645" s="36"/>
      <c r="X645" s="36"/>
      <c r="Y645" s="36"/>
      <c r="Z645" s="36"/>
    </row>
    <row r="646" spans="1:26" ht="14">
      <c r="A646" s="35">
        <v>41422</v>
      </c>
      <c r="B646" s="72" t="s">
        <v>144</v>
      </c>
      <c r="C646" s="165">
        <v>2013</v>
      </c>
      <c r="D646" s="65">
        <v>8</v>
      </c>
      <c r="E646" s="65" t="s">
        <v>300</v>
      </c>
      <c r="F646" s="65" t="s">
        <v>320</v>
      </c>
      <c r="G646" s="65"/>
      <c r="H646" s="65"/>
      <c r="I646" s="65"/>
      <c r="J646" s="36"/>
      <c r="K646" s="36"/>
      <c r="L646" s="36">
        <v>1</v>
      </c>
      <c r="M646" s="36" t="s">
        <v>221</v>
      </c>
      <c r="N646" s="36" t="s">
        <v>322</v>
      </c>
      <c r="O646" s="3">
        <v>89</v>
      </c>
      <c r="P646" s="36">
        <v>1.1233098485811601</v>
      </c>
      <c r="Q646" s="36">
        <v>250</v>
      </c>
      <c r="R646" s="36" t="s">
        <v>222</v>
      </c>
      <c r="S646" s="36"/>
      <c r="T646" s="36"/>
      <c r="U646" s="36"/>
      <c r="V646" s="36"/>
      <c r="W646" s="36"/>
      <c r="X646" s="36"/>
      <c r="Y646" s="36"/>
      <c r="Z646" s="36"/>
    </row>
    <row r="647" spans="1:26" ht="14">
      <c r="A647" s="13">
        <v>43019</v>
      </c>
      <c r="B647" s="72" t="s">
        <v>159</v>
      </c>
      <c r="C647" s="165">
        <v>2017</v>
      </c>
      <c r="D647" s="53">
        <v>4</v>
      </c>
      <c r="E647" s="36" t="s">
        <v>223</v>
      </c>
      <c r="F647" s="36" t="s">
        <v>303</v>
      </c>
      <c r="G647" s="36" t="s">
        <v>304</v>
      </c>
      <c r="H647" s="36" t="s">
        <v>305</v>
      </c>
      <c r="I647" s="36" t="s">
        <v>306</v>
      </c>
      <c r="J647" s="36" t="s">
        <v>307</v>
      </c>
      <c r="K647" s="36"/>
      <c r="L647" s="36">
        <v>3</v>
      </c>
      <c r="M647" s="3" t="s">
        <v>229</v>
      </c>
      <c r="N647" s="3" t="s">
        <v>307</v>
      </c>
      <c r="O647" s="3">
        <v>248</v>
      </c>
      <c r="P647" s="36">
        <v>1.1933605355099508</v>
      </c>
      <c r="Q647" s="36">
        <v>250</v>
      </c>
      <c r="R647" s="3" t="s">
        <v>659</v>
      </c>
      <c r="S647" s="3"/>
      <c r="T647" s="36"/>
      <c r="U647" s="36"/>
      <c r="V647" s="36"/>
      <c r="W647" s="36"/>
      <c r="X647" s="36"/>
      <c r="Y647" s="36"/>
      <c r="Z647" s="36"/>
    </row>
    <row r="648" spans="1:26" ht="14">
      <c r="A648" s="13">
        <v>43019</v>
      </c>
      <c r="B648" s="72" t="s">
        <v>159</v>
      </c>
      <c r="C648" s="165">
        <v>2017</v>
      </c>
      <c r="D648" s="53">
        <v>5</v>
      </c>
      <c r="E648" s="36" t="s">
        <v>223</v>
      </c>
      <c r="F648" s="36" t="s">
        <v>303</v>
      </c>
      <c r="G648" s="36" t="s">
        <v>304</v>
      </c>
      <c r="H648" s="36" t="s">
        <v>305</v>
      </c>
      <c r="I648" s="36" t="s">
        <v>306</v>
      </c>
      <c r="J648" s="36" t="s">
        <v>307</v>
      </c>
      <c r="K648" s="36"/>
      <c r="L648" s="36">
        <v>3</v>
      </c>
      <c r="M648" s="3" t="s">
        <v>229</v>
      </c>
      <c r="N648" s="3" t="s">
        <v>307</v>
      </c>
      <c r="O648" s="3">
        <v>255</v>
      </c>
      <c r="P648" s="36">
        <v>1.1762097366456801</v>
      </c>
      <c r="Q648" s="3">
        <v>250</v>
      </c>
      <c r="R648" s="3" t="s">
        <v>308</v>
      </c>
      <c r="S648" s="3"/>
      <c r="T648" s="36"/>
      <c r="U648" s="36"/>
      <c r="V648" s="36"/>
      <c r="W648" s="36"/>
      <c r="X648" s="36"/>
      <c r="Y648" s="36"/>
      <c r="Z648" s="36"/>
    </row>
    <row r="649" spans="1:26" ht="14">
      <c r="A649" s="13">
        <v>43019</v>
      </c>
      <c r="B649" s="72" t="s">
        <v>159</v>
      </c>
      <c r="C649" s="165">
        <v>2017</v>
      </c>
      <c r="D649" s="53">
        <v>5</v>
      </c>
      <c r="E649" s="65" t="s">
        <v>223</v>
      </c>
      <c r="F649" s="65" t="s">
        <v>303</v>
      </c>
      <c r="G649" s="65" t="s">
        <v>304</v>
      </c>
      <c r="H649" s="65" t="s">
        <v>305</v>
      </c>
      <c r="I649" s="65" t="s">
        <v>306</v>
      </c>
      <c r="J649" s="36" t="s">
        <v>307</v>
      </c>
      <c r="K649" s="36"/>
      <c r="L649" s="36">
        <v>2</v>
      </c>
      <c r="M649" s="3" t="s">
        <v>229</v>
      </c>
      <c r="N649" s="3" t="s">
        <v>307</v>
      </c>
      <c r="O649" s="3">
        <v>255</v>
      </c>
      <c r="P649" s="36">
        <v>0.78413982443045338</v>
      </c>
      <c r="Q649" s="3">
        <v>250</v>
      </c>
      <c r="R649" s="3" t="s">
        <v>309</v>
      </c>
      <c r="S649" s="3"/>
      <c r="T649" s="36"/>
      <c r="U649" s="36"/>
      <c r="V649" s="36"/>
      <c r="W649" s="36"/>
      <c r="X649" s="36"/>
      <c r="Y649" s="36"/>
      <c r="Z649" s="36"/>
    </row>
    <row r="650" spans="1:26" ht="14">
      <c r="A650" s="13">
        <v>43019</v>
      </c>
      <c r="B650" s="72" t="s">
        <v>159</v>
      </c>
      <c r="C650" s="165">
        <v>2017</v>
      </c>
      <c r="D650" s="65">
        <v>8</v>
      </c>
      <c r="E650" s="36" t="s">
        <v>223</v>
      </c>
      <c r="F650" s="36" t="s">
        <v>303</v>
      </c>
      <c r="G650" s="36" t="s">
        <v>304</v>
      </c>
      <c r="H650" s="36" t="s">
        <v>305</v>
      </c>
      <c r="I650" s="36" t="s">
        <v>306</v>
      </c>
      <c r="J650" s="36" t="s">
        <v>307</v>
      </c>
      <c r="K650" s="36"/>
      <c r="L650" s="36">
        <v>1</v>
      </c>
      <c r="M650" s="3" t="s">
        <v>229</v>
      </c>
      <c r="N650" s="3" t="s">
        <v>307</v>
      </c>
      <c r="O650" s="3">
        <v>288</v>
      </c>
      <c r="P650" s="36">
        <v>0.33361048120931314</v>
      </c>
      <c r="Q650" s="3">
        <v>250</v>
      </c>
      <c r="R650" s="3" t="s">
        <v>308</v>
      </c>
      <c r="S650" s="3"/>
      <c r="T650" s="36"/>
      <c r="U650" s="36"/>
      <c r="V650" s="36"/>
      <c r="W650" s="36"/>
      <c r="X650" s="36"/>
      <c r="Y650" s="36"/>
      <c r="Z650" s="36"/>
    </row>
    <row r="651" spans="1:26" ht="14">
      <c r="A651" s="13">
        <v>42928</v>
      </c>
      <c r="B651" s="72" t="s">
        <v>154</v>
      </c>
      <c r="C651" s="165">
        <v>2017</v>
      </c>
      <c r="D651" s="65">
        <v>2</v>
      </c>
      <c r="E651" s="36" t="s">
        <v>223</v>
      </c>
      <c r="F651" s="36" t="s">
        <v>303</v>
      </c>
      <c r="G651" s="36" t="s">
        <v>304</v>
      </c>
      <c r="H651" s="36" t="s">
        <v>305</v>
      </c>
      <c r="I651" s="36" t="s">
        <v>306</v>
      </c>
      <c r="J651" s="36" t="s">
        <v>307</v>
      </c>
      <c r="K651" s="36"/>
      <c r="L651" s="36">
        <v>1</v>
      </c>
      <c r="M651" s="3" t="s">
        <v>229</v>
      </c>
      <c r="N651" s="3" t="s">
        <v>307</v>
      </c>
      <c r="O651" s="3">
        <v>656</v>
      </c>
      <c r="P651" s="36">
        <v>0.1522843261809422</v>
      </c>
      <c r="Q651" s="36">
        <v>250</v>
      </c>
      <c r="R651" s="3" t="s">
        <v>309</v>
      </c>
      <c r="S651" s="3"/>
      <c r="T651" s="36"/>
      <c r="U651" s="36"/>
      <c r="V651" s="36"/>
      <c r="W651" s="36"/>
      <c r="X651" s="36"/>
      <c r="Y651" s="36"/>
      <c r="Z651" s="36"/>
    </row>
    <row r="652" spans="1:26" ht="14">
      <c r="A652" s="13">
        <v>42928</v>
      </c>
      <c r="B652" s="72" t="s">
        <v>154</v>
      </c>
      <c r="C652" s="165">
        <v>2017</v>
      </c>
      <c r="D652" s="53">
        <v>2</v>
      </c>
      <c r="E652" s="65" t="s">
        <v>223</v>
      </c>
      <c r="F652" s="65" t="s">
        <v>303</v>
      </c>
      <c r="G652" s="65" t="s">
        <v>304</v>
      </c>
      <c r="H652" s="65" t="s">
        <v>305</v>
      </c>
      <c r="I652" s="65" t="s">
        <v>306</v>
      </c>
      <c r="J652" s="36" t="s">
        <v>307</v>
      </c>
      <c r="K652" s="36"/>
      <c r="L652" s="36">
        <v>8</v>
      </c>
      <c r="M652" s="3" t="s">
        <v>229</v>
      </c>
      <c r="N652" s="3" t="s">
        <v>307</v>
      </c>
      <c r="O652" s="3">
        <v>656</v>
      </c>
      <c r="P652" s="36">
        <v>1.2182746094475376</v>
      </c>
      <c r="Q652" s="36">
        <v>250</v>
      </c>
      <c r="R652" s="3" t="s">
        <v>308</v>
      </c>
      <c r="S652" s="3"/>
      <c r="T652" s="36"/>
      <c r="U652" s="36"/>
      <c r="V652" s="36"/>
      <c r="W652" s="36"/>
      <c r="X652" s="36"/>
      <c r="Y652" s="36"/>
      <c r="Z652" s="36"/>
    </row>
    <row r="653" spans="1:26" ht="14">
      <c r="A653" s="13">
        <v>42928</v>
      </c>
      <c r="B653" s="72" t="s">
        <v>154</v>
      </c>
      <c r="C653" s="165">
        <v>2017</v>
      </c>
      <c r="D653" s="53">
        <v>4</v>
      </c>
      <c r="E653" s="36" t="s">
        <v>223</v>
      </c>
      <c r="F653" s="36" t="s">
        <v>303</v>
      </c>
      <c r="G653" s="36" t="s">
        <v>304</v>
      </c>
      <c r="H653" s="36" t="s">
        <v>305</v>
      </c>
      <c r="I653" s="36" t="s">
        <v>306</v>
      </c>
      <c r="J653" s="36" t="s">
        <v>307</v>
      </c>
      <c r="K653" s="36"/>
      <c r="L653" s="36">
        <v>16</v>
      </c>
      <c r="M653" s="3" t="s">
        <v>229</v>
      </c>
      <c r="N653" s="3" t="s">
        <v>307</v>
      </c>
      <c r="O653" s="3">
        <v>225</v>
      </c>
      <c r="P653" s="36">
        <v>7.0825862505232084</v>
      </c>
      <c r="Q653" s="36">
        <v>250</v>
      </c>
      <c r="R653" s="3" t="s">
        <v>308</v>
      </c>
      <c r="S653" s="3"/>
      <c r="T653" s="36"/>
      <c r="U653" s="36"/>
      <c r="V653" s="36"/>
      <c r="W653" s="36"/>
      <c r="X653" s="36"/>
      <c r="Y653" s="36"/>
      <c r="Z653" s="36"/>
    </row>
    <row r="654" spans="1:26" ht="14">
      <c r="A654" s="13">
        <v>42928</v>
      </c>
      <c r="B654" s="72" t="s">
        <v>154</v>
      </c>
      <c r="C654" s="165">
        <v>2017</v>
      </c>
      <c r="D654" s="53">
        <v>4</v>
      </c>
      <c r="E654" s="36" t="s">
        <v>223</v>
      </c>
      <c r="F654" s="36" t="s">
        <v>303</v>
      </c>
      <c r="G654" s="36" t="s">
        <v>304</v>
      </c>
      <c r="H654" s="36" t="s">
        <v>305</v>
      </c>
      <c r="I654" s="36" t="s">
        <v>306</v>
      </c>
      <c r="J654" s="36" t="s">
        <v>307</v>
      </c>
      <c r="K654" s="36"/>
      <c r="L654" s="36">
        <v>2</v>
      </c>
      <c r="M654" s="3" t="s">
        <v>229</v>
      </c>
      <c r="N654" s="3" t="s">
        <v>307</v>
      </c>
      <c r="O654" s="3">
        <v>225</v>
      </c>
      <c r="P654" s="36">
        <v>0.88532328131540106</v>
      </c>
      <c r="Q654" s="36">
        <v>250</v>
      </c>
      <c r="R654" s="3" t="s">
        <v>309</v>
      </c>
      <c r="S654" s="3"/>
      <c r="T654" s="36"/>
      <c r="U654" s="36"/>
      <c r="V654" s="36"/>
      <c r="W654" s="36"/>
      <c r="X654" s="36"/>
      <c r="Y654" s="36"/>
      <c r="Z654" s="36"/>
    </row>
    <row r="655" spans="1:26" ht="14">
      <c r="A655" s="72">
        <v>42928</v>
      </c>
      <c r="B655" s="72" t="s">
        <v>154</v>
      </c>
      <c r="C655" s="165">
        <v>2017</v>
      </c>
      <c r="D655" s="53">
        <v>5</v>
      </c>
      <c r="E655" s="36" t="s">
        <v>223</v>
      </c>
      <c r="F655" s="36" t="s">
        <v>303</v>
      </c>
      <c r="G655" s="36" t="s">
        <v>304</v>
      </c>
      <c r="H655" s="36" t="s">
        <v>305</v>
      </c>
      <c r="I655" s="36" t="s">
        <v>306</v>
      </c>
      <c r="J655" s="36" t="s">
        <v>307</v>
      </c>
      <c r="K655" s="36"/>
      <c r="L655" s="36">
        <v>5</v>
      </c>
      <c r="M655" s="36" t="s">
        <v>229</v>
      </c>
      <c r="N655" s="36" t="s">
        <v>307</v>
      </c>
      <c r="O655" s="36">
        <v>385</v>
      </c>
      <c r="P655" s="36">
        <v>1.2981321828216807</v>
      </c>
      <c r="Q655" s="36">
        <v>250</v>
      </c>
      <c r="R655" s="36" t="s">
        <v>309</v>
      </c>
      <c r="S655" s="36"/>
      <c r="T655" s="36"/>
      <c r="U655" s="36"/>
      <c r="V655" s="36"/>
      <c r="W655" s="36"/>
      <c r="X655" s="36"/>
      <c r="Y655" s="36"/>
      <c r="Z655" s="36"/>
    </row>
    <row r="656" spans="1:26" ht="14">
      <c r="A656" s="72">
        <v>42928</v>
      </c>
      <c r="B656" s="72" t="s">
        <v>154</v>
      </c>
      <c r="C656" s="165">
        <v>2017</v>
      </c>
      <c r="D656" s="53">
        <v>5</v>
      </c>
      <c r="E656" s="36" t="s">
        <v>223</v>
      </c>
      <c r="F656" s="36" t="s">
        <v>303</v>
      </c>
      <c r="G656" s="36" t="s">
        <v>304</v>
      </c>
      <c r="H656" s="36" t="s">
        <v>305</v>
      </c>
      <c r="I656" s="36" t="s">
        <v>306</v>
      </c>
      <c r="J656" s="36" t="s">
        <v>307</v>
      </c>
      <c r="K656" s="36"/>
      <c r="L656" s="36">
        <v>82</v>
      </c>
      <c r="M656" s="36" t="s">
        <v>229</v>
      </c>
      <c r="N656" s="36" t="s">
        <v>307</v>
      </c>
      <c r="O656" s="36">
        <v>385</v>
      </c>
      <c r="P656" s="36">
        <v>21.289367798275556</v>
      </c>
      <c r="Q656" s="65">
        <v>250</v>
      </c>
      <c r="R656" s="65" t="s">
        <v>308</v>
      </c>
      <c r="S656" s="65"/>
      <c r="T656" s="65"/>
      <c r="U656" s="36"/>
      <c r="V656" s="36"/>
      <c r="W656" s="36"/>
      <c r="X656" s="36"/>
      <c r="Y656" s="36"/>
      <c r="Z656" s="36"/>
    </row>
    <row r="657" spans="1:26" ht="14">
      <c r="A657" s="13">
        <v>42928</v>
      </c>
      <c r="B657" s="72" t="s">
        <v>154</v>
      </c>
      <c r="C657" s="165">
        <v>2017</v>
      </c>
      <c r="D657" s="53">
        <v>8</v>
      </c>
      <c r="E657" s="36" t="s">
        <v>223</v>
      </c>
      <c r="F657" s="36" t="s">
        <v>303</v>
      </c>
      <c r="G657" s="36" t="s">
        <v>304</v>
      </c>
      <c r="H657" s="36" t="s">
        <v>305</v>
      </c>
      <c r="I657" s="36" t="s">
        <v>306</v>
      </c>
      <c r="J657" s="36" t="s">
        <v>307</v>
      </c>
      <c r="K657" s="36"/>
      <c r="L657" s="36">
        <v>102</v>
      </c>
      <c r="M657" s="3" t="s">
        <v>229</v>
      </c>
      <c r="N657" s="3" t="s">
        <v>307</v>
      </c>
      <c r="O657" s="3">
        <v>319</v>
      </c>
      <c r="P657" s="36">
        <v>31.962798601335766</v>
      </c>
      <c r="Q657" s="36">
        <v>250</v>
      </c>
      <c r="R657" s="3" t="s">
        <v>308</v>
      </c>
      <c r="S657" s="3"/>
      <c r="T657" s="36"/>
      <c r="U657" s="36"/>
      <c r="V657" s="36"/>
      <c r="W657" s="36"/>
      <c r="X657" s="36"/>
      <c r="Y657" s="36"/>
      <c r="Z657" s="36"/>
    </row>
    <row r="658" spans="1:26" ht="14">
      <c r="A658" s="13">
        <v>42928</v>
      </c>
      <c r="B658" s="72" t="s">
        <v>154</v>
      </c>
      <c r="C658" s="165">
        <v>2017</v>
      </c>
      <c r="D658" s="53">
        <v>8</v>
      </c>
      <c r="E658" s="36" t="s">
        <v>223</v>
      </c>
      <c r="F658" s="36" t="s">
        <v>303</v>
      </c>
      <c r="G658" s="36" t="s">
        <v>304</v>
      </c>
      <c r="H658" s="36" t="s">
        <v>305</v>
      </c>
      <c r="I658" s="36" t="s">
        <v>306</v>
      </c>
      <c r="J658" s="36" t="s">
        <v>307</v>
      </c>
      <c r="K658" s="36"/>
      <c r="L658" s="36">
        <v>2</v>
      </c>
      <c r="M658" s="3" t="s">
        <v>229</v>
      </c>
      <c r="N658" s="3" t="s">
        <v>307</v>
      </c>
      <c r="O658" s="3">
        <v>319</v>
      </c>
      <c r="P658" s="36">
        <v>0.6267215412026621</v>
      </c>
      <c r="Q658" s="36">
        <v>250</v>
      </c>
      <c r="R658" s="3" t="s">
        <v>309</v>
      </c>
      <c r="S658" s="3"/>
      <c r="T658" s="36"/>
      <c r="U658" s="36"/>
      <c r="V658" s="36"/>
      <c r="W658" s="36"/>
      <c r="X658" s="36"/>
      <c r="Y658" s="36"/>
      <c r="Z658" s="36"/>
    </row>
    <row r="659" spans="1:26" ht="14">
      <c r="A659" s="13">
        <v>42867</v>
      </c>
      <c r="B659" s="72" t="s">
        <v>144</v>
      </c>
      <c r="C659" s="165">
        <v>2017</v>
      </c>
      <c r="D659" s="53">
        <v>8</v>
      </c>
      <c r="E659" s="36" t="s">
        <v>223</v>
      </c>
      <c r="F659" s="36" t="s">
        <v>303</v>
      </c>
      <c r="G659" s="36" t="s">
        <v>304</v>
      </c>
      <c r="H659" s="36" t="s">
        <v>305</v>
      </c>
      <c r="I659" s="36" t="s">
        <v>306</v>
      </c>
      <c r="J659" s="36" t="s">
        <v>307</v>
      </c>
      <c r="K659" s="36"/>
      <c r="L659" s="36">
        <v>1</v>
      </c>
      <c r="M659" s="3" t="s">
        <v>229</v>
      </c>
      <c r="N659" s="3" t="s">
        <v>307</v>
      </c>
      <c r="O659" s="3">
        <v>268</v>
      </c>
      <c r="P659" s="36">
        <v>0.37249363727663137</v>
      </c>
      <c r="Q659" s="3"/>
      <c r="R659" s="3"/>
      <c r="S659" s="3"/>
      <c r="T659" s="36"/>
      <c r="U659" s="36"/>
      <c r="V659" s="36"/>
      <c r="W659" s="36"/>
      <c r="X659" s="36"/>
      <c r="Y659" s="36"/>
      <c r="Z659" s="36"/>
    </row>
    <row r="660" spans="1:26" ht="14">
      <c r="A660" s="72">
        <v>42634</v>
      </c>
      <c r="B660" s="72" t="s">
        <v>157</v>
      </c>
      <c r="C660" s="165">
        <v>2016</v>
      </c>
      <c r="D660" s="53">
        <v>8</v>
      </c>
      <c r="E660" s="36" t="s">
        <v>223</v>
      </c>
      <c r="F660" s="36" t="s">
        <v>303</v>
      </c>
      <c r="G660" s="36" t="s">
        <v>304</v>
      </c>
      <c r="H660" s="36" t="s">
        <v>305</v>
      </c>
      <c r="I660" s="36" t="s">
        <v>306</v>
      </c>
      <c r="J660" s="36" t="s">
        <v>307</v>
      </c>
      <c r="K660" s="36"/>
      <c r="L660" s="36">
        <v>1</v>
      </c>
      <c r="M660" s="3" t="s">
        <v>229</v>
      </c>
      <c r="N660" s="3" t="s">
        <v>307</v>
      </c>
      <c r="O660" s="36">
        <v>294</v>
      </c>
      <c r="P660" s="36">
        <v>0.31814856622833948</v>
      </c>
      <c r="Q660" s="36">
        <v>250</v>
      </c>
      <c r="R660" s="36" t="s">
        <v>308</v>
      </c>
      <c r="S660" s="36"/>
      <c r="T660" s="36"/>
      <c r="U660" s="36"/>
      <c r="V660" s="36"/>
      <c r="W660" s="36"/>
      <c r="X660" s="36"/>
      <c r="Y660" s="36"/>
      <c r="Z660" s="36"/>
    </row>
    <row r="661" spans="1:26" ht="14">
      <c r="A661" s="72">
        <v>42571</v>
      </c>
      <c r="B661" s="72" t="s">
        <v>154</v>
      </c>
      <c r="C661" s="165">
        <v>2016</v>
      </c>
      <c r="D661" s="53">
        <v>8</v>
      </c>
      <c r="E661" s="51" t="s">
        <v>223</v>
      </c>
      <c r="F661" s="3" t="s">
        <v>303</v>
      </c>
      <c r="G661" s="3" t="s">
        <v>304</v>
      </c>
      <c r="H661" s="51" t="s">
        <v>305</v>
      </c>
      <c r="I661" s="51" t="s">
        <v>306</v>
      </c>
      <c r="J661" s="51" t="s">
        <v>307</v>
      </c>
      <c r="K661" s="51"/>
      <c r="L661" s="65">
        <v>1</v>
      </c>
      <c r="M661" s="51" t="s">
        <v>229</v>
      </c>
      <c r="N661" s="51" t="s">
        <v>307</v>
      </c>
      <c r="O661" s="3">
        <v>237</v>
      </c>
      <c r="P661" s="36">
        <v>0.42188226519275773</v>
      </c>
      <c r="Q661" s="36">
        <v>250</v>
      </c>
      <c r="R661" s="36" t="s">
        <v>620</v>
      </c>
      <c r="S661" s="3"/>
      <c r="T661" s="36"/>
      <c r="U661" s="36"/>
      <c r="V661" s="36"/>
      <c r="W661" s="36"/>
      <c r="X661" s="36"/>
      <c r="Y661" s="36"/>
      <c r="Z661" s="36"/>
    </row>
    <row r="662" spans="1:26" ht="14">
      <c r="A662" s="13">
        <v>42515</v>
      </c>
      <c r="B662" s="72" t="s">
        <v>144</v>
      </c>
      <c r="C662" s="165">
        <v>2016</v>
      </c>
      <c r="D662" s="34">
        <v>2</v>
      </c>
      <c r="E662" s="51" t="s">
        <v>223</v>
      </c>
      <c r="F662" s="51" t="s">
        <v>303</v>
      </c>
      <c r="G662" s="51" t="s">
        <v>304</v>
      </c>
      <c r="H662" s="51" t="s">
        <v>305</v>
      </c>
      <c r="I662" s="51" t="s">
        <v>306</v>
      </c>
      <c r="J662" s="3" t="s">
        <v>307</v>
      </c>
      <c r="K662" s="3"/>
      <c r="L662" s="51">
        <v>1</v>
      </c>
      <c r="M662" s="51" t="s">
        <v>229</v>
      </c>
      <c r="N662" s="51" t="s">
        <v>307</v>
      </c>
      <c r="O662" s="3">
        <v>194</v>
      </c>
      <c r="P662" s="65">
        <v>0.51520576504797122</v>
      </c>
      <c r="Q662" s="51">
        <v>250</v>
      </c>
      <c r="R662" s="65" t="s">
        <v>620</v>
      </c>
      <c r="S662" s="51"/>
      <c r="T662" s="65"/>
      <c r="U662" s="36"/>
      <c r="V662" s="36"/>
      <c r="W662" s="36"/>
      <c r="X662" s="36"/>
      <c r="Y662" s="36"/>
      <c r="Z662" s="36"/>
    </row>
    <row r="663" spans="1:26" ht="14">
      <c r="A663" s="13">
        <v>42515</v>
      </c>
      <c r="B663" s="72" t="s">
        <v>144</v>
      </c>
      <c r="C663" s="165">
        <v>2016</v>
      </c>
      <c r="D663" s="34">
        <v>4</v>
      </c>
      <c r="E663" s="3" t="s">
        <v>223</v>
      </c>
      <c r="F663" s="3" t="s">
        <v>303</v>
      </c>
      <c r="G663" s="3" t="s">
        <v>304</v>
      </c>
      <c r="H663" s="3" t="s">
        <v>305</v>
      </c>
      <c r="I663" s="3" t="s">
        <v>306</v>
      </c>
      <c r="J663" s="3" t="s">
        <v>307</v>
      </c>
      <c r="K663" s="3"/>
      <c r="L663" s="3">
        <v>1</v>
      </c>
      <c r="M663" s="3" t="s">
        <v>229</v>
      </c>
      <c r="N663" s="3" t="s">
        <v>307</v>
      </c>
      <c r="O663" s="3">
        <v>217</v>
      </c>
      <c r="P663" s="36">
        <v>0.46046454311968915</v>
      </c>
      <c r="Q663" s="36">
        <v>250</v>
      </c>
      <c r="R663" s="36" t="s">
        <v>308</v>
      </c>
      <c r="S663" s="3"/>
      <c r="T663" s="36"/>
      <c r="U663" s="36"/>
      <c r="V663" s="36"/>
      <c r="W663" s="36"/>
      <c r="X663" s="36"/>
      <c r="Y663" s="36"/>
      <c r="Z663" s="36"/>
    </row>
    <row r="664" spans="1:26" ht="14">
      <c r="A664" s="71">
        <v>42515</v>
      </c>
      <c r="B664" s="72" t="s">
        <v>144</v>
      </c>
      <c r="C664" s="165">
        <v>2016</v>
      </c>
      <c r="D664" s="34">
        <v>4</v>
      </c>
      <c r="E664" s="51" t="s">
        <v>223</v>
      </c>
      <c r="F664" s="51" t="s">
        <v>303</v>
      </c>
      <c r="G664" s="51" t="s">
        <v>304</v>
      </c>
      <c r="H664" s="51" t="s">
        <v>305</v>
      </c>
      <c r="I664" s="51" t="s">
        <v>306</v>
      </c>
      <c r="J664" s="3" t="s">
        <v>307</v>
      </c>
      <c r="K664" s="3"/>
      <c r="L664" s="3">
        <v>2</v>
      </c>
      <c r="M664" s="3" t="s">
        <v>229</v>
      </c>
      <c r="N664" s="3" t="s">
        <v>307</v>
      </c>
      <c r="O664" s="3">
        <v>217</v>
      </c>
      <c r="P664" s="36">
        <v>0.9209290862393783</v>
      </c>
      <c r="Q664" s="3">
        <v>250</v>
      </c>
      <c r="R664" s="36" t="s">
        <v>620</v>
      </c>
      <c r="S664" s="3"/>
      <c r="T664" s="36"/>
      <c r="U664" s="36"/>
      <c r="V664" s="36"/>
      <c r="W664" s="36"/>
      <c r="X664" s="36"/>
      <c r="Y664" s="36"/>
      <c r="Z664" s="36"/>
    </row>
    <row r="665" spans="1:26" ht="14">
      <c r="A665" s="13">
        <v>42515</v>
      </c>
      <c r="B665" s="72" t="s">
        <v>144</v>
      </c>
      <c r="C665" s="165">
        <v>2016</v>
      </c>
      <c r="D665" s="34">
        <v>5</v>
      </c>
      <c r="E665" s="51" t="s">
        <v>223</v>
      </c>
      <c r="F665" s="51" t="s">
        <v>303</v>
      </c>
      <c r="G665" s="51" t="s">
        <v>304</v>
      </c>
      <c r="H665" s="51" t="s">
        <v>305</v>
      </c>
      <c r="I665" s="51" t="s">
        <v>306</v>
      </c>
      <c r="J665" s="3" t="s">
        <v>307</v>
      </c>
      <c r="K665" s="3"/>
      <c r="L665" s="3">
        <v>9</v>
      </c>
      <c r="M665" s="3" t="s">
        <v>229</v>
      </c>
      <c r="N665" s="3" t="s">
        <v>307</v>
      </c>
      <c r="O665" s="3">
        <v>214</v>
      </c>
      <c r="P665" s="65">
        <v>4.203579527207844</v>
      </c>
      <c r="Q665" s="3">
        <v>250</v>
      </c>
      <c r="R665" s="36" t="s">
        <v>620</v>
      </c>
      <c r="S665" s="3"/>
      <c r="T665" s="36"/>
      <c r="U665" s="36"/>
      <c r="V665" s="36"/>
      <c r="W665" s="36"/>
      <c r="X665" s="36"/>
      <c r="Y665" s="36"/>
      <c r="Z665" s="36"/>
    </row>
    <row r="666" spans="1:26" ht="14">
      <c r="A666" s="169">
        <v>42515</v>
      </c>
      <c r="B666" s="173" t="s">
        <v>144</v>
      </c>
      <c r="C666" s="179">
        <v>2016</v>
      </c>
      <c r="D666" s="177">
        <v>8</v>
      </c>
      <c r="E666" s="171" t="s">
        <v>223</v>
      </c>
      <c r="F666" s="171" t="s">
        <v>303</v>
      </c>
      <c r="G666" s="171" t="s">
        <v>304</v>
      </c>
      <c r="H666" s="171" t="s">
        <v>305</v>
      </c>
      <c r="I666" s="171" t="s">
        <v>306</v>
      </c>
      <c r="J666" s="171" t="s">
        <v>307</v>
      </c>
      <c r="K666" s="171"/>
      <c r="L666" s="171">
        <v>9</v>
      </c>
      <c r="M666" s="171" t="s">
        <v>229</v>
      </c>
      <c r="N666" s="171" t="s">
        <v>307</v>
      </c>
      <c r="O666" s="171">
        <v>252</v>
      </c>
      <c r="P666" s="171">
        <v>3.5709939006257603</v>
      </c>
      <c r="Q666" s="171">
        <v>250</v>
      </c>
      <c r="R666" s="171" t="s">
        <v>620</v>
      </c>
      <c r="S666" s="171"/>
      <c r="T666" s="36"/>
      <c r="U666" s="36"/>
      <c r="V666" s="36"/>
      <c r="W666" s="36"/>
      <c r="X666" s="36"/>
      <c r="Y666" s="36"/>
      <c r="Z666" s="36"/>
    </row>
    <row r="667" spans="1:26" ht="14">
      <c r="A667" s="13">
        <v>42263</v>
      </c>
      <c r="B667" s="72" t="s">
        <v>157</v>
      </c>
      <c r="C667" s="165">
        <v>2015</v>
      </c>
      <c r="D667" s="53">
        <v>4</v>
      </c>
      <c r="E667" s="51" t="s">
        <v>223</v>
      </c>
      <c r="F667" s="3" t="s">
        <v>303</v>
      </c>
      <c r="G667" s="3" t="s">
        <v>304</v>
      </c>
      <c r="H667" s="51" t="s">
        <v>305</v>
      </c>
      <c r="I667" s="51" t="s">
        <v>306</v>
      </c>
      <c r="J667" s="51" t="s">
        <v>307</v>
      </c>
      <c r="K667" s="3"/>
      <c r="L667" s="51">
        <v>7</v>
      </c>
      <c r="M667" s="51" t="s">
        <v>229</v>
      </c>
      <c r="N667" s="51" t="s">
        <v>307</v>
      </c>
      <c r="O667" s="3">
        <v>161</v>
      </c>
      <c r="P667" s="65">
        <v>4.340254927898906</v>
      </c>
      <c r="Q667" s="65">
        <v>250</v>
      </c>
      <c r="R667" s="65" t="s">
        <v>308</v>
      </c>
      <c r="S667" s="51"/>
      <c r="T667" s="65"/>
      <c r="U667" s="36"/>
      <c r="V667" s="36"/>
      <c r="W667" s="36"/>
      <c r="X667" s="36"/>
      <c r="Y667" s="36"/>
      <c r="Z667" s="36"/>
    </row>
    <row r="668" spans="1:26" ht="14">
      <c r="A668" s="13">
        <v>42263</v>
      </c>
      <c r="B668" s="72" t="s">
        <v>157</v>
      </c>
      <c r="C668" s="165">
        <v>2015</v>
      </c>
      <c r="D668" s="53">
        <v>5</v>
      </c>
      <c r="E668" s="3" t="s">
        <v>223</v>
      </c>
      <c r="F668" s="3" t="s">
        <v>303</v>
      </c>
      <c r="G668" s="3" t="s">
        <v>304</v>
      </c>
      <c r="H668" s="3" t="s">
        <v>305</v>
      </c>
      <c r="I668" s="3" t="s">
        <v>306</v>
      </c>
      <c r="J668" s="3" t="s">
        <v>307</v>
      </c>
      <c r="K668" s="3"/>
      <c r="L668" s="36">
        <v>10</v>
      </c>
      <c r="M668" s="3" t="s">
        <v>229</v>
      </c>
      <c r="N668" s="3" t="s">
        <v>307</v>
      </c>
      <c r="O668" s="3">
        <v>222</v>
      </c>
      <c r="P668" s="36">
        <v>4.5032312577470996</v>
      </c>
      <c r="Q668" s="36">
        <v>250</v>
      </c>
      <c r="R668" s="36" t="s">
        <v>308</v>
      </c>
      <c r="S668" s="3"/>
      <c r="T668" s="36"/>
      <c r="U668" s="36"/>
      <c r="V668" s="36"/>
      <c r="W668" s="36"/>
      <c r="X668" s="36"/>
      <c r="Y668" s="36"/>
      <c r="Z668" s="36"/>
    </row>
    <row r="669" spans="1:26" ht="14">
      <c r="A669" s="13">
        <v>42263</v>
      </c>
      <c r="B669" s="72" t="s">
        <v>157</v>
      </c>
      <c r="C669" s="165">
        <v>2015</v>
      </c>
      <c r="D669" s="53">
        <v>5</v>
      </c>
      <c r="E669" s="3" t="s">
        <v>223</v>
      </c>
      <c r="F669" s="3" t="s">
        <v>303</v>
      </c>
      <c r="G669" s="3" t="s">
        <v>304</v>
      </c>
      <c r="H669" s="3" t="s">
        <v>305</v>
      </c>
      <c r="I669" s="3" t="s">
        <v>306</v>
      </c>
      <c r="J669" s="3" t="s">
        <v>307</v>
      </c>
      <c r="K669" s="3"/>
      <c r="L669" s="36">
        <v>7</v>
      </c>
      <c r="M669" s="3" t="s">
        <v>229</v>
      </c>
      <c r="N669" s="3" t="s">
        <v>307</v>
      </c>
      <c r="O669" s="3">
        <v>222</v>
      </c>
      <c r="P669" s="36">
        <v>3.1522618804229698</v>
      </c>
      <c r="Q669" s="3">
        <v>250</v>
      </c>
      <c r="R669" s="36" t="s">
        <v>620</v>
      </c>
      <c r="S669" s="3"/>
      <c r="T669" s="36"/>
      <c r="U669" s="36"/>
      <c r="V669" s="36"/>
      <c r="W669" s="36"/>
      <c r="X669" s="36"/>
      <c r="Y669" s="36"/>
      <c r="Z669" s="36"/>
    </row>
    <row r="670" spans="1:26" ht="14">
      <c r="A670" s="13">
        <v>42263</v>
      </c>
      <c r="B670" s="72" t="s">
        <v>157</v>
      </c>
      <c r="C670" s="165">
        <v>2015</v>
      </c>
      <c r="D670" s="53">
        <v>8</v>
      </c>
      <c r="E670" s="3" t="s">
        <v>223</v>
      </c>
      <c r="F670" s="3" t="s">
        <v>303</v>
      </c>
      <c r="G670" s="3" t="s">
        <v>304</v>
      </c>
      <c r="H670" s="3" t="s">
        <v>305</v>
      </c>
      <c r="I670" s="3" t="s">
        <v>306</v>
      </c>
      <c r="J670" s="3" t="s">
        <v>307</v>
      </c>
      <c r="K670" s="3"/>
      <c r="L670" s="3">
        <v>6</v>
      </c>
      <c r="M670" s="3" t="s">
        <v>229</v>
      </c>
      <c r="N670" s="3" t="s">
        <v>307</v>
      </c>
      <c r="O670" s="3">
        <v>244</v>
      </c>
      <c r="P670" s="36">
        <v>2.459016393442623</v>
      </c>
      <c r="Q670" s="3">
        <v>250</v>
      </c>
      <c r="R670" s="36" t="s">
        <v>308</v>
      </c>
      <c r="S670" s="3"/>
      <c r="T670" s="36"/>
      <c r="U670" s="36"/>
      <c r="V670" s="36"/>
      <c r="W670" s="36"/>
      <c r="X670" s="36"/>
      <c r="Y670" s="36"/>
      <c r="Z670" s="36"/>
    </row>
    <row r="671" spans="1:26" ht="14">
      <c r="A671" s="13">
        <v>42263</v>
      </c>
      <c r="B671" s="72" t="s">
        <v>157</v>
      </c>
      <c r="C671" s="165">
        <v>2015</v>
      </c>
      <c r="D671" s="53">
        <v>8</v>
      </c>
      <c r="E671" s="3" t="s">
        <v>223</v>
      </c>
      <c r="F671" s="3" t="s">
        <v>303</v>
      </c>
      <c r="G671" s="3" t="s">
        <v>304</v>
      </c>
      <c r="H671" s="3" t="s">
        <v>305</v>
      </c>
      <c r="I671" s="3" t="s">
        <v>306</v>
      </c>
      <c r="J671" s="3" t="s">
        <v>307</v>
      </c>
      <c r="K671" s="3"/>
      <c r="L671" s="3">
        <v>2</v>
      </c>
      <c r="M671" s="3" t="s">
        <v>229</v>
      </c>
      <c r="N671" s="3" t="s">
        <v>307</v>
      </c>
      <c r="O671" s="3">
        <v>244</v>
      </c>
      <c r="P671" s="36">
        <v>0.81967213114754101</v>
      </c>
      <c r="Q671" s="36">
        <v>250</v>
      </c>
      <c r="R671" s="36" t="s">
        <v>620</v>
      </c>
      <c r="S671" s="3"/>
      <c r="T671" s="36"/>
      <c r="U671" s="36"/>
      <c r="V671" s="36"/>
      <c r="W671" s="36"/>
      <c r="X671" s="36"/>
      <c r="Y671" s="36"/>
      <c r="Z671" s="36"/>
    </row>
    <row r="672" spans="1:26" ht="14">
      <c r="A672" s="35">
        <v>42206</v>
      </c>
      <c r="B672" s="72" t="s">
        <v>154</v>
      </c>
      <c r="C672" s="165">
        <v>2015</v>
      </c>
      <c r="D672" s="53">
        <v>2</v>
      </c>
      <c r="E672" s="36" t="s">
        <v>223</v>
      </c>
      <c r="F672" s="36" t="s">
        <v>303</v>
      </c>
      <c r="G672" s="36" t="s">
        <v>304</v>
      </c>
      <c r="H672" s="36" t="s">
        <v>305</v>
      </c>
      <c r="I672" s="36" t="s">
        <v>306</v>
      </c>
      <c r="J672" s="36" t="s">
        <v>307</v>
      </c>
      <c r="K672" s="36"/>
      <c r="L672" s="36">
        <v>21</v>
      </c>
      <c r="M672" s="36" t="s">
        <v>229</v>
      </c>
      <c r="N672" s="36" t="s">
        <v>307</v>
      </c>
      <c r="O672" s="36">
        <v>337</v>
      </c>
      <c r="P672" s="36">
        <v>6.2294004408984991</v>
      </c>
      <c r="Q672" s="36">
        <v>250</v>
      </c>
      <c r="R672" s="36" t="s">
        <v>308</v>
      </c>
      <c r="S672" s="36"/>
      <c r="T672" s="36"/>
      <c r="U672" s="36"/>
      <c r="V672" s="36"/>
      <c r="W672" s="36"/>
      <c r="X672" s="36"/>
      <c r="Y672" s="36"/>
      <c r="Z672" s="36"/>
    </row>
    <row r="673" spans="1:26" ht="14">
      <c r="A673" s="13">
        <v>42206</v>
      </c>
      <c r="B673" s="72" t="s">
        <v>154</v>
      </c>
      <c r="C673" s="165">
        <v>2015</v>
      </c>
      <c r="D673" s="53">
        <v>4</v>
      </c>
      <c r="E673" s="51" t="s">
        <v>223</v>
      </c>
      <c r="F673" s="51" t="s">
        <v>303</v>
      </c>
      <c r="G673" s="51" t="s">
        <v>304</v>
      </c>
      <c r="H673" s="51" t="s">
        <v>305</v>
      </c>
      <c r="I673" s="51" t="s">
        <v>306</v>
      </c>
      <c r="J673" s="3" t="s">
        <v>307</v>
      </c>
      <c r="K673" s="3"/>
      <c r="L673" s="51">
        <v>25</v>
      </c>
      <c r="M673" s="51" t="s">
        <v>229</v>
      </c>
      <c r="N673" s="51" t="s">
        <v>307</v>
      </c>
      <c r="O673" s="3">
        <v>273</v>
      </c>
      <c r="P673" s="65">
        <v>9.0347713129263525</v>
      </c>
      <c r="Q673" s="65">
        <v>250</v>
      </c>
      <c r="R673" s="65" t="s">
        <v>308</v>
      </c>
      <c r="S673" s="51"/>
      <c r="T673" s="65"/>
      <c r="U673" s="36"/>
      <c r="V673" s="36"/>
      <c r="W673" s="36"/>
      <c r="X673" s="36"/>
      <c r="Y673" s="36"/>
      <c r="Z673" s="36"/>
    </row>
    <row r="674" spans="1:26" ht="14">
      <c r="A674" s="13">
        <v>42206</v>
      </c>
      <c r="B674" s="72" t="s">
        <v>154</v>
      </c>
      <c r="C674" s="165">
        <v>2015</v>
      </c>
      <c r="D674" s="53">
        <v>5</v>
      </c>
      <c r="E674" s="51" t="s">
        <v>223</v>
      </c>
      <c r="F674" s="51" t="s">
        <v>303</v>
      </c>
      <c r="G674" s="51" t="s">
        <v>304</v>
      </c>
      <c r="H674" s="51" t="s">
        <v>305</v>
      </c>
      <c r="I674" s="51" t="s">
        <v>306</v>
      </c>
      <c r="J674" s="3" t="s">
        <v>307</v>
      </c>
      <c r="K674" s="3"/>
      <c r="L674" s="3">
        <v>11</v>
      </c>
      <c r="M674" s="3" t="s">
        <v>229</v>
      </c>
      <c r="N674" s="3" t="s">
        <v>307</v>
      </c>
      <c r="O674" s="3">
        <v>251</v>
      </c>
      <c r="P674" s="65">
        <v>4.3814719234075916</v>
      </c>
      <c r="Q674" s="3">
        <v>250</v>
      </c>
      <c r="R674" s="36" t="s">
        <v>308</v>
      </c>
      <c r="S674" s="3"/>
      <c r="T674" s="36"/>
      <c r="U674" s="36"/>
      <c r="V674" s="36"/>
      <c r="W674" s="36"/>
      <c r="X674" s="36"/>
      <c r="Y674" s="36"/>
      <c r="Z674" s="36"/>
    </row>
    <row r="675" spans="1:26" ht="14">
      <c r="A675" s="13">
        <v>42206</v>
      </c>
      <c r="B675" s="72" t="s">
        <v>154</v>
      </c>
      <c r="C675" s="165">
        <v>2015</v>
      </c>
      <c r="D675" s="53">
        <v>5</v>
      </c>
      <c r="E675" s="3" t="s">
        <v>223</v>
      </c>
      <c r="F675" s="3" t="s">
        <v>303</v>
      </c>
      <c r="G675" s="3" t="s">
        <v>304</v>
      </c>
      <c r="H675" s="3" t="s">
        <v>305</v>
      </c>
      <c r="I675" s="3" t="s">
        <v>306</v>
      </c>
      <c r="J675" s="3" t="s">
        <v>307</v>
      </c>
      <c r="K675" s="3"/>
      <c r="L675" s="3">
        <v>1</v>
      </c>
      <c r="M675" s="3" t="s">
        <v>229</v>
      </c>
      <c r="N675" s="3" t="s">
        <v>307</v>
      </c>
      <c r="O675" s="3">
        <v>251</v>
      </c>
      <c r="P675" s="65">
        <v>0.3983156294006901</v>
      </c>
      <c r="Q675" s="36">
        <v>250</v>
      </c>
      <c r="R675" s="36" t="s">
        <v>620</v>
      </c>
      <c r="S675" s="3"/>
      <c r="T675" s="36"/>
      <c r="U675" s="36"/>
      <c r="V675" s="36"/>
      <c r="W675" s="36"/>
      <c r="X675" s="36"/>
      <c r="Y675" s="36"/>
      <c r="Z675" s="36"/>
    </row>
    <row r="676" spans="1:26" ht="14">
      <c r="A676" s="71">
        <v>42206</v>
      </c>
      <c r="B676" s="72" t="s">
        <v>154</v>
      </c>
      <c r="C676" s="165">
        <v>2015</v>
      </c>
      <c r="D676" s="53">
        <v>8</v>
      </c>
      <c r="E676" s="3" t="s">
        <v>223</v>
      </c>
      <c r="F676" s="3" t="s">
        <v>303</v>
      </c>
      <c r="G676" s="3" t="s">
        <v>304</v>
      </c>
      <c r="H676" s="3" t="s">
        <v>305</v>
      </c>
      <c r="I676" s="3" t="s">
        <v>306</v>
      </c>
      <c r="J676" s="3" t="s">
        <v>307</v>
      </c>
      <c r="K676" s="3"/>
      <c r="L676" s="3">
        <v>13</v>
      </c>
      <c r="M676" s="3" t="s">
        <v>229</v>
      </c>
      <c r="N676" s="3" t="s">
        <v>307</v>
      </c>
      <c r="O676" s="3">
        <v>199</v>
      </c>
      <c r="P676" s="65">
        <v>6.5269912127112351</v>
      </c>
      <c r="Q676" s="36">
        <v>250</v>
      </c>
      <c r="R676" s="36" t="s">
        <v>308</v>
      </c>
      <c r="S676" s="3"/>
      <c r="T676" s="36"/>
      <c r="U676" s="36"/>
      <c r="V676" s="36"/>
      <c r="W676" s="36"/>
      <c r="X676" s="36"/>
      <c r="Y676" s="36"/>
      <c r="Z676" s="36"/>
    </row>
    <row r="677" spans="1:26" ht="14">
      <c r="A677" s="13">
        <v>42206</v>
      </c>
      <c r="B677" s="72" t="s">
        <v>154</v>
      </c>
      <c r="C677" s="165">
        <v>2015</v>
      </c>
      <c r="D677" s="53">
        <v>8</v>
      </c>
      <c r="E677" s="3" t="s">
        <v>223</v>
      </c>
      <c r="F677" s="3" t="s">
        <v>303</v>
      </c>
      <c r="G677" s="3" t="s">
        <v>304</v>
      </c>
      <c r="H677" s="3" t="s">
        <v>305</v>
      </c>
      <c r="I677" s="3" t="s">
        <v>306</v>
      </c>
      <c r="J677" s="3" t="s">
        <v>307</v>
      </c>
      <c r="K677" s="3"/>
      <c r="L677" s="3">
        <v>11</v>
      </c>
      <c r="M677" s="3" t="s">
        <v>229</v>
      </c>
      <c r="N677" s="3" t="s">
        <v>307</v>
      </c>
      <c r="O677" s="3">
        <v>199</v>
      </c>
      <c r="P677" s="65">
        <v>5.5228387184479679</v>
      </c>
      <c r="Q677" s="3">
        <v>250</v>
      </c>
      <c r="R677" s="36" t="s">
        <v>620</v>
      </c>
      <c r="S677" s="3"/>
      <c r="T677" s="36"/>
      <c r="U677" s="36"/>
      <c r="V677" s="36"/>
      <c r="W677" s="36"/>
      <c r="X677" s="36"/>
      <c r="Y677" s="36"/>
      <c r="Z677" s="36"/>
    </row>
    <row r="678" spans="1:26" ht="14">
      <c r="A678" s="71">
        <v>42144</v>
      </c>
      <c r="B678" s="72" t="s">
        <v>144</v>
      </c>
      <c r="C678" s="165">
        <v>2015</v>
      </c>
      <c r="D678" s="53">
        <v>2</v>
      </c>
      <c r="E678" s="51" t="s">
        <v>223</v>
      </c>
      <c r="F678" s="51" t="s">
        <v>303</v>
      </c>
      <c r="G678" s="51" t="s">
        <v>304</v>
      </c>
      <c r="H678" s="51" t="s">
        <v>305</v>
      </c>
      <c r="I678" s="51" t="s">
        <v>306</v>
      </c>
      <c r="J678" s="3" t="s">
        <v>307</v>
      </c>
      <c r="K678" s="3"/>
      <c r="L678" s="3">
        <v>1</v>
      </c>
      <c r="M678" s="3" t="s">
        <v>229</v>
      </c>
      <c r="N678" s="3" t="s">
        <v>307</v>
      </c>
      <c r="O678" s="3">
        <v>333</v>
      </c>
      <c r="P678" s="65">
        <v>0.30022231204405447</v>
      </c>
      <c r="Q678" s="3">
        <v>250</v>
      </c>
      <c r="R678" s="36" t="s">
        <v>620</v>
      </c>
      <c r="S678" s="3"/>
      <c r="T678" s="36"/>
      <c r="U678" s="36"/>
      <c r="V678" s="36"/>
      <c r="W678" s="36"/>
      <c r="X678" s="36"/>
      <c r="Y678" s="36"/>
      <c r="Z678" s="36"/>
    </row>
    <row r="679" spans="1:26" ht="14">
      <c r="A679" s="72">
        <v>42144</v>
      </c>
      <c r="B679" s="72" t="s">
        <v>144</v>
      </c>
      <c r="C679" s="165">
        <v>2015</v>
      </c>
      <c r="D679" s="53">
        <v>5</v>
      </c>
      <c r="E679" s="65" t="s">
        <v>223</v>
      </c>
      <c r="F679" s="65" t="s">
        <v>303</v>
      </c>
      <c r="G679" s="65" t="s">
        <v>304</v>
      </c>
      <c r="H679" s="65" t="s">
        <v>305</v>
      </c>
      <c r="I679" s="65" t="s">
        <v>306</v>
      </c>
      <c r="J679" s="36" t="s">
        <v>307</v>
      </c>
      <c r="K679" s="36"/>
      <c r="L679" s="36">
        <v>3</v>
      </c>
      <c r="M679" s="36" t="s">
        <v>229</v>
      </c>
      <c r="N679" s="36" t="s">
        <v>307</v>
      </c>
      <c r="O679" s="36">
        <v>327</v>
      </c>
      <c r="P679" s="36">
        <v>0.91709367618129267</v>
      </c>
      <c r="Q679" s="36">
        <v>250</v>
      </c>
      <c r="R679" s="36" t="s">
        <v>620</v>
      </c>
      <c r="S679" s="36"/>
      <c r="T679" s="36"/>
      <c r="U679" s="36"/>
      <c r="V679" s="36"/>
      <c r="W679" s="36"/>
      <c r="X679" s="36"/>
      <c r="Y679" s="36"/>
      <c r="Z679" s="36"/>
    </row>
    <row r="680" spans="1:26" ht="14">
      <c r="A680" s="13">
        <v>41912</v>
      </c>
      <c r="B680" s="72" t="s">
        <v>157</v>
      </c>
      <c r="C680" s="165">
        <v>2014</v>
      </c>
      <c r="D680" s="53">
        <v>4</v>
      </c>
      <c r="E680" s="3" t="s">
        <v>223</v>
      </c>
      <c r="F680" s="3" t="s">
        <v>303</v>
      </c>
      <c r="G680" s="3" t="s">
        <v>304</v>
      </c>
      <c r="H680" s="3" t="s">
        <v>305</v>
      </c>
      <c r="I680" s="3" t="s">
        <v>306</v>
      </c>
      <c r="J680" s="3" t="s">
        <v>307</v>
      </c>
      <c r="K680" s="3"/>
      <c r="L680" s="3">
        <v>10</v>
      </c>
      <c r="M680" s="3" t="s">
        <v>229</v>
      </c>
      <c r="N680" s="3" t="s">
        <v>307</v>
      </c>
      <c r="O680" s="3">
        <v>237</v>
      </c>
      <c r="P680" s="65">
        <v>4.2109589961806231</v>
      </c>
      <c r="Q680" s="3">
        <v>250</v>
      </c>
      <c r="R680" s="36" t="s">
        <v>308</v>
      </c>
      <c r="S680" s="3"/>
      <c r="T680" s="36"/>
      <c r="U680" s="36"/>
      <c r="V680" s="36"/>
      <c r="W680" s="36"/>
      <c r="X680" s="36"/>
      <c r="Y680" s="36"/>
      <c r="Z680" s="36"/>
    </row>
    <row r="681" spans="1:26" ht="14">
      <c r="A681" s="13">
        <v>41912</v>
      </c>
      <c r="B681" s="72" t="s">
        <v>157</v>
      </c>
      <c r="C681" s="165">
        <v>2014</v>
      </c>
      <c r="D681" s="53">
        <v>5</v>
      </c>
      <c r="E681" s="51" t="s">
        <v>223</v>
      </c>
      <c r="F681" s="51" t="s">
        <v>303</v>
      </c>
      <c r="G681" s="51" t="s">
        <v>304</v>
      </c>
      <c r="H681" s="51" t="s">
        <v>305</v>
      </c>
      <c r="I681" s="51" t="s">
        <v>306</v>
      </c>
      <c r="J681" s="3" t="s">
        <v>307</v>
      </c>
      <c r="K681" s="3"/>
      <c r="L681" s="3">
        <v>25</v>
      </c>
      <c r="M681" s="3" t="s">
        <v>229</v>
      </c>
      <c r="N681" s="3" t="s">
        <v>307</v>
      </c>
      <c r="O681" s="3">
        <v>216</v>
      </c>
      <c r="P681" s="36">
        <v>11.551358481185977</v>
      </c>
      <c r="Q681" s="3">
        <v>250</v>
      </c>
      <c r="R681" s="36" t="s">
        <v>308</v>
      </c>
      <c r="S681" s="3"/>
      <c r="T681" s="36"/>
      <c r="U681" s="36"/>
      <c r="V681" s="36"/>
      <c r="W681" s="36"/>
      <c r="X681" s="36"/>
      <c r="Y681" s="36"/>
      <c r="Z681" s="36"/>
    </row>
    <row r="682" spans="1:26" ht="14">
      <c r="A682" s="13">
        <v>41912</v>
      </c>
      <c r="B682" s="72" t="s">
        <v>157</v>
      </c>
      <c r="C682" s="165">
        <v>2014</v>
      </c>
      <c r="D682" s="53">
        <v>5</v>
      </c>
      <c r="E682" s="51" t="s">
        <v>223</v>
      </c>
      <c r="F682" s="3" t="s">
        <v>303</v>
      </c>
      <c r="G682" s="3" t="s">
        <v>304</v>
      </c>
      <c r="H682" s="51" t="s">
        <v>305</v>
      </c>
      <c r="I682" s="51" t="s">
        <v>306</v>
      </c>
      <c r="J682" s="51" t="s">
        <v>307</v>
      </c>
      <c r="K682" s="3"/>
      <c r="L682" s="3">
        <v>15</v>
      </c>
      <c r="M682" s="3" t="s">
        <v>229</v>
      </c>
      <c r="N682" s="3" t="s">
        <v>307</v>
      </c>
      <c r="O682" s="3">
        <v>216</v>
      </c>
      <c r="P682" s="36">
        <v>6.9308150887115865</v>
      </c>
      <c r="Q682" s="36">
        <v>250</v>
      </c>
      <c r="R682" s="36" t="s">
        <v>620</v>
      </c>
      <c r="S682" s="3"/>
      <c r="T682" s="36"/>
      <c r="U682" s="36"/>
      <c r="V682" s="36"/>
      <c r="W682" s="36"/>
      <c r="X682" s="36"/>
      <c r="Y682" s="36"/>
      <c r="Z682" s="36"/>
    </row>
    <row r="683" spans="1:26" ht="14">
      <c r="A683" s="13">
        <v>41912</v>
      </c>
      <c r="B683" s="72" t="s">
        <v>157</v>
      </c>
      <c r="C683" s="165">
        <v>2014</v>
      </c>
      <c r="D683" s="53">
        <v>8</v>
      </c>
      <c r="E683" s="3" t="s">
        <v>223</v>
      </c>
      <c r="F683" s="3" t="s">
        <v>303</v>
      </c>
      <c r="G683" s="3" t="s">
        <v>304</v>
      </c>
      <c r="H683" s="3" t="s">
        <v>305</v>
      </c>
      <c r="I683" s="3" t="s">
        <v>306</v>
      </c>
      <c r="J683" s="3" t="s">
        <v>307</v>
      </c>
      <c r="K683" s="3"/>
      <c r="L683" s="3">
        <v>3</v>
      </c>
      <c r="M683" s="3" t="s">
        <v>229</v>
      </c>
      <c r="N683" s="3" t="s">
        <v>307</v>
      </c>
      <c r="O683" s="3">
        <v>217</v>
      </c>
      <c r="P683" s="36">
        <v>1.3820245730583238</v>
      </c>
      <c r="Q683" s="36">
        <v>250</v>
      </c>
      <c r="R683" s="36" t="s">
        <v>308</v>
      </c>
      <c r="S683" s="3"/>
      <c r="T683" s="36"/>
      <c r="U683" s="36"/>
      <c r="V683" s="36"/>
      <c r="W683" s="36"/>
      <c r="X683" s="36"/>
      <c r="Y683" s="36"/>
      <c r="Z683" s="36"/>
    </row>
    <row r="684" spans="1:26" ht="14">
      <c r="A684" s="13">
        <v>41912</v>
      </c>
      <c r="B684" s="72" t="s">
        <v>157</v>
      </c>
      <c r="C684" s="165">
        <v>2014</v>
      </c>
      <c r="D684" s="53">
        <v>8</v>
      </c>
      <c r="E684" s="51" t="s">
        <v>223</v>
      </c>
      <c r="F684" s="51" t="s">
        <v>303</v>
      </c>
      <c r="G684" s="51" t="s">
        <v>304</v>
      </c>
      <c r="H684" s="51" t="s">
        <v>305</v>
      </c>
      <c r="I684" s="51" t="s">
        <v>306</v>
      </c>
      <c r="J684" s="3" t="s">
        <v>307</v>
      </c>
      <c r="K684" s="3"/>
      <c r="L684" s="3">
        <v>4</v>
      </c>
      <c r="M684" s="3" t="s">
        <v>229</v>
      </c>
      <c r="N684" s="3" t="s">
        <v>307</v>
      </c>
      <c r="O684" s="3">
        <v>217</v>
      </c>
      <c r="P684" s="36">
        <v>1.8426994307444315</v>
      </c>
      <c r="Q684" s="3">
        <v>250</v>
      </c>
      <c r="R684" s="36" t="s">
        <v>620</v>
      </c>
      <c r="S684" s="3"/>
      <c r="T684" s="36"/>
      <c r="U684" s="36"/>
      <c r="V684" s="36"/>
      <c r="W684" s="36"/>
      <c r="X684" s="36"/>
      <c r="Y684" s="36"/>
      <c r="Z684" s="36"/>
    </row>
    <row r="685" spans="1:26" ht="14">
      <c r="A685" s="35">
        <v>41851</v>
      </c>
      <c r="B685" s="72" t="s">
        <v>154</v>
      </c>
      <c r="C685" s="165">
        <v>2014</v>
      </c>
      <c r="D685" s="53">
        <v>2</v>
      </c>
      <c r="E685" s="65" t="s">
        <v>223</v>
      </c>
      <c r="F685" s="65" t="s">
        <v>303</v>
      </c>
      <c r="G685" s="65" t="s">
        <v>304</v>
      </c>
      <c r="H685" s="65" t="s">
        <v>305</v>
      </c>
      <c r="I685" s="65" t="s">
        <v>306</v>
      </c>
      <c r="J685" s="36" t="s">
        <v>307</v>
      </c>
      <c r="K685" s="36"/>
      <c r="L685" s="36">
        <v>3</v>
      </c>
      <c r="M685" s="36" t="s">
        <v>229</v>
      </c>
      <c r="N685" s="36" t="s">
        <v>307</v>
      </c>
      <c r="O685" s="36">
        <v>119</v>
      </c>
      <c r="P685" s="65">
        <v>2.4903465784097674</v>
      </c>
      <c r="Q685" s="36">
        <v>250</v>
      </c>
      <c r="R685" s="36" t="s">
        <v>308</v>
      </c>
      <c r="S685" s="36"/>
      <c r="T685" s="36"/>
      <c r="U685" s="36"/>
      <c r="V685" s="36"/>
      <c r="W685" s="36"/>
      <c r="X685" s="36"/>
      <c r="Y685" s="36"/>
      <c r="Z685" s="36"/>
    </row>
    <row r="686" spans="1:26" ht="14">
      <c r="A686" s="71">
        <v>41851</v>
      </c>
      <c r="B686" s="35" t="s">
        <v>154</v>
      </c>
      <c r="C686" s="165">
        <v>2014</v>
      </c>
      <c r="D686" s="53">
        <v>4</v>
      </c>
      <c r="E686" s="51" t="s">
        <v>223</v>
      </c>
      <c r="F686" s="51" t="s">
        <v>303</v>
      </c>
      <c r="G686" s="51" t="s">
        <v>304</v>
      </c>
      <c r="H686" s="51" t="s">
        <v>305</v>
      </c>
      <c r="I686" s="51" t="s">
        <v>306</v>
      </c>
      <c r="J686" s="3" t="s">
        <v>307</v>
      </c>
      <c r="K686" s="3"/>
      <c r="L686" s="3">
        <v>7</v>
      </c>
      <c r="M686" s="3" t="s">
        <v>229</v>
      </c>
      <c r="N686" s="3" t="s">
        <v>307</v>
      </c>
      <c r="O686" s="3">
        <v>188</v>
      </c>
      <c r="P686" s="65">
        <v>3.6257307415173989</v>
      </c>
      <c r="Q686" s="36">
        <v>250</v>
      </c>
      <c r="R686" s="36" t="s">
        <v>308</v>
      </c>
      <c r="S686" s="3"/>
      <c r="T686" s="36"/>
      <c r="U686" s="36"/>
      <c r="V686" s="36"/>
      <c r="W686" s="36"/>
      <c r="X686" s="36"/>
      <c r="Y686" s="36"/>
      <c r="Z686" s="36"/>
    </row>
    <row r="687" spans="1:26" ht="14">
      <c r="A687" s="71">
        <v>41851</v>
      </c>
      <c r="B687" s="72" t="s">
        <v>154</v>
      </c>
      <c r="C687" s="165">
        <v>2014</v>
      </c>
      <c r="D687" s="53">
        <v>5</v>
      </c>
      <c r="E687" s="3" t="s">
        <v>223</v>
      </c>
      <c r="F687" s="3" t="s">
        <v>303</v>
      </c>
      <c r="G687" s="3" t="s">
        <v>304</v>
      </c>
      <c r="H687" s="3" t="s">
        <v>305</v>
      </c>
      <c r="I687" s="3" t="s">
        <v>306</v>
      </c>
      <c r="J687" s="3" t="s">
        <v>307</v>
      </c>
      <c r="K687" s="3"/>
      <c r="L687" s="3">
        <v>4</v>
      </c>
      <c r="M687" s="3" t="s">
        <v>229</v>
      </c>
      <c r="N687" s="3" t="s">
        <v>307</v>
      </c>
      <c r="O687" s="3">
        <v>205</v>
      </c>
      <c r="P687" s="65">
        <v>1.937864896493616</v>
      </c>
      <c r="Q687" s="3">
        <v>250</v>
      </c>
      <c r="R687" s="36" t="s">
        <v>308</v>
      </c>
      <c r="S687" s="3"/>
      <c r="T687" s="36"/>
      <c r="U687" s="36"/>
      <c r="V687" s="36"/>
      <c r="W687" s="36"/>
      <c r="X687" s="36"/>
      <c r="Y687" s="36"/>
      <c r="Z687" s="36"/>
    </row>
    <row r="688" spans="1:26" ht="14">
      <c r="A688" s="13">
        <v>41851</v>
      </c>
      <c r="B688" s="72" t="s">
        <v>154</v>
      </c>
      <c r="C688" s="165">
        <v>2014</v>
      </c>
      <c r="D688" s="53">
        <v>8</v>
      </c>
      <c r="E688" s="51" t="s">
        <v>223</v>
      </c>
      <c r="F688" s="51" t="s">
        <v>303</v>
      </c>
      <c r="G688" s="51" t="s">
        <v>304</v>
      </c>
      <c r="H688" s="51" t="s">
        <v>305</v>
      </c>
      <c r="I688" s="51" t="s">
        <v>306</v>
      </c>
      <c r="J688" s="3" t="s">
        <v>307</v>
      </c>
      <c r="K688" s="3"/>
      <c r="L688" s="3">
        <v>4</v>
      </c>
      <c r="M688" s="3" t="s">
        <v>229</v>
      </c>
      <c r="N688" s="3" t="s">
        <v>307</v>
      </c>
      <c r="O688" s="3">
        <v>237</v>
      </c>
      <c r="P688" s="65">
        <v>1.6871590412373454</v>
      </c>
      <c r="Q688" s="36">
        <v>250</v>
      </c>
      <c r="R688" s="36" t="s">
        <v>308</v>
      </c>
      <c r="S688" s="3"/>
      <c r="T688" s="36"/>
      <c r="U688" s="36"/>
      <c r="V688" s="36"/>
      <c r="W688" s="36"/>
      <c r="X688" s="36"/>
      <c r="Y688" s="36"/>
      <c r="Z688" s="36"/>
    </row>
    <row r="689" spans="1:26" ht="14">
      <c r="A689" s="13">
        <v>41851</v>
      </c>
      <c r="B689" s="72" t="s">
        <v>154</v>
      </c>
      <c r="C689" s="165">
        <v>2014</v>
      </c>
      <c r="D689" s="53">
        <v>8</v>
      </c>
      <c r="E689" s="3" t="s">
        <v>223</v>
      </c>
      <c r="F689" s="3" t="s">
        <v>303</v>
      </c>
      <c r="G689" s="3" t="s">
        <v>304</v>
      </c>
      <c r="H689" s="3" t="s">
        <v>305</v>
      </c>
      <c r="I689" s="3" t="s">
        <v>306</v>
      </c>
      <c r="J689" s="3" t="s">
        <v>307</v>
      </c>
      <c r="K689" s="3"/>
      <c r="L689" s="3">
        <v>2</v>
      </c>
      <c r="M689" s="3" t="s">
        <v>229</v>
      </c>
      <c r="N689" s="3" t="s">
        <v>307</v>
      </c>
      <c r="O689" s="3">
        <v>237</v>
      </c>
      <c r="P689" s="65">
        <v>0.8435795206186727</v>
      </c>
      <c r="Q689" s="3">
        <v>250</v>
      </c>
      <c r="R689" s="36" t="s">
        <v>620</v>
      </c>
      <c r="S689" s="3"/>
      <c r="T689" s="36"/>
      <c r="U689" s="36"/>
      <c r="V689" s="36"/>
      <c r="W689" s="36"/>
      <c r="X689" s="36"/>
      <c r="Y689" s="36"/>
      <c r="Z689" s="36"/>
    </row>
    <row r="690" spans="1:26" ht="14">
      <c r="A690" s="35">
        <v>41761</v>
      </c>
      <c r="B690" s="72" t="s">
        <v>144</v>
      </c>
      <c r="C690" s="165">
        <v>2014</v>
      </c>
      <c r="D690" s="53">
        <v>2</v>
      </c>
      <c r="E690" s="51" t="s">
        <v>223</v>
      </c>
      <c r="F690" s="51" t="s">
        <v>303</v>
      </c>
      <c r="G690" s="51" t="s">
        <v>304</v>
      </c>
      <c r="H690" s="51" t="s">
        <v>305</v>
      </c>
      <c r="I690" s="51" t="s">
        <v>306</v>
      </c>
      <c r="J690" s="3" t="s">
        <v>307</v>
      </c>
      <c r="K690" s="38"/>
      <c r="L690" s="76">
        <v>1</v>
      </c>
      <c r="M690" s="76" t="s">
        <v>229</v>
      </c>
      <c r="N690" s="76" t="s">
        <v>307</v>
      </c>
      <c r="O690" s="36">
        <v>29</v>
      </c>
      <c r="P690" s="36">
        <v>3.4266060403794367</v>
      </c>
      <c r="Q690" s="65">
        <v>250</v>
      </c>
      <c r="R690" s="65"/>
      <c r="S690" s="65"/>
      <c r="T690" s="65"/>
      <c r="U690" s="36"/>
      <c r="V690" s="36"/>
      <c r="W690" s="36"/>
      <c r="X690" s="36"/>
      <c r="Y690" s="36"/>
      <c r="Z690" s="36"/>
    </row>
    <row r="691" spans="1:26" ht="14">
      <c r="A691" s="13">
        <v>41761</v>
      </c>
      <c r="B691" s="72" t="s">
        <v>144</v>
      </c>
      <c r="C691" s="165">
        <v>2014</v>
      </c>
      <c r="D691" s="53">
        <v>4</v>
      </c>
      <c r="E691" s="3" t="s">
        <v>223</v>
      </c>
      <c r="F691" s="3" t="s">
        <v>303</v>
      </c>
      <c r="G691" s="3" t="s">
        <v>304</v>
      </c>
      <c r="H691" s="3" t="s">
        <v>305</v>
      </c>
      <c r="I691" s="3" t="s">
        <v>306</v>
      </c>
      <c r="J691" s="3" t="s">
        <v>307</v>
      </c>
      <c r="K691" s="3"/>
      <c r="L691" s="3">
        <v>14</v>
      </c>
      <c r="M691" s="3" t="s">
        <v>229</v>
      </c>
      <c r="N691" s="3" t="s">
        <v>307</v>
      </c>
      <c r="O691" s="3">
        <v>256</v>
      </c>
      <c r="P691" s="36">
        <v>5.3380862212775178</v>
      </c>
      <c r="Q691" s="3">
        <v>250</v>
      </c>
      <c r="R691" s="36" t="s">
        <v>308</v>
      </c>
      <c r="S691" s="3"/>
      <c r="T691" s="36"/>
      <c r="U691" s="36"/>
      <c r="V691" s="36"/>
      <c r="W691" s="36"/>
      <c r="X691" s="36"/>
      <c r="Y691" s="36"/>
      <c r="Z691" s="36"/>
    </row>
    <row r="692" spans="1:26" ht="14">
      <c r="A692" s="71">
        <v>41761</v>
      </c>
      <c r="B692" s="72" t="s">
        <v>144</v>
      </c>
      <c r="C692" s="165">
        <v>2014</v>
      </c>
      <c r="D692" s="53">
        <v>4</v>
      </c>
      <c r="E692" s="65" t="s">
        <v>223</v>
      </c>
      <c r="F692" s="65" t="s">
        <v>303</v>
      </c>
      <c r="G692" s="65" t="s">
        <v>304</v>
      </c>
      <c r="H692" s="65" t="s">
        <v>305</v>
      </c>
      <c r="I692" s="65" t="s">
        <v>306</v>
      </c>
      <c r="J692" s="36" t="s">
        <v>307</v>
      </c>
      <c r="K692" s="36"/>
      <c r="L692" s="36">
        <v>2</v>
      </c>
      <c r="M692" s="3" t="s">
        <v>229</v>
      </c>
      <c r="N692" s="3" t="s">
        <v>307</v>
      </c>
      <c r="O692" s="3">
        <v>256</v>
      </c>
      <c r="P692" s="36">
        <v>0.76258374589678823</v>
      </c>
      <c r="Q692" s="36">
        <v>250</v>
      </c>
      <c r="R692" s="36" t="s">
        <v>620</v>
      </c>
      <c r="S692" s="3"/>
      <c r="T692" s="36"/>
      <c r="U692" s="36"/>
      <c r="V692" s="36"/>
      <c r="W692" s="36"/>
      <c r="X692" s="36"/>
      <c r="Y692" s="36"/>
      <c r="Z692" s="36"/>
    </row>
    <row r="693" spans="1:26" ht="14">
      <c r="A693" s="13">
        <v>41761</v>
      </c>
      <c r="B693" s="72" t="s">
        <v>144</v>
      </c>
      <c r="C693" s="165">
        <v>2014</v>
      </c>
      <c r="D693" s="53">
        <v>5</v>
      </c>
      <c r="E693" s="3" t="s">
        <v>223</v>
      </c>
      <c r="F693" s="3" t="s">
        <v>303</v>
      </c>
      <c r="G693" s="3" t="s">
        <v>304</v>
      </c>
      <c r="H693" s="3" t="s">
        <v>305</v>
      </c>
      <c r="I693" s="3" t="s">
        <v>306</v>
      </c>
      <c r="J693" s="3" t="s">
        <v>307</v>
      </c>
      <c r="K693" s="3"/>
      <c r="L693" s="3">
        <v>15</v>
      </c>
      <c r="M693" s="3" t="s">
        <v>229</v>
      </c>
      <c r="N693" s="3" t="s">
        <v>307</v>
      </c>
      <c r="O693" s="3">
        <v>300</v>
      </c>
      <c r="P693" s="65">
        <v>4.9895890721505065</v>
      </c>
      <c r="Q693" s="36">
        <v>250</v>
      </c>
      <c r="R693" s="36" t="s">
        <v>308</v>
      </c>
      <c r="S693" s="3"/>
      <c r="T693" s="36"/>
      <c r="U693" s="36"/>
      <c r="V693" s="36"/>
      <c r="W693" s="36"/>
      <c r="X693" s="36"/>
      <c r="Y693" s="36"/>
      <c r="Z693" s="36"/>
    </row>
    <row r="694" spans="1:26" ht="14">
      <c r="A694" s="13">
        <v>41761</v>
      </c>
      <c r="B694" s="72" t="s">
        <v>144</v>
      </c>
      <c r="C694" s="165">
        <v>2014</v>
      </c>
      <c r="D694" s="53">
        <v>5</v>
      </c>
      <c r="E694" s="3" t="s">
        <v>223</v>
      </c>
      <c r="F694" s="3" t="s">
        <v>303</v>
      </c>
      <c r="G694" s="3" t="s">
        <v>304</v>
      </c>
      <c r="H694" s="3" t="s">
        <v>305</v>
      </c>
      <c r="I694" s="3" t="s">
        <v>306</v>
      </c>
      <c r="J694" s="3" t="s">
        <v>307</v>
      </c>
      <c r="K694" s="3"/>
      <c r="L694" s="3">
        <v>2</v>
      </c>
      <c r="M694" s="3" t="s">
        <v>229</v>
      </c>
      <c r="N694" s="3" t="s">
        <v>307</v>
      </c>
      <c r="O694" s="3">
        <v>300</v>
      </c>
      <c r="P694" s="65">
        <v>0.66527854295340072</v>
      </c>
      <c r="Q694" s="3">
        <v>250</v>
      </c>
      <c r="R694" s="36" t="s">
        <v>620</v>
      </c>
      <c r="S694" s="3"/>
      <c r="T694" s="36"/>
      <c r="U694" s="36"/>
      <c r="V694" s="36"/>
      <c r="W694" s="36"/>
      <c r="X694" s="36"/>
      <c r="Y694" s="36"/>
      <c r="Z694" s="36"/>
    </row>
    <row r="695" spans="1:26" ht="14">
      <c r="A695" s="13">
        <v>41761</v>
      </c>
      <c r="B695" s="72" t="s">
        <v>144</v>
      </c>
      <c r="C695" s="165">
        <v>2014</v>
      </c>
      <c r="D695" s="53">
        <v>8</v>
      </c>
      <c r="E695" s="51" t="s">
        <v>223</v>
      </c>
      <c r="F695" s="51" t="s">
        <v>303</v>
      </c>
      <c r="G695" s="51" t="s">
        <v>304</v>
      </c>
      <c r="H695" s="51" t="s">
        <v>305</v>
      </c>
      <c r="I695" s="51" t="s">
        <v>306</v>
      </c>
      <c r="J695" s="3" t="s">
        <v>307</v>
      </c>
      <c r="K695" s="3"/>
      <c r="L695" s="3">
        <v>11</v>
      </c>
      <c r="M695" s="3" t="s">
        <v>229</v>
      </c>
      <c r="N695" s="3" t="s">
        <v>307</v>
      </c>
      <c r="O695" s="3">
        <v>129</v>
      </c>
      <c r="P695" s="36">
        <v>8.5048499939068005</v>
      </c>
      <c r="Q695" s="51">
        <v>250</v>
      </c>
      <c r="R695" s="65" t="s">
        <v>308</v>
      </c>
      <c r="S695" s="51"/>
      <c r="T695" s="65"/>
      <c r="U695" s="36"/>
      <c r="V695" s="36"/>
      <c r="W695" s="36"/>
      <c r="X695" s="36"/>
      <c r="Y695" s="36"/>
      <c r="Z695" s="36"/>
    </row>
    <row r="696" spans="1:26" ht="14">
      <c r="A696" s="13">
        <v>41761</v>
      </c>
      <c r="B696" s="72" t="s">
        <v>144</v>
      </c>
      <c r="C696" s="165">
        <v>2014</v>
      </c>
      <c r="D696" s="53">
        <v>8</v>
      </c>
      <c r="E696" s="3" t="s">
        <v>223</v>
      </c>
      <c r="F696" s="3" t="s">
        <v>303</v>
      </c>
      <c r="G696" s="3" t="s">
        <v>304</v>
      </c>
      <c r="H696" s="3" t="s">
        <v>305</v>
      </c>
      <c r="I696" s="3" t="s">
        <v>306</v>
      </c>
      <c r="J696" s="3" t="s">
        <v>307</v>
      </c>
      <c r="K696" s="3"/>
      <c r="L696" s="3">
        <v>6</v>
      </c>
      <c r="M696" s="3" t="s">
        <v>229</v>
      </c>
      <c r="N696" s="3" t="s">
        <v>307</v>
      </c>
      <c r="O696" s="3">
        <v>129</v>
      </c>
      <c r="P696" s="36">
        <v>4.6390090875855279</v>
      </c>
      <c r="Q696" s="65">
        <v>250</v>
      </c>
      <c r="R696" s="65" t="s">
        <v>620</v>
      </c>
      <c r="S696" s="51"/>
      <c r="T696" s="65"/>
      <c r="U696" s="36"/>
      <c r="V696" s="36"/>
      <c r="W696" s="36"/>
      <c r="X696" s="36"/>
      <c r="Y696" s="36"/>
      <c r="Z696" s="36"/>
    </row>
    <row r="697" spans="1:26" ht="14">
      <c r="A697" s="71">
        <v>41542</v>
      </c>
      <c r="B697" s="72" t="s">
        <v>157</v>
      </c>
      <c r="C697" s="165">
        <v>2013</v>
      </c>
      <c r="D697" s="34">
        <v>2</v>
      </c>
      <c r="E697" s="51" t="s">
        <v>223</v>
      </c>
      <c r="F697" s="3" t="s">
        <v>303</v>
      </c>
      <c r="G697" s="3" t="s">
        <v>304</v>
      </c>
      <c r="H697" s="51" t="s">
        <v>305</v>
      </c>
      <c r="I697" s="51" t="s">
        <v>306</v>
      </c>
      <c r="J697" s="51" t="s">
        <v>307</v>
      </c>
      <c r="K697" s="51"/>
      <c r="L697" s="51">
        <v>1</v>
      </c>
      <c r="M697" s="51" t="s">
        <v>229</v>
      </c>
      <c r="N697" s="51" t="s">
        <v>307</v>
      </c>
      <c r="O697" s="3">
        <v>110</v>
      </c>
      <c r="P697" s="36">
        <v>0.90090212217539389</v>
      </c>
      <c r="Q697" s="3">
        <v>250</v>
      </c>
      <c r="R697" s="3"/>
      <c r="S697" s="3"/>
      <c r="T697" s="36"/>
      <c r="U697" s="36"/>
      <c r="V697" s="36"/>
      <c r="W697" s="36"/>
      <c r="X697" s="36"/>
      <c r="Y697" s="36"/>
      <c r="Z697" s="36"/>
    </row>
    <row r="698" spans="1:26" ht="14">
      <c r="A698" s="13">
        <v>41542</v>
      </c>
      <c r="B698" s="72" t="s">
        <v>157</v>
      </c>
      <c r="C698" s="165">
        <v>2013</v>
      </c>
      <c r="D698" s="34">
        <v>4</v>
      </c>
      <c r="E698" s="3" t="s">
        <v>223</v>
      </c>
      <c r="F698" s="3" t="s">
        <v>224</v>
      </c>
      <c r="G698" s="3" t="s">
        <v>304</v>
      </c>
      <c r="H698" s="3" t="s">
        <v>329</v>
      </c>
      <c r="I698" s="3" t="s">
        <v>330</v>
      </c>
      <c r="J698" s="3" t="s">
        <v>307</v>
      </c>
      <c r="K698" s="3"/>
      <c r="L698" s="3">
        <v>10</v>
      </c>
      <c r="M698" s="3" t="s">
        <v>229</v>
      </c>
      <c r="N698" s="3" t="s">
        <v>307</v>
      </c>
      <c r="O698" s="3">
        <v>159</v>
      </c>
      <c r="P698" s="36">
        <v>6.2206233822921178</v>
      </c>
      <c r="Q698" s="3">
        <v>250</v>
      </c>
      <c r="R698" s="36" t="s">
        <v>308</v>
      </c>
      <c r="S698" s="3"/>
      <c r="T698" s="36"/>
      <c r="U698" s="36"/>
      <c r="V698" s="36"/>
      <c r="W698" s="36"/>
      <c r="X698" s="36"/>
      <c r="Y698" s="36"/>
      <c r="Z698" s="36"/>
    </row>
    <row r="699" spans="1:26" ht="14">
      <c r="A699" s="71">
        <v>41542</v>
      </c>
      <c r="B699" s="72" t="s">
        <v>157</v>
      </c>
      <c r="C699" s="165">
        <v>2013</v>
      </c>
      <c r="D699" s="34">
        <v>5</v>
      </c>
      <c r="E699" s="3" t="s">
        <v>223</v>
      </c>
      <c r="F699" s="3" t="s">
        <v>224</v>
      </c>
      <c r="G699" s="3" t="s">
        <v>304</v>
      </c>
      <c r="H699" s="3" t="s">
        <v>329</v>
      </c>
      <c r="I699" s="3" t="s">
        <v>330</v>
      </c>
      <c r="J699" s="3" t="s">
        <v>307</v>
      </c>
      <c r="K699" s="3"/>
      <c r="L699" s="3">
        <v>3</v>
      </c>
      <c r="M699" s="3" t="s">
        <v>229</v>
      </c>
      <c r="N699" s="3" t="s">
        <v>307</v>
      </c>
      <c r="O699" s="3">
        <v>206</v>
      </c>
      <c r="P699" s="36">
        <v>1.4558415598289798</v>
      </c>
      <c r="Q699" s="3">
        <v>250</v>
      </c>
      <c r="R699" s="3" t="s">
        <v>354</v>
      </c>
      <c r="S699" s="3"/>
      <c r="T699" s="36"/>
      <c r="U699" s="36"/>
      <c r="V699" s="36"/>
      <c r="W699" s="36"/>
      <c r="X699" s="36"/>
      <c r="Y699" s="36"/>
      <c r="Z699" s="36"/>
    </row>
    <row r="700" spans="1:26" ht="14">
      <c r="A700" s="71">
        <v>41542</v>
      </c>
      <c r="B700" s="72" t="s">
        <v>157</v>
      </c>
      <c r="C700" s="165">
        <v>2013</v>
      </c>
      <c r="D700" s="34">
        <v>5</v>
      </c>
      <c r="E700" s="3" t="s">
        <v>223</v>
      </c>
      <c r="F700" s="3" t="s">
        <v>224</v>
      </c>
      <c r="G700" s="3" t="s">
        <v>304</v>
      </c>
      <c r="H700" s="3" t="s">
        <v>329</v>
      </c>
      <c r="I700" s="3" t="s">
        <v>330</v>
      </c>
      <c r="J700" s="3" t="s">
        <v>307</v>
      </c>
      <c r="K700" s="3"/>
      <c r="L700" s="3">
        <v>5</v>
      </c>
      <c r="M700" s="3" t="s">
        <v>229</v>
      </c>
      <c r="N700" s="3" t="s">
        <v>307</v>
      </c>
      <c r="O700" s="3">
        <v>206</v>
      </c>
      <c r="P700" s="36">
        <v>2.4264025997149661</v>
      </c>
      <c r="Q700" s="3">
        <v>250</v>
      </c>
      <c r="R700" s="36" t="s">
        <v>308</v>
      </c>
      <c r="S700" s="3"/>
      <c r="T700" s="36"/>
      <c r="U700" s="36"/>
      <c r="V700" s="36"/>
      <c r="W700" s="36"/>
      <c r="X700" s="36"/>
      <c r="Y700" s="36"/>
      <c r="Z700" s="36"/>
    </row>
    <row r="701" spans="1:26" ht="14">
      <c r="A701" s="13">
        <v>41542</v>
      </c>
      <c r="B701" s="72" t="s">
        <v>157</v>
      </c>
      <c r="C701" s="165">
        <v>2013</v>
      </c>
      <c r="D701" s="34">
        <v>8</v>
      </c>
      <c r="E701" s="51" t="s">
        <v>223</v>
      </c>
      <c r="F701" s="51" t="s">
        <v>224</v>
      </c>
      <c r="G701" s="51" t="s">
        <v>304</v>
      </c>
      <c r="H701" s="51" t="s">
        <v>329</v>
      </c>
      <c r="I701" s="51" t="s">
        <v>330</v>
      </c>
      <c r="J701" s="51" t="s">
        <v>307</v>
      </c>
      <c r="K701" s="3"/>
      <c r="L701" s="3">
        <v>13</v>
      </c>
      <c r="M701" s="3" t="s">
        <v>229</v>
      </c>
      <c r="N701" s="3" t="s">
        <v>307</v>
      </c>
      <c r="O701" s="3">
        <v>183</v>
      </c>
      <c r="P701" s="36">
        <v>7.1036094753711616</v>
      </c>
      <c r="Q701" s="3">
        <v>250</v>
      </c>
      <c r="R701" s="36" t="s">
        <v>308</v>
      </c>
      <c r="S701" s="3"/>
      <c r="T701" s="36"/>
      <c r="U701" s="36"/>
      <c r="V701" s="36"/>
      <c r="W701" s="36"/>
      <c r="X701" s="36"/>
      <c r="Y701" s="36"/>
      <c r="Z701" s="36"/>
    </row>
    <row r="702" spans="1:26" ht="14">
      <c r="A702" s="72">
        <v>41480</v>
      </c>
      <c r="B702" s="72" t="s">
        <v>154</v>
      </c>
      <c r="C702" s="165">
        <v>2013</v>
      </c>
      <c r="D702" s="53">
        <v>2</v>
      </c>
      <c r="E702" s="65" t="s">
        <v>223</v>
      </c>
      <c r="F702" s="65" t="s">
        <v>224</v>
      </c>
      <c r="G702" s="65" t="s">
        <v>304</v>
      </c>
      <c r="H702" s="65" t="s">
        <v>329</v>
      </c>
      <c r="I702" s="65" t="s">
        <v>330</v>
      </c>
      <c r="J702" s="36" t="s">
        <v>307</v>
      </c>
      <c r="K702" s="36"/>
      <c r="L702" s="36">
        <v>2</v>
      </c>
      <c r="M702" s="36" t="s">
        <v>229</v>
      </c>
      <c r="N702" s="36" t="s">
        <v>307</v>
      </c>
      <c r="O702" s="36">
        <v>125</v>
      </c>
      <c r="P702" s="36">
        <v>1.5979812968543678</v>
      </c>
      <c r="Q702" s="36">
        <v>250</v>
      </c>
      <c r="R702" s="36" t="s">
        <v>308</v>
      </c>
      <c r="S702" s="36"/>
      <c r="T702" s="36"/>
      <c r="U702" s="36"/>
      <c r="V702" s="36"/>
      <c r="W702" s="36"/>
      <c r="X702" s="36"/>
      <c r="Y702" s="36"/>
      <c r="Z702" s="36"/>
    </row>
    <row r="703" spans="1:26" ht="14">
      <c r="A703" s="13">
        <v>41480</v>
      </c>
      <c r="B703" s="72" t="s">
        <v>154</v>
      </c>
      <c r="C703" s="165">
        <v>2013</v>
      </c>
      <c r="D703" s="34">
        <v>4</v>
      </c>
      <c r="E703" s="3" t="s">
        <v>223</v>
      </c>
      <c r="F703" s="3" t="s">
        <v>224</v>
      </c>
      <c r="G703" s="3" t="s">
        <v>304</v>
      </c>
      <c r="H703" s="3" t="s">
        <v>329</v>
      </c>
      <c r="I703" s="3" t="s">
        <v>330</v>
      </c>
      <c r="J703" s="3" t="s">
        <v>307</v>
      </c>
      <c r="K703" s="3"/>
      <c r="L703" s="3">
        <v>1</v>
      </c>
      <c r="M703" s="3" t="s">
        <v>229</v>
      </c>
      <c r="N703" s="3" t="s">
        <v>307</v>
      </c>
      <c r="O703" s="3">
        <v>124</v>
      </c>
      <c r="P703" s="65">
        <v>0.80423522173133577</v>
      </c>
      <c r="Q703" s="3">
        <v>250</v>
      </c>
      <c r="R703" s="3"/>
      <c r="S703" s="3"/>
      <c r="T703" s="36"/>
      <c r="U703" s="36"/>
      <c r="V703" s="36"/>
      <c r="W703" s="36"/>
      <c r="X703" s="36"/>
      <c r="Y703" s="36"/>
      <c r="Z703" s="36"/>
    </row>
    <row r="704" spans="1:26" ht="14">
      <c r="A704" s="13">
        <v>41480</v>
      </c>
      <c r="B704" s="72" t="s">
        <v>154</v>
      </c>
      <c r="C704" s="165">
        <v>2013</v>
      </c>
      <c r="D704" s="34">
        <v>4</v>
      </c>
      <c r="E704" s="3" t="s">
        <v>223</v>
      </c>
      <c r="F704" s="3" t="s">
        <v>224</v>
      </c>
      <c r="G704" s="3" t="s">
        <v>304</v>
      </c>
      <c r="H704" s="3" t="s">
        <v>329</v>
      </c>
      <c r="I704" s="3" t="s">
        <v>330</v>
      </c>
      <c r="J704" s="3" t="s">
        <v>307</v>
      </c>
      <c r="K704" s="3"/>
      <c r="L704" s="3">
        <v>2</v>
      </c>
      <c r="M704" s="3" t="s">
        <v>229</v>
      </c>
      <c r="N704" s="3" t="s">
        <v>307</v>
      </c>
      <c r="O704" s="3">
        <v>124</v>
      </c>
      <c r="P704" s="65">
        <v>1.6084704434626715</v>
      </c>
      <c r="Q704" s="3">
        <v>250</v>
      </c>
      <c r="R704" s="36" t="s">
        <v>308</v>
      </c>
      <c r="S704" s="3"/>
      <c r="T704" s="36"/>
      <c r="U704" s="36"/>
      <c r="V704" s="36"/>
      <c r="W704" s="36"/>
      <c r="X704" s="36"/>
      <c r="Y704" s="36"/>
      <c r="Z704" s="36"/>
    </row>
    <row r="705" spans="1:26" ht="14">
      <c r="A705" s="13">
        <v>41480</v>
      </c>
      <c r="B705" s="72" t="s">
        <v>154</v>
      </c>
      <c r="C705" s="165">
        <v>2013</v>
      </c>
      <c r="D705" s="34">
        <v>5</v>
      </c>
      <c r="E705" s="3" t="s">
        <v>223</v>
      </c>
      <c r="F705" s="3" t="s">
        <v>303</v>
      </c>
      <c r="G705" s="3" t="s">
        <v>304</v>
      </c>
      <c r="H705" s="3" t="s">
        <v>305</v>
      </c>
      <c r="I705" s="3" t="s">
        <v>306</v>
      </c>
      <c r="J705" s="3" t="s">
        <v>307</v>
      </c>
      <c r="K705" s="3"/>
      <c r="L705" s="3">
        <v>5</v>
      </c>
      <c r="M705" s="3" t="s">
        <v>229</v>
      </c>
      <c r="N705" s="3" t="s">
        <v>307</v>
      </c>
      <c r="O705" s="3">
        <v>155</v>
      </c>
      <c r="P705" s="36">
        <v>3.2253516049907325</v>
      </c>
      <c r="Q705" s="3">
        <v>250</v>
      </c>
      <c r="R705" s="36" t="s">
        <v>308</v>
      </c>
      <c r="S705" s="3"/>
      <c r="T705" s="36"/>
      <c r="U705" s="36"/>
      <c r="V705" s="36"/>
      <c r="W705" s="36"/>
      <c r="X705" s="36"/>
      <c r="Y705" s="36"/>
      <c r="Z705" s="36"/>
    </row>
    <row r="706" spans="1:26" ht="14">
      <c r="A706" s="13">
        <v>41480</v>
      </c>
      <c r="B706" s="72" t="s">
        <v>154</v>
      </c>
      <c r="C706" s="165">
        <v>2013</v>
      </c>
      <c r="D706" s="34">
        <v>8</v>
      </c>
      <c r="E706" s="3" t="s">
        <v>223</v>
      </c>
      <c r="F706" s="3" t="s">
        <v>303</v>
      </c>
      <c r="G706" s="3" t="s">
        <v>304</v>
      </c>
      <c r="H706" s="3" t="s">
        <v>305</v>
      </c>
      <c r="I706" s="3" t="s">
        <v>306</v>
      </c>
      <c r="J706" s="3" t="s">
        <v>307</v>
      </c>
      <c r="K706" s="3"/>
      <c r="L706" s="3">
        <v>2</v>
      </c>
      <c r="M706" s="3" t="s">
        <v>229</v>
      </c>
      <c r="N706" s="3" t="s">
        <v>307</v>
      </c>
      <c r="O706" s="3">
        <v>251</v>
      </c>
      <c r="P706" s="65">
        <v>0.79677730805595204</v>
      </c>
      <c r="Q706" s="3">
        <v>250</v>
      </c>
      <c r="R706" s="3" t="s">
        <v>222</v>
      </c>
      <c r="S706" s="3"/>
      <c r="T706" s="36"/>
      <c r="U706" s="36"/>
      <c r="V706" s="36"/>
      <c r="W706" s="36"/>
      <c r="X706" s="36"/>
      <c r="Y706" s="36"/>
      <c r="Z706" s="36"/>
    </row>
    <row r="707" spans="1:26" ht="14">
      <c r="A707" s="13">
        <v>41480</v>
      </c>
      <c r="B707" s="72" t="s">
        <v>154</v>
      </c>
      <c r="C707" s="165">
        <v>2013</v>
      </c>
      <c r="D707" s="34">
        <v>8</v>
      </c>
      <c r="E707" s="51" t="s">
        <v>223</v>
      </c>
      <c r="F707" s="51" t="s">
        <v>303</v>
      </c>
      <c r="G707" s="51" t="s">
        <v>304</v>
      </c>
      <c r="H707" s="51" t="s">
        <v>305</v>
      </c>
      <c r="I707" s="51" t="s">
        <v>306</v>
      </c>
      <c r="J707" s="3" t="s">
        <v>307</v>
      </c>
      <c r="K707" s="3"/>
      <c r="L707" s="3">
        <v>21</v>
      </c>
      <c r="M707" s="3" t="s">
        <v>229</v>
      </c>
      <c r="N707" s="3" t="s">
        <v>307</v>
      </c>
      <c r="O707" s="3">
        <v>251</v>
      </c>
      <c r="P707" s="65">
        <v>8.3661617345874966</v>
      </c>
      <c r="Q707" s="3">
        <v>250</v>
      </c>
      <c r="R707" s="36" t="s">
        <v>308</v>
      </c>
      <c r="S707" s="3"/>
      <c r="T707" s="36"/>
      <c r="U707" s="36"/>
      <c r="V707" s="36"/>
      <c r="W707" s="36"/>
      <c r="X707" s="36"/>
      <c r="Y707" s="36"/>
      <c r="Z707" s="36"/>
    </row>
    <row r="708" spans="1:26" ht="14">
      <c r="A708" s="35">
        <v>41422</v>
      </c>
      <c r="B708" s="72" t="s">
        <v>144</v>
      </c>
      <c r="C708" s="165">
        <v>2013</v>
      </c>
      <c r="D708" s="53">
        <v>2</v>
      </c>
      <c r="E708" s="65" t="s">
        <v>223</v>
      </c>
      <c r="F708" s="65" t="s">
        <v>303</v>
      </c>
      <c r="G708" s="65" t="s">
        <v>304</v>
      </c>
      <c r="H708" s="65" t="s">
        <v>305</v>
      </c>
      <c r="I708" s="65" t="s">
        <v>306</v>
      </c>
      <c r="J708" s="36" t="s">
        <v>307</v>
      </c>
      <c r="K708" s="36"/>
      <c r="L708" s="36">
        <v>3</v>
      </c>
      <c r="M708" s="36" t="s">
        <v>229</v>
      </c>
      <c r="N708" s="36" t="s">
        <v>307</v>
      </c>
      <c r="O708" s="36">
        <v>40</v>
      </c>
      <c r="P708" s="36">
        <v>7.4964597687799808</v>
      </c>
      <c r="Q708" s="36">
        <v>250</v>
      </c>
      <c r="R708" s="36" t="s">
        <v>308</v>
      </c>
      <c r="S708" s="36"/>
      <c r="T708" s="36"/>
      <c r="U708" s="36"/>
      <c r="V708" s="36"/>
      <c r="W708" s="36"/>
      <c r="X708" s="36"/>
      <c r="Y708" s="36"/>
      <c r="Z708" s="36"/>
    </row>
    <row r="709" spans="1:26" ht="14">
      <c r="A709" s="71">
        <v>41422</v>
      </c>
      <c r="B709" s="72" t="s">
        <v>144</v>
      </c>
      <c r="C709" s="165">
        <v>2013</v>
      </c>
      <c r="D709" s="34">
        <v>4</v>
      </c>
      <c r="E709" s="51" t="s">
        <v>223</v>
      </c>
      <c r="F709" s="51" t="s">
        <v>303</v>
      </c>
      <c r="G709" s="51" t="s">
        <v>304</v>
      </c>
      <c r="H709" s="51" t="s">
        <v>305</v>
      </c>
      <c r="I709" s="51" t="s">
        <v>306</v>
      </c>
      <c r="J709" s="51" t="s">
        <v>307</v>
      </c>
      <c r="K709" s="51"/>
      <c r="L709" s="51">
        <v>4</v>
      </c>
      <c r="M709" s="51" t="s">
        <v>229</v>
      </c>
      <c r="N709" s="51" t="s">
        <v>307</v>
      </c>
      <c r="O709" s="3">
        <v>106</v>
      </c>
      <c r="P709" s="65">
        <v>3.7680184894974786</v>
      </c>
      <c r="Q709" s="3">
        <v>250</v>
      </c>
      <c r="R709" s="36" t="s">
        <v>308</v>
      </c>
      <c r="S709" s="3"/>
      <c r="T709" s="36"/>
      <c r="U709" s="36"/>
      <c r="V709" s="36"/>
      <c r="W709" s="36"/>
      <c r="X709" s="36"/>
      <c r="Y709" s="36"/>
      <c r="Z709" s="36"/>
    </row>
    <row r="710" spans="1:26" ht="14">
      <c r="A710" s="13">
        <v>41422</v>
      </c>
      <c r="B710" s="72" t="s">
        <v>144</v>
      </c>
      <c r="C710" s="165">
        <v>2013</v>
      </c>
      <c r="D710" s="34">
        <v>5</v>
      </c>
      <c r="E710" s="34" t="s">
        <v>223</v>
      </c>
      <c r="F710" s="34" t="s">
        <v>303</v>
      </c>
      <c r="G710" s="34" t="s">
        <v>304</v>
      </c>
      <c r="H710" s="34" t="s">
        <v>305</v>
      </c>
      <c r="I710" s="34" t="s">
        <v>306</v>
      </c>
      <c r="J710" s="3" t="s">
        <v>307</v>
      </c>
      <c r="K710" s="3"/>
      <c r="L710" s="3">
        <v>12</v>
      </c>
      <c r="M710" s="3" t="s">
        <v>229</v>
      </c>
      <c r="N710" s="3" t="s">
        <v>307</v>
      </c>
      <c r="O710" s="3">
        <v>120</v>
      </c>
      <c r="P710" s="36">
        <v>10.000000000000002</v>
      </c>
      <c r="Q710" s="3">
        <v>250</v>
      </c>
      <c r="R710" s="36" t="s">
        <v>308</v>
      </c>
      <c r="S710" s="3"/>
      <c r="T710" s="36"/>
      <c r="U710" s="36"/>
      <c r="V710" s="36"/>
      <c r="W710" s="36"/>
      <c r="X710" s="36"/>
      <c r="Y710" s="36"/>
      <c r="Z710" s="36"/>
    </row>
    <row r="711" spans="1:26" ht="14">
      <c r="A711" s="13">
        <v>41422</v>
      </c>
      <c r="B711" s="35" t="s">
        <v>144</v>
      </c>
      <c r="C711" s="165">
        <v>2013</v>
      </c>
      <c r="D711" s="34">
        <v>5</v>
      </c>
      <c r="E711" s="3" t="s">
        <v>223</v>
      </c>
      <c r="F711" s="3" t="s">
        <v>303</v>
      </c>
      <c r="G711" s="3" t="s">
        <v>304</v>
      </c>
      <c r="H711" s="3" t="s">
        <v>305</v>
      </c>
      <c r="I711" s="3" t="s">
        <v>306</v>
      </c>
      <c r="J711" s="3" t="s">
        <v>307</v>
      </c>
      <c r="K711" s="3"/>
      <c r="L711" s="3">
        <v>5</v>
      </c>
      <c r="M711" s="3" t="s">
        <v>229</v>
      </c>
      <c r="N711" s="3" t="s">
        <v>307</v>
      </c>
      <c r="O711" s="3">
        <v>120</v>
      </c>
      <c r="P711" s="36">
        <v>4.1666666666666661</v>
      </c>
      <c r="Q711" s="3">
        <v>250</v>
      </c>
      <c r="R711" s="36" t="s">
        <v>620</v>
      </c>
      <c r="S711" s="3"/>
      <c r="T711" s="36"/>
      <c r="U711" s="36"/>
      <c r="V711" s="36"/>
      <c r="W711" s="36"/>
      <c r="X711" s="36"/>
      <c r="Y711" s="36"/>
      <c r="Z711" s="36"/>
    </row>
    <row r="712" spans="1:26" ht="14">
      <c r="A712" s="13">
        <v>41422</v>
      </c>
      <c r="B712" s="72" t="s">
        <v>144</v>
      </c>
      <c r="C712" s="165">
        <v>2013</v>
      </c>
      <c r="D712" s="34">
        <v>8</v>
      </c>
      <c r="E712" s="3" t="s">
        <v>223</v>
      </c>
      <c r="F712" s="3" t="s">
        <v>303</v>
      </c>
      <c r="G712" s="3" t="s">
        <v>304</v>
      </c>
      <c r="H712" s="3" t="s">
        <v>305</v>
      </c>
      <c r="I712" s="3" t="s">
        <v>306</v>
      </c>
      <c r="J712" s="3" t="s">
        <v>307</v>
      </c>
      <c r="K712" s="3"/>
      <c r="L712" s="3">
        <v>4</v>
      </c>
      <c r="M712" s="3" t="s">
        <v>229</v>
      </c>
      <c r="N712" s="3" t="s">
        <v>307</v>
      </c>
      <c r="O712" s="3">
        <v>89</v>
      </c>
      <c r="P712" s="36">
        <v>4.4932393943246405</v>
      </c>
      <c r="Q712" s="3">
        <v>250</v>
      </c>
      <c r="R712" s="36" t="s">
        <v>308</v>
      </c>
      <c r="S712" s="3"/>
      <c r="T712" s="36"/>
      <c r="U712" s="36"/>
      <c r="V712" s="36"/>
      <c r="W712" s="36"/>
      <c r="X712" s="36"/>
      <c r="Y712" s="36"/>
      <c r="Z712" s="36"/>
    </row>
    <row r="713" spans="1:26" ht="14">
      <c r="A713" s="13">
        <v>41422</v>
      </c>
      <c r="B713" s="35" t="s">
        <v>144</v>
      </c>
      <c r="C713" s="165">
        <v>2013</v>
      </c>
      <c r="D713" s="34">
        <v>8</v>
      </c>
      <c r="E713" s="3" t="s">
        <v>223</v>
      </c>
      <c r="F713" s="3" t="s">
        <v>303</v>
      </c>
      <c r="G713" s="3" t="s">
        <v>304</v>
      </c>
      <c r="H713" s="3" t="s">
        <v>305</v>
      </c>
      <c r="I713" s="3" t="s">
        <v>306</v>
      </c>
      <c r="J713" s="3" t="s">
        <v>307</v>
      </c>
      <c r="K713" s="3"/>
      <c r="L713" s="3">
        <v>2</v>
      </c>
      <c r="M713" s="3" t="s">
        <v>229</v>
      </c>
      <c r="N713" s="3" t="s">
        <v>307</v>
      </c>
      <c r="O713" s="3">
        <v>89</v>
      </c>
      <c r="P713" s="36">
        <v>2.2466196971623202</v>
      </c>
      <c r="Q713" s="3">
        <v>250</v>
      </c>
      <c r="R713" s="36" t="s">
        <v>620</v>
      </c>
      <c r="S713" s="3"/>
      <c r="T713" s="36"/>
      <c r="U713" s="36"/>
      <c r="V713" s="36"/>
      <c r="W713" s="36"/>
      <c r="X713" s="36"/>
      <c r="Y713" s="36"/>
      <c r="Z713" s="36"/>
    </row>
    <row r="714" spans="1:26" ht="14">
      <c r="A714" s="13">
        <v>43019</v>
      </c>
      <c r="B714" s="72" t="s">
        <v>159</v>
      </c>
      <c r="C714" s="165">
        <v>2017</v>
      </c>
      <c r="D714" s="53">
        <v>5</v>
      </c>
      <c r="E714" s="65" t="s">
        <v>209</v>
      </c>
      <c r="F714" s="65" t="s">
        <v>210</v>
      </c>
      <c r="G714" s="65"/>
      <c r="H714" s="65" t="s">
        <v>211</v>
      </c>
      <c r="I714" s="65" t="s">
        <v>212</v>
      </c>
      <c r="J714" s="36" t="s">
        <v>213</v>
      </c>
      <c r="K714" s="36" t="s">
        <v>214</v>
      </c>
      <c r="L714" s="36">
        <v>1</v>
      </c>
      <c r="M714" s="36" t="s">
        <v>247</v>
      </c>
      <c r="N714" s="36" t="s">
        <v>215</v>
      </c>
      <c r="O714" s="3">
        <v>3</v>
      </c>
      <c r="P714" s="36">
        <v>7.390795038988502E-3</v>
      </c>
      <c r="Q714" s="36">
        <v>1000</v>
      </c>
      <c r="R714" s="3"/>
      <c r="S714" s="3"/>
      <c r="T714" s="36"/>
      <c r="U714" s="36"/>
      <c r="V714" s="36"/>
      <c r="W714" s="36"/>
      <c r="X714" s="36"/>
      <c r="Y714" s="36"/>
      <c r="Z714" s="36"/>
    </row>
    <row r="715" spans="1:26" ht="14">
      <c r="A715" s="13">
        <v>42928</v>
      </c>
      <c r="B715" s="72" t="s">
        <v>154</v>
      </c>
      <c r="C715" s="165">
        <v>2017</v>
      </c>
      <c r="D715" s="53">
        <v>5</v>
      </c>
      <c r="E715" s="65" t="s">
        <v>209</v>
      </c>
      <c r="F715" s="65" t="s">
        <v>210</v>
      </c>
      <c r="G715" s="65"/>
      <c r="H715" s="65" t="s">
        <v>211</v>
      </c>
      <c r="I715" s="65" t="s">
        <v>212</v>
      </c>
      <c r="J715" s="36" t="s">
        <v>213</v>
      </c>
      <c r="K715" s="36" t="s">
        <v>214</v>
      </c>
      <c r="L715" s="36">
        <v>3</v>
      </c>
      <c r="M715" s="36" t="s">
        <v>247</v>
      </c>
      <c r="N715" s="36" t="s">
        <v>215</v>
      </c>
      <c r="O715" s="3">
        <v>6</v>
      </c>
      <c r="P715" s="36">
        <v>2.1910961365340861E-2</v>
      </c>
      <c r="Q715" s="36">
        <v>1000</v>
      </c>
      <c r="R715" s="3"/>
      <c r="S715" s="3"/>
      <c r="T715" s="36"/>
      <c r="U715" s="36"/>
      <c r="V715" s="36"/>
      <c r="W715" s="36"/>
      <c r="X715" s="36"/>
      <c r="Y715" s="36"/>
      <c r="Z715" s="36"/>
    </row>
    <row r="716" spans="1:26" ht="14">
      <c r="A716" s="13">
        <v>42867</v>
      </c>
      <c r="B716" s="72" t="s">
        <v>144</v>
      </c>
      <c r="C716" s="165">
        <v>2017</v>
      </c>
      <c r="D716" s="53">
        <v>5</v>
      </c>
      <c r="E716" s="65" t="s">
        <v>209</v>
      </c>
      <c r="F716" s="65" t="s">
        <v>210</v>
      </c>
      <c r="G716" s="65"/>
      <c r="H716" s="65" t="s">
        <v>211</v>
      </c>
      <c r="I716" s="65" t="s">
        <v>212</v>
      </c>
      <c r="J716" s="65" t="s">
        <v>213</v>
      </c>
      <c r="K716" s="36" t="s">
        <v>214</v>
      </c>
      <c r="L716" s="36">
        <v>2</v>
      </c>
      <c r="M716" s="36" t="s">
        <v>247</v>
      </c>
      <c r="N716" s="36" t="s">
        <v>215</v>
      </c>
      <c r="O716" s="3">
        <v>16</v>
      </c>
      <c r="P716" s="36">
        <v>4.0568081707308325E-3</v>
      </c>
      <c r="Q716" s="65">
        <v>1000</v>
      </c>
      <c r="R716" s="51"/>
      <c r="S716" s="51"/>
      <c r="T716" s="65"/>
      <c r="U716" s="36"/>
      <c r="V716" s="36"/>
      <c r="W716" s="36"/>
      <c r="X716" s="36"/>
      <c r="Y716" s="36"/>
      <c r="Z716" s="36"/>
    </row>
    <row r="717" spans="1:26" ht="14">
      <c r="A717" s="13">
        <v>42867</v>
      </c>
      <c r="B717" s="72" t="s">
        <v>144</v>
      </c>
      <c r="C717" s="165">
        <v>2017</v>
      </c>
      <c r="D717" s="53">
        <v>8</v>
      </c>
      <c r="E717" s="65" t="s">
        <v>209</v>
      </c>
      <c r="F717" s="65" t="s">
        <v>210</v>
      </c>
      <c r="G717" s="65"/>
      <c r="H717" s="65" t="s">
        <v>211</v>
      </c>
      <c r="I717" s="65" t="s">
        <v>212</v>
      </c>
      <c r="J717" s="36" t="s">
        <v>213</v>
      </c>
      <c r="K717" s="36" t="s">
        <v>214</v>
      </c>
      <c r="L717" s="36">
        <v>3</v>
      </c>
      <c r="M717" s="36" t="s">
        <v>247</v>
      </c>
      <c r="N717" s="36" t="s">
        <v>215</v>
      </c>
      <c r="O717" s="3">
        <v>42</v>
      </c>
      <c r="P717" s="36">
        <v>1.2264657847341045E-2</v>
      </c>
      <c r="Q717" s="36">
        <v>1000</v>
      </c>
      <c r="R717" s="3"/>
      <c r="S717" s="3"/>
      <c r="T717" s="36"/>
      <c r="U717" s="36"/>
      <c r="V717" s="36"/>
      <c r="W717" s="36"/>
      <c r="X717" s="36"/>
      <c r="Y717" s="36"/>
      <c r="Z717" s="36"/>
    </row>
    <row r="718" spans="1:26" ht="14">
      <c r="A718" s="35">
        <v>42634</v>
      </c>
      <c r="B718" s="72" t="s">
        <v>157</v>
      </c>
      <c r="C718" s="165">
        <v>2016</v>
      </c>
      <c r="D718" s="53">
        <v>4</v>
      </c>
      <c r="E718" s="52" t="s">
        <v>209</v>
      </c>
      <c r="F718" t="s">
        <v>210</v>
      </c>
      <c r="H718" s="52" t="s">
        <v>211</v>
      </c>
      <c r="I718" s="52" t="s">
        <v>212</v>
      </c>
      <c r="J718" s="52" t="s">
        <v>213</v>
      </c>
      <c r="K718" s="52" t="s">
        <v>214</v>
      </c>
      <c r="L718" s="52">
        <v>1</v>
      </c>
      <c r="M718" s="52" t="s">
        <v>247</v>
      </c>
      <c r="N718" s="52" t="s">
        <v>215</v>
      </c>
      <c r="O718" s="36">
        <v>156</v>
      </c>
      <c r="P718" s="76">
        <v>0.63937497457156689</v>
      </c>
      <c r="Q718" s="36">
        <v>250</v>
      </c>
      <c r="R718" s="36"/>
      <c r="S718" s="36"/>
      <c r="T718" s="36"/>
      <c r="U718" s="36"/>
      <c r="V718" s="36"/>
      <c r="W718" s="36"/>
      <c r="X718" s="36"/>
      <c r="Y718" s="36"/>
      <c r="Z718" s="36"/>
    </row>
    <row r="719" spans="1:26" ht="14">
      <c r="A719" s="35">
        <v>42634</v>
      </c>
      <c r="B719" s="72" t="s">
        <v>157</v>
      </c>
      <c r="C719" s="165">
        <v>2016</v>
      </c>
      <c r="D719" s="53">
        <v>5</v>
      </c>
      <c r="E719" s="65" t="s">
        <v>209</v>
      </c>
      <c r="F719" s="65" t="s">
        <v>210</v>
      </c>
      <c r="G719" s="65"/>
      <c r="H719" s="65" t="s">
        <v>211</v>
      </c>
      <c r="I719" s="65" t="s">
        <v>212</v>
      </c>
      <c r="J719" s="36" t="s">
        <v>213</v>
      </c>
      <c r="K719" s="36" t="s">
        <v>214</v>
      </c>
      <c r="L719" s="36">
        <v>3</v>
      </c>
      <c r="M719" s="36" t="s">
        <v>247</v>
      </c>
      <c r="N719" s="36" t="s">
        <v>215</v>
      </c>
      <c r="O719" s="36">
        <v>93</v>
      </c>
      <c r="P719" s="36">
        <v>2.8239424863189169E-3</v>
      </c>
      <c r="Q719" s="36">
        <v>1000</v>
      </c>
      <c r="R719" s="36"/>
      <c r="S719" s="36"/>
      <c r="T719" s="36"/>
      <c r="U719" s="36"/>
      <c r="V719" s="36"/>
      <c r="W719" s="36"/>
      <c r="X719" s="36"/>
      <c r="Y719" s="36"/>
      <c r="Z719" s="36"/>
    </row>
    <row r="720" spans="1:26" ht="14">
      <c r="A720" s="35">
        <v>42634</v>
      </c>
      <c r="B720" s="72" t="s">
        <v>157</v>
      </c>
      <c r="C720" s="165">
        <v>2016</v>
      </c>
      <c r="D720" s="53">
        <v>8</v>
      </c>
      <c r="E720" s="36" t="s">
        <v>209</v>
      </c>
      <c r="F720" s="36" t="s">
        <v>210</v>
      </c>
      <c r="G720" s="36"/>
      <c r="H720" s="36" t="s">
        <v>211</v>
      </c>
      <c r="I720" s="36" t="s">
        <v>212</v>
      </c>
      <c r="J720" s="36" t="s">
        <v>213</v>
      </c>
      <c r="K720" s="36" t="s">
        <v>214</v>
      </c>
      <c r="L720" s="36">
        <v>1</v>
      </c>
      <c r="M720" s="36" t="s">
        <v>247</v>
      </c>
      <c r="N720" s="36" t="s">
        <v>215</v>
      </c>
      <c r="O720" s="36">
        <v>3658</v>
      </c>
      <c r="P720" s="36">
        <v>1.7671737367053572E-3</v>
      </c>
      <c r="Q720" s="36">
        <v>1000</v>
      </c>
      <c r="R720" s="36"/>
      <c r="S720" s="36"/>
      <c r="T720" s="36"/>
      <c r="U720" s="36"/>
      <c r="V720" s="36"/>
      <c r="W720" s="36"/>
      <c r="X720" s="36"/>
      <c r="Y720" s="36"/>
      <c r="Z720" s="36"/>
    </row>
    <row r="721" spans="1:26" ht="14">
      <c r="A721" s="35">
        <v>42571</v>
      </c>
      <c r="B721" s="72" t="s">
        <v>154</v>
      </c>
      <c r="C721" s="165">
        <v>2016</v>
      </c>
      <c r="D721" s="53">
        <v>8</v>
      </c>
      <c r="E721" s="36" t="s">
        <v>209</v>
      </c>
      <c r="F721" s="36" t="s">
        <v>210</v>
      </c>
      <c r="G721" s="36"/>
      <c r="H721" s="36" t="s">
        <v>211</v>
      </c>
      <c r="I721" s="36" t="s">
        <v>212</v>
      </c>
      <c r="J721" s="36" t="s">
        <v>213</v>
      </c>
      <c r="K721" s="36" t="s">
        <v>214</v>
      </c>
      <c r="L721" s="36">
        <v>1</v>
      </c>
      <c r="M721" s="36" t="s">
        <v>247</v>
      </c>
      <c r="N721" s="36" t="s">
        <v>215</v>
      </c>
      <c r="O721" s="36">
        <v>3</v>
      </c>
      <c r="P721" s="36">
        <v>4.6343831054653072E-3</v>
      </c>
      <c r="Q721" s="36">
        <v>1000</v>
      </c>
      <c r="R721" s="36"/>
      <c r="S721" s="36"/>
      <c r="T721" s="36"/>
      <c r="U721" s="36"/>
      <c r="V721" s="36"/>
      <c r="W721" s="36"/>
      <c r="X721" s="36"/>
      <c r="Y721" s="36"/>
      <c r="Z721" s="36"/>
    </row>
    <row r="722" spans="1:26" ht="14">
      <c r="A722" s="35">
        <v>42263</v>
      </c>
      <c r="B722" s="35" t="s">
        <v>157</v>
      </c>
      <c r="C722" s="165">
        <v>2015</v>
      </c>
      <c r="D722" s="47">
        <v>4</v>
      </c>
      <c r="E722" s="65" t="s">
        <v>209</v>
      </c>
      <c r="F722" s="65" t="s">
        <v>210</v>
      </c>
      <c r="G722" s="65"/>
      <c r="H722" s="65" t="s">
        <v>211</v>
      </c>
      <c r="I722" s="65" t="s">
        <v>212</v>
      </c>
      <c r="J722" s="36" t="s">
        <v>213</v>
      </c>
      <c r="K722" s="36" t="s">
        <v>214</v>
      </c>
      <c r="L722" s="36">
        <v>2</v>
      </c>
      <c r="M722" s="36" t="s">
        <v>247</v>
      </c>
      <c r="N722" s="36" t="s">
        <v>215</v>
      </c>
      <c r="O722" s="36">
        <v>36</v>
      </c>
      <c r="P722" s="65">
        <v>9.6742587958424612E-3</v>
      </c>
      <c r="Q722" s="65">
        <v>1000</v>
      </c>
      <c r="R722" s="65"/>
      <c r="S722" s="65"/>
      <c r="T722" s="65"/>
      <c r="U722" s="36"/>
      <c r="V722" s="36"/>
      <c r="W722" s="36"/>
      <c r="X722" s="36"/>
      <c r="Y722" s="36"/>
      <c r="Z722" s="36"/>
    </row>
    <row r="723" spans="1:26" ht="14">
      <c r="A723" s="35">
        <v>42263</v>
      </c>
      <c r="B723" s="72" t="s">
        <v>157</v>
      </c>
      <c r="C723" s="165">
        <v>2015</v>
      </c>
      <c r="D723" s="47">
        <v>5</v>
      </c>
      <c r="E723" s="65" t="s">
        <v>209</v>
      </c>
      <c r="F723" s="65" t="s">
        <v>210</v>
      </c>
      <c r="G723" s="65"/>
      <c r="H723" s="65" t="s">
        <v>211</v>
      </c>
      <c r="I723" s="65" t="s">
        <v>212</v>
      </c>
      <c r="J723" s="36" t="s">
        <v>213</v>
      </c>
      <c r="K723" s="36" t="s">
        <v>214</v>
      </c>
      <c r="L723" s="36">
        <v>1</v>
      </c>
      <c r="M723" s="36" t="s">
        <v>247</v>
      </c>
      <c r="N723" s="36" t="s">
        <v>215</v>
      </c>
      <c r="O723" s="36">
        <v>3</v>
      </c>
      <c r="P723" s="36">
        <v>9.4220260047917694E-3</v>
      </c>
      <c r="Q723" s="36">
        <v>1000</v>
      </c>
      <c r="R723" s="36"/>
      <c r="S723" s="36"/>
      <c r="T723" s="36"/>
      <c r="U723" s="36"/>
      <c r="V723" s="36"/>
      <c r="W723" s="36"/>
      <c r="X723" s="36"/>
      <c r="Y723" s="36"/>
      <c r="Z723" s="36"/>
    </row>
    <row r="724" spans="1:26" ht="14">
      <c r="A724" s="35">
        <v>42263</v>
      </c>
      <c r="B724" s="35" t="s">
        <v>157</v>
      </c>
      <c r="C724" s="165">
        <v>2015</v>
      </c>
      <c r="D724" s="53">
        <v>5</v>
      </c>
      <c r="E724" s="36" t="s">
        <v>209</v>
      </c>
      <c r="F724" s="36" t="s">
        <v>210</v>
      </c>
      <c r="G724" s="36"/>
      <c r="H724" s="36" t="s">
        <v>211</v>
      </c>
      <c r="I724" s="36" t="s">
        <v>212</v>
      </c>
      <c r="J724" s="36" t="s">
        <v>213</v>
      </c>
      <c r="K724" s="36" t="s">
        <v>214</v>
      </c>
      <c r="L724" s="36">
        <v>11</v>
      </c>
      <c r="M724" s="36" t="s">
        <v>247</v>
      </c>
      <c r="N724" s="36" t="s">
        <v>215</v>
      </c>
      <c r="O724" s="36">
        <v>222</v>
      </c>
      <c r="P724" s="36">
        <v>4.9535543835218094</v>
      </c>
      <c r="Q724" s="3">
        <v>250</v>
      </c>
      <c r="R724" s="36"/>
      <c r="S724" s="36"/>
      <c r="T724" s="36"/>
      <c r="U724" s="36"/>
      <c r="V724" s="36"/>
      <c r="W724" s="36"/>
      <c r="X724" s="36"/>
      <c r="Y724" s="36"/>
      <c r="Z724" s="36"/>
    </row>
    <row r="725" spans="1:26" ht="14">
      <c r="A725" s="72">
        <v>42144</v>
      </c>
      <c r="B725" s="72" t="s">
        <v>144</v>
      </c>
      <c r="C725" s="165">
        <v>2015</v>
      </c>
      <c r="D725" s="53">
        <v>4</v>
      </c>
      <c r="E725" s="65" t="s">
        <v>209</v>
      </c>
      <c r="F725" s="65" t="s">
        <v>210</v>
      </c>
      <c r="G725" s="65"/>
      <c r="H725" s="65" t="s">
        <v>211</v>
      </c>
      <c r="I725" s="65" t="s">
        <v>212</v>
      </c>
      <c r="J725" s="36" t="s">
        <v>213</v>
      </c>
      <c r="K725" s="36" t="s">
        <v>214</v>
      </c>
      <c r="L725" s="36">
        <v>1</v>
      </c>
      <c r="M725" s="36" t="s">
        <v>247</v>
      </c>
      <c r="N725" s="36" t="s">
        <v>215</v>
      </c>
      <c r="O725" s="36">
        <v>21</v>
      </c>
      <c r="P725" s="65">
        <v>4.2478904499221653E-3</v>
      </c>
      <c r="Q725" s="65">
        <v>1000</v>
      </c>
      <c r="R725" s="65"/>
      <c r="S725" s="65"/>
      <c r="T725" s="145"/>
      <c r="U725" s="36"/>
      <c r="V725" s="36"/>
      <c r="W725" s="36"/>
      <c r="X725" s="36"/>
      <c r="Y725" s="36"/>
      <c r="Z725" s="36"/>
    </row>
    <row r="726" spans="1:26" ht="14">
      <c r="A726" s="35">
        <v>41912</v>
      </c>
      <c r="B726" s="72" t="s">
        <v>157</v>
      </c>
      <c r="C726" s="165">
        <v>2014</v>
      </c>
      <c r="D726" s="47">
        <v>5</v>
      </c>
      <c r="E726" s="36" t="s">
        <v>209</v>
      </c>
      <c r="F726" s="36" t="s">
        <v>210</v>
      </c>
      <c r="G726" s="36"/>
      <c r="H726" s="36" t="s">
        <v>211</v>
      </c>
      <c r="I726" s="36" t="s">
        <v>212</v>
      </c>
      <c r="J726" s="36" t="s">
        <v>213</v>
      </c>
      <c r="K726" s="36" t="s">
        <v>214</v>
      </c>
      <c r="L726" s="36">
        <v>7</v>
      </c>
      <c r="M726" s="36" t="s">
        <v>247</v>
      </c>
      <c r="N726" s="36" t="s">
        <v>215</v>
      </c>
      <c r="O726" s="36">
        <v>176</v>
      </c>
      <c r="P726" s="36">
        <v>7.8059037379089573E-3</v>
      </c>
      <c r="Q726" s="36">
        <v>1000</v>
      </c>
      <c r="R726" s="36"/>
      <c r="S726" s="36"/>
      <c r="T726" s="36"/>
      <c r="U726" s="36"/>
      <c r="V726" s="36"/>
      <c r="W726" s="36"/>
      <c r="X726" s="36"/>
      <c r="Y726" s="36"/>
      <c r="Z726" s="36"/>
    </row>
    <row r="727" spans="1:26" ht="14">
      <c r="A727" s="35">
        <v>41912</v>
      </c>
      <c r="B727" s="35" t="s">
        <v>157</v>
      </c>
      <c r="C727" s="165">
        <v>2014</v>
      </c>
      <c r="D727" s="47">
        <v>8</v>
      </c>
      <c r="E727" s="36" t="s">
        <v>209</v>
      </c>
      <c r="F727" s="36" t="s">
        <v>210</v>
      </c>
      <c r="G727" s="36"/>
      <c r="H727" s="36" t="s">
        <v>211</v>
      </c>
      <c r="I727" s="36" t="s">
        <v>212</v>
      </c>
      <c r="J727" s="36" t="s">
        <v>213</v>
      </c>
      <c r="K727" s="36" t="s">
        <v>214</v>
      </c>
      <c r="L727" s="36">
        <v>1</v>
      </c>
      <c r="M727" s="36" t="s">
        <v>247</v>
      </c>
      <c r="N727" s="36" t="s">
        <v>215</v>
      </c>
      <c r="O727" s="36">
        <v>12</v>
      </c>
      <c r="P727" s="36">
        <v>2.7963235095595689E-3</v>
      </c>
      <c r="Q727" s="36">
        <v>1000</v>
      </c>
      <c r="R727" s="36"/>
      <c r="S727" s="36"/>
      <c r="T727" s="36"/>
      <c r="U727" s="36"/>
      <c r="V727" s="36"/>
      <c r="W727" s="36"/>
      <c r="X727" s="36"/>
      <c r="Y727" s="36"/>
      <c r="Z727" s="36"/>
    </row>
    <row r="728" spans="1:26" ht="14">
      <c r="A728" s="35">
        <v>41851</v>
      </c>
      <c r="B728" s="35" t="s">
        <v>154</v>
      </c>
      <c r="C728" s="165">
        <v>2014</v>
      </c>
      <c r="D728" s="53">
        <v>4</v>
      </c>
      <c r="E728" s="36" t="s">
        <v>209</v>
      </c>
      <c r="F728" s="36" t="s">
        <v>210</v>
      </c>
      <c r="G728" s="36"/>
      <c r="H728" s="36" t="s">
        <v>211</v>
      </c>
      <c r="I728" s="36" t="s">
        <v>212</v>
      </c>
      <c r="J728" s="36" t="s">
        <v>213</v>
      </c>
      <c r="K728" s="36" t="s">
        <v>214</v>
      </c>
      <c r="L728" s="36">
        <v>1</v>
      </c>
      <c r="M728" s="36" t="s">
        <v>247</v>
      </c>
      <c r="N728" s="36" t="s">
        <v>215</v>
      </c>
      <c r="O728" s="36">
        <v>678</v>
      </c>
      <c r="P728" s="65">
        <v>3.8690730288093336E-3</v>
      </c>
      <c r="Q728" s="36">
        <v>1000</v>
      </c>
      <c r="R728" s="36"/>
      <c r="S728" s="36"/>
      <c r="T728" s="36"/>
      <c r="U728" s="36"/>
      <c r="V728" s="36"/>
      <c r="W728" s="36"/>
      <c r="X728" s="36"/>
      <c r="Y728" s="36"/>
      <c r="Z728" s="36"/>
    </row>
    <row r="729" spans="1:26" ht="14">
      <c r="A729" s="35">
        <v>41761</v>
      </c>
      <c r="B729" s="72" t="s">
        <v>144</v>
      </c>
      <c r="C729" s="165">
        <v>2014</v>
      </c>
      <c r="D729" s="53">
        <v>4</v>
      </c>
      <c r="E729" s="65" t="s">
        <v>209</v>
      </c>
      <c r="F729" s="65" t="s">
        <v>210</v>
      </c>
      <c r="G729" s="65"/>
      <c r="H729" s="65" t="s">
        <v>211</v>
      </c>
      <c r="I729" s="65" t="s">
        <v>212</v>
      </c>
      <c r="J729" s="36" t="s">
        <v>213</v>
      </c>
      <c r="K729" s="36" t="s">
        <v>214</v>
      </c>
      <c r="L729" s="36">
        <v>5</v>
      </c>
      <c r="M729" s="36" t="s">
        <v>247</v>
      </c>
      <c r="N729" s="36" t="s">
        <v>215</v>
      </c>
      <c r="O729" s="36">
        <v>864</v>
      </c>
      <c r="P729" s="65">
        <v>1.3826854891268604E-2</v>
      </c>
      <c r="Q729" s="36">
        <v>1000</v>
      </c>
      <c r="R729" s="36"/>
      <c r="S729" s="36"/>
      <c r="T729" s="36"/>
      <c r="U729" s="36"/>
      <c r="V729" s="36"/>
      <c r="W729" s="36"/>
      <c r="X729" s="36"/>
      <c r="Y729" s="36"/>
      <c r="Z729" s="36"/>
    </row>
    <row r="730" spans="1:26" ht="14">
      <c r="A730" s="35">
        <v>41761</v>
      </c>
      <c r="B730" s="72" t="s">
        <v>144</v>
      </c>
      <c r="C730" s="165">
        <v>2014</v>
      </c>
      <c r="D730" s="53">
        <v>5</v>
      </c>
      <c r="E730" s="36" t="s">
        <v>209</v>
      </c>
      <c r="F730" s="36" t="s">
        <v>210</v>
      </c>
      <c r="G730" s="36"/>
      <c r="H730" s="36" t="s">
        <v>211</v>
      </c>
      <c r="I730" s="36" t="s">
        <v>212</v>
      </c>
      <c r="J730" s="36" t="s">
        <v>213</v>
      </c>
      <c r="K730" s="36" t="s">
        <v>214</v>
      </c>
      <c r="L730" s="36">
        <v>9</v>
      </c>
      <c r="M730" s="36" t="s">
        <v>247</v>
      </c>
      <c r="N730" s="36" t="s">
        <v>215</v>
      </c>
      <c r="O730" s="36">
        <v>87</v>
      </c>
      <c r="P730" s="36">
        <v>2.1539850723097487E-2</v>
      </c>
      <c r="Q730" s="36">
        <v>1000</v>
      </c>
      <c r="R730" s="36" t="s">
        <v>546</v>
      </c>
      <c r="S730" s="36"/>
      <c r="T730" s="36"/>
      <c r="U730" s="36"/>
      <c r="V730" s="36"/>
      <c r="W730" s="36"/>
      <c r="X730" s="36"/>
      <c r="Y730" s="36"/>
      <c r="Z730" s="36"/>
    </row>
    <row r="731" spans="1:26" ht="14">
      <c r="A731" s="35">
        <v>41761</v>
      </c>
      <c r="B731" s="72" t="s">
        <v>144</v>
      </c>
      <c r="C731" s="165">
        <v>2014</v>
      </c>
      <c r="D731" s="53">
        <v>8</v>
      </c>
      <c r="E731" s="36" t="s">
        <v>209</v>
      </c>
      <c r="F731" s="36" t="s">
        <v>210</v>
      </c>
      <c r="G731" s="36"/>
      <c r="H731" s="36" t="s">
        <v>211</v>
      </c>
      <c r="I731" s="36" t="s">
        <v>212</v>
      </c>
      <c r="J731" s="36" t="s">
        <v>213</v>
      </c>
      <c r="K731" s="36" t="s">
        <v>214</v>
      </c>
      <c r="L731" s="65">
        <v>11</v>
      </c>
      <c r="M731" s="65" t="s">
        <v>247</v>
      </c>
      <c r="N731" s="65" t="s">
        <v>215</v>
      </c>
      <c r="O731" s="36">
        <v>91</v>
      </c>
      <c r="P731" s="36">
        <v>3.158627237386416E-2</v>
      </c>
      <c r="Q731" s="65">
        <v>1000</v>
      </c>
      <c r="R731" s="65" t="s">
        <v>547</v>
      </c>
      <c r="S731" s="65"/>
      <c r="T731" s="65"/>
      <c r="U731" s="36"/>
      <c r="V731" s="36"/>
      <c r="W731" s="36"/>
      <c r="X731" s="36"/>
      <c r="Y731" s="36"/>
      <c r="Z731" s="36"/>
    </row>
    <row r="732" spans="1:26" ht="14">
      <c r="A732" s="72">
        <v>41542</v>
      </c>
      <c r="B732" s="72" t="s">
        <v>157</v>
      </c>
      <c r="C732" s="165">
        <v>2013</v>
      </c>
      <c r="D732" s="53">
        <v>2</v>
      </c>
      <c r="E732" s="36" t="s">
        <v>209</v>
      </c>
      <c r="F732" s="36" t="s">
        <v>210</v>
      </c>
      <c r="G732" s="36"/>
      <c r="H732" s="36" t="s">
        <v>211</v>
      </c>
      <c r="I732" s="36" t="s">
        <v>212</v>
      </c>
      <c r="J732" s="36" t="s">
        <v>213</v>
      </c>
      <c r="K732" s="36" t="s">
        <v>214</v>
      </c>
      <c r="L732" s="36">
        <v>1</v>
      </c>
      <c r="M732" s="36" t="s">
        <v>247</v>
      </c>
      <c r="N732" s="36" t="s">
        <v>215</v>
      </c>
      <c r="O732" s="36">
        <v>244</v>
      </c>
      <c r="P732" s="36">
        <v>3.6916662324044816E-3</v>
      </c>
      <c r="Q732" s="36">
        <v>1000</v>
      </c>
      <c r="R732" s="36"/>
      <c r="S732" s="36"/>
      <c r="T732" s="36"/>
      <c r="U732" s="36"/>
      <c r="V732" s="36"/>
      <c r="W732" s="36"/>
      <c r="X732" s="36"/>
      <c r="Y732" s="36"/>
      <c r="Z732" s="36"/>
    </row>
    <row r="733" spans="1:26" ht="14">
      <c r="A733" s="35">
        <v>41542</v>
      </c>
      <c r="B733" s="72" t="s">
        <v>157</v>
      </c>
      <c r="C733" s="165">
        <v>2013</v>
      </c>
      <c r="D733" s="53">
        <v>4</v>
      </c>
      <c r="E733" s="65" t="s">
        <v>209</v>
      </c>
      <c r="F733" s="36" t="s">
        <v>210</v>
      </c>
      <c r="G733" s="36"/>
      <c r="H733" s="65" t="s">
        <v>211</v>
      </c>
      <c r="I733" s="65" t="s">
        <v>212</v>
      </c>
      <c r="J733" s="65" t="s">
        <v>213</v>
      </c>
      <c r="K733" s="36" t="s">
        <v>214</v>
      </c>
      <c r="L733" s="36">
        <v>1</v>
      </c>
      <c r="M733" s="36" t="s">
        <v>247</v>
      </c>
      <c r="N733" s="36" t="s">
        <v>215</v>
      </c>
      <c r="O733" s="36">
        <v>522</v>
      </c>
      <c r="P733" s="36">
        <v>2.0921230297994554E-3</v>
      </c>
      <c r="Q733" s="36">
        <v>1000</v>
      </c>
      <c r="R733" s="36"/>
      <c r="S733" s="36"/>
      <c r="T733" s="36"/>
      <c r="U733" s="36"/>
      <c r="V733" s="36"/>
      <c r="W733" s="36"/>
      <c r="X733" s="36"/>
      <c r="Y733" s="36"/>
      <c r="Z733" s="36"/>
    </row>
    <row r="734" spans="1:26" ht="14">
      <c r="A734" s="72">
        <v>41542</v>
      </c>
      <c r="B734" s="72" t="s">
        <v>157</v>
      </c>
      <c r="C734" s="165">
        <v>2013</v>
      </c>
      <c r="D734" s="53">
        <v>5</v>
      </c>
      <c r="E734" s="65" t="s">
        <v>209</v>
      </c>
      <c r="F734" s="65" t="s">
        <v>210</v>
      </c>
      <c r="G734" s="65"/>
      <c r="H734" s="65" t="s">
        <v>211</v>
      </c>
      <c r="I734" s="65" t="s">
        <v>212</v>
      </c>
      <c r="J734" s="36" t="s">
        <v>213</v>
      </c>
      <c r="K734" s="36" t="s">
        <v>214</v>
      </c>
      <c r="L734" s="36">
        <v>3</v>
      </c>
      <c r="M734" s="36" t="s">
        <v>247</v>
      </c>
      <c r="N734" s="36" t="s">
        <v>215</v>
      </c>
      <c r="O734" s="36">
        <v>41</v>
      </c>
      <c r="P734" s="36">
        <v>2.3570408592725718E-3</v>
      </c>
      <c r="Q734" s="36">
        <v>1000</v>
      </c>
      <c r="R734" s="36"/>
      <c r="S734" s="36"/>
      <c r="T734" s="36"/>
      <c r="U734" s="36"/>
      <c r="V734" s="36"/>
      <c r="W734" s="36"/>
      <c r="X734" s="36"/>
      <c r="Y734" s="36"/>
      <c r="Z734" s="36"/>
    </row>
    <row r="735" spans="1:26" ht="14">
      <c r="A735" s="72">
        <v>41480</v>
      </c>
      <c r="B735" s="72" t="s">
        <v>154</v>
      </c>
      <c r="C735" s="165">
        <v>2013</v>
      </c>
      <c r="D735" s="53">
        <v>5</v>
      </c>
      <c r="E735" s="65" t="s">
        <v>209</v>
      </c>
      <c r="F735" s="65" t="s">
        <v>210</v>
      </c>
      <c r="G735" s="65"/>
      <c r="H735" s="65" t="s">
        <v>211</v>
      </c>
      <c r="I735" s="65" t="s">
        <v>212</v>
      </c>
      <c r="J735" s="36" t="s">
        <v>213</v>
      </c>
      <c r="K735" s="36" t="s">
        <v>214</v>
      </c>
      <c r="L735" s="36">
        <v>1</v>
      </c>
      <c r="M735" s="36" t="s">
        <v>247</v>
      </c>
      <c r="N735" s="36" t="s">
        <v>215</v>
      </c>
      <c r="O735" s="36">
        <v>45</v>
      </c>
      <c r="P735" s="36">
        <v>3.1333878416620888E-4</v>
      </c>
      <c r="Q735" s="36">
        <v>1000</v>
      </c>
      <c r="R735" s="36"/>
      <c r="S735" s="36"/>
      <c r="T735" s="36"/>
      <c r="U735" s="36"/>
      <c r="V735" s="36"/>
      <c r="W735" s="36"/>
      <c r="X735" s="36"/>
      <c r="Y735" s="36"/>
      <c r="Z735" s="36"/>
    </row>
    <row r="736" spans="1:26" ht="14">
      <c r="A736" s="71">
        <v>42928</v>
      </c>
      <c r="B736" s="35" t="s">
        <v>154</v>
      </c>
      <c r="C736" s="165">
        <v>2017</v>
      </c>
      <c r="D736" s="53">
        <v>8</v>
      </c>
      <c r="E736" s="36" t="s">
        <v>223</v>
      </c>
      <c r="F736" s="36" t="s">
        <v>267</v>
      </c>
      <c r="G736" s="36" t="s">
        <v>278</v>
      </c>
      <c r="H736" s="36" t="s">
        <v>269</v>
      </c>
      <c r="I736" s="36"/>
      <c r="J736" s="36"/>
      <c r="K736" s="36"/>
      <c r="L736" s="36">
        <v>1</v>
      </c>
      <c r="M736" s="36" t="s">
        <v>508</v>
      </c>
      <c r="N736" s="36" t="s">
        <v>270</v>
      </c>
      <c r="O736" s="3">
        <v>26</v>
      </c>
      <c r="P736" s="36">
        <v>1.4582376221279518E-3</v>
      </c>
      <c r="Q736" s="36">
        <v>1000</v>
      </c>
      <c r="R736" s="3"/>
      <c r="S736" s="3"/>
      <c r="T736" s="36"/>
      <c r="U736" s="36"/>
      <c r="V736" s="36"/>
      <c r="W736" s="36"/>
      <c r="X736" s="36"/>
      <c r="Y736" s="36"/>
      <c r="Z736" s="36"/>
    </row>
    <row r="737" spans="1:26" ht="14">
      <c r="A737" s="72">
        <v>42634</v>
      </c>
      <c r="B737" s="72" t="s">
        <v>157</v>
      </c>
      <c r="C737" s="165">
        <v>2016</v>
      </c>
      <c r="D737" s="53">
        <v>4</v>
      </c>
      <c r="E737" s="36" t="s">
        <v>223</v>
      </c>
      <c r="F737" s="36" t="s">
        <v>267</v>
      </c>
      <c r="G737" s="36" t="s">
        <v>278</v>
      </c>
      <c r="H737" s="36" t="s">
        <v>269</v>
      </c>
      <c r="I737" s="36"/>
      <c r="J737" s="36" t="s">
        <v>270</v>
      </c>
      <c r="K737" s="36"/>
      <c r="L737" s="36">
        <v>1</v>
      </c>
      <c r="M737" s="36" t="s">
        <v>229</v>
      </c>
      <c r="N737" s="36" t="s">
        <v>270</v>
      </c>
      <c r="O737" s="36">
        <v>127</v>
      </c>
      <c r="P737" s="65">
        <v>2.0275902900439425E-3</v>
      </c>
      <c r="Q737" s="36">
        <v>1000</v>
      </c>
      <c r="R737" s="36" t="s">
        <v>531</v>
      </c>
      <c r="S737" s="36"/>
      <c r="T737" s="36"/>
      <c r="U737" s="36"/>
      <c r="V737" s="36"/>
      <c r="W737" s="36"/>
      <c r="X737" s="36"/>
      <c r="Y737" s="36"/>
      <c r="Z737" s="36"/>
    </row>
    <row r="738" spans="1:26" ht="14">
      <c r="A738" s="35">
        <v>42515</v>
      </c>
      <c r="B738" s="35" t="s">
        <v>144</v>
      </c>
      <c r="C738" s="165">
        <v>2016</v>
      </c>
      <c r="D738" s="47">
        <v>4</v>
      </c>
      <c r="E738" s="65" t="s">
        <v>223</v>
      </c>
      <c r="F738" s="65" t="s">
        <v>267</v>
      </c>
      <c r="G738" s="65" t="s">
        <v>278</v>
      </c>
      <c r="H738" s="65" t="s">
        <v>269</v>
      </c>
      <c r="I738" s="65"/>
      <c r="J738" s="36"/>
      <c r="K738" s="36"/>
      <c r="L738" s="36">
        <v>1</v>
      </c>
      <c r="M738" s="36" t="s">
        <v>508</v>
      </c>
      <c r="N738" s="36" t="s">
        <v>270</v>
      </c>
      <c r="O738" s="36">
        <v>17</v>
      </c>
      <c r="P738" s="65">
        <v>4.6584790016147449E-3</v>
      </c>
      <c r="Q738" s="65">
        <v>1000</v>
      </c>
      <c r="R738" s="65"/>
      <c r="S738" s="65"/>
      <c r="T738" s="65"/>
      <c r="U738" s="36"/>
      <c r="V738" s="36"/>
      <c r="W738" s="36"/>
      <c r="X738" s="36"/>
      <c r="Y738" s="36"/>
      <c r="Z738" s="36"/>
    </row>
    <row r="739" spans="1:26" ht="14">
      <c r="A739" s="35">
        <v>42263</v>
      </c>
      <c r="B739" s="35" t="s">
        <v>157</v>
      </c>
      <c r="C739" s="165">
        <v>2015</v>
      </c>
      <c r="D739" s="53">
        <v>2</v>
      </c>
      <c r="E739" s="36" t="s">
        <v>223</v>
      </c>
      <c r="F739" s="36" t="s">
        <v>267</v>
      </c>
      <c r="G739" s="36" t="s">
        <v>278</v>
      </c>
      <c r="H739" s="36" t="s">
        <v>269</v>
      </c>
      <c r="I739" s="36" t="s">
        <v>333</v>
      </c>
      <c r="J739" s="36" t="s">
        <v>334</v>
      </c>
      <c r="K739" s="36"/>
      <c r="L739" s="36">
        <v>2</v>
      </c>
      <c r="M739" s="36" t="s">
        <v>229</v>
      </c>
      <c r="N739" s="36" t="s">
        <v>270</v>
      </c>
      <c r="O739" s="36">
        <v>3</v>
      </c>
      <c r="P739" s="36">
        <v>9.280198087929974E-3</v>
      </c>
      <c r="Q739" s="36">
        <v>1000</v>
      </c>
      <c r="R739" s="36"/>
      <c r="S739" s="36"/>
      <c r="T739" s="36"/>
      <c r="U739" s="36"/>
      <c r="V739" s="36"/>
      <c r="W739" s="36"/>
      <c r="X739" s="36"/>
      <c r="Y739" s="36"/>
      <c r="Z739" s="36"/>
    </row>
    <row r="740" spans="1:26" ht="14">
      <c r="A740" s="35">
        <v>42263</v>
      </c>
      <c r="B740" s="72" t="s">
        <v>157</v>
      </c>
      <c r="C740" s="165">
        <v>2015</v>
      </c>
      <c r="D740" s="47">
        <v>5</v>
      </c>
      <c r="E740" s="36" t="s">
        <v>223</v>
      </c>
      <c r="F740" s="36" t="s">
        <v>267</v>
      </c>
      <c r="G740" s="36" t="s">
        <v>278</v>
      </c>
      <c r="H740" s="36" t="s">
        <v>269</v>
      </c>
      <c r="I740" s="36" t="s">
        <v>333</v>
      </c>
      <c r="J740" s="36" t="s">
        <v>334</v>
      </c>
      <c r="K740" s="36"/>
      <c r="L740" s="36">
        <v>1</v>
      </c>
      <c r="M740" s="36" t="s">
        <v>229</v>
      </c>
      <c r="N740" s="36" t="s">
        <v>270</v>
      </c>
      <c r="O740" s="36">
        <v>3</v>
      </c>
      <c r="P740" s="36">
        <v>9.4220260047917694E-3</v>
      </c>
      <c r="Q740" s="36">
        <v>1000</v>
      </c>
      <c r="R740" s="36"/>
      <c r="S740" s="36"/>
      <c r="T740" s="36"/>
      <c r="U740" s="36"/>
      <c r="V740" s="36"/>
      <c r="W740" s="36"/>
      <c r="X740" s="36"/>
      <c r="Y740" s="36"/>
      <c r="Z740" s="36"/>
    </row>
    <row r="741" spans="1:26" ht="14">
      <c r="A741" s="35">
        <v>42206</v>
      </c>
      <c r="B741" s="72" t="s">
        <v>154</v>
      </c>
      <c r="C741" s="165">
        <v>2015</v>
      </c>
      <c r="D741" s="47">
        <v>2</v>
      </c>
      <c r="E741" s="36" t="s">
        <v>223</v>
      </c>
      <c r="F741" s="36" t="s">
        <v>267</v>
      </c>
      <c r="G741" s="36" t="s">
        <v>278</v>
      </c>
      <c r="H741" s="36" t="s">
        <v>269</v>
      </c>
      <c r="I741" s="36" t="s">
        <v>333</v>
      </c>
      <c r="J741" s="36" t="s">
        <v>334</v>
      </c>
      <c r="K741" s="36"/>
      <c r="L741" s="36">
        <v>1</v>
      </c>
      <c r="M741" s="36" t="s">
        <v>229</v>
      </c>
      <c r="N741" s="36" t="s">
        <v>270</v>
      </c>
      <c r="O741" s="36">
        <v>3</v>
      </c>
      <c r="P741" s="36">
        <v>1.0984943130251956E-2</v>
      </c>
      <c r="Q741" s="36">
        <v>1000</v>
      </c>
      <c r="R741" s="36" t="e">
        <f>SUM(#REF!)</f>
        <v>#REF!</v>
      </c>
      <c r="S741" s="36"/>
      <c r="T741" s="36"/>
      <c r="U741" s="36"/>
      <c r="V741" s="36"/>
      <c r="W741" s="36"/>
      <c r="X741" s="36"/>
      <c r="Y741" s="36"/>
      <c r="Z741" s="36"/>
    </row>
    <row r="742" spans="1:26" ht="14">
      <c r="A742" s="35">
        <v>42206</v>
      </c>
      <c r="B742" s="72" t="s">
        <v>154</v>
      </c>
      <c r="C742" s="165">
        <v>2015</v>
      </c>
      <c r="D742" s="53">
        <v>4</v>
      </c>
      <c r="E742" s="36" t="s">
        <v>223</v>
      </c>
      <c r="F742" s="36" t="s">
        <v>267</v>
      </c>
      <c r="G742" s="36" t="s">
        <v>278</v>
      </c>
      <c r="H742" s="36" t="s">
        <v>269</v>
      </c>
      <c r="I742" s="36" t="s">
        <v>333</v>
      </c>
      <c r="J742" s="36" t="s">
        <v>334</v>
      </c>
      <c r="K742" s="36"/>
      <c r="L742" s="36">
        <v>2</v>
      </c>
      <c r="M742" s="36" t="s">
        <v>229</v>
      </c>
      <c r="N742" s="36" t="s">
        <v>270</v>
      </c>
      <c r="O742" s="36">
        <v>249</v>
      </c>
      <c r="P742" s="36">
        <v>1.076543986220237E-2</v>
      </c>
      <c r="Q742" s="36">
        <v>1000</v>
      </c>
      <c r="R742" s="36"/>
      <c r="S742" s="36" t="e">
        <f>SUM(#REF!)</f>
        <v>#REF!</v>
      </c>
      <c r="T742" s="36"/>
      <c r="U742" s="36"/>
      <c r="V742" s="36"/>
      <c r="W742" s="36"/>
      <c r="X742" s="36"/>
      <c r="Y742" s="36"/>
      <c r="Z742" s="36"/>
    </row>
    <row r="743" spans="1:26" ht="14">
      <c r="A743" s="35">
        <v>42206</v>
      </c>
      <c r="B743" s="72" t="s">
        <v>154</v>
      </c>
      <c r="C743" s="165">
        <v>2015</v>
      </c>
      <c r="D743" s="53">
        <v>4</v>
      </c>
      <c r="E743" s="65" t="s">
        <v>223</v>
      </c>
      <c r="F743" s="65" t="s">
        <v>267</v>
      </c>
      <c r="G743" s="65" t="s">
        <v>278</v>
      </c>
      <c r="H743" s="65" t="s">
        <v>269</v>
      </c>
      <c r="I743" s="65" t="s">
        <v>554</v>
      </c>
      <c r="J743" s="36" t="s">
        <v>552</v>
      </c>
      <c r="K743" s="36" t="s">
        <v>553</v>
      </c>
      <c r="L743" s="36">
        <v>1</v>
      </c>
      <c r="M743" s="36" t="s">
        <v>544</v>
      </c>
      <c r="N743" s="36" t="s">
        <v>270</v>
      </c>
      <c r="O743" s="36">
        <v>249</v>
      </c>
      <c r="P743" s="36">
        <v>5.3827199311011851E-3</v>
      </c>
      <c r="Q743" s="36">
        <v>1000</v>
      </c>
      <c r="R743" s="36"/>
      <c r="S743" s="36"/>
      <c r="T743" s="36"/>
      <c r="U743" s="36"/>
      <c r="V743" s="36"/>
      <c r="W743" s="36"/>
      <c r="X743" s="36"/>
      <c r="Y743" s="36"/>
      <c r="Z743" s="36"/>
    </row>
    <row r="744" spans="1:26" ht="14">
      <c r="A744" s="35">
        <v>42206</v>
      </c>
      <c r="B744" s="72" t="s">
        <v>154</v>
      </c>
      <c r="C744" s="165">
        <v>2015</v>
      </c>
      <c r="D744" s="53">
        <v>8</v>
      </c>
      <c r="E744" s="65" t="s">
        <v>223</v>
      </c>
      <c r="F744" s="65" t="s">
        <v>267</v>
      </c>
      <c r="G744" s="65" t="s">
        <v>278</v>
      </c>
      <c r="H744" s="65" t="s">
        <v>269</v>
      </c>
      <c r="I744" s="65" t="s">
        <v>333</v>
      </c>
      <c r="J744" s="36" t="s">
        <v>334</v>
      </c>
      <c r="K744" s="36"/>
      <c r="L744" s="36">
        <v>2</v>
      </c>
      <c r="M744" s="36" t="s">
        <v>229</v>
      </c>
      <c r="N744" s="36" t="s">
        <v>270</v>
      </c>
      <c r="O744" s="36">
        <v>7</v>
      </c>
      <c r="P744" s="36">
        <v>2.4807663087127615E-2</v>
      </c>
      <c r="Q744" s="36">
        <v>1000</v>
      </c>
      <c r="R744" s="36"/>
      <c r="S744" s="36"/>
      <c r="T744" s="36"/>
      <c r="U744" s="36"/>
      <c r="V744" s="36"/>
      <c r="W744" s="36"/>
      <c r="X744" s="36"/>
      <c r="Y744" s="36"/>
      <c r="Z744" s="36"/>
    </row>
    <row r="745" spans="1:26" ht="14">
      <c r="A745" s="35">
        <v>42206</v>
      </c>
      <c r="B745" s="72" t="s">
        <v>154</v>
      </c>
      <c r="C745" s="165">
        <v>2015</v>
      </c>
      <c r="D745" s="53">
        <v>8</v>
      </c>
      <c r="E745" s="65" t="s">
        <v>223</v>
      </c>
      <c r="F745" s="65" t="s">
        <v>267</v>
      </c>
      <c r="G745" s="65" t="s">
        <v>278</v>
      </c>
      <c r="H745" s="65" t="s">
        <v>269</v>
      </c>
      <c r="I745" s="65" t="s">
        <v>554</v>
      </c>
      <c r="J745" s="36" t="s">
        <v>552</v>
      </c>
      <c r="K745" s="36" t="s">
        <v>553</v>
      </c>
      <c r="L745" s="36">
        <v>1</v>
      </c>
      <c r="M745" s="36" t="s">
        <v>544</v>
      </c>
      <c r="N745" s="36" t="s">
        <v>270</v>
      </c>
      <c r="O745" s="36">
        <v>7</v>
      </c>
      <c r="P745" s="36">
        <v>1.2403831543563807E-2</v>
      </c>
      <c r="Q745" s="36">
        <v>1000</v>
      </c>
      <c r="R745" s="36"/>
      <c r="S745" s="36"/>
      <c r="T745" s="36"/>
      <c r="U745" s="36"/>
      <c r="V745" s="36"/>
      <c r="W745" s="36"/>
      <c r="X745" s="36"/>
      <c r="Y745" s="36"/>
      <c r="Z745" s="36"/>
    </row>
    <row r="746" spans="1:26" ht="14">
      <c r="A746" s="72">
        <v>42144</v>
      </c>
      <c r="B746" s="72" t="s">
        <v>144</v>
      </c>
      <c r="C746" s="165">
        <v>2015</v>
      </c>
      <c r="D746" s="53">
        <v>4</v>
      </c>
      <c r="E746" s="65" t="s">
        <v>223</v>
      </c>
      <c r="F746" s="65" t="s">
        <v>267</v>
      </c>
      <c r="G746" s="65" t="s">
        <v>268</v>
      </c>
      <c r="H746" s="65" t="s">
        <v>269</v>
      </c>
      <c r="I746" s="65"/>
      <c r="J746" s="65" t="s">
        <v>542</v>
      </c>
      <c r="K746" s="36" t="s">
        <v>543</v>
      </c>
      <c r="L746" s="65">
        <v>1</v>
      </c>
      <c r="M746" s="65" t="s">
        <v>247</v>
      </c>
      <c r="N746" s="65" t="s">
        <v>270</v>
      </c>
      <c r="O746" s="36">
        <v>21</v>
      </c>
      <c r="P746" s="65">
        <v>4.2478904499221653E-3</v>
      </c>
      <c r="Q746" s="65">
        <v>1000</v>
      </c>
      <c r="R746" s="65" t="e">
        <f>SUM(#REF!)</f>
        <v>#REF!</v>
      </c>
      <c r="S746" s="65"/>
      <c r="T746" s="65"/>
      <c r="U746" s="36"/>
      <c r="V746" s="36"/>
      <c r="W746" s="36"/>
      <c r="X746" s="36"/>
      <c r="Y746" s="36"/>
      <c r="Z746" s="36"/>
    </row>
    <row r="747" spans="1:26" ht="14">
      <c r="A747" s="35">
        <v>42144</v>
      </c>
      <c r="B747" s="72" t="s">
        <v>144</v>
      </c>
      <c r="C747" s="165">
        <v>2015</v>
      </c>
      <c r="D747" s="53">
        <v>5</v>
      </c>
      <c r="E747" s="65" t="s">
        <v>223</v>
      </c>
      <c r="F747" s="65" t="s">
        <v>267</v>
      </c>
      <c r="G747" s="65" t="s">
        <v>278</v>
      </c>
      <c r="H747" s="65" t="s">
        <v>269</v>
      </c>
      <c r="I747" s="65" t="s">
        <v>333</v>
      </c>
      <c r="J747" s="36" t="s">
        <v>334</v>
      </c>
      <c r="K747" s="36"/>
      <c r="L747" s="36">
        <v>1</v>
      </c>
      <c r="M747" s="36" t="s">
        <v>229</v>
      </c>
      <c r="N747" s="36" t="s">
        <v>270</v>
      </c>
      <c r="O747" s="36">
        <v>8</v>
      </c>
      <c r="P747" s="65">
        <v>4.5986620298946986E-3</v>
      </c>
      <c r="Q747" s="36">
        <v>1000</v>
      </c>
      <c r="R747" s="36"/>
      <c r="S747" s="36"/>
      <c r="T747" s="36"/>
      <c r="U747" s="36"/>
      <c r="V747" s="36"/>
      <c r="W747" s="36"/>
      <c r="X747" s="36"/>
      <c r="Y747" s="36"/>
      <c r="Z747" s="36"/>
    </row>
    <row r="748" spans="1:26" ht="14">
      <c r="A748" s="35">
        <v>41912</v>
      </c>
      <c r="B748" s="72" t="s">
        <v>157</v>
      </c>
      <c r="C748" s="165">
        <v>2014</v>
      </c>
      <c r="D748" s="47">
        <v>2</v>
      </c>
      <c r="E748" s="65" t="s">
        <v>223</v>
      </c>
      <c r="F748" s="65" t="s">
        <v>267</v>
      </c>
      <c r="G748" s="65" t="s">
        <v>278</v>
      </c>
      <c r="H748" s="65" t="s">
        <v>269</v>
      </c>
      <c r="I748" s="65" t="s">
        <v>333</v>
      </c>
      <c r="J748" s="36" t="s">
        <v>334</v>
      </c>
      <c r="K748" s="36"/>
      <c r="L748" s="36">
        <v>1</v>
      </c>
      <c r="M748" s="36" t="s">
        <v>229</v>
      </c>
      <c r="N748" s="36" t="s">
        <v>270</v>
      </c>
      <c r="O748" s="36">
        <v>97</v>
      </c>
      <c r="P748" s="36">
        <v>1.2453865228851235E-3</v>
      </c>
      <c r="Q748" s="36">
        <v>1000</v>
      </c>
      <c r="R748" s="36"/>
      <c r="S748" s="36"/>
      <c r="T748" s="36"/>
      <c r="U748" s="36"/>
      <c r="V748" s="36"/>
      <c r="W748" s="36"/>
      <c r="X748" s="36"/>
      <c r="Y748" s="36"/>
      <c r="Z748" s="36"/>
    </row>
    <row r="749" spans="1:26" ht="14">
      <c r="A749" s="35">
        <v>41912</v>
      </c>
      <c r="B749" s="35" t="s">
        <v>157</v>
      </c>
      <c r="C749" s="165">
        <v>2014</v>
      </c>
      <c r="D749" s="47">
        <v>5</v>
      </c>
      <c r="E749" s="65" t="s">
        <v>223</v>
      </c>
      <c r="F749" s="65" t="s">
        <v>267</v>
      </c>
      <c r="G749" s="65" t="s">
        <v>268</v>
      </c>
      <c r="H749" s="65" t="s">
        <v>269</v>
      </c>
      <c r="I749" s="65"/>
      <c r="J749" s="65" t="s">
        <v>270</v>
      </c>
      <c r="K749" s="36"/>
      <c r="L749" s="36">
        <v>1</v>
      </c>
      <c r="M749" s="36" t="s">
        <v>229</v>
      </c>
      <c r="N749" s="36" t="s">
        <v>270</v>
      </c>
      <c r="O749" s="36">
        <v>176</v>
      </c>
      <c r="P749" s="36">
        <v>1.1151291054155652E-3</v>
      </c>
      <c r="Q749" s="36">
        <v>1000</v>
      </c>
      <c r="R749" s="36" t="s">
        <v>578</v>
      </c>
      <c r="S749" s="36"/>
      <c r="T749" s="36"/>
      <c r="U749" s="36"/>
      <c r="V749" s="36"/>
      <c r="W749" s="36"/>
      <c r="X749" s="36"/>
      <c r="Y749" s="36"/>
      <c r="Z749" s="36"/>
    </row>
    <row r="750" spans="1:26" ht="14">
      <c r="A750" s="35">
        <v>41851</v>
      </c>
      <c r="B750" s="72" t="s">
        <v>154</v>
      </c>
      <c r="C750" s="165">
        <v>2014</v>
      </c>
      <c r="D750" s="53">
        <v>2</v>
      </c>
      <c r="E750" s="36" t="s">
        <v>223</v>
      </c>
      <c r="F750" s="36" t="s">
        <v>267</v>
      </c>
      <c r="G750" s="36" t="s">
        <v>278</v>
      </c>
      <c r="H750" s="36" t="s">
        <v>269</v>
      </c>
      <c r="I750" s="36" t="s">
        <v>333</v>
      </c>
      <c r="J750" s="36" t="s">
        <v>334</v>
      </c>
      <c r="K750" s="36"/>
      <c r="L750" s="36">
        <v>5</v>
      </c>
      <c r="M750" s="36" t="s">
        <v>229</v>
      </c>
      <c r="N750" s="36" t="s">
        <v>270</v>
      </c>
      <c r="O750" s="36">
        <v>53</v>
      </c>
      <c r="P750" s="65">
        <v>0.1147407914854614</v>
      </c>
      <c r="Q750" s="36">
        <v>1000</v>
      </c>
      <c r="R750" s="36" t="s">
        <v>540</v>
      </c>
      <c r="S750" s="36"/>
      <c r="T750" s="36"/>
      <c r="U750" s="36"/>
      <c r="V750" s="36"/>
      <c r="W750" s="36"/>
      <c r="X750" s="36"/>
      <c r="Y750" s="36"/>
      <c r="Z750" s="36"/>
    </row>
    <row r="751" spans="1:26" ht="14">
      <c r="A751" s="35">
        <v>41851</v>
      </c>
      <c r="B751" s="72" t="s">
        <v>154</v>
      </c>
      <c r="C751" s="165">
        <v>2014</v>
      </c>
      <c r="D751" s="53">
        <v>4</v>
      </c>
      <c r="E751" s="65" t="s">
        <v>223</v>
      </c>
      <c r="F751" s="65" t="s">
        <v>267</v>
      </c>
      <c r="G751" s="65" t="s">
        <v>278</v>
      </c>
      <c r="H751" s="65" t="s">
        <v>269</v>
      </c>
      <c r="I751" s="65" t="s">
        <v>333</v>
      </c>
      <c r="J751" s="65" t="s">
        <v>334</v>
      </c>
      <c r="K751" s="36"/>
      <c r="L751" s="36">
        <v>2</v>
      </c>
      <c r="M751" s="36" t="s">
        <v>229</v>
      </c>
      <c r="N751" s="36" t="s">
        <v>270</v>
      </c>
      <c r="O751" s="36">
        <v>678</v>
      </c>
      <c r="P751" s="65">
        <v>7.7381460576186681E-3</v>
      </c>
      <c r="Q751" s="36">
        <v>1000</v>
      </c>
      <c r="R751" s="36"/>
      <c r="S751" s="36"/>
      <c r="T751" s="36"/>
      <c r="U751" s="36"/>
      <c r="V751" s="36"/>
      <c r="W751" s="36"/>
      <c r="X751" s="36"/>
      <c r="Y751" s="36"/>
      <c r="Z751" s="36"/>
    </row>
    <row r="752" spans="1:26" ht="14">
      <c r="A752" s="72">
        <v>41851</v>
      </c>
      <c r="B752" s="35" t="s">
        <v>154</v>
      </c>
      <c r="C752" s="165">
        <v>2014</v>
      </c>
      <c r="D752" s="53">
        <v>5</v>
      </c>
      <c r="E752" s="65" t="s">
        <v>223</v>
      </c>
      <c r="F752" s="65" t="s">
        <v>267</v>
      </c>
      <c r="G752" s="65" t="s">
        <v>278</v>
      </c>
      <c r="H752" s="65" t="s">
        <v>269</v>
      </c>
      <c r="I752" s="65" t="s">
        <v>333</v>
      </c>
      <c r="J752" s="36" t="s">
        <v>334</v>
      </c>
      <c r="K752" s="36"/>
      <c r="L752" s="36">
        <v>1</v>
      </c>
      <c r="M752" s="36" t="s">
        <v>229</v>
      </c>
      <c r="N752" s="36" t="s">
        <v>270</v>
      </c>
      <c r="O752" s="36">
        <v>138</v>
      </c>
      <c r="P752" s="65">
        <v>4.9595945992906287E-3</v>
      </c>
      <c r="Q752" s="36">
        <v>1000</v>
      </c>
      <c r="R752" s="36"/>
      <c r="S752" s="36"/>
      <c r="T752" s="36"/>
      <c r="U752" s="36"/>
      <c r="V752" s="36"/>
      <c r="W752" s="36"/>
      <c r="X752" s="36"/>
      <c r="Y752" s="36"/>
      <c r="Z752" s="36"/>
    </row>
    <row r="753" spans="1:26" ht="14">
      <c r="A753" s="35">
        <v>41761</v>
      </c>
      <c r="B753" s="72" t="s">
        <v>144</v>
      </c>
      <c r="C753" s="165">
        <v>2014</v>
      </c>
      <c r="D753" s="53">
        <v>4</v>
      </c>
      <c r="E753" s="36" t="s">
        <v>223</v>
      </c>
      <c r="F753" s="36" t="s">
        <v>267</v>
      </c>
      <c r="G753" s="36" t="s">
        <v>278</v>
      </c>
      <c r="H753" s="36" t="s">
        <v>269</v>
      </c>
      <c r="I753" s="36" t="s">
        <v>333</v>
      </c>
      <c r="J753" s="36" t="s">
        <v>334</v>
      </c>
      <c r="K753" s="36"/>
      <c r="L753" s="36">
        <v>26</v>
      </c>
      <c r="M753" s="36" t="s">
        <v>229</v>
      </c>
      <c r="N753" s="36" t="s">
        <v>270</v>
      </c>
      <c r="O753" s="36">
        <v>864</v>
      </c>
      <c r="P753" s="65">
        <v>7.1899645434596732E-2</v>
      </c>
      <c r="Q753" s="36">
        <v>1000</v>
      </c>
      <c r="R753" s="36"/>
      <c r="S753" s="36"/>
      <c r="T753" s="36"/>
      <c r="U753" s="36"/>
      <c r="V753" s="36"/>
      <c r="W753" s="36"/>
      <c r="X753" s="36"/>
      <c r="Y753" s="36"/>
      <c r="Z753" s="36"/>
    </row>
    <row r="754" spans="1:26" ht="14">
      <c r="A754" s="35">
        <v>41480</v>
      </c>
      <c r="B754" s="72" t="s">
        <v>154</v>
      </c>
      <c r="C754" s="165">
        <v>2013</v>
      </c>
      <c r="D754" s="53">
        <v>2</v>
      </c>
      <c r="E754" s="65" t="s">
        <v>223</v>
      </c>
      <c r="F754" s="65" t="s">
        <v>267</v>
      </c>
      <c r="G754" s="65" t="s">
        <v>278</v>
      </c>
      <c r="H754" s="65" t="s">
        <v>269</v>
      </c>
      <c r="I754" s="65" t="s">
        <v>333</v>
      </c>
      <c r="J754" s="36" t="s">
        <v>334</v>
      </c>
      <c r="K754" s="36"/>
      <c r="L754" s="36">
        <v>1</v>
      </c>
      <c r="M754" s="36" t="s">
        <v>229</v>
      </c>
      <c r="N754" s="36" t="s">
        <v>270</v>
      </c>
      <c r="O754" s="36">
        <v>126</v>
      </c>
      <c r="P754" s="36">
        <v>1.001340846044006E-3</v>
      </c>
      <c r="Q754" s="36">
        <v>1000</v>
      </c>
      <c r="R754" s="36"/>
      <c r="S754" s="36"/>
      <c r="T754" s="36"/>
      <c r="U754" s="36"/>
      <c r="V754" s="36"/>
      <c r="W754" s="36"/>
      <c r="X754" s="36"/>
      <c r="Y754" s="36"/>
      <c r="Z754" s="36"/>
    </row>
    <row r="755" spans="1:26" ht="14">
      <c r="A755" s="35">
        <v>41480</v>
      </c>
      <c r="B755" s="72" t="s">
        <v>154</v>
      </c>
      <c r="C755" s="165">
        <v>2013</v>
      </c>
      <c r="D755" s="53">
        <v>4</v>
      </c>
      <c r="E755" s="65" t="s">
        <v>223</v>
      </c>
      <c r="F755" s="36" t="s">
        <v>267</v>
      </c>
      <c r="G755" s="36" t="s">
        <v>278</v>
      </c>
      <c r="H755" s="65" t="s">
        <v>269</v>
      </c>
      <c r="I755" s="65" t="s">
        <v>333</v>
      </c>
      <c r="J755" s="65" t="s">
        <v>334</v>
      </c>
      <c r="K755" s="36"/>
      <c r="L755" s="36">
        <v>1</v>
      </c>
      <c r="M755" s="36" t="s">
        <v>229</v>
      </c>
      <c r="N755" s="36" t="s">
        <v>270</v>
      </c>
      <c r="O755" s="36">
        <v>113</v>
      </c>
      <c r="P755" s="36">
        <v>2.4321460647296414E-3</v>
      </c>
      <c r="Q755" s="36">
        <v>1000</v>
      </c>
      <c r="R755" s="36"/>
      <c r="S755" s="36"/>
      <c r="T755" s="36"/>
      <c r="U755" s="36"/>
      <c r="V755" s="36"/>
      <c r="W755" s="36"/>
      <c r="X755" s="36"/>
      <c r="Y755" s="36"/>
      <c r="Z755" s="36"/>
    </row>
    <row r="756" spans="1:26" ht="14">
      <c r="A756" s="35">
        <v>41422</v>
      </c>
      <c r="B756" s="35" t="s">
        <v>144</v>
      </c>
      <c r="C756" s="165">
        <v>2013</v>
      </c>
      <c r="D756" s="53">
        <v>2</v>
      </c>
      <c r="E756" s="65" t="s">
        <v>223</v>
      </c>
      <c r="F756" s="65" t="s">
        <v>267</v>
      </c>
      <c r="G756" s="65" t="s">
        <v>268</v>
      </c>
      <c r="H756" s="65" t="s">
        <v>269</v>
      </c>
      <c r="I756" s="65"/>
      <c r="J756" s="36" t="s">
        <v>270</v>
      </c>
      <c r="K756" s="36"/>
      <c r="L756" s="36">
        <v>1</v>
      </c>
      <c r="M756" s="36" t="s">
        <v>229</v>
      </c>
      <c r="N756" s="36" t="s">
        <v>270</v>
      </c>
      <c r="O756" s="36">
        <v>40</v>
      </c>
      <c r="P756" s="36">
        <v>2.498819922926661</v>
      </c>
      <c r="Q756" s="36">
        <v>250</v>
      </c>
      <c r="R756" s="36" t="s">
        <v>271</v>
      </c>
      <c r="S756" s="36"/>
      <c r="T756" s="36"/>
      <c r="U756" s="36"/>
      <c r="V756" s="36"/>
      <c r="W756" s="36"/>
      <c r="X756" s="36"/>
      <c r="Y756" s="36"/>
      <c r="Z756" s="36"/>
    </row>
    <row r="757" spans="1:26" ht="14">
      <c r="A757" s="35">
        <v>41422</v>
      </c>
      <c r="B757" s="72" t="s">
        <v>144</v>
      </c>
      <c r="C757" s="165">
        <v>2013</v>
      </c>
      <c r="D757" s="53">
        <v>4</v>
      </c>
      <c r="E757" s="65" t="s">
        <v>223</v>
      </c>
      <c r="F757" s="65" t="s">
        <v>267</v>
      </c>
      <c r="G757" s="65" t="s">
        <v>268</v>
      </c>
      <c r="H757" s="65" t="s">
        <v>269</v>
      </c>
      <c r="I757" s="65"/>
      <c r="J757" s="36" t="s">
        <v>270</v>
      </c>
      <c r="K757" s="36"/>
      <c r="L757" s="36">
        <v>24</v>
      </c>
      <c r="M757" s="36" t="s">
        <v>229</v>
      </c>
      <c r="N757" s="36" t="s">
        <v>270</v>
      </c>
      <c r="O757" s="36">
        <v>88</v>
      </c>
      <c r="P757" s="36">
        <v>4.0230007722748019E-2</v>
      </c>
      <c r="Q757" s="36">
        <v>1000</v>
      </c>
      <c r="R757" s="36" t="s">
        <v>286</v>
      </c>
      <c r="S757" s="36"/>
      <c r="T757" s="36"/>
      <c r="U757" s="36"/>
      <c r="V757" s="36"/>
      <c r="W757" s="36"/>
      <c r="X757" s="36"/>
      <c r="Y757" s="36"/>
      <c r="Z757" s="36"/>
    </row>
    <row r="758" spans="1:26" ht="14">
      <c r="A758" s="35">
        <v>41422</v>
      </c>
      <c r="B758" s="35" t="s">
        <v>144</v>
      </c>
      <c r="C758" s="165">
        <v>2013</v>
      </c>
      <c r="D758" s="53">
        <v>8</v>
      </c>
      <c r="E758" s="65" t="s">
        <v>223</v>
      </c>
      <c r="F758" s="65" t="s">
        <v>267</v>
      </c>
      <c r="G758" s="65" t="s">
        <v>268</v>
      </c>
      <c r="H758" s="65" t="s">
        <v>269</v>
      </c>
      <c r="I758" s="65"/>
      <c r="J758" s="36"/>
      <c r="K758" s="36"/>
      <c r="L758" s="36">
        <v>1</v>
      </c>
      <c r="M758" s="36" t="s">
        <v>634</v>
      </c>
      <c r="N758" s="36" t="s">
        <v>270</v>
      </c>
      <c r="O758" s="36">
        <v>19</v>
      </c>
      <c r="P758" s="36">
        <v>1.3380776987786756E-3</v>
      </c>
      <c r="Q758" s="36">
        <v>1000</v>
      </c>
      <c r="R758" s="36" t="s">
        <v>287</v>
      </c>
      <c r="S758" s="36"/>
      <c r="T758" s="36"/>
      <c r="U758" s="36"/>
      <c r="V758" s="36"/>
      <c r="W758" s="36"/>
      <c r="X758" s="36"/>
      <c r="Y758" s="36"/>
      <c r="Z758" s="36"/>
    </row>
    <row r="759" spans="1:26" ht="14">
      <c r="A759" s="71">
        <v>41851</v>
      </c>
      <c r="B759" s="35" t="s">
        <v>154</v>
      </c>
      <c r="C759" s="165">
        <v>2014</v>
      </c>
      <c r="D759" s="53">
        <v>4</v>
      </c>
      <c r="E759" s="51" t="s">
        <v>223</v>
      </c>
      <c r="F759" s="51" t="s">
        <v>224</v>
      </c>
      <c r="G759" s="51" t="s">
        <v>225</v>
      </c>
      <c r="H759" s="51" t="s">
        <v>226</v>
      </c>
      <c r="I759" s="51" t="s">
        <v>227</v>
      </c>
      <c r="J759" s="3" t="s">
        <v>228</v>
      </c>
      <c r="K759" s="3"/>
      <c r="L759" s="3">
        <v>72</v>
      </c>
      <c r="M759" s="3" t="s">
        <v>229</v>
      </c>
      <c r="N759" s="3" t="s">
        <v>500</v>
      </c>
      <c r="O759" s="3">
        <v>188</v>
      </c>
      <c r="P759" s="65">
        <v>37.29323048417897</v>
      </c>
      <c r="Q759" s="3">
        <v>250</v>
      </c>
      <c r="R759" s="3" t="s">
        <v>496</v>
      </c>
      <c r="S759" s="3"/>
      <c r="T759" s="36"/>
      <c r="U759" s="36"/>
      <c r="V759" s="36"/>
      <c r="W759" s="36"/>
      <c r="X759" s="36"/>
      <c r="Y759" s="36"/>
      <c r="Z759" s="36"/>
    </row>
    <row r="760" spans="1:26" ht="14">
      <c r="A760" s="35">
        <v>43019</v>
      </c>
      <c r="B760" s="35" t="s">
        <v>159</v>
      </c>
      <c r="C760" s="165">
        <v>2017</v>
      </c>
      <c r="D760" s="53">
        <v>2</v>
      </c>
      <c r="E760" s="36" t="s">
        <v>223</v>
      </c>
      <c r="F760" s="36" t="s">
        <v>224</v>
      </c>
      <c r="G760" s="36" t="s">
        <v>225</v>
      </c>
      <c r="H760" s="36" t="s">
        <v>226</v>
      </c>
      <c r="I760" s="36" t="s">
        <v>227</v>
      </c>
      <c r="J760" s="36" t="s">
        <v>228</v>
      </c>
      <c r="K760" s="36"/>
      <c r="L760" s="36">
        <v>104</v>
      </c>
      <c r="M760" s="36" t="s">
        <v>229</v>
      </c>
      <c r="N760" s="36" t="s">
        <v>228</v>
      </c>
      <c r="O760" s="36">
        <v>150</v>
      </c>
      <c r="P760" s="36">
        <v>68.592957608626563</v>
      </c>
      <c r="Q760" s="36">
        <v>250</v>
      </c>
      <c r="R760" s="36"/>
      <c r="S760" s="36"/>
      <c r="T760" s="36"/>
      <c r="U760" s="36"/>
      <c r="V760" s="36"/>
      <c r="W760" s="36"/>
      <c r="X760" s="36"/>
      <c r="Y760" s="36"/>
      <c r="Z760" s="36"/>
    </row>
    <row r="761" spans="1:26" ht="14">
      <c r="A761" s="13">
        <v>43019</v>
      </c>
      <c r="B761" s="72" t="s">
        <v>159</v>
      </c>
      <c r="C761" s="165">
        <v>2017</v>
      </c>
      <c r="D761" s="53">
        <v>4</v>
      </c>
      <c r="E761" s="3" t="s">
        <v>223</v>
      </c>
      <c r="F761" s="3" t="s">
        <v>224</v>
      </c>
      <c r="G761" s="3" t="s">
        <v>225</v>
      </c>
      <c r="H761" s="3" t="s">
        <v>226</v>
      </c>
      <c r="I761" s="3" t="s">
        <v>227</v>
      </c>
      <c r="J761" s="3" t="s">
        <v>228</v>
      </c>
      <c r="K761" s="3"/>
      <c r="L761" s="36">
        <v>63</v>
      </c>
      <c r="M761" s="3" t="s">
        <v>229</v>
      </c>
      <c r="N761" s="36" t="s">
        <v>228</v>
      </c>
      <c r="O761" s="3">
        <v>248</v>
      </c>
      <c r="P761" s="36">
        <v>25.060571245708967</v>
      </c>
      <c r="Q761" s="36">
        <v>250</v>
      </c>
      <c r="R761" s="3"/>
      <c r="S761" s="3"/>
      <c r="T761" s="36"/>
      <c r="U761" s="36"/>
      <c r="V761" s="36"/>
      <c r="W761" s="36"/>
      <c r="X761" s="36"/>
      <c r="Y761" s="36"/>
      <c r="Z761" s="36"/>
    </row>
    <row r="762" spans="1:26" ht="14">
      <c r="A762" s="13">
        <v>43019</v>
      </c>
      <c r="B762" s="72" t="s">
        <v>159</v>
      </c>
      <c r="C762" s="165">
        <v>2017</v>
      </c>
      <c r="D762" s="53">
        <v>5</v>
      </c>
      <c r="E762" s="3" t="s">
        <v>223</v>
      </c>
      <c r="F762" s="3" t="s">
        <v>224</v>
      </c>
      <c r="G762" s="3" t="s">
        <v>225</v>
      </c>
      <c r="H762" s="3" t="s">
        <v>226</v>
      </c>
      <c r="I762" s="3" t="s">
        <v>227</v>
      </c>
      <c r="J762" s="3" t="s">
        <v>228</v>
      </c>
      <c r="K762" s="3"/>
      <c r="L762" s="36">
        <v>105</v>
      </c>
      <c r="M762" s="3" t="s">
        <v>229</v>
      </c>
      <c r="N762" s="36" t="s">
        <v>228</v>
      </c>
      <c r="O762" s="3">
        <v>255</v>
      </c>
      <c r="P762" s="36">
        <v>41.167340782598792</v>
      </c>
      <c r="Q762" s="3">
        <v>250</v>
      </c>
      <c r="R762" s="3"/>
      <c r="S762" s="3"/>
      <c r="T762" s="36"/>
      <c r="U762" s="36"/>
      <c r="V762" s="36"/>
      <c r="W762" s="36"/>
      <c r="X762" s="36"/>
      <c r="Y762" s="36"/>
      <c r="Z762" s="36"/>
    </row>
    <row r="763" spans="1:26" ht="14">
      <c r="A763" s="13">
        <v>43019</v>
      </c>
      <c r="B763" s="35" t="s">
        <v>159</v>
      </c>
      <c r="C763" s="165">
        <v>2017</v>
      </c>
      <c r="D763" s="53">
        <v>8</v>
      </c>
      <c r="E763" s="3" t="s">
        <v>223</v>
      </c>
      <c r="F763" s="3" t="s">
        <v>224</v>
      </c>
      <c r="G763" s="3" t="s">
        <v>225</v>
      </c>
      <c r="H763" s="3" t="s">
        <v>226</v>
      </c>
      <c r="I763" s="3" t="s">
        <v>227</v>
      </c>
      <c r="J763" s="3" t="s">
        <v>228</v>
      </c>
      <c r="K763" s="3"/>
      <c r="L763" s="36">
        <v>161</v>
      </c>
      <c r="M763" s="3" t="s">
        <v>229</v>
      </c>
      <c r="N763" s="36" t="s">
        <v>228</v>
      </c>
      <c r="O763" s="3">
        <v>288</v>
      </c>
      <c r="P763" s="36">
        <v>53.711287474699454</v>
      </c>
      <c r="Q763" s="3">
        <v>250</v>
      </c>
      <c r="R763" s="3"/>
      <c r="S763" s="3"/>
      <c r="T763" s="36"/>
      <c r="U763" s="36"/>
      <c r="V763" s="36"/>
      <c r="W763" s="36"/>
      <c r="X763" s="36"/>
      <c r="Y763" s="36"/>
      <c r="Z763" s="36"/>
    </row>
    <row r="764" spans="1:26" ht="14">
      <c r="A764" s="13">
        <v>42928</v>
      </c>
      <c r="B764" s="35" t="s">
        <v>154</v>
      </c>
      <c r="C764" s="165">
        <v>2017</v>
      </c>
      <c r="D764" s="53">
        <v>2</v>
      </c>
      <c r="E764" s="3" t="s">
        <v>223</v>
      </c>
      <c r="F764" s="3" t="s">
        <v>224</v>
      </c>
      <c r="G764" s="3" t="s">
        <v>225</v>
      </c>
      <c r="H764" s="3" t="s">
        <v>226</v>
      </c>
      <c r="I764" s="3" t="s">
        <v>227</v>
      </c>
      <c r="J764" s="3" t="s">
        <v>228</v>
      </c>
      <c r="K764" s="3"/>
      <c r="L764" s="36">
        <v>347</v>
      </c>
      <c r="M764" s="3" t="s">
        <v>229</v>
      </c>
      <c r="N764" s="36" t="s">
        <v>228</v>
      </c>
      <c r="O764" s="3">
        <v>656</v>
      </c>
      <c r="P764" s="36">
        <v>52.842661184786934</v>
      </c>
      <c r="Q764" s="36">
        <v>250</v>
      </c>
      <c r="R764" s="3"/>
      <c r="S764" s="3"/>
      <c r="T764" s="36"/>
      <c r="U764" s="36"/>
      <c r="V764" s="36"/>
      <c r="W764" s="36"/>
      <c r="X764" s="36"/>
      <c r="Y764" s="36"/>
      <c r="Z764" s="36"/>
    </row>
    <row r="765" spans="1:26" ht="14">
      <c r="A765" s="13">
        <v>42928</v>
      </c>
      <c r="B765" s="72" t="s">
        <v>154</v>
      </c>
      <c r="C765" s="165">
        <v>2017</v>
      </c>
      <c r="D765" s="53">
        <v>4</v>
      </c>
      <c r="E765" s="3" t="s">
        <v>223</v>
      </c>
      <c r="F765" s="3" t="s">
        <v>224</v>
      </c>
      <c r="G765" s="3" t="s">
        <v>225</v>
      </c>
      <c r="H765" s="3" t="s">
        <v>226</v>
      </c>
      <c r="I765" s="3" t="s">
        <v>227</v>
      </c>
      <c r="J765" s="3" t="s">
        <v>228</v>
      </c>
      <c r="K765" s="3"/>
      <c r="L765" s="36">
        <v>35</v>
      </c>
      <c r="M765" s="3" t="s">
        <v>229</v>
      </c>
      <c r="N765" s="36" t="s">
        <v>228</v>
      </c>
      <c r="O765" s="3">
        <v>225</v>
      </c>
      <c r="P765" s="36">
        <v>15.493157423019536</v>
      </c>
      <c r="Q765" s="36">
        <v>250</v>
      </c>
      <c r="R765" s="3"/>
      <c r="S765" s="3"/>
      <c r="T765" s="36"/>
      <c r="U765" s="36"/>
      <c r="V765" s="36"/>
      <c r="W765" s="36"/>
      <c r="X765" s="36"/>
      <c r="Y765" s="36"/>
      <c r="Z765" s="36"/>
    </row>
    <row r="766" spans="1:26" ht="14">
      <c r="A766" s="35">
        <v>42928</v>
      </c>
      <c r="B766" s="72" t="s">
        <v>154</v>
      </c>
      <c r="C766" s="165">
        <v>2017</v>
      </c>
      <c r="D766" s="53">
        <v>5</v>
      </c>
      <c r="E766" s="65" t="s">
        <v>223</v>
      </c>
      <c r="F766" s="65" t="s">
        <v>224</v>
      </c>
      <c r="G766" s="65" t="s">
        <v>225</v>
      </c>
      <c r="H766" s="65" t="s">
        <v>226</v>
      </c>
      <c r="I766" s="65" t="s">
        <v>227</v>
      </c>
      <c r="J766" s="36" t="s">
        <v>228</v>
      </c>
      <c r="K766" s="36"/>
      <c r="L766" s="36">
        <v>125</v>
      </c>
      <c r="M766" s="36" t="s">
        <v>229</v>
      </c>
      <c r="N766" s="36" t="s">
        <v>228</v>
      </c>
      <c r="O766" s="36">
        <v>385</v>
      </c>
      <c r="P766" s="36">
        <v>32.453304570541988</v>
      </c>
      <c r="Q766" s="36">
        <v>250</v>
      </c>
      <c r="R766" s="36"/>
      <c r="S766" s="36"/>
      <c r="T766" s="36"/>
      <c r="U766" s="36"/>
      <c r="V766" s="36"/>
      <c r="W766" s="36"/>
      <c r="X766" s="36"/>
      <c r="Y766" s="36"/>
      <c r="Z766" s="36"/>
    </row>
    <row r="767" spans="1:26" ht="14">
      <c r="A767" s="71">
        <v>42928</v>
      </c>
      <c r="B767" s="72" t="s">
        <v>154</v>
      </c>
      <c r="C767" s="165">
        <v>2017</v>
      </c>
      <c r="D767" s="53">
        <v>8</v>
      </c>
      <c r="E767" s="3" t="s">
        <v>223</v>
      </c>
      <c r="F767" s="3" t="s">
        <v>224</v>
      </c>
      <c r="G767" s="3" t="s">
        <v>225</v>
      </c>
      <c r="H767" s="3" t="s">
        <v>226</v>
      </c>
      <c r="I767" s="3" t="s">
        <v>227</v>
      </c>
      <c r="J767" s="3" t="s">
        <v>228</v>
      </c>
      <c r="K767" s="3"/>
      <c r="L767" s="36">
        <v>77</v>
      </c>
      <c r="M767" s="3" t="s">
        <v>229</v>
      </c>
      <c r="N767" s="36" t="s">
        <v>228</v>
      </c>
      <c r="O767" s="3">
        <v>319</v>
      </c>
      <c r="P767" s="36">
        <v>24.12877933630249</v>
      </c>
      <c r="Q767" s="36">
        <v>250</v>
      </c>
      <c r="R767" s="3"/>
      <c r="S767" s="3"/>
      <c r="T767" s="36"/>
      <c r="U767" s="36"/>
      <c r="V767" s="36"/>
      <c r="W767" s="36"/>
      <c r="X767" s="36"/>
      <c r="Y767" s="36"/>
      <c r="Z767" s="36"/>
    </row>
    <row r="768" spans="1:26" ht="14">
      <c r="A768" s="13">
        <v>42867</v>
      </c>
      <c r="B768" s="72" t="s">
        <v>144</v>
      </c>
      <c r="C768" s="165">
        <v>2017</v>
      </c>
      <c r="D768" s="53">
        <v>4</v>
      </c>
      <c r="E768" s="3" t="s">
        <v>223</v>
      </c>
      <c r="F768" s="3" t="s">
        <v>224</v>
      </c>
      <c r="G768" s="3" t="s">
        <v>225</v>
      </c>
      <c r="H768" s="3" t="s">
        <v>226</v>
      </c>
      <c r="I768" s="3" t="s">
        <v>227</v>
      </c>
      <c r="J768" s="3" t="s">
        <v>228</v>
      </c>
      <c r="K768" s="3"/>
      <c r="L768" s="36">
        <v>6</v>
      </c>
      <c r="M768" s="3" t="s">
        <v>229</v>
      </c>
      <c r="N768" s="36" t="s">
        <v>228</v>
      </c>
      <c r="O768" s="3">
        <v>225</v>
      </c>
      <c r="P768" s="36">
        <v>2.6222405640102515</v>
      </c>
      <c r="Q768" s="3"/>
      <c r="R768" s="3"/>
      <c r="S768" s="3"/>
      <c r="T768" s="36"/>
      <c r="U768" s="36"/>
      <c r="V768" s="36"/>
      <c r="W768" s="36"/>
      <c r="X768" s="36"/>
      <c r="Y768" s="36"/>
      <c r="Z768" s="36"/>
    </row>
    <row r="769" spans="1:26" ht="14">
      <c r="A769" s="13">
        <v>42867</v>
      </c>
      <c r="B769" s="72" t="s">
        <v>144</v>
      </c>
      <c r="C769" s="165">
        <v>2017</v>
      </c>
      <c r="D769" s="53">
        <v>5</v>
      </c>
      <c r="E769" s="3" t="s">
        <v>223</v>
      </c>
      <c r="F769" s="3" t="s">
        <v>224</v>
      </c>
      <c r="G769" s="3" t="s">
        <v>225</v>
      </c>
      <c r="H769" s="3" t="s">
        <v>226</v>
      </c>
      <c r="I769" s="3" t="s">
        <v>227</v>
      </c>
      <c r="J769" s="3" t="s">
        <v>228</v>
      </c>
      <c r="K769" s="3"/>
      <c r="L769" s="36">
        <v>10</v>
      </c>
      <c r="M769" s="3" t="s">
        <v>229</v>
      </c>
      <c r="N769" s="36" t="s">
        <v>228</v>
      </c>
      <c r="O769" s="3">
        <v>222</v>
      </c>
      <c r="P769" s="36">
        <v>4.5030425916501873</v>
      </c>
      <c r="Q769" s="3"/>
      <c r="R769" s="3"/>
      <c r="S769" s="3"/>
      <c r="T769" s="36"/>
      <c r="U769" s="36"/>
      <c r="V769" s="36"/>
      <c r="W769" s="36"/>
      <c r="X769" s="36"/>
      <c r="Y769" s="36"/>
      <c r="Z769" s="36"/>
    </row>
    <row r="770" spans="1:26" ht="14">
      <c r="A770" s="13">
        <v>42867</v>
      </c>
      <c r="B770" s="72" t="s">
        <v>144</v>
      </c>
      <c r="C770" s="165">
        <v>2017</v>
      </c>
      <c r="D770" s="53">
        <v>8</v>
      </c>
      <c r="E770" s="3" t="s">
        <v>223</v>
      </c>
      <c r="F770" s="3" t="s">
        <v>224</v>
      </c>
      <c r="G770" s="3" t="s">
        <v>225</v>
      </c>
      <c r="H770" s="3" t="s">
        <v>226</v>
      </c>
      <c r="I770" s="3" t="s">
        <v>227</v>
      </c>
      <c r="J770" s="3" t="s">
        <v>228</v>
      </c>
      <c r="K770" s="3"/>
      <c r="L770" s="36">
        <v>42</v>
      </c>
      <c r="M770" s="3" t="s">
        <v>229</v>
      </c>
      <c r="N770" s="36" t="s">
        <v>228</v>
      </c>
      <c r="O770" s="3">
        <v>268</v>
      </c>
      <c r="P770" s="36">
        <v>15.644732765618521</v>
      </c>
      <c r="Q770" s="3"/>
      <c r="R770" s="3"/>
      <c r="S770" s="3"/>
      <c r="T770" s="36"/>
      <c r="U770" s="36"/>
      <c r="V770" s="36"/>
      <c r="W770" s="36"/>
      <c r="X770" s="36"/>
      <c r="Y770" s="36"/>
      <c r="Z770" s="36"/>
    </row>
    <row r="771" spans="1:26" ht="14">
      <c r="A771" s="13">
        <v>42634</v>
      </c>
      <c r="B771" s="72" t="s">
        <v>157</v>
      </c>
      <c r="C771" s="165">
        <v>2016</v>
      </c>
      <c r="D771" s="53">
        <v>2</v>
      </c>
      <c r="E771" s="51" t="s">
        <v>223</v>
      </c>
      <c r="F771" s="51" t="s">
        <v>224</v>
      </c>
      <c r="G771" s="51" t="s">
        <v>225</v>
      </c>
      <c r="H771" s="51" t="s">
        <v>226</v>
      </c>
      <c r="I771" s="51" t="s">
        <v>227</v>
      </c>
      <c r="J771" s="3" t="s">
        <v>228</v>
      </c>
      <c r="K771" s="3"/>
      <c r="L771" s="36">
        <v>118</v>
      </c>
      <c r="M771" s="3" t="s">
        <v>229</v>
      </c>
      <c r="N771" s="36" t="s">
        <v>228</v>
      </c>
      <c r="O771" s="3">
        <v>233</v>
      </c>
      <c r="P771" s="36">
        <v>50.636920857103362</v>
      </c>
      <c r="Q771" s="36">
        <v>250</v>
      </c>
      <c r="R771" s="3"/>
      <c r="S771" s="3"/>
      <c r="T771" s="36"/>
      <c r="U771" s="36"/>
      <c r="V771" s="36"/>
      <c r="W771" s="36"/>
      <c r="X771" s="36"/>
      <c r="Y771" s="36"/>
      <c r="Z771" s="36"/>
    </row>
    <row r="772" spans="1:26" ht="14">
      <c r="A772" s="35">
        <v>42634</v>
      </c>
      <c r="B772" s="72" t="s">
        <v>157</v>
      </c>
      <c r="C772" s="165">
        <v>2016</v>
      </c>
      <c r="D772" s="53">
        <v>4</v>
      </c>
      <c r="E772" s="36" t="s">
        <v>223</v>
      </c>
      <c r="F772" s="36" t="s">
        <v>224</v>
      </c>
      <c r="G772" s="36" t="s">
        <v>225</v>
      </c>
      <c r="H772" s="36" t="s">
        <v>226</v>
      </c>
      <c r="I772" s="36" t="s">
        <v>227</v>
      </c>
      <c r="J772" s="36" t="s">
        <v>228</v>
      </c>
      <c r="K772" s="36"/>
      <c r="L772" s="36">
        <v>111</v>
      </c>
      <c r="M772" s="36" t="s">
        <v>229</v>
      </c>
      <c r="N772" s="36" t="s">
        <v>228</v>
      </c>
      <c r="O772" s="36">
        <v>156</v>
      </c>
      <c r="P772" s="76">
        <v>70.970622177443914</v>
      </c>
      <c r="Q772" s="36">
        <v>250</v>
      </c>
      <c r="R772" s="36"/>
      <c r="S772" s="36"/>
      <c r="T772" s="36"/>
      <c r="U772" s="36"/>
      <c r="V772" s="36"/>
      <c r="W772" s="36"/>
      <c r="X772" s="36"/>
      <c r="Y772" s="36"/>
      <c r="Z772" s="36"/>
    </row>
    <row r="773" spans="1:26" ht="14">
      <c r="A773" s="13">
        <v>42634</v>
      </c>
      <c r="B773" s="72" t="s">
        <v>157</v>
      </c>
      <c r="C773" s="165">
        <v>2016</v>
      </c>
      <c r="D773" s="53">
        <v>5</v>
      </c>
      <c r="E773" s="36" t="s">
        <v>223</v>
      </c>
      <c r="F773" s="36" t="s">
        <v>224</v>
      </c>
      <c r="G773" s="36" t="s">
        <v>225</v>
      </c>
      <c r="H773" s="36" t="s">
        <v>226</v>
      </c>
      <c r="I773" s="36" t="s">
        <v>227</v>
      </c>
      <c r="J773" s="36" t="s">
        <v>228</v>
      </c>
      <c r="K773" s="36"/>
      <c r="L773" s="3">
        <v>179</v>
      </c>
      <c r="M773" s="3" t="s">
        <v>229</v>
      </c>
      <c r="N773" s="36" t="s">
        <v>228</v>
      </c>
      <c r="O773" s="3">
        <v>203</v>
      </c>
      <c r="P773" s="36">
        <v>88.100147503169552</v>
      </c>
      <c r="Q773" s="3">
        <v>250</v>
      </c>
      <c r="R773" s="3"/>
      <c r="S773" s="3"/>
      <c r="T773" s="36"/>
      <c r="U773" s="36"/>
      <c r="V773" s="36"/>
      <c r="W773" s="36"/>
      <c r="X773" s="36"/>
      <c r="Y773" s="36"/>
      <c r="Z773" s="36"/>
    </row>
    <row r="774" spans="1:26" ht="14">
      <c r="A774" s="35">
        <v>42634</v>
      </c>
      <c r="B774" s="72" t="s">
        <v>157</v>
      </c>
      <c r="C774" s="165">
        <v>2016</v>
      </c>
      <c r="D774" s="53">
        <v>8</v>
      </c>
      <c r="E774" s="36" t="s">
        <v>223</v>
      </c>
      <c r="F774" s="36" t="s">
        <v>224</v>
      </c>
      <c r="G774" s="36" t="s">
        <v>225</v>
      </c>
      <c r="H774" s="36" t="s">
        <v>226</v>
      </c>
      <c r="I774" s="36" t="s">
        <v>227</v>
      </c>
      <c r="J774" s="36" t="s">
        <v>228</v>
      </c>
      <c r="K774" s="36"/>
      <c r="L774" s="36">
        <v>201</v>
      </c>
      <c r="M774" s="3" t="s">
        <v>229</v>
      </c>
      <c r="N774" s="36" t="s">
        <v>228</v>
      </c>
      <c r="O774" s="36">
        <v>294</v>
      </c>
      <c r="P774" s="36">
        <v>63.947861811896232</v>
      </c>
      <c r="Q774" s="3">
        <v>250</v>
      </c>
      <c r="R774" s="55"/>
      <c r="S774" s="55"/>
      <c r="T774" s="36"/>
      <c r="U774" s="36"/>
      <c r="V774" s="36"/>
      <c r="W774" s="36"/>
      <c r="X774" s="36"/>
      <c r="Y774" s="36"/>
      <c r="Z774" s="36"/>
    </row>
    <row r="775" spans="1:26" ht="14">
      <c r="A775" s="35">
        <v>42571</v>
      </c>
      <c r="B775" s="72" t="s">
        <v>154</v>
      </c>
      <c r="C775" s="165">
        <v>2016</v>
      </c>
      <c r="D775" s="53">
        <v>2</v>
      </c>
      <c r="E775" s="36" t="s">
        <v>223</v>
      </c>
      <c r="F775" s="36" t="s">
        <v>224</v>
      </c>
      <c r="G775" s="36" t="s">
        <v>225</v>
      </c>
      <c r="H775" s="36" t="s">
        <v>226</v>
      </c>
      <c r="I775" s="36" t="s">
        <v>227</v>
      </c>
      <c r="J775" s="36" t="s">
        <v>228</v>
      </c>
      <c r="K775" s="36"/>
      <c r="L775" s="36">
        <v>132</v>
      </c>
      <c r="M775" s="3" t="s">
        <v>229</v>
      </c>
      <c r="N775" s="36" t="s">
        <v>228</v>
      </c>
      <c r="O775" s="36">
        <v>179</v>
      </c>
      <c r="P775" s="36">
        <v>73.735754166585608</v>
      </c>
      <c r="Q775" s="3">
        <v>250</v>
      </c>
      <c r="R775" s="36"/>
      <c r="S775" s="36"/>
      <c r="T775" s="36"/>
      <c r="U775" s="36"/>
      <c r="V775" s="36"/>
      <c r="W775" s="36"/>
      <c r="X775" s="36"/>
      <c r="Y775" s="36"/>
      <c r="Z775" s="36"/>
    </row>
    <row r="776" spans="1:26" ht="14">
      <c r="A776" s="35">
        <v>42571</v>
      </c>
      <c r="B776" s="72" t="s">
        <v>154</v>
      </c>
      <c r="C776" s="165">
        <v>2016</v>
      </c>
      <c r="D776" s="53">
        <v>4</v>
      </c>
      <c r="E776" s="3" t="s">
        <v>223</v>
      </c>
      <c r="F776" s="3" t="s">
        <v>224</v>
      </c>
      <c r="G776" s="3" t="s">
        <v>225</v>
      </c>
      <c r="H776" s="3" t="s">
        <v>226</v>
      </c>
      <c r="I776" s="3" t="s">
        <v>227</v>
      </c>
      <c r="J776" s="3" t="s">
        <v>228</v>
      </c>
      <c r="K776" s="3"/>
      <c r="L776" s="36">
        <v>132</v>
      </c>
      <c r="M776" s="3" t="s">
        <v>229</v>
      </c>
      <c r="N776" s="36" t="s">
        <v>228</v>
      </c>
      <c r="O776" s="3">
        <v>223</v>
      </c>
      <c r="P776" s="36">
        <v>59.169643727038221</v>
      </c>
      <c r="Q776" s="65">
        <v>250</v>
      </c>
      <c r="R776" s="51"/>
      <c r="S776" s="51"/>
      <c r="T776" s="166"/>
      <c r="U776" s="36"/>
      <c r="V776" s="36"/>
      <c r="W776" s="36"/>
      <c r="X776" s="36"/>
      <c r="Y776" s="36"/>
      <c r="Z776" s="36"/>
    </row>
    <row r="777" spans="1:26" ht="14">
      <c r="A777" s="72">
        <v>42571</v>
      </c>
      <c r="B777" s="72" t="s">
        <v>154</v>
      </c>
      <c r="C777" s="165">
        <v>2016</v>
      </c>
      <c r="D777" s="53">
        <v>5</v>
      </c>
      <c r="E777" s="3" t="s">
        <v>223</v>
      </c>
      <c r="F777" s="3" t="s">
        <v>224</v>
      </c>
      <c r="G777" s="3" t="s">
        <v>225</v>
      </c>
      <c r="H777" s="3" t="s">
        <v>226</v>
      </c>
      <c r="I777" s="51" t="s">
        <v>227</v>
      </c>
      <c r="J777" s="51" t="s">
        <v>228</v>
      </c>
      <c r="K777" s="3"/>
      <c r="L777" s="36">
        <v>104</v>
      </c>
      <c r="M777" s="3" t="s">
        <v>229</v>
      </c>
      <c r="N777" s="36" t="s">
        <v>228</v>
      </c>
      <c r="O777" s="3">
        <v>211</v>
      </c>
      <c r="P777" s="65">
        <v>49.2844058559429</v>
      </c>
      <c r="Q777" s="51">
        <v>250</v>
      </c>
      <c r="R777" s="51"/>
      <c r="S777" s="51"/>
      <c r="T777" s="65"/>
      <c r="U777" s="36"/>
      <c r="V777" s="36"/>
      <c r="W777" s="36"/>
      <c r="X777" s="36"/>
      <c r="Y777" s="36"/>
      <c r="Z777" s="36"/>
    </row>
    <row r="778" spans="1:26" ht="14">
      <c r="A778" s="72">
        <v>42571</v>
      </c>
      <c r="B778" s="72" t="s">
        <v>154</v>
      </c>
      <c r="C778" s="165">
        <v>2016</v>
      </c>
      <c r="D778" s="53">
        <v>8</v>
      </c>
      <c r="E778" s="3" t="s">
        <v>223</v>
      </c>
      <c r="F778" s="3" t="s">
        <v>224</v>
      </c>
      <c r="G778" s="3" t="s">
        <v>225</v>
      </c>
      <c r="H778" s="3" t="s">
        <v>226</v>
      </c>
      <c r="I778" s="3" t="s">
        <v>227</v>
      </c>
      <c r="J778" s="3" t="s">
        <v>228</v>
      </c>
      <c r="K778" s="3"/>
      <c r="L778" s="36">
        <v>118</v>
      </c>
      <c r="M778" s="3" t="s">
        <v>229</v>
      </c>
      <c r="N778" s="36" t="s">
        <v>228</v>
      </c>
      <c r="O778" s="3">
        <v>237</v>
      </c>
      <c r="P778" s="36">
        <v>49.782107292745422</v>
      </c>
      <c r="Q778" s="36">
        <v>250</v>
      </c>
      <c r="R778" s="3"/>
      <c r="S778" s="3"/>
      <c r="T778" s="36"/>
      <c r="U778" s="36"/>
      <c r="V778" s="36"/>
      <c r="W778" s="36"/>
      <c r="X778" s="36"/>
      <c r="Y778" s="36"/>
      <c r="Z778" s="36"/>
    </row>
    <row r="779" spans="1:26" ht="14">
      <c r="A779" s="35">
        <v>42515</v>
      </c>
      <c r="B779" s="35" t="s">
        <v>144</v>
      </c>
      <c r="C779" s="165">
        <v>2016</v>
      </c>
      <c r="D779" s="53">
        <v>2</v>
      </c>
      <c r="E779" s="65" t="s">
        <v>223</v>
      </c>
      <c r="F779" s="65" t="s">
        <v>224</v>
      </c>
      <c r="G779" s="65" t="s">
        <v>225</v>
      </c>
      <c r="H779" s="65" t="s">
        <v>226</v>
      </c>
      <c r="I779" s="65" t="s">
        <v>227</v>
      </c>
      <c r="J779" s="36" t="s">
        <v>228</v>
      </c>
      <c r="K779" s="36"/>
      <c r="L779" s="36">
        <v>3</v>
      </c>
      <c r="M779" s="3" t="s">
        <v>229</v>
      </c>
      <c r="N779" s="36" t="s">
        <v>228</v>
      </c>
      <c r="O779" s="36">
        <v>194</v>
      </c>
      <c r="P779" s="65">
        <v>1.5456172951439142</v>
      </c>
      <c r="Q779" s="65">
        <v>250</v>
      </c>
      <c r="R779" s="65"/>
      <c r="S779" s="65"/>
      <c r="T779" s="65"/>
      <c r="U779" s="36"/>
      <c r="V779" s="36"/>
      <c r="W779" s="36"/>
      <c r="X779" s="36"/>
      <c r="Y779" s="36"/>
      <c r="Z779" s="36"/>
    </row>
    <row r="780" spans="1:26" ht="14">
      <c r="A780" s="13">
        <v>42515</v>
      </c>
      <c r="B780" s="35" t="s">
        <v>144</v>
      </c>
      <c r="C780" s="165">
        <v>2016</v>
      </c>
      <c r="D780" s="34">
        <v>4</v>
      </c>
      <c r="E780" s="3" t="s">
        <v>223</v>
      </c>
      <c r="F780" s="3" t="s">
        <v>224</v>
      </c>
      <c r="G780" s="3" t="s">
        <v>225</v>
      </c>
      <c r="H780" s="3" t="s">
        <v>226</v>
      </c>
      <c r="I780" s="3" t="s">
        <v>227</v>
      </c>
      <c r="J780" s="3" t="s">
        <v>228</v>
      </c>
      <c r="K780" s="3"/>
      <c r="L780" s="3">
        <v>14</v>
      </c>
      <c r="M780" s="3" t="s">
        <v>229</v>
      </c>
      <c r="N780" s="3" t="s">
        <v>228</v>
      </c>
      <c r="O780" s="3">
        <v>217</v>
      </c>
      <c r="P780" s="65">
        <v>6.446503603675648</v>
      </c>
      <c r="Q780" s="51">
        <v>250</v>
      </c>
      <c r="R780" s="51"/>
      <c r="S780" s="51"/>
      <c r="T780" s="65"/>
      <c r="U780" s="36"/>
      <c r="V780" s="36"/>
      <c r="W780" s="36"/>
      <c r="X780" s="36"/>
      <c r="Y780" s="36"/>
      <c r="Z780" s="36"/>
    </row>
    <row r="781" spans="1:26" ht="14">
      <c r="A781" s="13">
        <v>42515</v>
      </c>
      <c r="B781" s="35" t="s">
        <v>144</v>
      </c>
      <c r="C781" s="165">
        <v>2016</v>
      </c>
      <c r="D781" s="34">
        <v>5</v>
      </c>
      <c r="E781" s="3" t="s">
        <v>223</v>
      </c>
      <c r="F781" s="3" t="s">
        <v>224</v>
      </c>
      <c r="G781" s="3" t="s">
        <v>225</v>
      </c>
      <c r="H781" s="3" t="s">
        <v>226</v>
      </c>
      <c r="I781" s="3" t="s">
        <v>227</v>
      </c>
      <c r="J781" s="3" t="s">
        <v>228</v>
      </c>
      <c r="K781" s="3"/>
      <c r="L781" s="3">
        <v>2</v>
      </c>
      <c r="M781" s="3" t="s">
        <v>229</v>
      </c>
      <c r="N781" s="3" t="s">
        <v>228</v>
      </c>
      <c r="O781" s="3">
        <v>214</v>
      </c>
      <c r="P781" s="65">
        <v>0.93412878382396536</v>
      </c>
      <c r="Q781" s="3">
        <v>250</v>
      </c>
      <c r="R781" s="3"/>
      <c r="S781" s="3"/>
      <c r="T781" s="36"/>
      <c r="U781" s="36"/>
      <c r="V781" s="36"/>
      <c r="W781" s="36"/>
      <c r="X781" s="36"/>
      <c r="Y781" s="36"/>
      <c r="Z781" s="36"/>
    </row>
    <row r="782" spans="1:26" ht="14">
      <c r="A782" s="169">
        <v>42515</v>
      </c>
      <c r="B782" s="169" t="s">
        <v>144</v>
      </c>
      <c r="C782" s="179">
        <v>2016</v>
      </c>
      <c r="D782" s="177">
        <v>8</v>
      </c>
      <c r="E782" s="170" t="s">
        <v>223</v>
      </c>
      <c r="F782" s="170" t="s">
        <v>224</v>
      </c>
      <c r="G782" s="170" t="s">
        <v>225</v>
      </c>
      <c r="H782" s="170" t="s">
        <v>226</v>
      </c>
      <c r="I782" s="170" t="s">
        <v>227</v>
      </c>
      <c r="J782" s="171" t="s">
        <v>228</v>
      </c>
      <c r="K782" s="171"/>
      <c r="L782" s="171">
        <v>22</v>
      </c>
      <c r="M782" s="171" t="s">
        <v>229</v>
      </c>
      <c r="N782" s="171" t="s">
        <v>228</v>
      </c>
      <c r="O782" s="171">
        <v>252</v>
      </c>
      <c r="P782" s="170">
        <v>8.7290962015296341</v>
      </c>
      <c r="Q782" s="171">
        <v>250</v>
      </c>
      <c r="R782" s="171"/>
      <c r="S782" s="171"/>
      <c r="T782" s="36"/>
      <c r="U782" s="36"/>
      <c r="V782" s="36"/>
      <c r="W782" s="36"/>
      <c r="X782" s="36"/>
      <c r="Y782" s="36"/>
      <c r="Z782" s="36"/>
    </row>
    <row r="783" spans="1:26" ht="14">
      <c r="A783" s="13">
        <v>42263</v>
      </c>
      <c r="B783" s="35" t="s">
        <v>157</v>
      </c>
      <c r="C783" s="165">
        <v>2015</v>
      </c>
      <c r="D783" s="53">
        <v>2</v>
      </c>
      <c r="E783" s="3" t="s">
        <v>223</v>
      </c>
      <c r="F783" s="3" t="s">
        <v>224</v>
      </c>
      <c r="G783" s="3" t="s">
        <v>225</v>
      </c>
      <c r="H783" s="3" t="s">
        <v>226</v>
      </c>
      <c r="I783" s="3" t="s">
        <v>227</v>
      </c>
      <c r="J783" s="3" t="s">
        <v>228</v>
      </c>
      <c r="K783" s="3"/>
      <c r="L783" s="3">
        <v>111</v>
      </c>
      <c r="M783" s="3" t="s">
        <v>229</v>
      </c>
      <c r="N783" s="36" t="s">
        <v>228</v>
      </c>
      <c r="O783" s="3">
        <v>203</v>
      </c>
      <c r="P783" s="36">
        <v>54.672191364622471</v>
      </c>
      <c r="Q783" s="36">
        <v>250</v>
      </c>
      <c r="R783" s="3" t="s">
        <v>483</v>
      </c>
      <c r="S783" s="3"/>
      <c r="T783" s="36"/>
      <c r="U783" s="36"/>
      <c r="V783" s="36"/>
      <c r="W783" s="36"/>
      <c r="X783" s="36"/>
      <c r="Y783" s="36"/>
      <c r="Z783" s="36"/>
    </row>
    <row r="784" spans="1:26" ht="14">
      <c r="A784" s="13">
        <v>42263</v>
      </c>
      <c r="B784" s="35" t="s">
        <v>157</v>
      </c>
      <c r="C784" s="165">
        <v>2015</v>
      </c>
      <c r="D784" s="53">
        <v>4</v>
      </c>
      <c r="E784" s="51" t="s">
        <v>223</v>
      </c>
      <c r="F784" s="51" t="s">
        <v>224</v>
      </c>
      <c r="G784" s="51" t="s">
        <v>225</v>
      </c>
      <c r="H784" s="51" t="s">
        <v>226</v>
      </c>
      <c r="I784" s="51" t="s">
        <v>227</v>
      </c>
      <c r="J784" s="3" t="s">
        <v>228</v>
      </c>
      <c r="K784" s="3"/>
      <c r="L784" s="3">
        <v>37</v>
      </c>
      <c r="M784" s="3" t="s">
        <v>229</v>
      </c>
      <c r="N784" s="36" t="s">
        <v>228</v>
      </c>
      <c r="O784" s="3">
        <v>161</v>
      </c>
      <c r="P784" s="65">
        <v>22.941347476037073</v>
      </c>
      <c r="Q784" s="65">
        <v>250</v>
      </c>
      <c r="R784" s="51"/>
      <c r="S784" s="51"/>
      <c r="T784" s="65"/>
      <c r="U784" s="36"/>
      <c r="V784" s="36"/>
      <c r="W784" s="36"/>
      <c r="X784" s="36"/>
      <c r="Y784" s="36"/>
      <c r="Z784" s="36"/>
    </row>
    <row r="785" spans="1:26" ht="14">
      <c r="A785" s="13">
        <v>42263</v>
      </c>
      <c r="B785" s="35" t="s">
        <v>157</v>
      </c>
      <c r="C785" s="165">
        <v>2015</v>
      </c>
      <c r="D785" s="53">
        <v>5</v>
      </c>
      <c r="E785" s="3" t="s">
        <v>223</v>
      </c>
      <c r="F785" s="3" t="s">
        <v>224</v>
      </c>
      <c r="G785" s="3" t="s">
        <v>225</v>
      </c>
      <c r="H785" s="3" t="s">
        <v>226</v>
      </c>
      <c r="I785" s="3" t="s">
        <v>227</v>
      </c>
      <c r="J785" s="3" t="s">
        <v>228</v>
      </c>
      <c r="K785" s="3"/>
      <c r="L785" s="36">
        <v>109</v>
      </c>
      <c r="M785" s="3" t="s">
        <v>229</v>
      </c>
      <c r="N785" s="3" t="s">
        <v>228</v>
      </c>
      <c r="O785" s="3">
        <v>222</v>
      </c>
      <c r="P785" s="36">
        <v>49.085220709443384</v>
      </c>
      <c r="Q785" s="3">
        <v>250</v>
      </c>
      <c r="R785" s="3" t="s">
        <v>485</v>
      </c>
      <c r="S785" s="3"/>
      <c r="T785" s="36"/>
      <c r="U785" s="36"/>
      <c r="V785" s="36"/>
      <c r="W785" s="36"/>
      <c r="X785" s="36"/>
      <c r="Y785" s="36"/>
      <c r="Z785" s="36"/>
    </row>
    <row r="786" spans="1:26" ht="14">
      <c r="A786" s="13">
        <v>42263</v>
      </c>
      <c r="B786" s="72" t="s">
        <v>157</v>
      </c>
      <c r="C786" s="165">
        <v>2015</v>
      </c>
      <c r="D786" s="53">
        <v>8</v>
      </c>
      <c r="E786" s="3" t="s">
        <v>223</v>
      </c>
      <c r="F786" s="3" t="s">
        <v>224</v>
      </c>
      <c r="G786" s="3" t="s">
        <v>225</v>
      </c>
      <c r="H786" s="3" t="s">
        <v>226</v>
      </c>
      <c r="I786" s="3" t="s">
        <v>227</v>
      </c>
      <c r="J786" s="3" t="s">
        <v>228</v>
      </c>
      <c r="K786" s="3"/>
      <c r="L786" s="36">
        <v>106</v>
      </c>
      <c r="M786" s="3" t="s">
        <v>229</v>
      </c>
      <c r="N786" s="3" t="s">
        <v>228</v>
      </c>
      <c r="O786" s="3">
        <v>244</v>
      </c>
      <c r="P786" s="36">
        <v>43.442622950819668</v>
      </c>
      <c r="Q786" s="36">
        <v>250</v>
      </c>
      <c r="R786" s="3" t="s">
        <v>615</v>
      </c>
      <c r="S786" s="3"/>
      <c r="T786" s="36"/>
      <c r="U786" s="36"/>
      <c r="V786" s="36"/>
      <c r="W786" s="36"/>
      <c r="X786" s="36"/>
      <c r="Y786" s="36"/>
      <c r="Z786" s="36"/>
    </row>
    <row r="787" spans="1:26" ht="14">
      <c r="A787" s="72">
        <v>42206</v>
      </c>
      <c r="B787" s="72" t="s">
        <v>154</v>
      </c>
      <c r="C787" s="165">
        <v>2015</v>
      </c>
      <c r="D787" s="53">
        <v>2</v>
      </c>
      <c r="E787" s="36" t="s">
        <v>223</v>
      </c>
      <c r="F787" s="36" t="s">
        <v>224</v>
      </c>
      <c r="G787" s="36" t="s">
        <v>225</v>
      </c>
      <c r="H787" s="36" t="s">
        <v>226</v>
      </c>
      <c r="I787" s="36" t="s">
        <v>227</v>
      </c>
      <c r="J787" s="36" t="s">
        <v>228</v>
      </c>
      <c r="K787" s="36"/>
      <c r="L787" s="36">
        <v>68</v>
      </c>
      <c r="M787" s="36" t="s">
        <v>229</v>
      </c>
      <c r="N787" s="36" t="s">
        <v>228</v>
      </c>
      <c r="O787" s="36">
        <v>337</v>
      </c>
      <c r="P787" s="36">
        <v>20.171391903861803</v>
      </c>
      <c r="Q787" s="36">
        <v>250</v>
      </c>
      <c r="R787" s="36"/>
      <c r="S787" s="36"/>
      <c r="T787" s="36"/>
      <c r="U787" s="36"/>
      <c r="V787" s="36"/>
      <c r="W787" s="36"/>
      <c r="X787" s="36"/>
      <c r="Y787" s="36"/>
      <c r="Z787" s="36"/>
    </row>
    <row r="788" spans="1:26" ht="14">
      <c r="A788" s="71">
        <v>42206</v>
      </c>
      <c r="B788" s="72" t="s">
        <v>154</v>
      </c>
      <c r="C788" s="165">
        <v>2015</v>
      </c>
      <c r="D788" s="53">
        <v>4</v>
      </c>
      <c r="E788" s="3" t="s">
        <v>223</v>
      </c>
      <c r="F788" s="3" t="s">
        <v>224</v>
      </c>
      <c r="G788" s="3" t="s">
        <v>225</v>
      </c>
      <c r="H788" s="3" t="s">
        <v>226</v>
      </c>
      <c r="I788" s="3" t="s">
        <v>227</v>
      </c>
      <c r="J788" s="3" t="s">
        <v>228</v>
      </c>
      <c r="K788" s="3"/>
      <c r="L788" s="3">
        <v>53</v>
      </c>
      <c r="M788" s="3" t="s">
        <v>229</v>
      </c>
      <c r="N788" s="36" t="s">
        <v>228</v>
      </c>
      <c r="O788" s="3">
        <v>273</v>
      </c>
      <c r="P788" s="65">
        <v>19.153715183403875</v>
      </c>
      <c r="Q788" s="51">
        <v>250</v>
      </c>
      <c r="R788" s="51" t="s">
        <v>472</v>
      </c>
      <c r="S788" s="51"/>
      <c r="T788" s="65"/>
      <c r="U788" s="36"/>
      <c r="V788" s="36"/>
      <c r="W788" s="36"/>
      <c r="X788" s="36"/>
      <c r="Y788" s="36"/>
      <c r="Z788" s="36"/>
    </row>
    <row r="789" spans="1:26" ht="14">
      <c r="A789" s="71">
        <v>42206</v>
      </c>
      <c r="B789" s="72" t="s">
        <v>154</v>
      </c>
      <c r="C789" s="165">
        <v>2015</v>
      </c>
      <c r="D789" s="53">
        <v>5</v>
      </c>
      <c r="E789" s="3" t="s">
        <v>223</v>
      </c>
      <c r="F789" s="3" t="s">
        <v>224</v>
      </c>
      <c r="G789" s="3" t="s">
        <v>225</v>
      </c>
      <c r="H789" s="3" t="s">
        <v>226</v>
      </c>
      <c r="I789" s="3" t="s">
        <v>227</v>
      </c>
      <c r="J789" s="3" t="s">
        <v>228</v>
      </c>
      <c r="K789" s="3"/>
      <c r="L789" s="3">
        <v>40</v>
      </c>
      <c r="M789" s="3" t="s">
        <v>229</v>
      </c>
      <c r="N789" s="36" t="s">
        <v>228</v>
      </c>
      <c r="O789" s="3">
        <v>251</v>
      </c>
      <c r="P789" s="65">
        <v>15.932625176027603</v>
      </c>
      <c r="Q789" s="3">
        <v>250</v>
      </c>
      <c r="R789" s="3"/>
      <c r="S789" s="3"/>
      <c r="T789" s="36"/>
      <c r="U789" s="36"/>
      <c r="V789" s="36"/>
      <c r="W789" s="36"/>
      <c r="X789" s="36"/>
      <c r="Y789" s="36"/>
      <c r="Z789" s="36"/>
    </row>
    <row r="790" spans="1:26" ht="14">
      <c r="A790" s="71">
        <v>42206</v>
      </c>
      <c r="B790" s="72" t="s">
        <v>154</v>
      </c>
      <c r="C790" s="165">
        <v>2015</v>
      </c>
      <c r="D790" s="53">
        <v>8</v>
      </c>
      <c r="E790" s="3" t="s">
        <v>223</v>
      </c>
      <c r="F790" s="3" t="s">
        <v>224</v>
      </c>
      <c r="G790" s="3" t="s">
        <v>225</v>
      </c>
      <c r="H790" s="3" t="s">
        <v>226</v>
      </c>
      <c r="I790" s="3" t="s">
        <v>227</v>
      </c>
      <c r="J790" s="3" t="s">
        <v>228</v>
      </c>
      <c r="K790" s="3"/>
      <c r="L790" s="3">
        <v>68</v>
      </c>
      <c r="M790" s="3" t="s">
        <v>229</v>
      </c>
      <c r="N790" s="36" t="s">
        <v>228</v>
      </c>
      <c r="O790" s="3">
        <v>199</v>
      </c>
      <c r="P790" s="65">
        <v>34.141184804951074</v>
      </c>
      <c r="Q790" s="3">
        <v>250</v>
      </c>
      <c r="R790" s="3" t="s">
        <v>477</v>
      </c>
      <c r="S790" s="3"/>
      <c r="T790" s="36"/>
      <c r="U790" s="36"/>
      <c r="V790" s="36"/>
      <c r="W790" s="36"/>
      <c r="X790" s="36"/>
      <c r="Y790" s="36"/>
      <c r="Z790" s="36"/>
    </row>
    <row r="791" spans="1:26" ht="14">
      <c r="A791" s="35">
        <v>42144</v>
      </c>
      <c r="B791" s="72" t="s">
        <v>144</v>
      </c>
      <c r="C791" s="165">
        <v>2015</v>
      </c>
      <c r="D791" s="53">
        <v>4</v>
      </c>
      <c r="E791" s="36" t="s">
        <v>223</v>
      </c>
      <c r="F791" s="36" t="s">
        <v>224</v>
      </c>
      <c r="G791" s="36" t="s">
        <v>225</v>
      </c>
      <c r="H791" s="36" t="s">
        <v>226</v>
      </c>
      <c r="I791" s="36" t="s">
        <v>227</v>
      </c>
      <c r="J791" s="36" t="s">
        <v>228</v>
      </c>
      <c r="K791" s="36"/>
      <c r="L791" s="36">
        <v>20</v>
      </c>
      <c r="M791" s="36" t="s">
        <v>229</v>
      </c>
      <c r="N791" s="36" t="s">
        <v>228</v>
      </c>
      <c r="O791" s="36">
        <v>229</v>
      </c>
      <c r="P791" s="65">
        <v>8.7258335633669653</v>
      </c>
      <c r="Q791" s="65">
        <v>250</v>
      </c>
      <c r="R791" s="65"/>
      <c r="S791" s="65"/>
      <c r="T791" s="65"/>
      <c r="U791" s="36"/>
      <c r="V791" s="36"/>
      <c r="W791" s="36"/>
      <c r="X791" s="36"/>
      <c r="Y791" s="36"/>
      <c r="Z791" s="36"/>
    </row>
    <row r="792" spans="1:26" ht="14">
      <c r="A792" s="35">
        <v>42144</v>
      </c>
      <c r="B792" s="72" t="s">
        <v>144</v>
      </c>
      <c r="C792" s="165">
        <v>2015</v>
      </c>
      <c r="D792" s="53">
        <v>5</v>
      </c>
      <c r="E792" s="65" t="s">
        <v>223</v>
      </c>
      <c r="F792" s="65" t="s">
        <v>224</v>
      </c>
      <c r="G792" s="65" t="s">
        <v>225</v>
      </c>
      <c r="H792" s="65" t="s">
        <v>226</v>
      </c>
      <c r="I792" s="65" t="s">
        <v>227</v>
      </c>
      <c r="J792" s="36" t="s">
        <v>228</v>
      </c>
      <c r="K792" s="36"/>
      <c r="L792" s="36">
        <v>20</v>
      </c>
      <c r="M792" s="36" t="s">
        <v>229</v>
      </c>
      <c r="N792" s="36" t="s">
        <v>228</v>
      </c>
      <c r="O792" s="36">
        <v>327</v>
      </c>
      <c r="P792" s="36">
        <v>6.1139578412086166</v>
      </c>
      <c r="Q792" s="36">
        <v>250</v>
      </c>
      <c r="R792" s="36" t="s">
        <v>504</v>
      </c>
      <c r="S792" s="36"/>
      <c r="T792" s="36"/>
      <c r="U792" s="36"/>
      <c r="V792" s="36"/>
      <c r="W792" s="36"/>
      <c r="X792" s="36"/>
      <c r="Y792" s="36"/>
      <c r="Z792" s="36"/>
    </row>
    <row r="793" spans="1:26" ht="14">
      <c r="A793" s="63">
        <v>41912</v>
      </c>
      <c r="B793" s="72" t="s">
        <v>157</v>
      </c>
      <c r="C793" s="165">
        <v>2014</v>
      </c>
      <c r="D793" s="53">
        <v>2</v>
      </c>
      <c r="E793" s="51" t="s">
        <v>223</v>
      </c>
      <c r="F793" s="51" t="s">
        <v>224</v>
      </c>
      <c r="G793" s="51" t="s">
        <v>225</v>
      </c>
      <c r="H793" s="51" t="s">
        <v>226</v>
      </c>
      <c r="I793" s="51" t="s">
        <v>227</v>
      </c>
      <c r="J793" s="3" t="s">
        <v>228</v>
      </c>
      <c r="K793" s="3"/>
      <c r="L793" s="3">
        <v>183</v>
      </c>
      <c r="M793" s="3" t="s">
        <v>229</v>
      </c>
      <c r="N793" s="3" t="s">
        <v>228</v>
      </c>
      <c r="O793" s="3">
        <v>232</v>
      </c>
      <c r="P793" s="36">
        <v>78.784022171690765</v>
      </c>
      <c r="Q793" s="36">
        <v>250</v>
      </c>
      <c r="R793" s="3"/>
      <c r="S793" s="3"/>
      <c r="T793" s="36"/>
      <c r="U793" s="36"/>
      <c r="V793" s="36"/>
      <c r="W793" s="36"/>
      <c r="X793" s="36"/>
      <c r="Y793" s="36"/>
      <c r="Z793" s="36"/>
    </row>
    <row r="794" spans="1:26" ht="14">
      <c r="A794" s="13">
        <v>41912</v>
      </c>
      <c r="B794" s="35" t="s">
        <v>157</v>
      </c>
      <c r="C794" s="165">
        <v>2014</v>
      </c>
      <c r="D794" s="53">
        <v>4</v>
      </c>
      <c r="E794" s="3" t="s">
        <v>223</v>
      </c>
      <c r="F794" s="3" t="s">
        <v>224</v>
      </c>
      <c r="G794" s="3" t="s">
        <v>225</v>
      </c>
      <c r="H794" s="3" t="s">
        <v>226</v>
      </c>
      <c r="I794" s="3" t="s">
        <v>227</v>
      </c>
      <c r="J794" s="3" t="s">
        <v>228</v>
      </c>
      <c r="K794" s="3"/>
      <c r="L794" s="3">
        <v>116</v>
      </c>
      <c r="M794" s="3" t="s">
        <v>229</v>
      </c>
      <c r="N794" s="3" t="s">
        <v>228</v>
      </c>
      <c r="O794" s="3">
        <v>237</v>
      </c>
      <c r="P794" s="65">
        <v>48.847124355695229</v>
      </c>
      <c r="Q794" s="3">
        <v>250</v>
      </c>
      <c r="R794" s="3" t="s">
        <v>496</v>
      </c>
      <c r="S794" s="3"/>
      <c r="T794" s="36"/>
      <c r="U794" s="36"/>
      <c r="V794" s="36"/>
      <c r="W794" s="36"/>
      <c r="X794" s="36"/>
      <c r="Y794" s="36"/>
      <c r="Z794" s="36"/>
    </row>
    <row r="795" spans="1:26" ht="14">
      <c r="A795" s="13">
        <v>41912</v>
      </c>
      <c r="B795" s="35" t="s">
        <v>157</v>
      </c>
      <c r="C795" s="165">
        <v>2014</v>
      </c>
      <c r="D795" s="53">
        <v>5</v>
      </c>
      <c r="E795" s="3" t="s">
        <v>223</v>
      </c>
      <c r="F795" s="3" t="s">
        <v>224</v>
      </c>
      <c r="G795" s="3" t="s">
        <v>225</v>
      </c>
      <c r="H795" s="3" t="s">
        <v>226</v>
      </c>
      <c r="I795" s="3" t="s">
        <v>227</v>
      </c>
      <c r="J795" s="3" t="s">
        <v>228</v>
      </c>
      <c r="K795" s="3"/>
      <c r="L795" s="3">
        <v>64</v>
      </c>
      <c r="M795" s="3" t="s">
        <v>229</v>
      </c>
      <c r="N795" s="3" t="s">
        <v>228</v>
      </c>
      <c r="O795" s="3">
        <v>216</v>
      </c>
      <c r="P795" s="36">
        <v>29.571477711836096</v>
      </c>
      <c r="Q795" s="3">
        <v>250</v>
      </c>
      <c r="R795" s="3" t="s">
        <v>472</v>
      </c>
      <c r="S795" s="3"/>
      <c r="T795" s="36"/>
      <c r="U795" s="36"/>
      <c r="V795" s="36"/>
      <c r="W795" s="36"/>
      <c r="X795" s="36"/>
      <c r="Y795" s="36"/>
      <c r="Z795" s="36"/>
    </row>
    <row r="796" spans="1:26" ht="14">
      <c r="A796" s="13">
        <v>41912</v>
      </c>
      <c r="B796" s="35" t="s">
        <v>157</v>
      </c>
      <c r="C796" s="165">
        <v>2014</v>
      </c>
      <c r="D796" s="53">
        <v>8</v>
      </c>
      <c r="E796" s="51" t="s">
        <v>223</v>
      </c>
      <c r="F796" s="51" t="s">
        <v>224</v>
      </c>
      <c r="G796" s="51" t="s">
        <v>225</v>
      </c>
      <c r="H796" s="51" t="s">
        <v>226</v>
      </c>
      <c r="I796" s="34" t="s">
        <v>227</v>
      </c>
      <c r="J796" s="34" t="s">
        <v>228</v>
      </c>
      <c r="K796" s="3"/>
      <c r="L796" s="3">
        <v>143</v>
      </c>
      <c r="M796" s="3" t="s">
        <v>229</v>
      </c>
      <c r="N796" s="3" t="s">
        <v>228</v>
      </c>
      <c r="O796" s="3">
        <v>217</v>
      </c>
      <c r="P796" s="36">
        <v>65.876504649113429</v>
      </c>
      <c r="Q796" s="36">
        <v>250</v>
      </c>
      <c r="R796" s="3" t="s">
        <v>496</v>
      </c>
      <c r="S796" s="3"/>
      <c r="T796" s="36"/>
      <c r="U796" s="36"/>
      <c r="V796" s="36"/>
      <c r="W796" s="36"/>
      <c r="X796" s="36"/>
      <c r="Y796" s="36"/>
      <c r="Z796" s="36"/>
    </row>
    <row r="797" spans="1:26" ht="14">
      <c r="A797" s="35">
        <v>41851</v>
      </c>
      <c r="B797" s="35" t="s">
        <v>154</v>
      </c>
      <c r="C797" s="165">
        <v>2014</v>
      </c>
      <c r="D797" s="53">
        <v>2</v>
      </c>
      <c r="E797" s="65" t="s">
        <v>223</v>
      </c>
      <c r="F797" s="65" t="s">
        <v>224</v>
      </c>
      <c r="G797" s="65" t="s">
        <v>225</v>
      </c>
      <c r="H797" s="65" t="s">
        <v>226</v>
      </c>
      <c r="I797" s="65" t="s">
        <v>227</v>
      </c>
      <c r="J797" s="36" t="s">
        <v>228</v>
      </c>
      <c r="K797" s="36"/>
      <c r="L797" s="36">
        <v>113</v>
      </c>
      <c r="M797" s="36" t="s">
        <v>229</v>
      </c>
      <c r="N797" s="36" t="s">
        <v>228</v>
      </c>
      <c r="O797" s="107">
        <v>119</v>
      </c>
      <c r="P797" s="65">
        <v>93.803054453434569</v>
      </c>
      <c r="Q797" s="36">
        <v>250</v>
      </c>
      <c r="R797" s="36"/>
      <c r="S797" s="36"/>
      <c r="T797" s="36"/>
      <c r="U797" s="36"/>
      <c r="V797" s="36"/>
      <c r="W797" s="36"/>
      <c r="X797" s="36"/>
      <c r="Y797" s="36"/>
      <c r="Z797" s="36"/>
    </row>
    <row r="798" spans="1:26" ht="14">
      <c r="A798" s="71">
        <v>41851</v>
      </c>
      <c r="B798" s="35" t="s">
        <v>154</v>
      </c>
      <c r="C798" s="165">
        <v>2014</v>
      </c>
      <c r="D798" s="53">
        <v>5</v>
      </c>
      <c r="E798" s="3" t="s">
        <v>223</v>
      </c>
      <c r="F798" s="3" t="s">
        <v>224</v>
      </c>
      <c r="G798" s="3" t="s">
        <v>225</v>
      </c>
      <c r="H798" s="3" t="s">
        <v>226</v>
      </c>
      <c r="I798" s="3" t="s">
        <v>227</v>
      </c>
      <c r="J798" s="3" t="s">
        <v>228</v>
      </c>
      <c r="K798" s="3"/>
      <c r="L798" s="3">
        <v>93</v>
      </c>
      <c r="M798" s="3" t="s">
        <v>229</v>
      </c>
      <c r="N798" s="3" t="s">
        <v>228</v>
      </c>
      <c r="O798" s="3">
        <v>205</v>
      </c>
      <c r="P798" s="65">
        <v>45.055358843476576</v>
      </c>
      <c r="Q798" s="3">
        <v>250</v>
      </c>
      <c r="R798" s="3"/>
      <c r="S798" s="3"/>
      <c r="T798" s="36"/>
      <c r="U798" s="36"/>
      <c r="V798" s="36"/>
      <c r="W798" s="36"/>
      <c r="X798" s="36"/>
      <c r="Y798" s="36"/>
      <c r="Z798" s="36"/>
    </row>
    <row r="799" spans="1:26" ht="14">
      <c r="A799" s="13">
        <v>41851</v>
      </c>
      <c r="B799" s="35" t="s">
        <v>154</v>
      </c>
      <c r="C799" s="165">
        <v>2014</v>
      </c>
      <c r="D799" s="53">
        <v>8</v>
      </c>
      <c r="E799" s="3" t="s">
        <v>223</v>
      </c>
      <c r="F799" s="3" t="s">
        <v>224</v>
      </c>
      <c r="G799" s="3" t="s">
        <v>225</v>
      </c>
      <c r="H799" s="3" t="s">
        <v>226</v>
      </c>
      <c r="I799" s="3" t="s">
        <v>227</v>
      </c>
      <c r="J799" s="3" t="s">
        <v>228</v>
      </c>
      <c r="K799" s="3"/>
      <c r="L799" s="3">
        <v>144</v>
      </c>
      <c r="M799" s="3" t="s">
        <v>229</v>
      </c>
      <c r="N799" s="3" t="s">
        <v>228</v>
      </c>
      <c r="O799" s="3">
        <v>237</v>
      </c>
      <c r="P799" s="36">
        <v>60.737725484544434</v>
      </c>
      <c r="Q799" s="36">
        <v>250</v>
      </c>
      <c r="R799" s="3"/>
      <c r="S799" s="3"/>
      <c r="T799" s="36"/>
      <c r="U799" s="36"/>
      <c r="V799" s="36"/>
      <c r="W799" s="36"/>
      <c r="X799" s="36"/>
      <c r="Y799" s="36"/>
      <c r="Z799" s="36"/>
    </row>
    <row r="800" spans="1:26" ht="14">
      <c r="A800" s="35">
        <v>41761</v>
      </c>
      <c r="B800" s="72" t="s">
        <v>144</v>
      </c>
      <c r="C800" s="165">
        <v>2014</v>
      </c>
      <c r="D800" s="53">
        <v>2</v>
      </c>
      <c r="E800" s="36" t="s">
        <v>223</v>
      </c>
      <c r="F800" s="36" t="s">
        <v>224</v>
      </c>
      <c r="G800" s="36" t="s">
        <v>225</v>
      </c>
      <c r="H800" s="36" t="s">
        <v>226</v>
      </c>
      <c r="I800" s="36" t="s">
        <v>227</v>
      </c>
      <c r="J800" s="36" t="s">
        <v>228</v>
      </c>
      <c r="K800" s="36"/>
      <c r="L800" s="36">
        <v>2</v>
      </c>
      <c r="M800" s="36" t="s">
        <v>229</v>
      </c>
      <c r="N800" s="36" t="s">
        <v>228</v>
      </c>
      <c r="O800" s="36">
        <v>29</v>
      </c>
      <c r="P800" s="36">
        <v>6.853212080758901</v>
      </c>
      <c r="Q800" s="65">
        <v>250</v>
      </c>
      <c r="R800" s="65"/>
      <c r="S800" s="65"/>
      <c r="T800" s="65"/>
      <c r="U800" s="36"/>
      <c r="V800" s="36"/>
      <c r="W800" s="36"/>
      <c r="X800" s="36"/>
      <c r="Y800" s="36"/>
      <c r="Z800" s="36"/>
    </row>
    <row r="801" spans="1:26" ht="14">
      <c r="A801" s="13">
        <v>41761</v>
      </c>
      <c r="B801" s="72" t="s">
        <v>144</v>
      </c>
      <c r="C801" s="165">
        <v>2014</v>
      </c>
      <c r="D801" s="53">
        <v>4</v>
      </c>
      <c r="E801" s="51" t="s">
        <v>223</v>
      </c>
      <c r="F801" s="51" t="s">
        <v>224</v>
      </c>
      <c r="G801" s="51" t="s">
        <v>225</v>
      </c>
      <c r="H801" s="51" t="s">
        <v>226</v>
      </c>
      <c r="I801" s="51" t="s">
        <v>227</v>
      </c>
      <c r="J801" s="3" t="s">
        <v>228</v>
      </c>
      <c r="K801" s="3"/>
      <c r="L801" s="3">
        <v>1</v>
      </c>
      <c r="M801" s="3" t="s">
        <v>229</v>
      </c>
      <c r="N801" s="3" t="s">
        <v>228</v>
      </c>
      <c r="O801" s="3">
        <v>256</v>
      </c>
      <c r="P801" s="36">
        <v>0.38129187294839412</v>
      </c>
      <c r="Q801" s="3">
        <v>250</v>
      </c>
      <c r="R801" s="3"/>
      <c r="S801" s="3"/>
      <c r="T801" s="36"/>
      <c r="U801" s="36"/>
      <c r="V801" s="36"/>
      <c r="W801" s="36"/>
      <c r="X801" s="36"/>
      <c r="Y801" s="36"/>
      <c r="Z801" s="36"/>
    </row>
    <row r="802" spans="1:26" ht="14">
      <c r="A802" s="13">
        <v>41761</v>
      </c>
      <c r="B802" s="72" t="s">
        <v>144</v>
      </c>
      <c r="C802" s="165">
        <v>2014</v>
      </c>
      <c r="D802" s="53">
        <v>5</v>
      </c>
      <c r="E802" s="3" t="s">
        <v>223</v>
      </c>
      <c r="F802" s="3" t="s">
        <v>224</v>
      </c>
      <c r="G802" s="3" t="s">
        <v>225</v>
      </c>
      <c r="H802" s="3" t="s">
        <v>226</v>
      </c>
      <c r="I802" s="3" t="s">
        <v>227</v>
      </c>
      <c r="J802" s="3" t="s">
        <v>228</v>
      </c>
      <c r="K802" s="3"/>
      <c r="L802" s="3">
        <v>10</v>
      </c>
      <c r="M802" s="3" t="s">
        <v>229</v>
      </c>
      <c r="N802" s="3" t="s">
        <v>228</v>
      </c>
      <c r="O802" s="3">
        <v>300</v>
      </c>
      <c r="P802" s="65">
        <v>3.3263927147670036</v>
      </c>
      <c r="Q802" s="36">
        <v>250</v>
      </c>
      <c r="R802" s="3"/>
      <c r="S802" s="3"/>
      <c r="T802" s="36"/>
      <c r="U802" s="36"/>
      <c r="V802" s="36"/>
      <c r="W802" s="36"/>
      <c r="X802" s="36"/>
      <c r="Y802" s="36"/>
      <c r="Z802" s="36"/>
    </row>
    <row r="803" spans="1:26" ht="14">
      <c r="A803" s="13">
        <v>41761</v>
      </c>
      <c r="B803" s="35" t="s">
        <v>144</v>
      </c>
      <c r="C803" s="165">
        <v>2014</v>
      </c>
      <c r="D803" s="53">
        <v>8</v>
      </c>
      <c r="E803" s="3" t="s">
        <v>223</v>
      </c>
      <c r="F803" s="3" t="s">
        <v>224</v>
      </c>
      <c r="G803" s="3" t="s">
        <v>225</v>
      </c>
      <c r="H803" s="3" t="s">
        <v>226</v>
      </c>
      <c r="I803" s="51" t="s">
        <v>227</v>
      </c>
      <c r="J803" s="51" t="s">
        <v>228</v>
      </c>
      <c r="K803" s="3"/>
      <c r="L803" s="3">
        <v>8</v>
      </c>
      <c r="M803" s="3" t="s">
        <v>229</v>
      </c>
      <c r="N803" s="3" t="s">
        <v>228</v>
      </c>
      <c r="O803" s="3">
        <v>129</v>
      </c>
      <c r="P803" s="36">
        <v>6.1853454501140384</v>
      </c>
      <c r="Q803" s="51">
        <v>250</v>
      </c>
      <c r="R803" s="51"/>
      <c r="S803" s="51"/>
      <c r="T803" s="65"/>
      <c r="U803" s="36"/>
      <c r="V803" s="36"/>
      <c r="W803" s="36"/>
      <c r="X803" s="36"/>
      <c r="Y803" s="36"/>
      <c r="Z803" s="36"/>
    </row>
    <row r="804" spans="1:26" ht="14">
      <c r="A804" s="71">
        <v>41542</v>
      </c>
      <c r="B804" s="72" t="s">
        <v>157</v>
      </c>
      <c r="C804" s="165">
        <v>2013</v>
      </c>
      <c r="D804" s="34">
        <v>2</v>
      </c>
      <c r="E804" s="51" t="s">
        <v>223</v>
      </c>
      <c r="F804" s="51" t="s">
        <v>224</v>
      </c>
      <c r="G804" s="51" t="s">
        <v>225</v>
      </c>
      <c r="H804" s="51" t="s">
        <v>226</v>
      </c>
      <c r="I804" s="51" t="s">
        <v>227</v>
      </c>
      <c r="J804" s="3" t="s">
        <v>228</v>
      </c>
      <c r="K804" s="3"/>
      <c r="L804" s="3">
        <v>71</v>
      </c>
      <c r="M804" s="3" t="s">
        <v>229</v>
      </c>
      <c r="N804" s="3" t="s">
        <v>228</v>
      </c>
      <c r="O804" s="3">
        <v>110</v>
      </c>
      <c r="P804" s="36">
        <v>63.964050674452963</v>
      </c>
      <c r="Q804" s="3">
        <v>250</v>
      </c>
      <c r="R804" s="3"/>
      <c r="S804" s="3"/>
      <c r="T804" s="36"/>
      <c r="U804" s="36"/>
      <c r="V804" s="36"/>
      <c r="W804" s="36"/>
      <c r="X804" s="36"/>
      <c r="Y804" s="36"/>
      <c r="Z804" s="36"/>
    </row>
    <row r="805" spans="1:26" ht="14">
      <c r="A805" s="13">
        <v>41542</v>
      </c>
      <c r="B805" s="72" t="s">
        <v>157</v>
      </c>
      <c r="C805" s="165">
        <v>2013</v>
      </c>
      <c r="D805" s="34">
        <v>4</v>
      </c>
      <c r="E805" s="51" t="s">
        <v>223</v>
      </c>
      <c r="F805" s="3" t="s">
        <v>224</v>
      </c>
      <c r="G805" s="3" t="s">
        <v>225</v>
      </c>
      <c r="H805" s="51" t="s">
        <v>226</v>
      </c>
      <c r="I805" s="51" t="s">
        <v>227</v>
      </c>
      <c r="J805" s="51" t="s">
        <v>228</v>
      </c>
      <c r="K805" s="3"/>
      <c r="L805" s="3">
        <v>73</v>
      </c>
      <c r="M805" s="3" t="s">
        <v>229</v>
      </c>
      <c r="N805" s="3" t="s">
        <v>228</v>
      </c>
      <c r="O805" s="3">
        <v>159</v>
      </c>
      <c r="P805" s="36">
        <v>45.410550690732457</v>
      </c>
      <c r="Q805" s="3">
        <v>250</v>
      </c>
      <c r="R805" s="3"/>
      <c r="S805" s="3"/>
      <c r="T805" s="36"/>
      <c r="U805" s="36"/>
      <c r="V805" s="36"/>
      <c r="W805" s="36"/>
      <c r="X805" s="36"/>
      <c r="Y805" s="36"/>
      <c r="Z805" s="36"/>
    </row>
    <row r="806" spans="1:26" ht="14">
      <c r="A806" s="71">
        <v>41542</v>
      </c>
      <c r="B806" s="72" t="s">
        <v>157</v>
      </c>
      <c r="C806" s="165">
        <v>2013</v>
      </c>
      <c r="D806" s="34">
        <v>5</v>
      </c>
      <c r="E806" s="3" t="s">
        <v>223</v>
      </c>
      <c r="F806" s="3" t="s">
        <v>224</v>
      </c>
      <c r="G806" s="3" t="s">
        <v>225</v>
      </c>
      <c r="H806" s="3" t="s">
        <v>226</v>
      </c>
      <c r="I806" s="3" t="s">
        <v>227</v>
      </c>
      <c r="J806" s="3" t="s">
        <v>228</v>
      </c>
      <c r="K806" s="3"/>
      <c r="L806" s="3">
        <v>94</v>
      </c>
      <c r="M806" s="3" t="s">
        <v>229</v>
      </c>
      <c r="N806" s="3" t="s">
        <v>228</v>
      </c>
      <c r="O806" s="3">
        <v>206</v>
      </c>
      <c r="P806" s="36">
        <v>45.616368874641374</v>
      </c>
      <c r="Q806" s="3">
        <v>250</v>
      </c>
      <c r="R806" s="3"/>
      <c r="S806" s="3"/>
      <c r="T806" s="36"/>
      <c r="U806" s="36"/>
      <c r="V806" s="36"/>
      <c r="W806" s="36"/>
      <c r="X806" s="36"/>
      <c r="Y806" s="36"/>
      <c r="Z806" s="36"/>
    </row>
    <row r="807" spans="1:26" ht="14">
      <c r="A807" s="13">
        <v>41542</v>
      </c>
      <c r="B807" s="72" t="s">
        <v>157</v>
      </c>
      <c r="C807" s="165">
        <v>2013</v>
      </c>
      <c r="D807" s="34">
        <v>8</v>
      </c>
      <c r="E807" s="3" t="s">
        <v>223</v>
      </c>
      <c r="F807" s="3" t="s">
        <v>224</v>
      </c>
      <c r="G807" s="3" t="s">
        <v>225</v>
      </c>
      <c r="H807" s="3" t="s">
        <v>226</v>
      </c>
      <c r="I807" s="3" t="s">
        <v>227</v>
      </c>
      <c r="J807" s="3" t="s">
        <v>228</v>
      </c>
      <c r="K807" s="3"/>
      <c r="L807" s="3">
        <v>64</v>
      </c>
      <c r="M807" s="3" t="s">
        <v>229</v>
      </c>
      <c r="N807" s="3" t="s">
        <v>228</v>
      </c>
      <c r="O807" s="3">
        <v>183</v>
      </c>
      <c r="P807" s="36">
        <v>34.971615878750306</v>
      </c>
      <c r="Q807" s="3">
        <v>250</v>
      </c>
      <c r="R807" s="3"/>
      <c r="S807" s="3"/>
      <c r="T807" s="36"/>
      <c r="U807" s="36"/>
      <c r="V807" s="36"/>
      <c r="W807" s="36"/>
      <c r="X807" s="36"/>
      <c r="Y807" s="36"/>
      <c r="Z807" s="36"/>
    </row>
    <row r="808" spans="1:26" ht="14">
      <c r="A808" s="72">
        <v>41480</v>
      </c>
      <c r="B808" s="35" t="s">
        <v>154</v>
      </c>
      <c r="C808" s="165">
        <v>2013</v>
      </c>
      <c r="D808" s="53">
        <v>2</v>
      </c>
      <c r="E808" s="65" t="s">
        <v>223</v>
      </c>
      <c r="F808" s="65" t="s">
        <v>224</v>
      </c>
      <c r="G808" s="65" t="s">
        <v>225</v>
      </c>
      <c r="H808" s="65" t="s">
        <v>226</v>
      </c>
      <c r="I808" s="65" t="s">
        <v>227</v>
      </c>
      <c r="J808" s="36" t="s">
        <v>228</v>
      </c>
      <c r="K808" s="36"/>
      <c r="L808" s="36">
        <v>105</v>
      </c>
      <c r="M808" s="36" t="s">
        <v>229</v>
      </c>
      <c r="N808" s="36" t="s">
        <v>228</v>
      </c>
      <c r="O808" s="36">
        <v>125</v>
      </c>
      <c r="P808" s="36">
        <v>83.894018084854309</v>
      </c>
      <c r="Q808" s="36">
        <v>250</v>
      </c>
      <c r="R808" s="36"/>
      <c r="S808" s="36"/>
      <c r="T808" s="36"/>
      <c r="U808" s="36"/>
      <c r="V808" s="36"/>
      <c r="W808" s="36"/>
      <c r="X808" s="36"/>
      <c r="Y808" s="36"/>
      <c r="Z808" s="36"/>
    </row>
    <row r="809" spans="1:26" ht="14">
      <c r="A809" s="13">
        <v>41480</v>
      </c>
      <c r="B809" s="35" t="s">
        <v>154</v>
      </c>
      <c r="C809" s="165">
        <v>2013</v>
      </c>
      <c r="D809" s="34">
        <v>4</v>
      </c>
      <c r="E809" s="3" t="s">
        <v>223</v>
      </c>
      <c r="F809" s="3" t="s">
        <v>224</v>
      </c>
      <c r="G809" s="3" t="s">
        <v>225</v>
      </c>
      <c r="H809" s="3" t="s">
        <v>226</v>
      </c>
      <c r="I809" s="3" t="s">
        <v>227</v>
      </c>
      <c r="J809" s="3" t="s">
        <v>228</v>
      </c>
      <c r="K809" s="3"/>
      <c r="L809" s="3">
        <v>52</v>
      </c>
      <c r="M809" s="3" t="s">
        <v>229</v>
      </c>
      <c r="N809" s="3" t="s">
        <v>228</v>
      </c>
      <c r="O809" s="3">
        <v>124</v>
      </c>
      <c r="P809" s="65">
        <v>41.820231530029453</v>
      </c>
      <c r="Q809" s="3">
        <v>250</v>
      </c>
      <c r="R809" s="3"/>
      <c r="S809" s="3"/>
      <c r="T809" s="36"/>
      <c r="U809" s="36"/>
      <c r="V809" s="36"/>
      <c r="W809" s="36"/>
      <c r="X809" s="36"/>
      <c r="Y809" s="36"/>
      <c r="Z809" s="36"/>
    </row>
    <row r="810" spans="1:26" ht="14">
      <c r="A810" s="13">
        <v>41480</v>
      </c>
      <c r="B810" s="35" t="s">
        <v>154</v>
      </c>
      <c r="C810" s="165">
        <v>2013</v>
      </c>
      <c r="D810" s="34">
        <v>5</v>
      </c>
      <c r="E810" s="3" t="s">
        <v>223</v>
      </c>
      <c r="F810" s="3" t="s">
        <v>224</v>
      </c>
      <c r="G810" s="3" t="s">
        <v>225</v>
      </c>
      <c r="H810" s="3" t="s">
        <v>226</v>
      </c>
      <c r="I810" s="3" t="s">
        <v>227</v>
      </c>
      <c r="J810" s="3" t="s">
        <v>228</v>
      </c>
      <c r="K810" s="3"/>
      <c r="L810" s="3">
        <v>102</v>
      </c>
      <c r="M810" s="3" t="s">
        <v>229</v>
      </c>
      <c r="N810" s="3" t="s">
        <v>228</v>
      </c>
      <c r="O810" s="3">
        <v>155</v>
      </c>
      <c r="P810" s="36">
        <v>65.797172741810954</v>
      </c>
      <c r="Q810" s="3">
        <v>250</v>
      </c>
      <c r="R810" s="3"/>
      <c r="S810" s="3"/>
      <c r="T810" s="36"/>
      <c r="U810" s="36"/>
      <c r="V810" s="36"/>
      <c r="W810" s="36"/>
      <c r="X810" s="36"/>
      <c r="Y810" s="36"/>
      <c r="Z810" s="36"/>
    </row>
    <row r="811" spans="1:26" ht="14">
      <c r="A811" s="13">
        <v>41480</v>
      </c>
      <c r="B811" s="72" t="s">
        <v>154</v>
      </c>
      <c r="C811" s="165">
        <v>2013</v>
      </c>
      <c r="D811" s="34">
        <v>8</v>
      </c>
      <c r="E811" s="3" t="s">
        <v>223</v>
      </c>
      <c r="F811" s="3" t="s">
        <v>224</v>
      </c>
      <c r="G811" s="3" t="s">
        <v>225</v>
      </c>
      <c r="H811" s="3" t="s">
        <v>226</v>
      </c>
      <c r="I811" s="3" t="s">
        <v>227</v>
      </c>
      <c r="J811" s="3" t="s">
        <v>228</v>
      </c>
      <c r="K811" s="3"/>
      <c r="L811" s="3">
        <v>121</v>
      </c>
      <c r="M811" s="3" t="s">
        <v>229</v>
      </c>
      <c r="N811" s="3" t="s">
        <v>228</v>
      </c>
      <c r="O811" s="3">
        <v>251</v>
      </c>
      <c r="P811" s="65">
        <v>48.205027137385102</v>
      </c>
      <c r="Q811" s="3">
        <v>250</v>
      </c>
      <c r="R811" s="3"/>
      <c r="S811" s="3"/>
      <c r="T811" s="36"/>
      <c r="U811" s="36"/>
      <c r="V811" s="36"/>
      <c r="W811" s="36"/>
      <c r="X811" s="36"/>
      <c r="Y811" s="36"/>
      <c r="Z811" s="36"/>
    </row>
    <row r="812" spans="1:26" ht="14">
      <c r="A812" s="71">
        <v>41422</v>
      </c>
      <c r="B812" s="72" t="s">
        <v>144</v>
      </c>
      <c r="C812" s="165">
        <v>2013</v>
      </c>
      <c r="D812" s="34">
        <v>2</v>
      </c>
      <c r="E812" s="3" t="s">
        <v>223</v>
      </c>
      <c r="F812" s="3" t="s">
        <v>224</v>
      </c>
      <c r="G812" s="3" t="s">
        <v>225</v>
      </c>
      <c r="H812" s="3" t="s">
        <v>226</v>
      </c>
      <c r="I812" s="3" t="s">
        <v>227</v>
      </c>
      <c r="J812" s="3" t="s">
        <v>228</v>
      </c>
      <c r="K812" s="3"/>
      <c r="L812" s="3">
        <v>7</v>
      </c>
      <c r="M812" s="3" t="s">
        <v>229</v>
      </c>
      <c r="N812" s="3" t="s">
        <v>228</v>
      </c>
      <c r="O812" s="3">
        <v>40</v>
      </c>
      <c r="P812" s="36">
        <v>17.491739460486624</v>
      </c>
      <c r="Q812" s="3">
        <v>250</v>
      </c>
      <c r="R812" s="3" t="s">
        <v>230</v>
      </c>
      <c r="S812" s="3"/>
      <c r="T812" s="36"/>
      <c r="U812" s="36"/>
      <c r="V812" s="36"/>
      <c r="W812" s="36"/>
      <c r="X812" s="36"/>
      <c r="Y812" s="36"/>
      <c r="Z812" s="36"/>
    </row>
    <row r="813" spans="1:26" ht="14">
      <c r="A813" s="71">
        <v>41422</v>
      </c>
      <c r="B813" s="72" t="s">
        <v>144</v>
      </c>
      <c r="C813" s="165">
        <v>2013</v>
      </c>
      <c r="D813" s="34">
        <v>4</v>
      </c>
      <c r="E813" s="51" t="s">
        <v>223</v>
      </c>
      <c r="F813" s="51" t="s">
        <v>224</v>
      </c>
      <c r="G813" s="51" t="s">
        <v>225</v>
      </c>
      <c r="H813" s="51" t="s">
        <v>226</v>
      </c>
      <c r="I813" s="51" t="s">
        <v>227</v>
      </c>
      <c r="J813" s="3" t="s">
        <v>228</v>
      </c>
      <c r="K813" s="3"/>
      <c r="L813" s="3">
        <v>11</v>
      </c>
      <c r="M813" s="3" t="s">
        <v>229</v>
      </c>
      <c r="N813" s="3" t="s">
        <v>228</v>
      </c>
      <c r="O813" s="3">
        <v>106</v>
      </c>
      <c r="P813" s="65">
        <v>10.362050846118066</v>
      </c>
      <c r="Q813" s="3">
        <v>250</v>
      </c>
      <c r="R813" s="3" t="s">
        <v>230</v>
      </c>
      <c r="S813" s="3"/>
      <c r="T813" s="36"/>
      <c r="U813" s="36"/>
      <c r="V813" s="36"/>
      <c r="W813" s="36"/>
      <c r="X813" s="36"/>
      <c r="Y813" s="36"/>
      <c r="Z813" s="36"/>
    </row>
    <row r="814" spans="1:26" ht="14">
      <c r="A814" s="13">
        <v>41422</v>
      </c>
      <c r="B814" s="72" t="s">
        <v>144</v>
      </c>
      <c r="C814" s="165">
        <v>2013</v>
      </c>
      <c r="D814" s="34">
        <v>5</v>
      </c>
      <c r="E814" s="3" t="s">
        <v>223</v>
      </c>
      <c r="F814" s="3" t="s">
        <v>224</v>
      </c>
      <c r="G814" s="3" t="s">
        <v>225</v>
      </c>
      <c r="H814" s="3" t="s">
        <v>226</v>
      </c>
      <c r="I814" s="3" t="s">
        <v>227</v>
      </c>
      <c r="J814" s="3" t="s">
        <v>228</v>
      </c>
      <c r="K814" s="3"/>
      <c r="L814" s="3">
        <v>33</v>
      </c>
      <c r="M814" s="3" t="s">
        <v>229</v>
      </c>
      <c r="N814" s="3" t="s">
        <v>228</v>
      </c>
      <c r="O814" s="3">
        <v>120</v>
      </c>
      <c r="P814" s="36">
        <v>27.500000000000004</v>
      </c>
      <c r="Q814" s="3">
        <v>250</v>
      </c>
      <c r="R814" s="3" t="s">
        <v>617</v>
      </c>
      <c r="S814" s="3"/>
      <c r="T814" s="36"/>
      <c r="U814" s="36"/>
      <c r="V814" s="36"/>
      <c r="W814" s="36"/>
      <c r="X814" s="36"/>
      <c r="Y814" s="36"/>
      <c r="Z814" s="36"/>
    </row>
    <row r="815" spans="1:26" ht="14">
      <c r="A815" s="13">
        <v>41422</v>
      </c>
      <c r="B815" s="35" t="s">
        <v>144</v>
      </c>
      <c r="C815" s="165">
        <v>2013</v>
      </c>
      <c r="D815" s="34">
        <v>8</v>
      </c>
      <c r="E815" s="51" t="s">
        <v>223</v>
      </c>
      <c r="F815" s="51" t="s">
        <v>224</v>
      </c>
      <c r="G815" s="51" t="s">
        <v>225</v>
      </c>
      <c r="H815" s="51" t="s">
        <v>226</v>
      </c>
      <c r="I815" s="51" t="s">
        <v>227</v>
      </c>
      <c r="J815" s="3" t="s">
        <v>228</v>
      </c>
      <c r="K815" s="3"/>
      <c r="L815" s="3">
        <v>7</v>
      </c>
      <c r="M815" s="3" t="s">
        <v>229</v>
      </c>
      <c r="N815" s="3" t="s">
        <v>228</v>
      </c>
      <c r="O815" s="3">
        <v>89</v>
      </c>
      <c r="P815" s="36">
        <v>7.8631689400681202</v>
      </c>
      <c r="Q815" s="3">
        <v>250</v>
      </c>
      <c r="R815" s="3" t="s">
        <v>231</v>
      </c>
      <c r="S815" s="3"/>
      <c r="T815" s="36"/>
      <c r="U815" s="36"/>
      <c r="V815" s="36"/>
      <c r="W815" s="36"/>
      <c r="X815" s="36"/>
      <c r="Y815" s="36"/>
      <c r="Z815" s="36"/>
    </row>
    <row r="816" spans="1:26" ht="14">
      <c r="A816" s="3"/>
      <c r="B816" s="36"/>
      <c r="C816" s="163"/>
      <c r="D816" s="3"/>
      <c r="E816" s="3"/>
      <c r="F816" s="3"/>
      <c r="G816" s="3"/>
      <c r="H816" s="3"/>
      <c r="I816" s="3"/>
      <c r="J816" s="3"/>
      <c r="K816" s="3"/>
      <c r="L816" s="3"/>
      <c r="M816" s="3"/>
      <c r="N816" s="3"/>
      <c r="O816" s="3"/>
      <c r="P816" s="36"/>
      <c r="Q816" s="3"/>
      <c r="R816" s="3"/>
      <c r="S816" s="3"/>
      <c r="T816" s="36"/>
      <c r="U816" s="36"/>
      <c r="V816" s="36"/>
      <c r="W816" s="36"/>
      <c r="X816" s="36"/>
      <c r="Y816" s="36"/>
      <c r="Z816" s="36"/>
    </row>
    <row r="817" spans="1:26" ht="14">
      <c r="A817" s="3"/>
      <c r="B817" s="36"/>
      <c r="C817" s="163"/>
      <c r="D817" s="3"/>
      <c r="E817" s="3"/>
      <c r="F817" s="3"/>
      <c r="G817" s="3"/>
      <c r="H817" s="3"/>
      <c r="I817" s="3"/>
      <c r="J817" s="3"/>
      <c r="K817" s="3"/>
      <c r="L817" s="3"/>
      <c r="M817" s="3"/>
      <c r="N817" s="3"/>
      <c r="O817" s="3"/>
      <c r="P817" s="36"/>
      <c r="Q817" s="3"/>
      <c r="R817" s="3"/>
      <c r="S817" s="3"/>
      <c r="T817" s="36"/>
      <c r="U817" s="36"/>
      <c r="V817" s="36"/>
      <c r="W817" s="36"/>
      <c r="X817" s="36"/>
      <c r="Y817" s="36"/>
      <c r="Z817" s="36"/>
    </row>
    <row r="818" spans="1:26" ht="14">
      <c r="A818" s="3"/>
      <c r="B818" s="36"/>
      <c r="C818" s="163"/>
      <c r="D818" s="3"/>
      <c r="E818" s="3"/>
      <c r="F818" s="3"/>
      <c r="G818" s="3"/>
      <c r="H818" s="3"/>
      <c r="I818" s="3"/>
      <c r="J818" s="3"/>
      <c r="K818" s="3"/>
      <c r="L818" s="3"/>
      <c r="M818" s="3"/>
      <c r="N818" s="3"/>
      <c r="O818" s="3"/>
      <c r="P818" s="36"/>
      <c r="Q818" s="3"/>
      <c r="R818" s="3"/>
      <c r="S818" s="3"/>
      <c r="T818" s="36"/>
      <c r="U818" s="36"/>
      <c r="V818" s="36"/>
      <c r="W818" s="36"/>
      <c r="X818" s="36"/>
      <c r="Y818" s="36"/>
      <c r="Z818" s="36"/>
    </row>
    <row r="819" spans="1:26" ht="14">
      <c r="A819" s="3"/>
      <c r="B819" s="36"/>
      <c r="C819" s="163"/>
      <c r="D819" s="3"/>
      <c r="E819" s="3"/>
      <c r="F819" s="3"/>
      <c r="G819" s="3"/>
      <c r="H819" s="3"/>
      <c r="I819" s="3"/>
      <c r="J819" s="3"/>
      <c r="K819" s="3"/>
      <c r="L819" s="3"/>
      <c r="M819" s="3"/>
      <c r="N819" s="3"/>
      <c r="O819" s="3"/>
      <c r="P819" s="36"/>
      <c r="Q819" s="3"/>
      <c r="R819" s="3"/>
      <c r="S819" s="3"/>
      <c r="T819" s="36"/>
      <c r="U819" s="36"/>
      <c r="V819" s="36"/>
      <c r="W819" s="36"/>
      <c r="X819" s="36"/>
      <c r="Y819" s="36"/>
      <c r="Z819" s="36"/>
    </row>
    <row r="820" spans="1:26" ht="14">
      <c r="A820" s="3"/>
      <c r="B820" s="36"/>
      <c r="C820" s="163"/>
      <c r="D820" s="3"/>
      <c r="E820" s="3"/>
      <c r="F820" s="3"/>
      <c r="G820" s="3"/>
      <c r="H820" s="3"/>
      <c r="I820" s="3"/>
      <c r="J820" s="3"/>
      <c r="K820" s="3"/>
      <c r="L820" s="3"/>
      <c r="M820" s="3"/>
      <c r="N820" s="3"/>
      <c r="O820" s="3"/>
      <c r="P820" s="36"/>
      <c r="Q820" s="3"/>
      <c r="R820" s="3"/>
      <c r="S820" s="3"/>
      <c r="T820" s="36"/>
      <c r="U820" s="36"/>
      <c r="V820" s="36"/>
      <c r="W820" s="36"/>
      <c r="X820" s="36"/>
      <c r="Y820" s="36"/>
      <c r="Z820" s="36"/>
    </row>
    <row r="821" spans="1:26" ht="14">
      <c r="A821" s="3"/>
      <c r="B821" s="36"/>
      <c r="C821" s="163"/>
      <c r="D821" s="3"/>
      <c r="E821" s="3"/>
      <c r="F821" s="3"/>
      <c r="G821" s="3"/>
      <c r="H821" s="3"/>
      <c r="I821" s="3"/>
      <c r="J821" s="3"/>
      <c r="K821" s="3"/>
      <c r="L821" s="3"/>
      <c r="M821" s="3"/>
      <c r="N821" s="3"/>
      <c r="O821" s="3"/>
      <c r="P821" s="36"/>
      <c r="Q821" s="3"/>
      <c r="R821" s="3"/>
      <c r="S821" s="3"/>
      <c r="T821" s="36"/>
      <c r="U821" s="36"/>
      <c r="V821" s="36"/>
      <c r="W821" s="36"/>
      <c r="X821" s="36"/>
      <c r="Y821" s="36"/>
      <c r="Z821" s="36"/>
    </row>
    <row r="822" spans="1:26" ht="14">
      <c r="A822" s="3"/>
      <c r="B822" s="36"/>
      <c r="C822" s="163"/>
      <c r="D822" s="3"/>
      <c r="E822" s="3"/>
      <c r="F822" s="3"/>
      <c r="G822" s="3"/>
      <c r="H822" s="3"/>
      <c r="I822" s="3"/>
      <c r="J822" s="3"/>
      <c r="K822" s="3"/>
      <c r="L822" s="3"/>
      <c r="M822" s="3"/>
      <c r="N822" s="3"/>
      <c r="O822" s="3"/>
      <c r="P822" s="36"/>
      <c r="Q822" s="3"/>
      <c r="R822" s="3"/>
      <c r="S822" s="3"/>
      <c r="T822" s="36"/>
      <c r="U822" s="36"/>
      <c r="V822" s="36"/>
      <c r="W822" s="36"/>
      <c r="X822" s="36"/>
      <c r="Y822" s="36"/>
      <c r="Z822" s="36"/>
    </row>
    <row r="823" spans="1:26" ht="14">
      <c r="A823" s="3"/>
      <c r="B823" s="36"/>
      <c r="C823" s="163"/>
      <c r="D823" s="3"/>
      <c r="E823" s="3"/>
      <c r="F823" s="3"/>
      <c r="G823" s="3"/>
      <c r="H823" s="3"/>
      <c r="I823" s="3"/>
      <c r="J823" s="3"/>
      <c r="K823" s="3"/>
      <c r="L823" s="3"/>
      <c r="M823" s="3"/>
      <c r="N823" s="3"/>
      <c r="O823" s="3"/>
      <c r="P823" s="36"/>
      <c r="Q823" s="3"/>
      <c r="R823" s="3"/>
      <c r="S823" s="3"/>
      <c r="T823" s="36"/>
      <c r="U823" s="36"/>
      <c r="V823" s="36"/>
      <c r="W823" s="36"/>
      <c r="X823" s="36"/>
      <c r="Y823" s="36"/>
      <c r="Z823" s="36"/>
    </row>
    <row r="824" spans="1:26" ht="14">
      <c r="A824" s="3"/>
      <c r="B824" s="36"/>
      <c r="C824" s="163"/>
      <c r="D824" s="3"/>
      <c r="E824" s="3"/>
      <c r="F824" s="3"/>
      <c r="G824" s="3"/>
      <c r="H824" s="3"/>
      <c r="I824" s="3"/>
      <c r="J824" s="3"/>
      <c r="K824" s="3"/>
      <c r="L824" s="3"/>
      <c r="M824" s="3"/>
      <c r="N824" s="3"/>
      <c r="O824" s="3"/>
      <c r="P824" s="36"/>
      <c r="Q824" s="3"/>
      <c r="R824" s="3"/>
      <c r="S824" s="3"/>
      <c r="T824" s="36"/>
      <c r="U824" s="36"/>
      <c r="V824" s="36"/>
      <c r="W824" s="36"/>
      <c r="X824" s="36"/>
      <c r="Y824" s="36"/>
      <c r="Z824" s="36"/>
    </row>
    <row r="825" spans="1:26" ht="14">
      <c r="A825" s="3"/>
      <c r="B825" s="36"/>
      <c r="C825" s="163"/>
      <c r="D825" s="3"/>
      <c r="E825" s="3"/>
      <c r="F825" s="3"/>
      <c r="G825" s="3"/>
      <c r="H825" s="3"/>
      <c r="I825" s="3"/>
      <c r="J825" s="3"/>
      <c r="K825" s="3"/>
      <c r="L825" s="3"/>
      <c r="M825" s="3"/>
      <c r="N825" s="3"/>
      <c r="O825" s="3"/>
      <c r="P825" s="36"/>
      <c r="Q825" s="3"/>
      <c r="R825" s="3"/>
      <c r="S825" s="3"/>
      <c r="T825" s="36"/>
      <c r="U825" s="36"/>
      <c r="V825" s="36"/>
      <c r="W825" s="36"/>
      <c r="X825" s="36"/>
      <c r="Y825" s="36"/>
      <c r="Z825" s="36"/>
    </row>
    <row r="826" spans="1:26" ht="14">
      <c r="A826" s="3"/>
      <c r="B826" s="36"/>
      <c r="C826" s="163"/>
      <c r="D826" s="3"/>
      <c r="E826" s="3"/>
      <c r="F826" s="3"/>
      <c r="G826" s="3"/>
      <c r="H826" s="3"/>
      <c r="I826" s="3"/>
      <c r="J826" s="3"/>
      <c r="K826" s="3"/>
      <c r="L826" s="3"/>
      <c r="M826" s="3"/>
      <c r="N826" s="3"/>
      <c r="O826" s="3"/>
      <c r="P826" s="36"/>
      <c r="Q826" s="3"/>
      <c r="R826" s="3"/>
      <c r="S826" s="3"/>
      <c r="T826" s="36"/>
      <c r="U826" s="36"/>
      <c r="V826" s="36"/>
      <c r="W826" s="36"/>
      <c r="X826" s="36"/>
      <c r="Y826" s="36"/>
      <c r="Z826" s="36"/>
    </row>
    <row r="827" spans="1:26" ht="14">
      <c r="A827" s="3"/>
      <c r="B827" s="36"/>
      <c r="C827" s="163"/>
      <c r="D827" s="3"/>
      <c r="E827" s="3"/>
      <c r="F827" s="3"/>
      <c r="G827" s="3"/>
      <c r="H827" s="3"/>
      <c r="I827" s="3"/>
      <c r="J827" s="3"/>
      <c r="K827" s="3"/>
      <c r="L827" s="3"/>
      <c r="M827" s="3"/>
      <c r="N827" s="3"/>
      <c r="O827" s="3"/>
      <c r="P827" s="36"/>
      <c r="Q827" s="3"/>
      <c r="R827" s="3"/>
      <c r="S827" s="3"/>
      <c r="T827" s="36"/>
      <c r="U827" s="36"/>
      <c r="V827" s="36"/>
      <c r="W827" s="36"/>
      <c r="X827" s="36"/>
      <c r="Y827" s="36"/>
      <c r="Z827" s="36"/>
    </row>
    <row r="828" spans="1:26" ht="14">
      <c r="A828" s="3"/>
      <c r="B828" s="36"/>
      <c r="C828" s="163"/>
      <c r="D828" s="3"/>
      <c r="E828" s="3"/>
      <c r="F828" s="3"/>
      <c r="G828" s="3"/>
      <c r="H828" s="3"/>
      <c r="I828" s="3"/>
      <c r="J828" s="3"/>
      <c r="K828" s="3"/>
      <c r="L828" s="3"/>
      <c r="M828" s="3"/>
      <c r="N828" s="3"/>
      <c r="O828" s="3"/>
      <c r="P828" s="36"/>
      <c r="Q828" s="3"/>
      <c r="R828" s="3"/>
      <c r="S828" s="3"/>
      <c r="T828" s="36"/>
      <c r="U828" s="36"/>
      <c r="V828" s="36"/>
      <c r="W828" s="36"/>
      <c r="X828" s="36"/>
      <c r="Y828" s="36"/>
      <c r="Z828" s="36"/>
    </row>
    <row r="829" spans="1:26" ht="14">
      <c r="A829" s="3"/>
      <c r="B829" s="36"/>
      <c r="C829" s="163"/>
      <c r="D829" s="3"/>
      <c r="E829" s="3"/>
      <c r="F829" s="3"/>
      <c r="G829" s="3"/>
      <c r="H829" s="3"/>
      <c r="I829" s="3"/>
      <c r="J829" s="3"/>
      <c r="K829" s="3"/>
      <c r="L829" s="3"/>
      <c r="M829" s="3"/>
      <c r="N829" s="3"/>
      <c r="O829" s="3"/>
      <c r="P829" s="36"/>
      <c r="Q829" s="3"/>
      <c r="R829" s="3"/>
      <c r="S829" s="3"/>
      <c r="T829" s="36"/>
      <c r="U829" s="36"/>
      <c r="V829" s="36"/>
      <c r="W829" s="36"/>
      <c r="X829" s="36"/>
      <c r="Y829" s="36"/>
      <c r="Z829" s="36"/>
    </row>
    <row r="830" spans="1:26" ht="14">
      <c r="A830" s="3"/>
      <c r="B830" s="36"/>
      <c r="C830" s="163"/>
      <c r="D830" s="3"/>
      <c r="E830" s="3"/>
      <c r="F830" s="3"/>
      <c r="G830" s="3"/>
      <c r="H830" s="3"/>
      <c r="I830" s="3"/>
      <c r="J830" s="3"/>
      <c r="K830" s="3"/>
      <c r="L830" s="3"/>
      <c r="M830" s="3"/>
      <c r="N830" s="3"/>
      <c r="O830" s="3"/>
      <c r="P830" s="36"/>
      <c r="Q830" s="3"/>
      <c r="R830" s="3"/>
      <c r="S830" s="3"/>
      <c r="T830" s="36"/>
      <c r="U830" s="36"/>
      <c r="V830" s="36"/>
      <c r="W830" s="36"/>
      <c r="X830" s="36"/>
      <c r="Y830" s="36"/>
      <c r="Z830" s="36"/>
    </row>
    <row r="831" spans="1:26" ht="14">
      <c r="A831" s="3"/>
      <c r="B831" s="36"/>
      <c r="C831" s="163"/>
      <c r="D831" s="3"/>
      <c r="E831" s="3"/>
      <c r="F831" s="3"/>
      <c r="G831" s="3"/>
      <c r="H831" s="3"/>
      <c r="I831" s="3"/>
      <c r="J831" s="3"/>
      <c r="K831" s="3"/>
      <c r="L831" s="3"/>
      <c r="M831" s="3"/>
      <c r="N831" s="3"/>
      <c r="O831" s="3"/>
      <c r="P831" s="36"/>
      <c r="Q831" s="3"/>
      <c r="R831" s="3"/>
      <c r="S831" s="3"/>
      <c r="T831" s="36"/>
      <c r="U831" s="36"/>
      <c r="V831" s="36"/>
      <c r="W831" s="36"/>
      <c r="X831" s="36"/>
      <c r="Y831" s="36"/>
      <c r="Z831" s="36"/>
    </row>
    <row r="832" spans="1:26" ht="14">
      <c r="A832" s="3"/>
      <c r="B832" s="36"/>
      <c r="C832" s="163"/>
      <c r="D832" s="3"/>
      <c r="E832" s="3"/>
      <c r="F832" s="3"/>
      <c r="G832" s="3"/>
      <c r="H832" s="3"/>
      <c r="I832" s="3"/>
      <c r="J832" s="3"/>
      <c r="K832" s="3"/>
      <c r="L832" s="3"/>
      <c r="M832" s="3"/>
      <c r="N832" s="3"/>
      <c r="O832" s="3"/>
      <c r="P832" s="36"/>
      <c r="Q832" s="3"/>
      <c r="R832" s="3"/>
      <c r="S832" s="3"/>
      <c r="T832" s="36"/>
      <c r="U832" s="36"/>
      <c r="V832" s="36"/>
      <c r="W832" s="36"/>
      <c r="X832" s="36"/>
      <c r="Y832" s="36"/>
      <c r="Z832" s="36"/>
    </row>
    <row r="833" spans="1:26" ht="14">
      <c r="A833" s="3"/>
      <c r="B833" s="36"/>
      <c r="C833" s="163"/>
      <c r="D833" s="3"/>
      <c r="E833" s="3"/>
      <c r="F833" s="3"/>
      <c r="G833" s="3"/>
      <c r="H833" s="3"/>
      <c r="I833" s="3"/>
      <c r="J833" s="3"/>
      <c r="K833" s="3"/>
      <c r="L833" s="3"/>
      <c r="M833" s="3"/>
      <c r="N833" s="3"/>
      <c r="O833" s="3"/>
      <c r="P833" s="36"/>
      <c r="Q833" s="3"/>
      <c r="R833" s="3"/>
      <c r="S833" s="3"/>
      <c r="T833" s="36"/>
      <c r="U833" s="36"/>
      <c r="V833" s="36"/>
      <c r="W833" s="36"/>
      <c r="X833" s="36"/>
      <c r="Y833" s="36"/>
      <c r="Z833" s="36"/>
    </row>
    <row r="834" spans="1:26" ht="14">
      <c r="A834" s="3"/>
      <c r="B834" s="36"/>
      <c r="C834" s="163"/>
      <c r="D834" s="3"/>
      <c r="E834" s="3"/>
      <c r="F834" s="3"/>
      <c r="G834" s="3"/>
      <c r="H834" s="3"/>
      <c r="I834" s="3"/>
      <c r="J834" s="3"/>
      <c r="K834" s="3"/>
      <c r="L834" s="3"/>
      <c r="M834" s="3"/>
      <c r="N834" s="3"/>
      <c r="O834" s="3"/>
      <c r="P834" s="36"/>
      <c r="Q834" s="3"/>
      <c r="R834" s="3"/>
      <c r="S834" s="3"/>
      <c r="T834" s="36"/>
      <c r="U834" s="36"/>
      <c r="V834" s="36"/>
      <c r="W834" s="36"/>
      <c r="X834" s="36"/>
      <c r="Y834" s="36"/>
      <c r="Z834" s="36"/>
    </row>
    <row r="835" spans="1:26" ht="14">
      <c r="A835" s="3"/>
      <c r="B835" s="36"/>
      <c r="C835" s="163"/>
      <c r="D835" s="3"/>
      <c r="E835" s="3"/>
      <c r="F835" s="3"/>
      <c r="G835" s="3"/>
      <c r="H835" s="3"/>
      <c r="I835" s="3"/>
      <c r="J835" s="3"/>
      <c r="K835" s="3"/>
      <c r="L835" s="3"/>
      <c r="M835" s="3"/>
      <c r="N835" s="3"/>
      <c r="O835" s="3"/>
      <c r="P835" s="36"/>
      <c r="Q835" s="3"/>
      <c r="R835" s="3"/>
      <c r="S835" s="3"/>
      <c r="T835" s="36"/>
      <c r="U835" s="36"/>
      <c r="V835" s="36"/>
      <c r="W835" s="36"/>
      <c r="X835" s="36"/>
      <c r="Y835" s="36"/>
      <c r="Z835" s="36"/>
    </row>
    <row r="836" spans="1:26" ht="14">
      <c r="A836" s="3"/>
      <c r="B836" s="36"/>
      <c r="C836" s="163"/>
      <c r="D836" s="3"/>
      <c r="E836" s="3"/>
      <c r="F836" s="3"/>
      <c r="G836" s="3"/>
      <c r="H836" s="3"/>
      <c r="I836" s="3"/>
      <c r="J836" s="3"/>
      <c r="K836" s="3"/>
      <c r="L836" s="3"/>
      <c r="M836" s="3"/>
      <c r="N836" s="3"/>
      <c r="O836" s="3"/>
      <c r="P836" s="36"/>
      <c r="Q836" s="3"/>
      <c r="R836" s="3"/>
      <c r="S836" s="3"/>
      <c r="T836" s="36"/>
      <c r="U836" s="36"/>
      <c r="V836" s="36"/>
      <c r="W836" s="36"/>
      <c r="X836" s="36"/>
      <c r="Y836" s="36"/>
      <c r="Z836" s="36"/>
    </row>
    <row r="837" spans="1:26" ht="14">
      <c r="A837" s="3"/>
      <c r="B837" s="36"/>
      <c r="C837" s="163"/>
      <c r="D837" s="3"/>
      <c r="E837" s="3"/>
      <c r="F837" s="3"/>
      <c r="G837" s="3"/>
      <c r="H837" s="3"/>
      <c r="I837" s="3"/>
      <c r="J837" s="3"/>
      <c r="K837" s="3"/>
      <c r="L837" s="3"/>
      <c r="M837" s="3"/>
      <c r="N837" s="3"/>
      <c r="O837" s="3"/>
      <c r="P837" s="36"/>
      <c r="Q837" s="3"/>
      <c r="R837" s="3"/>
      <c r="S837" s="3"/>
      <c r="T837" s="36"/>
      <c r="U837" s="36"/>
      <c r="V837" s="36"/>
      <c r="W837" s="36"/>
      <c r="X837" s="36"/>
      <c r="Y837" s="36"/>
      <c r="Z837" s="36"/>
    </row>
    <row r="838" spans="1:26" ht="14">
      <c r="A838" s="3"/>
      <c r="B838" s="36"/>
      <c r="C838" s="163"/>
      <c r="D838" s="3"/>
      <c r="E838" s="3"/>
      <c r="F838" s="3"/>
      <c r="G838" s="3"/>
      <c r="H838" s="3"/>
      <c r="I838" s="3"/>
      <c r="J838" s="3"/>
      <c r="K838" s="3"/>
      <c r="L838" s="3"/>
      <c r="M838" s="3"/>
      <c r="N838" s="3"/>
      <c r="O838" s="3"/>
      <c r="P838" s="36"/>
      <c r="Q838" s="3"/>
      <c r="R838" s="3"/>
      <c r="S838" s="3"/>
      <c r="T838" s="36"/>
      <c r="U838" s="36"/>
      <c r="V838" s="36"/>
      <c r="W838" s="36"/>
      <c r="X838" s="36"/>
      <c r="Y838" s="36"/>
      <c r="Z838" s="36"/>
    </row>
    <row r="839" spans="1:26" ht="14">
      <c r="A839" s="3"/>
      <c r="B839" s="36"/>
      <c r="C839" s="163"/>
      <c r="D839" s="3"/>
      <c r="E839" s="3"/>
      <c r="F839" s="3"/>
      <c r="G839" s="3"/>
      <c r="H839" s="3"/>
      <c r="I839" s="3"/>
      <c r="J839" s="3"/>
      <c r="K839" s="3"/>
      <c r="L839" s="3"/>
      <c r="M839" s="3"/>
      <c r="N839" s="3"/>
      <c r="O839" s="3"/>
      <c r="P839" s="36"/>
      <c r="Q839" s="3"/>
      <c r="R839" s="3"/>
      <c r="S839" s="3"/>
      <c r="T839" s="36"/>
      <c r="U839" s="36"/>
      <c r="V839" s="36"/>
      <c r="W839" s="36"/>
      <c r="X839" s="36"/>
      <c r="Y839" s="36"/>
      <c r="Z839" s="36"/>
    </row>
    <row r="840" spans="1:26" ht="14">
      <c r="A840" s="3"/>
      <c r="B840" s="36"/>
      <c r="C840" s="163"/>
      <c r="D840" s="3"/>
      <c r="E840" s="3"/>
      <c r="F840" s="3"/>
      <c r="G840" s="3"/>
      <c r="H840" s="3"/>
      <c r="I840" s="3"/>
      <c r="J840" s="3"/>
      <c r="K840" s="3"/>
      <c r="L840" s="3"/>
      <c r="M840" s="3"/>
      <c r="N840" s="3"/>
      <c r="O840" s="3"/>
      <c r="P840" s="36"/>
      <c r="Q840" s="3"/>
      <c r="R840" s="3"/>
      <c r="S840" s="3"/>
      <c r="T840" s="36"/>
      <c r="U840" s="36"/>
      <c r="V840" s="36"/>
      <c r="W840" s="36"/>
      <c r="X840" s="36"/>
      <c r="Y840" s="36"/>
      <c r="Z840" s="36"/>
    </row>
    <row r="841" spans="1:26" ht="14">
      <c r="A841" s="3"/>
      <c r="B841" s="36"/>
      <c r="C841" s="163"/>
      <c r="D841" s="3"/>
      <c r="E841" s="3"/>
      <c r="F841" s="3"/>
      <c r="G841" s="3"/>
      <c r="H841" s="3"/>
      <c r="I841" s="3"/>
      <c r="J841" s="3"/>
      <c r="K841" s="3"/>
      <c r="L841" s="3"/>
      <c r="M841" s="3"/>
      <c r="N841" s="3"/>
      <c r="O841" s="3"/>
      <c r="P841" s="36"/>
      <c r="Q841" s="3"/>
      <c r="R841" s="3"/>
      <c r="S841" s="3"/>
      <c r="T841" s="36"/>
      <c r="U841" s="36"/>
      <c r="V841" s="36"/>
      <c r="W841" s="36"/>
      <c r="X841" s="36"/>
      <c r="Y841" s="36"/>
      <c r="Z841" s="36"/>
    </row>
    <row r="842" spans="1:26" ht="14">
      <c r="A842" s="3"/>
      <c r="B842" s="36"/>
      <c r="C842" s="163"/>
      <c r="D842" s="3"/>
      <c r="E842" s="3"/>
      <c r="F842" s="3"/>
      <c r="G842" s="3"/>
      <c r="H842" s="3"/>
      <c r="I842" s="3"/>
      <c r="J842" s="3"/>
      <c r="K842" s="3"/>
      <c r="L842" s="3"/>
      <c r="M842" s="3"/>
      <c r="N842" s="3"/>
      <c r="O842" s="3"/>
      <c r="P842" s="36"/>
      <c r="Q842" s="3"/>
      <c r="R842" s="3"/>
      <c r="S842" s="3"/>
      <c r="T842" s="36"/>
      <c r="U842" s="36"/>
      <c r="V842" s="36"/>
      <c r="W842" s="36"/>
      <c r="X842" s="36"/>
      <c r="Y842" s="36"/>
      <c r="Z842" s="36"/>
    </row>
    <row r="843" spans="1:26" ht="14">
      <c r="A843" s="3"/>
      <c r="B843" s="36"/>
      <c r="C843" s="163"/>
      <c r="D843" s="3"/>
      <c r="E843" s="3"/>
      <c r="F843" s="3"/>
      <c r="G843" s="3"/>
      <c r="H843" s="3"/>
      <c r="I843" s="3"/>
      <c r="J843" s="3"/>
      <c r="K843" s="3"/>
      <c r="L843" s="3"/>
      <c r="M843" s="3"/>
      <c r="N843" s="3"/>
      <c r="O843" s="3"/>
      <c r="P843" s="36"/>
      <c r="Q843" s="3"/>
      <c r="R843" s="3"/>
      <c r="S843" s="3"/>
      <c r="T843" s="36"/>
      <c r="U843" s="36"/>
      <c r="V843" s="36"/>
      <c r="W843" s="36"/>
      <c r="X843" s="36"/>
      <c r="Y843" s="36"/>
      <c r="Z843" s="36"/>
    </row>
    <row r="844" spans="1:26" ht="14">
      <c r="A844" s="3"/>
      <c r="B844" s="36"/>
      <c r="C844" s="163"/>
      <c r="D844" s="3"/>
      <c r="E844" s="3"/>
      <c r="F844" s="3"/>
      <c r="G844" s="3"/>
      <c r="H844" s="3"/>
      <c r="I844" s="3"/>
      <c r="J844" s="3"/>
      <c r="K844" s="3"/>
      <c r="L844" s="3"/>
      <c r="M844" s="3"/>
      <c r="N844" s="3"/>
      <c r="O844" s="3"/>
      <c r="P844" s="36"/>
      <c r="Q844" s="3"/>
      <c r="R844" s="3"/>
      <c r="S844" s="3"/>
      <c r="T844" s="36"/>
      <c r="U844" s="36"/>
      <c r="V844" s="36"/>
      <c r="W844" s="36"/>
      <c r="X844" s="36"/>
      <c r="Y844" s="36"/>
      <c r="Z844" s="36"/>
    </row>
    <row r="845" spans="1:26" ht="14">
      <c r="A845" s="3"/>
      <c r="B845" s="36"/>
      <c r="C845" s="163"/>
      <c r="D845" s="3"/>
      <c r="E845" s="3"/>
      <c r="F845" s="3"/>
      <c r="G845" s="3"/>
      <c r="H845" s="3"/>
      <c r="I845" s="3"/>
      <c r="J845" s="3"/>
      <c r="K845" s="3"/>
      <c r="L845" s="3"/>
      <c r="M845" s="3"/>
      <c r="N845" s="3"/>
      <c r="O845" s="3"/>
      <c r="P845" s="36"/>
      <c r="Q845" s="3"/>
      <c r="R845" s="3"/>
      <c r="S845" s="3"/>
      <c r="T845" s="36"/>
      <c r="U845" s="36"/>
      <c r="V845" s="36"/>
      <c r="W845" s="36"/>
      <c r="X845" s="36"/>
      <c r="Y845" s="36"/>
      <c r="Z845" s="36"/>
    </row>
    <row r="846" spans="1:26" ht="14">
      <c r="A846" s="3"/>
      <c r="B846" s="36"/>
      <c r="C846" s="163"/>
      <c r="D846" s="3"/>
      <c r="E846" s="3"/>
      <c r="F846" s="3"/>
      <c r="G846" s="3"/>
      <c r="H846" s="3"/>
      <c r="I846" s="3"/>
      <c r="J846" s="3"/>
      <c r="K846" s="3"/>
      <c r="L846" s="3"/>
      <c r="M846" s="3"/>
      <c r="N846" s="3"/>
      <c r="O846" s="3"/>
      <c r="P846" s="36"/>
      <c r="Q846" s="3"/>
      <c r="R846" s="3"/>
      <c r="S846" s="3"/>
      <c r="T846" s="36"/>
      <c r="U846" s="36"/>
      <c r="V846" s="36"/>
      <c r="W846" s="36"/>
      <c r="X846" s="36"/>
      <c r="Y846" s="36"/>
      <c r="Z846" s="36"/>
    </row>
    <row r="847" spans="1:26" ht="14">
      <c r="A847" s="3"/>
      <c r="B847" s="36"/>
      <c r="C847" s="163"/>
      <c r="D847" s="3"/>
      <c r="E847" s="3"/>
      <c r="F847" s="3"/>
      <c r="G847" s="3"/>
      <c r="H847" s="3"/>
      <c r="I847" s="3"/>
      <c r="J847" s="3"/>
      <c r="K847" s="3"/>
      <c r="L847" s="3"/>
      <c r="M847" s="3"/>
      <c r="N847" s="3"/>
      <c r="O847" s="3"/>
      <c r="P847" s="36"/>
      <c r="Q847" s="3"/>
      <c r="R847" s="3"/>
      <c r="S847" s="3"/>
      <c r="T847" s="36"/>
      <c r="U847" s="36"/>
      <c r="V847" s="36"/>
      <c r="W847" s="36"/>
      <c r="X847" s="36"/>
      <c r="Y847" s="36"/>
      <c r="Z847" s="36"/>
    </row>
    <row r="848" spans="1:26" ht="14">
      <c r="A848" s="3"/>
      <c r="B848" s="36"/>
      <c r="C848" s="163"/>
      <c r="D848" s="3"/>
      <c r="E848" s="3"/>
      <c r="F848" s="3"/>
      <c r="G848" s="3"/>
      <c r="H848" s="3"/>
      <c r="I848" s="3"/>
      <c r="J848" s="3"/>
      <c r="K848" s="3"/>
      <c r="L848" s="3"/>
      <c r="M848" s="3"/>
      <c r="N848" s="3"/>
      <c r="O848" s="3"/>
      <c r="P848" s="36"/>
      <c r="Q848" s="3"/>
      <c r="R848" s="3"/>
      <c r="S848" s="3"/>
      <c r="T848" s="36"/>
      <c r="U848" s="36"/>
      <c r="V848" s="36"/>
      <c r="W848" s="36"/>
      <c r="X848" s="36"/>
      <c r="Y848" s="36"/>
      <c r="Z848" s="36"/>
    </row>
    <row r="849" spans="1:26" ht="14">
      <c r="A849" s="3"/>
      <c r="B849" s="36"/>
      <c r="C849" s="163"/>
      <c r="D849" s="3"/>
      <c r="E849" s="3"/>
      <c r="F849" s="3"/>
      <c r="G849" s="3"/>
      <c r="H849" s="3"/>
      <c r="I849" s="3"/>
      <c r="J849" s="3"/>
      <c r="K849" s="3"/>
      <c r="L849" s="3"/>
      <c r="M849" s="3"/>
      <c r="N849" s="3"/>
      <c r="O849" s="3"/>
      <c r="P849" s="36"/>
      <c r="Q849" s="3"/>
      <c r="R849" s="3"/>
      <c r="S849" s="3"/>
      <c r="T849" s="36"/>
      <c r="U849" s="36"/>
      <c r="V849" s="36"/>
      <c r="W849" s="36"/>
      <c r="X849" s="36"/>
      <c r="Y849" s="36"/>
      <c r="Z849" s="36"/>
    </row>
    <row r="850" spans="1:26" ht="14">
      <c r="A850" s="3"/>
      <c r="B850" s="36"/>
      <c r="C850" s="163"/>
      <c r="D850" s="3"/>
      <c r="E850" s="3"/>
      <c r="F850" s="3"/>
      <c r="G850" s="3"/>
      <c r="H850" s="3"/>
      <c r="I850" s="3"/>
      <c r="J850" s="3"/>
      <c r="K850" s="3"/>
      <c r="L850" s="3"/>
      <c r="M850" s="3"/>
      <c r="N850" s="3"/>
      <c r="O850" s="3"/>
      <c r="P850" s="36"/>
      <c r="Q850" s="3"/>
      <c r="R850" s="3"/>
      <c r="S850" s="3"/>
      <c r="T850" s="36"/>
      <c r="U850" s="36"/>
      <c r="V850" s="36"/>
      <c r="W850" s="36"/>
      <c r="X850" s="36"/>
      <c r="Y850" s="36"/>
      <c r="Z850" s="36"/>
    </row>
    <row r="851" spans="1:26" ht="14">
      <c r="A851" s="3"/>
      <c r="B851" s="36"/>
      <c r="C851" s="163"/>
      <c r="D851" s="3"/>
      <c r="E851" s="3"/>
      <c r="F851" s="3"/>
      <c r="G851" s="3"/>
      <c r="H851" s="3"/>
      <c r="I851" s="3"/>
      <c r="J851" s="3"/>
      <c r="K851" s="3"/>
      <c r="L851" s="3"/>
      <c r="M851" s="3"/>
      <c r="N851" s="3"/>
      <c r="O851" s="3"/>
      <c r="P851" s="36"/>
      <c r="Q851" s="3"/>
      <c r="R851" s="3"/>
      <c r="S851" s="3"/>
      <c r="T851" s="36"/>
      <c r="U851" s="36"/>
      <c r="V851" s="36"/>
      <c r="W851" s="36"/>
      <c r="X851" s="36"/>
      <c r="Y851" s="36"/>
      <c r="Z851" s="36"/>
    </row>
    <row r="852" spans="1:26" ht="14">
      <c r="A852" s="3"/>
      <c r="B852" s="36"/>
      <c r="C852" s="163"/>
      <c r="D852" s="3"/>
      <c r="E852" s="3"/>
      <c r="F852" s="3"/>
      <c r="G852" s="3"/>
      <c r="H852" s="3"/>
      <c r="I852" s="3"/>
      <c r="J852" s="3"/>
      <c r="K852" s="3"/>
      <c r="L852" s="3"/>
      <c r="M852" s="3"/>
      <c r="N852" s="3"/>
      <c r="O852" s="3"/>
      <c r="P852" s="36"/>
      <c r="Q852" s="3"/>
      <c r="R852" s="3"/>
      <c r="S852" s="3"/>
      <c r="T852" s="36"/>
      <c r="U852" s="36"/>
      <c r="V852" s="36"/>
      <c r="W852" s="36"/>
      <c r="X852" s="36"/>
      <c r="Y852" s="36"/>
      <c r="Z852" s="36"/>
    </row>
    <row r="853" spans="1:26" ht="14">
      <c r="A853" s="3"/>
      <c r="B853" s="36"/>
      <c r="C853" s="163"/>
      <c r="D853" s="3"/>
      <c r="E853" s="3"/>
      <c r="F853" s="3"/>
      <c r="G853" s="3"/>
      <c r="H853" s="3"/>
      <c r="I853" s="3"/>
      <c r="J853" s="3"/>
      <c r="K853" s="3"/>
      <c r="L853" s="3"/>
      <c r="M853" s="3"/>
      <c r="N853" s="3"/>
      <c r="O853" s="3"/>
      <c r="P853" s="36"/>
      <c r="Q853" s="3"/>
      <c r="R853" s="3"/>
      <c r="S853" s="3"/>
      <c r="T853" s="36"/>
      <c r="U853" s="36"/>
      <c r="V853" s="36"/>
      <c r="W853" s="36"/>
      <c r="X853" s="36"/>
      <c r="Y853" s="36"/>
      <c r="Z853" s="36"/>
    </row>
    <row r="854" spans="1:26" ht="14">
      <c r="A854" s="3"/>
      <c r="B854" s="36"/>
      <c r="C854" s="163"/>
      <c r="D854" s="3"/>
      <c r="E854" s="3"/>
      <c r="F854" s="3"/>
      <c r="G854" s="3"/>
      <c r="H854" s="3"/>
      <c r="I854" s="3"/>
      <c r="J854" s="3"/>
      <c r="K854" s="3"/>
      <c r="L854" s="3"/>
      <c r="M854" s="3"/>
      <c r="N854" s="3"/>
      <c r="O854" s="3"/>
      <c r="P854" s="36"/>
      <c r="Q854" s="3"/>
      <c r="R854" s="3"/>
      <c r="S854" s="3"/>
      <c r="T854" s="36"/>
      <c r="U854" s="36"/>
      <c r="V854" s="36"/>
      <c r="W854" s="36"/>
      <c r="X854" s="36"/>
      <c r="Y854" s="36"/>
      <c r="Z854" s="36"/>
    </row>
    <row r="855" spans="1:26" ht="14">
      <c r="A855" s="3"/>
      <c r="B855" s="36"/>
      <c r="C855" s="163"/>
      <c r="D855" s="3"/>
      <c r="E855" s="3"/>
      <c r="F855" s="3"/>
      <c r="G855" s="3"/>
      <c r="H855" s="3"/>
      <c r="I855" s="3"/>
      <c r="J855" s="3"/>
      <c r="K855" s="3"/>
      <c r="L855" s="3"/>
      <c r="M855" s="3"/>
      <c r="N855" s="3"/>
      <c r="O855" s="3"/>
      <c r="P855" s="36"/>
      <c r="Q855" s="3"/>
      <c r="R855" s="3"/>
      <c r="S855" s="3"/>
      <c r="T855" s="36"/>
      <c r="U855" s="36"/>
      <c r="V855" s="36"/>
      <c r="W855" s="36"/>
      <c r="X855" s="36"/>
      <c r="Y855" s="36"/>
      <c r="Z855" s="36"/>
    </row>
    <row r="856" spans="1:26" ht="14">
      <c r="A856" s="3"/>
      <c r="B856" s="36"/>
      <c r="C856" s="163"/>
      <c r="D856" s="3"/>
      <c r="E856" s="3"/>
      <c r="F856" s="3"/>
      <c r="G856" s="3"/>
      <c r="H856" s="3"/>
      <c r="I856" s="3"/>
      <c r="J856" s="3"/>
      <c r="K856" s="3"/>
      <c r="L856" s="3"/>
      <c r="M856" s="3"/>
      <c r="N856" s="3"/>
      <c r="O856" s="3"/>
      <c r="P856" s="36"/>
      <c r="Q856" s="3"/>
      <c r="R856" s="3"/>
      <c r="S856" s="3"/>
      <c r="T856" s="36"/>
      <c r="U856" s="36"/>
      <c r="V856" s="36"/>
      <c r="W856" s="36"/>
      <c r="X856" s="36"/>
      <c r="Y856" s="36"/>
      <c r="Z856" s="36"/>
    </row>
    <row r="857" spans="1:26" ht="14">
      <c r="A857" s="3"/>
      <c r="B857" s="36"/>
      <c r="C857" s="163"/>
      <c r="D857" s="3"/>
      <c r="E857" s="3"/>
      <c r="F857" s="3"/>
      <c r="G857" s="3"/>
      <c r="H857" s="3"/>
      <c r="I857" s="3"/>
      <c r="J857" s="3"/>
      <c r="K857" s="3"/>
      <c r="L857" s="3"/>
      <c r="M857" s="3"/>
      <c r="N857" s="3"/>
      <c r="O857" s="3"/>
      <c r="P857" s="36"/>
      <c r="Q857" s="3"/>
      <c r="R857" s="3"/>
      <c r="S857" s="3"/>
      <c r="T857" s="36"/>
      <c r="U857" s="36"/>
      <c r="V857" s="36"/>
      <c r="W857" s="36"/>
      <c r="X857" s="36"/>
      <c r="Y857" s="36"/>
      <c r="Z857" s="36"/>
    </row>
    <row r="858" spans="1:26" ht="14">
      <c r="A858" s="3"/>
      <c r="B858" s="36"/>
      <c r="C858" s="163"/>
      <c r="D858" s="3"/>
      <c r="E858" s="3"/>
      <c r="F858" s="3"/>
      <c r="G858" s="3"/>
      <c r="H858" s="3"/>
      <c r="I858" s="3"/>
      <c r="J858" s="3"/>
      <c r="K858" s="3"/>
      <c r="L858" s="3"/>
      <c r="M858" s="3"/>
      <c r="N858" s="3"/>
      <c r="O858" s="3"/>
      <c r="P858" s="36"/>
      <c r="Q858" s="3"/>
      <c r="R858" s="3"/>
      <c r="S858" s="3"/>
      <c r="T858" s="36"/>
      <c r="U858" s="36"/>
      <c r="V858" s="36"/>
      <c r="W858" s="36"/>
      <c r="X858" s="36"/>
      <c r="Y858" s="36"/>
      <c r="Z858" s="36"/>
    </row>
    <row r="859" spans="1:26" ht="14">
      <c r="A859" s="3"/>
      <c r="B859" s="36"/>
      <c r="C859" s="163"/>
      <c r="D859" s="3"/>
      <c r="E859" s="3"/>
      <c r="F859" s="3"/>
      <c r="G859" s="3"/>
      <c r="H859" s="3"/>
      <c r="I859" s="3"/>
      <c r="J859" s="3"/>
      <c r="K859" s="3"/>
      <c r="L859" s="3"/>
      <c r="M859" s="3"/>
      <c r="N859" s="3"/>
      <c r="O859" s="3"/>
      <c r="P859" s="36"/>
      <c r="Q859" s="3"/>
      <c r="R859" s="3"/>
      <c r="S859" s="3"/>
      <c r="T859" s="36"/>
      <c r="U859" s="36"/>
      <c r="V859" s="36"/>
      <c r="W859" s="36"/>
      <c r="X859" s="36"/>
      <c r="Y859" s="36"/>
      <c r="Z859" s="36"/>
    </row>
    <row r="860" spans="1:26" ht="14">
      <c r="A860" s="3"/>
      <c r="B860" s="36"/>
      <c r="C860" s="163"/>
      <c r="D860" s="3"/>
      <c r="E860" s="3"/>
      <c r="F860" s="3"/>
      <c r="G860" s="3"/>
      <c r="H860" s="3"/>
      <c r="I860" s="3"/>
      <c r="J860" s="3"/>
      <c r="K860" s="3"/>
      <c r="L860" s="3"/>
      <c r="M860" s="3"/>
      <c r="N860" s="3"/>
      <c r="O860" s="3"/>
      <c r="P860" s="36"/>
      <c r="Q860" s="3"/>
      <c r="R860" s="3"/>
      <c r="S860" s="3"/>
      <c r="T860" s="36"/>
      <c r="U860" s="36"/>
      <c r="V860" s="36"/>
      <c r="W860" s="36"/>
      <c r="X860" s="36"/>
      <c r="Y860" s="36"/>
      <c r="Z860" s="36"/>
    </row>
    <row r="861" spans="1:26" ht="14">
      <c r="A861" s="3"/>
      <c r="B861" s="36"/>
      <c r="C861" s="163"/>
      <c r="D861" s="3"/>
      <c r="E861" s="3"/>
      <c r="F861" s="3"/>
      <c r="G861" s="3"/>
      <c r="H861" s="3"/>
      <c r="I861" s="3"/>
      <c r="J861" s="3"/>
      <c r="K861" s="3"/>
      <c r="L861" s="3"/>
      <c r="M861" s="3"/>
      <c r="N861" s="3"/>
      <c r="O861" s="3"/>
      <c r="P861" s="36"/>
      <c r="Q861" s="3"/>
      <c r="R861" s="3"/>
      <c r="S861" s="3"/>
      <c r="T861" s="36"/>
      <c r="U861" s="36"/>
      <c r="V861" s="36"/>
      <c r="W861" s="36"/>
      <c r="X861" s="36"/>
      <c r="Y861" s="36"/>
      <c r="Z861" s="36"/>
    </row>
    <row r="862" spans="1:26" ht="14">
      <c r="A862" s="3"/>
      <c r="B862" s="36"/>
      <c r="C862" s="163"/>
      <c r="D862" s="3"/>
      <c r="E862" s="3"/>
      <c r="F862" s="3"/>
      <c r="G862" s="3"/>
      <c r="H862" s="3"/>
      <c r="I862" s="3"/>
      <c r="J862" s="3"/>
      <c r="K862" s="3"/>
      <c r="L862" s="3"/>
      <c r="M862" s="3"/>
      <c r="N862" s="3"/>
      <c r="O862" s="3"/>
      <c r="P862" s="36"/>
      <c r="Q862" s="3"/>
      <c r="R862" s="3"/>
      <c r="S862" s="3"/>
      <c r="T862" s="36"/>
      <c r="U862" s="36"/>
      <c r="V862" s="36"/>
      <c r="W862" s="36"/>
      <c r="X862" s="36"/>
      <c r="Y862" s="36"/>
      <c r="Z862" s="36"/>
    </row>
    <row r="863" spans="1:26" ht="14">
      <c r="A863" s="3"/>
      <c r="B863" s="36"/>
      <c r="C863" s="163"/>
      <c r="D863" s="3"/>
      <c r="E863" s="3"/>
      <c r="F863" s="3"/>
      <c r="G863" s="3"/>
      <c r="H863" s="3"/>
      <c r="I863" s="3"/>
      <c r="J863" s="3"/>
      <c r="K863" s="3"/>
      <c r="L863" s="3"/>
      <c r="M863" s="3"/>
      <c r="N863" s="3"/>
      <c r="O863" s="3"/>
      <c r="P863" s="36"/>
      <c r="Q863" s="3"/>
      <c r="R863" s="3"/>
      <c r="S863" s="3"/>
      <c r="T863" s="36"/>
      <c r="U863" s="36"/>
      <c r="V863" s="36"/>
      <c r="W863" s="36"/>
      <c r="X863" s="36"/>
      <c r="Y863" s="36"/>
      <c r="Z863" s="36"/>
    </row>
    <row r="864" spans="1:26" ht="14">
      <c r="A864" s="3"/>
      <c r="B864" s="36"/>
      <c r="C864" s="163"/>
      <c r="D864" s="3"/>
      <c r="E864" s="3"/>
      <c r="F864" s="3"/>
      <c r="G864" s="3"/>
      <c r="H864" s="3"/>
      <c r="I864" s="3"/>
      <c r="J864" s="3"/>
      <c r="K864" s="3"/>
      <c r="L864" s="3"/>
      <c r="M864" s="3"/>
      <c r="N864" s="3"/>
      <c r="O864" s="3"/>
      <c r="P864" s="36"/>
      <c r="Q864" s="3"/>
      <c r="R864" s="3"/>
      <c r="S864" s="3"/>
      <c r="T864" s="36"/>
      <c r="U864" s="36"/>
      <c r="V864" s="36"/>
      <c r="W864" s="36"/>
      <c r="X864" s="36"/>
      <c r="Y864" s="36"/>
      <c r="Z864" s="36"/>
    </row>
    <row r="865" spans="1:26" ht="14">
      <c r="A865" s="3"/>
      <c r="B865" s="36"/>
      <c r="C865" s="163"/>
      <c r="D865" s="3"/>
      <c r="E865" s="3"/>
      <c r="F865" s="3"/>
      <c r="G865" s="3"/>
      <c r="H865" s="3"/>
      <c r="I865" s="3"/>
      <c r="J865" s="3"/>
      <c r="K865" s="3"/>
      <c r="L865" s="3"/>
      <c r="M865" s="3"/>
      <c r="N865" s="3"/>
      <c r="O865" s="3"/>
      <c r="P865" s="36"/>
      <c r="Q865" s="3"/>
      <c r="R865" s="3"/>
      <c r="S865" s="3"/>
      <c r="T865" s="36"/>
      <c r="U865" s="36"/>
      <c r="V865" s="36"/>
      <c r="W865" s="36"/>
      <c r="X865" s="36"/>
      <c r="Y865" s="36"/>
      <c r="Z865" s="36"/>
    </row>
    <row r="866" spans="1:26" ht="14">
      <c r="A866" s="3"/>
      <c r="B866" s="36"/>
      <c r="C866" s="163"/>
      <c r="D866" s="3"/>
      <c r="E866" s="3"/>
      <c r="F866" s="3"/>
      <c r="G866" s="3"/>
      <c r="H866" s="3"/>
      <c r="I866" s="3"/>
      <c r="J866" s="3"/>
      <c r="K866" s="3"/>
      <c r="L866" s="3"/>
      <c r="M866" s="3"/>
      <c r="N866" s="3"/>
      <c r="O866" s="3"/>
      <c r="P866" s="36"/>
      <c r="Q866" s="3"/>
      <c r="R866" s="3"/>
      <c r="S866" s="3"/>
      <c r="T866" s="36"/>
      <c r="U866" s="36"/>
      <c r="V866" s="36"/>
      <c r="W866" s="36"/>
      <c r="X866" s="36"/>
      <c r="Y866" s="36"/>
      <c r="Z866" s="36"/>
    </row>
    <row r="867" spans="1:26" ht="14">
      <c r="A867" s="3"/>
      <c r="B867" s="36"/>
      <c r="C867" s="163"/>
      <c r="D867" s="3"/>
      <c r="E867" s="3"/>
      <c r="F867" s="3"/>
      <c r="G867" s="3"/>
      <c r="H867" s="3"/>
      <c r="I867" s="3"/>
      <c r="J867" s="3"/>
      <c r="K867" s="3"/>
      <c r="L867" s="3"/>
      <c r="M867" s="3"/>
      <c r="N867" s="3"/>
      <c r="O867" s="3"/>
      <c r="P867" s="36"/>
      <c r="Q867" s="3"/>
      <c r="R867" s="3"/>
      <c r="S867" s="3"/>
      <c r="T867" s="36"/>
      <c r="U867" s="36"/>
      <c r="V867" s="36"/>
      <c r="W867" s="36"/>
      <c r="X867" s="36"/>
      <c r="Y867" s="36"/>
      <c r="Z867" s="36"/>
    </row>
    <row r="868" spans="1:26" ht="14">
      <c r="A868" s="3"/>
      <c r="B868" s="36"/>
      <c r="C868" s="163"/>
      <c r="D868" s="3"/>
      <c r="E868" s="3"/>
      <c r="F868" s="3"/>
      <c r="G868" s="3"/>
      <c r="H868" s="3"/>
      <c r="I868" s="3"/>
      <c r="J868" s="3"/>
      <c r="K868" s="3"/>
      <c r="L868" s="3"/>
      <c r="M868" s="3"/>
      <c r="N868" s="3"/>
      <c r="O868" s="3"/>
      <c r="P868" s="36"/>
      <c r="Q868" s="3"/>
      <c r="R868" s="3"/>
      <c r="S868" s="3"/>
      <c r="T868" s="36"/>
      <c r="U868" s="36"/>
      <c r="V868" s="36"/>
      <c r="W868" s="36"/>
      <c r="X868" s="36"/>
      <c r="Y868" s="36"/>
      <c r="Z868" s="36"/>
    </row>
    <row r="869" spans="1:26" ht="14">
      <c r="A869" s="3"/>
      <c r="B869" s="36"/>
      <c r="C869" s="163"/>
      <c r="D869" s="3"/>
      <c r="E869" s="3"/>
      <c r="F869" s="3"/>
      <c r="G869" s="3"/>
      <c r="H869" s="3"/>
      <c r="I869" s="3"/>
      <c r="J869" s="3"/>
      <c r="K869" s="3"/>
      <c r="L869" s="3"/>
      <c r="M869" s="3"/>
      <c r="N869" s="3"/>
      <c r="O869" s="3"/>
      <c r="P869" s="36"/>
      <c r="Q869" s="3"/>
      <c r="R869" s="3"/>
      <c r="S869" s="3"/>
      <c r="T869" s="36"/>
      <c r="U869" s="36"/>
      <c r="V869" s="36"/>
      <c r="W869" s="36"/>
      <c r="X869" s="36"/>
      <c r="Y869" s="36"/>
      <c r="Z869" s="36"/>
    </row>
    <row r="870" spans="1:26" ht="14">
      <c r="A870" s="3"/>
      <c r="B870" s="36"/>
      <c r="C870" s="163"/>
      <c r="D870" s="3"/>
      <c r="E870" s="3"/>
      <c r="F870" s="3"/>
      <c r="G870" s="3"/>
      <c r="H870" s="3"/>
      <c r="I870" s="3"/>
      <c r="J870" s="3"/>
      <c r="K870" s="3"/>
      <c r="L870" s="3"/>
      <c r="M870" s="3"/>
      <c r="N870" s="3"/>
      <c r="O870" s="3"/>
      <c r="P870" s="36"/>
      <c r="Q870" s="3"/>
      <c r="R870" s="3"/>
      <c r="S870" s="3"/>
      <c r="T870" s="36"/>
      <c r="U870" s="36"/>
      <c r="V870" s="36"/>
      <c r="W870" s="36"/>
      <c r="X870" s="36"/>
      <c r="Y870" s="36"/>
      <c r="Z870" s="36"/>
    </row>
    <row r="871" spans="1:26" ht="14">
      <c r="A871" s="3"/>
      <c r="B871" s="36"/>
      <c r="C871" s="163"/>
      <c r="D871" s="3"/>
      <c r="E871" s="3"/>
      <c r="F871" s="3"/>
      <c r="G871" s="3"/>
      <c r="H871" s="3"/>
      <c r="I871" s="3"/>
      <c r="J871" s="3"/>
      <c r="K871" s="3"/>
      <c r="L871" s="3"/>
      <c r="M871" s="3"/>
      <c r="N871" s="3"/>
      <c r="O871" s="3"/>
      <c r="P871" s="36"/>
      <c r="Q871" s="3"/>
      <c r="R871" s="3"/>
      <c r="S871" s="3"/>
      <c r="T871" s="36"/>
      <c r="U871" s="36"/>
      <c r="V871" s="36"/>
      <c r="W871" s="36"/>
      <c r="X871" s="36"/>
      <c r="Y871" s="36"/>
      <c r="Z871" s="36"/>
    </row>
    <row r="872" spans="1:26" ht="14">
      <c r="A872" s="3"/>
      <c r="B872" s="36"/>
      <c r="C872" s="163"/>
      <c r="D872" s="3"/>
      <c r="E872" s="3"/>
      <c r="F872" s="3"/>
      <c r="G872" s="3"/>
      <c r="H872" s="3"/>
      <c r="I872" s="3"/>
      <c r="J872" s="3"/>
      <c r="K872" s="3"/>
      <c r="L872" s="3"/>
      <c r="M872" s="3"/>
      <c r="N872" s="3"/>
      <c r="O872" s="3"/>
      <c r="P872" s="36"/>
      <c r="Q872" s="3"/>
      <c r="R872" s="3"/>
      <c r="S872" s="3"/>
      <c r="T872" s="36"/>
      <c r="U872" s="36"/>
      <c r="V872" s="36"/>
      <c r="W872" s="36"/>
      <c r="X872" s="36"/>
      <c r="Y872" s="36"/>
      <c r="Z872" s="36"/>
    </row>
    <row r="873" spans="1:26" ht="14">
      <c r="A873" s="3"/>
      <c r="B873" s="36"/>
      <c r="C873" s="163"/>
      <c r="D873" s="3"/>
      <c r="E873" s="3"/>
      <c r="F873" s="3"/>
      <c r="G873" s="3"/>
      <c r="H873" s="3"/>
      <c r="I873" s="3"/>
      <c r="J873" s="3"/>
      <c r="K873" s="3"/>
      <c r="L873" s="3"/>
      <c r="M873" s="3"/>
      <c r="N873" s="3"/>
      <c r="O873" s="3"/>
      <c r="P873" s="36"/>
      <c r="Q873" s="3"/>
      <c r="R873" s="3"/>
      <c r="S873" s="3"/>
      <c r="T873" s="36"/>
      <c r="U873" s="36"/>
      <c r="V873" s="36"/>
      <c r="W873" s="36"/>
      <c r="X873" s="36"/>
      <c r="Y873" s="36"/>
      <c r="Z873" s="36"/>
    </row>
    <row r="874" spans="1:26" ht="14">
      <c r="A874" s="3"/>
      <c r="B874" s="36"/>
      <c r="C874" s="163"/>
      <c r="D874" s="3"/>
      <c r="E874" s="3"/>
      <c r="F874" s="3"/>
      <c r="G874" s="3"/>
      <c r="H874" s="3"/>
      <c r="I874" s="3"/>
      <c r="J874" s="3"/>
      <c r="K874" s="3"/>
      <c r="L874" s="3"/>
      <c r="M874" s="3"/>
      <c r="N874" s="3"/>
      <c r="O874" s="3"/>
      <c r="P874" s="36"/>
      <c r="Q874" s="3"/>
      <c r="R874" s="3"/>
      <c r="S874" s="3"/>
      <c r="T874" s="36"/>
      <c r="U874" s="36"/>
      <c r="V874" s="36"/>
      <c r="W874" s="36"/>
      <c r="X874" s="36"/>
      <c r="Y874" s="36"/>
      <c r="Z874" s="36"/>
    </row>
    <row r="875" spans="1:26" ht="14">
      <c r="A875" s="3"/>
      <c r="B875" s="36"/>
      <c r="C875" s="163"/>
      <c r="D875" s="3"/>
      <c r="E875" s="3"/>
      <c r="F875" s="3"/>
      <c r="G875" s="3"/>
      <c r="H875" s="3"/>
      <c r="I875" s="3"/>
      <c r="J875" s="3"/>
      <c r="K875" s="3"/>
      <c r="L875" s="3"/>
      <c r="M875" s="3"/>
      <c r="N875" s="3"/>
      <c r="O875" s="3"/>
      <c r="P875" s="36"/>
      <c r="Q875" s="3"/>
      <c r="R875" s="3"/>
      <c r="S875" s="3"/>
      <c r="T875" s="36"/>
      <c r="U875" s="36"/>
      <c r="V875" s="36"/>
      <c r="W875" s="36"/>
      <c r="X875" s="36"/>
      <c r="Y875" s="36"/>
      <c r="Z875" s="36"/>
    </row>
    <row r="876" spans="1:26" ht="14">
      <c r="A876" s="3"/>
      <c r="B876" s="36"/>
      <c r="C876" s="163"/>
      <c r="D876" s="3"/>
      <c r="E876" s="3"/>
      <c r="F876" s="3"/>
      <c r="G876" s="3"/>
      <c r="H876" s="3"/>
      <c r="I876" s="3"/>
      <c r="J876" s="3"/>
      <c r="K876" s="3"/>
      <c r="L876" s="3"/>
      <c r="M876" s="3"/>
      <c r="N876" s="3"/>
      <c r="O876" s="3"/>
      <c r="P876" s="36"/>
      <c r="Q876" s="3"/>
      <c r="R876" s="3"/>
      <c r="S876" s="3"/>
      <c r="T876" s="36"/>
      <c r="U876" s="36"/>
      <c r="V876" s="36"/>
      <c r="W876" s="36"/>
      <c r="X876" s="36"/>
      <c r="Y876" s="36"/>
      <c r="Z876" s="36"/>
    </row>
    <row r="877" spans="1:26" ht="14">
      <c r="A877" s="3"/>
      <c r="B877" s="36"/>
      <c r="C877" s="163"/>
      <c r="D877" s="3"/>
      <c r="E877" s="3"/>
      <c r="F877" s="3"/>
      <c r="G877" s="3"/>
      <c r="H877" s="3"/>
      <c r="I877" s="3"/>
      <c r="J877" s="3"/>
      <c r="K877" s="3"/>
      <c r="L877" s="3"/>
      <c r="M877" s="3"/>
      <c r="N877" s="3"/>
      <c r="O877" s="3"/>
      <c r="P877" s="36"/>
      <c r="Q877" s="3"/>
      <c r="R877" s="3"/>
      <c r="S877" s="3"/>
      <c r="T877" s="36"/>
      <c r="U877" s="36"/>
      <c r="V877" s="36"/>
      <c r="W877" s="36"/>
      <c r="X877" s="36"/>
      <c r="Y877" s="36"/>
      <c r="Z877" s="36"/>
    </row>
    <row r="878" spans="1:26" ht="14">
      <c r="A878" s="3"/>
      <c r="B878" s="36"/>
      <c r="C878" s="163"/>
      <c r="D878" s="3"/>
      <c r="E878" s="3"/>
      <c r="F878" s="3"/>
      <c r="G878" s="3"/>
      <c r="H878" s="3"/>
      <c r="I878" s="3"/>
      <c r="J878" s="3"/>
      <c r="K878" s="3"/>
      <c r="L878" s="3"/>
      <c r="M878" s="3"/>
      <c r="N878" s="3"/>
      <c r="O878" s="3"/>
      <c r="P878" s="36"/>
      <c r="Q878" s="3"/>
      <c r="R878" s="3"/>
      <c r="S878" s="3"/>
      <c r="T878" s="36"/>
      <c r="U878" s="36"/>
      <c r="V878" s="36"/>
      <c r="W878" s="36"/>
      <c r="X878" s="36"/>
      <c r="Y878" s="36"/>
      <c r="Z878" s="36"/>
    </row>
    <row r="879" spans="1:26" ht="14">
      <c r="A879" s="3"/>
      <c r="B879" s="36"/>
      <c r="C879" s="163"/>
      <c r="D879" s="3"/>
      <c r="E879" s="3"/>
      <c r="F879" s="3"/>
      <c r="G879" s="3"/>
      <c r="H879" s="3"/>
      <c r="I879" s="3"/>
      <c r="J879" s="3"/>
      <c r="K879" s="3"/>
      <c r="L879" s="3"/>
      <c r="M879" s="3"/>
      <c r="N879" s="3"/>
      <c r="O879" s="3"/>
      <c r="P879" s="36"/>
      <c r="Q879" s="3"/>
      <c r="R879" s="3"/>
      <c r="S879" s="3"/>
      <c r="T879" s="36"/>
      <c r="U879" s="36"/>
      <c r="V879" s="36"/>
      <c r="W879" s="36"/>
      <c r="X879" s="36"/>
      <c r="Y879" s="36"/>
      <c r="Z879" s="36"/>
    </row>
    <row r="880" spans="1:26" ht="14">
      <c r="A880" s="3"/>
      <c r="B880" s="36"/>
      <c r="C880" s="163"/>
      <c r="D880" s="3"/>
      <c r="E880" s="3"/>
      <c r="F880" s="3"/>
      <c r="G880" s="3"/>
      <c r="H880" s="3"/>
      <c r="I880" s="3"/>
      <c r="J880" s="3"/>
      <c r="K880" s="3"/>
      <c r="L880" s="3"/>
      <c r="M880" s="3"/>
      <c r="N880" s="3"/>
      <c r="O880" s="3"/>
      <c r="P880" s="36"/>
      <c r="Q880" s="3"/>
      <c r="R880" s="3"/>
      <c r="S880" s="3"/>
      <c r="T880" s="36"/>
      <c r="U880" s="36"/>
      <c r="V880" s="36"/>
      <c r="W880" s="36"/>
      <c r="X880" s="36"/>
      <c r="Y880" s="36"/>
      <c r="Z880" s="36"/>
    </row>
    <row r="881" spans="1:26" ht="14">
      <c r="A881" s="3"/>
      <c r="B881" s="36"/>
      <c r="C881" s="163"/>
      <c r="D881" s="3"/>
      <c r="E881" s="3"/>
      <c r="F881" s="3"/>
      <c r="G881" s="3"/>
      <c r="H881" s="3"/>
      <c r="I881" s="3"/>
      <c r="J881" s="3"/>
      <c r="K881" s="3"/>
      <c r="L881" s="3"/>
      <c r="M881" s="3"/>
      <c r="N881" s="3"/>
      <c r="O881" s="3"/>
      <c r="P881" s="36"/>
      <c r="Q881" s="3"/>
      <c r="R881" s="3"/>
      <c r="S881" s="3"/>
      <c r="T881" s="36"/>
      <c r="U881" s="36"/>
      <c r="V881" s="36"/>
      <c r="W881" s="36"/>
      <c r="X881" s="36"/>
      <c r="Y881" s="36"/>
      <c r="Z881" s="36"/>
    </row>
    <row r="882" spans="1:26" ht="14">
      <c r="A882" s="3"/>
      <c r="B882" s="36"/>
      <c r="C882" s="163"/>
      <c r="D882" s="3"/>
      <c r="E882" s="3"/>
      <c r="F882" s="3"/>
      <c r="G882" s="3"/>
      <c r="H882" s="3"/>
      <c r="I882" s="3"/>
      <c r="J882" s="3"/>
      <c r="K882" s="3"/>
      <c r="L882" s="3"/>
      <c r="M882" s="3"/>
      <c r="N882" s="3"/>
      <c r="O882" s="3"/>
      <c r="P882" s="36"/>
      <c r="Q882" s="3"/>
      <c r="R882" s="3"/>
      <c r="S882" s="3"/>
      <c r="T882" s="36"/>
      <c r="U882" s="36"/>
      <c r="V882" s="36"/>
      <c r="W882" s="36"/>
      <c r="X882" s="36"/>
      <c r="Y882" s="36"/>
      <c r="Z882" s="36"/>
    </row>
    <row r="883" spans="1:26" ht="14">
      <c r="A883" s="3"/>
      <c r="B883" s="36"/>
      <c r="C883" s="163"/>
      <c r="D883" s="3"/>
      <c r="E883" s="3"/>
      <c r="F883" s="3"/>
      <c r="G883" s="3"/>
      <c r="H883" s="3"/>
      <c r="I883" s="3"/>
      <c r="J883" s="3"/>
      <c r="K883" s="3"/>
      <c r="L883" s="3"/>
      <c r="M883" s="3"/>
      <c r="N883" s="3"/>
      <c r="O883" s="3"/>
      <c r="P883" s="36"/>
      <c r="Q883" s="3"/>
      <c r="R883" s="3"/>
      <c r="S883" s="3"/>
      <c r="T883" s="36"/>
      <c r="U883" s="36"/>
      <c r="V883" s="36"/>
      <c r="W883" s="36"/>
      <c r="X883" s="36"/>
      <c r="Y883" s="36"/>
      <c r="Z883" s="36"/>
    </row>
    <row r="884" spans="1:26" ht="14">
      <c r="A884" s="3"/>
      <c r="B884" s="36"/>
      <c r="C884" s="163"/>
      <c r="D884" s="3"/>
      <c r="E884" s="3"/>
      <c r="F884" s="3"/>
      <c r="G884" s="3"/>
      <c r="H884" s="3"/>
      <c r="I884" s="3"/>
      <c r="J884" s="3"/>
      <c r="K884" s="3"/>
      <c r="L884" s="3"/>
      <c r="M884" s="3"/>
      <c r="N884" s="3"/>
      <c r="O884" s="3"/>
      <c r="P884" s="36"/>
      <c r="Q884" s="3"/>
      <c r="R884" s="3"/>
      <c r="S884" s="3"/>
      <c r="T884" s="36"/>
      <c r="U884" s="36"/>
      <c r="V884" s="36"/>
      <c r="W884" s="36"/>
      <c r="X884" s="36"/>
      <c r="Y884" s="36"/>
      <c r="Z884" s="36"/>
    </row>
    <row r="885" spans="1:26" ht="14">
      <c r="A885" s="3"/>
      <c r="B885" s="36"/>
      <c r="C885" s="163"/>
      <c r="D885" s="3"/>
      <c r="E885" s="3"/>
      <c r="F885" s="3"/>
      <c r="G885" s="3"/>
      <c r="H885" s="3"/>
      <c r="I885" s="3"/>
      <c r="J885" s="3"/>
      <c r="K885" s="3"/>
      <c r="L885" s="3"/>
      <c r="M885" s="3"/>
      <c r="N885" s="3"/>
      <c r="O885" s="3"/>
      <c r="P885" s="36"/>
      <c r="Q885" s="3"/>
      <c r="R885" s="3"/>
      <c r="S885" s="3"/>
      <c r="T885" s="36"/>
      <c r="U885" s="36"/>
      <c r="V885" s="36"/>
      <c r="W885" s="36"/>
      <c r="X885" s="36"/>
      <c r="Y885" s="36"/>
      <c r="Z885" s="36"/>
    </row>
    <row r="886" spans="1:26" ht="14">
      <c r="A886" s="3"/>
      <c r="B886" s="36"/>
      <c r="C886" s="163"/>
      <c r="D886" s="3"/>
      <c r="E886" s="3"/>
      <c r="F886" s="3"/>
      <c r="G886" s="3"/>
      <c r="H886" s="3"/>
      <c r="I886" s="3"/>
      <c r="J886" s="3"/>
      <c r="K886" s="3"/>
      <c r="L886" s="3"/>
      <c r="M886" s="3"/>
      <c r="N886" s="3"/>
      <c r="O886" s="3"/>
      <c r="P886" s="36"/>
      <c r="Q886" s="3"/>
      <c r="R886" s="3"/>
      <c r="S886" s="3"/>
      <c r="T886" s="36"/>
      <c r="U886" s="36"/>
      <c r="V886" s="36"/>
      <c r="W886" s="36"/>
      <c r="X886" s="36"/>
      <c r="Y886" s="36"/>
      <c r="Z886" s="36"/>
    </row>
    <row r="887" spans="1:26" ht="14">
      <c r="A887" s="3"/>
      <c r="B887" s="36"/>
      <c r="C887" s="163"/>
      <c r="D887" s="3"/>
      <c r="E887" s="3"/>
      <c r="F887" s="3"/>
      <c r="G887" s="3"/>
      <c r="H887" s="3"/>
      <c r="I887" s="3"/>
      <c r="J887" s="3"/>
      <c r="K887" s="3"/>
      <c r="L887" s="3"/>
      <c r="M887" s="3"/>
      <c r="N887" s="3"/>
      <c r="O887" s="3"/>
      <c r="P887" s="36"/>
      <c r="Q887" s="3"/>
      <c r="R887" s="3"/>
      <c r="S887" s="3"/>
      <c r="T887" s="36"/>
      <c r="U887" s="36"/>
      <c r="V887" s="36"/>
      <c r="W887" s="36"/>
      <c r="X887" s="36"/>
      <c r="Y887" s="36"/>
      <c r="Z887" s="36"/>
    </row>
    <row r="888" spans="1:26" ht="14">
      <c r="A888" s="3"/>
      <c r="B888" s="36"/>
      <c r="C888" s="163"/>
      <c r="D888" s="3"/>
      <c r="E888" s="3"/>
      <c r="F888" s="3"/>
      <c r="G888" s="3"/>
      <c r="H888" s="3"/>
      <c r="I888" s="3"/>
      <c r="J888" s="3"/>
      <c r="K888" s="3"/>
      <c r="L888" s="3"/>
      <c r="M888" s="3"/>
      <c r="N888" s="3"/>
      <c r="O888" s="3"/>
      <c r="P888" s="36"/>
      <c r="Q888" s="3"/>
      <c r="R888" s="3"/>
      <c r="S888" s="3"/>
      <c r="T888" s="36"/>
      <c r="U888" s="36"/>
      <c r="V888" s="36"/>
      <c r="W888" s="36"/>
      <c r="X888" s="36"/>
      <c r="Y888" s="36"/>
      <c r="Z888" s="36"/>
    </row>
    <row r="889" spans="1:26" ht="14">
      <c r="A889" s="3"/>
      <c r="B889" s="36"/>
      <c r="C889" s="163"/>
      <c r="D889" s="3"/>
      <c r="E889" s="3"/>
      <c r="F889" s="3"/>
      <c r="G889" s="3"/>
      <c r="H889" s="3"/>
      <c r="I889" s="3"/>
      <c r="J889" s="3"/>
      <c r="K889" s="3"/>
      <c r="L889" s="3"/>
      <c r="M889" s="3"/>
      <c r="N889" s="3"/>
      <c r="O889" s="3"/>
      <c r="P889" s="36"/>
      <c r="Q889" s="3"/>
      <c r="R889" s="3"/>
      <c r="S889" s="3"/>
      <c r="T889" s="36"/>
      <c r="U889" s="36"/>
      <c r="V889" s="36"/>
      <c r="W889" s="36"/>
      <c r="X889" s="36"/>
      <c r="Y889" s="36"/>
      <c r="Z889" s="36"/>
    </row>
    <row r="890" spans="1:26" ht="14">
      <c r="A890" s="3"/>
      <c r="B890" s="36"/>
      <c r="C890" s="163"/>
      <c r="D890" s="3"/>
      <c r="E890" s="3"/>
      <c r="F890" s="3"/>
      <c r="G890" s="3"/>
      <c r="H890" s="3"/>
      <c r="I890" s="3"/>
      <c r="J890" s="3"/>
      <c r="K890" s="3"/>
      <c r="L890" s="3"/>
      <c r="M890" s="3"/>
      <c r="N890" s="3"/>
      <c r="O890" s="3"/>
      <c r="P890" s="36"/>
      <c r="Q890" s="3"/>
      <c r="R890" s="3"/>
      <c r="S890" s="3"/>
      <c r="T890" s="36"/>
      <c r="U890" s="36"/>
      <c r="V890" s="36"/>
      <c r="W890" s="36"/>
      <c r="X890" s="36"/>
      <c r="Y890" s="36"/>
      <c r="Z890" s="36"/>
    </row>
    <row r="891" spans="1:26" ht="14">
      <c r="A891" s="3"/>
      <c r="B891" s="36"/>
      <c r="C891" s="163"/>
      <c r="D891" s="3"/>
      <c r="E891" s="3"/>
      <c r="F891" s="3"/>
      <c r="G891" s="3"/>
      <c r="H891" s="3"/>
      <c r="I891" s="3"/>
      <c r="J891" s="3"/>
      <c r="K891" s="3"/>
      <c r="L891" s="3"/>
      <c r="M891" s="3"/>
      <c r="N891" s="3"/>
      <c r="O891" s="3"/>
      <c r="P891" s="36"/>
      <c r="Q891" s="3"/>
      <c r="R891" s="3"/>
      <c r="S891" s="3"/>
      <c r="T891" s="36"/>
      <c r="U891" s="36"/>
      <c r="V891" s="36"/>
      <c r="W891" s="36"/>
      <c r="X891" s="36"/>
      <c r="Y891" s="36"/>
      <c r="Z891" s="36"/>
    </row>
    <row r="892" spans="1:26" ht="14">
      <c r="A892" s="3"/>
      <c r="B892" s="36"/>
      <c r="C892" s="163"/>
      <c r="D892" s="3"/>
      <c r="E892" s="3"/>
      <c r="F892" s="3"/>
      <c r="G892" s="3"/>
      <c r="H892" s="3"/>
      <c r="I892" s="3"/>
      <c r="J892" s="3"/>
      <c r="K892" s="3"/>
      <c r="L892" s="3"/>
      <c r="M892" s="3"/>
      <c r="N892" s="3"/>
      <c r="O892" s="3"/>
      <c r="P892" s="36"/>
      <c r="Q892" s="3"/>
      <c r="R892" s="3"/>
      <c r="S892" s="3"/>
      <c r="T892" s="36"/>
      <c r="U892" s="36"/>
      <c r="V892" s="36"/>
      <c r="W892" s="36"/>
      <c r="X892" s="36"/>
      <c r="Y892" s="36"/>
      <c r="Z892" s="36"/>
    </row>
    <row r="893" spans="1:26" ht="14">
      <c r="A893" s="3"/>
      <c r="B893" s="36"/>
      <c r="C893" s="163"/>
      <c r="D893" s="3"/>
      <c r="E893" s="3"/>
      <c r="F893" s="3"/>
      <c r="G893" s="3"/>
      <c r="H893" s="3"/>
      <c r="I893" s="3"/>
      <c r="J893" s="3"/>
      <c r="K893" s="3"/>
      <c r="L893" s="3"/>
      <c r="M893" s="3"/>
      <c r="N893" s="3"/>
      <c r="O893" s="3"/>
      <c r="P893" s="36"/>
      <c r="Q893" s="3"/>
      <c r="R893" s="3"/>
      <c r="S893" s="3"/>
      <c r="T893" s="36"/>
      <c r="U893" s="36"/>
      <c r="V893" s="36"/>
      <c r="W893" s="36"/>
      <c r="X893" s="36"/>
      <c r="Y893" s="36"/>
      <c r="Z893" s="36"/>
    </row>
    <row r="894" spans="1:26" ht="14">
      <c r="A894" s="3"/>
      <c r="B894" s="36"/>
      <c r="C894" s="163"/>
      <c r="D894" s="3"/>
      <c r="E894" s="3"/>
      <c r="F894" s="3"/>
      <c r="G894" s="3"/>
      <c r="H894" s="3"/>
      <c r="I894" s="3"/>
      <c r="J894" s="3"/>
      <c r="K894" s="3"/>
      <c r="L894" s="3"/>
      <c r="M894" s="3"/>
      <c r="N894" s="3"/>
      <c r="O894" s="3"/>
      <c r="P894" s="36"/>
      <c r="Q894" s="3"/>
      <c r="R894" s="3"/>
      <c r="S894" s="3"/>
      <c r="T894" s="36"/>
      <c r="U894" s="36"/>
      <c r="V894" s="36"/>
      <c r="W894" s="36"/>
      <c r="X894" s="36"/>
      <c r="Y894" s="36"/>
      <c r="Z894" s="36"/>
    </row>
    <row r="895" spans="1:26" ht="14">
      <c r="A895" s="3"/>
      <c r="B895" s="36"/>
      <c r="C895" s="163"/>
      <c r="D895" s="3"/>
      <c r="E895" s="3"/>
      <c r="F895" s="3"/>
      <c r="G895" s="3"/>
      <c r="H895" s="3"/>
      <c r="I895" s="3"/>
      <c r="J895" s="3"/>
      <c r="K895" s="3"/>
      <c r="L895" s="3"/>
      <c r="M895" s="3"/>
      <c r="N895" s="3"/>
      <c r="O895" s="3"/>
      <c r="P895" s="36"/>
      <c r="Q895" s="3"/>
      <c r="R895" s="3"/>
      <c r="S895" s="3"/>
      <c r="T895" s="36"/>
      <c r="U895" s="36"/>
      <c r="V895" s="36"/>
      <c r="W895" s="36"/>
      <c r="X895" s="36"/>
      <c r="Y895" s="36"/>
      <c r="Z895" s="36"/>
    </row>
    <row r="896" spans="1:26" ht="14">
      <c r="A896" s="3"/>
      <c r="B896" s="36"/>
      <c r="C896" s="163"/>
      <c r="D896" s="3"/>
      <c r="E896" s="3"/>
      <c r="F896" s="3"/>
      <c r="G896" s="3"/>
      <c r="H896" s="3"/>
      <c r="I896" s="3"/>
      <c r="J896" s="3"/>
      <c r="K896" s="3"/>
      <c r="L896" s="3"/>
      <c r="M896" s="3"/>
      <c r="N896" s="3"/>
      <c r="O896" s="3"/>
      <c r="P896" s="36"/>
      <c r="Q896" s="3"/>
      <c r="R896" s="3"/>
      <c r="S896" s="3"/>
      <c r="T896" s="36"/>
      <c r="U896" s="36"/>
      <c r="V896" s="36"/>
      <c r="W896" s="36"/>
      <c r="X896" s="36"/>
      <c r="Y896" s="36"/>
      <c r="Z896" s="36"/>
    </row>
    <row r="897" spans="1:26" ht="14">
      <c r="A897" s="3"/>
      <c r="B897" s="36"/>
      <c r="C897" s="163"/>
      <c r="D897" s="3"/>
      <c r="E897" s="3"/>
      <c r="F897" s="3"/>
      <c r="G897" s="3"/>
      <c r="H897" s="3"/>
      <c r="I897" s="3"/>
      <c r="J897" s="3"/>
      <c r="K897" s="3"/>
      <c r="L897" s="3"/>
      <c r="M897" s="3"/>
      <c r="N897" s="3"/>
      <c r="O897" s="3"/>
      <c r="P897" s="36"/>
      <c r="Q897" s="3"/>
      <c r="R897" s="3"/>
      <c r="S897" s="3"/>
      <c r="T897" s="36"/>
      <c r="U897" s="36"/>
      <c r="V897" s="36"/>
      <c r="W897" s="36"/>
      <c r="X897" s="36"/>
      <c r="Y897" s="36"/>
      <c r="Z897" s="36"/>
    </row>
    <row r="898" spans="1:26" ht="14">
      <c r="A898" s="3"/>
      <c r="B898" s="36"/>
      <c r="C898" s="163"/>
      <c r="D898" s="3"/>
      <c r="E898" s="3"/>
      <c r="F898" s="3"/>
      <c r="G898" s="3"/>
      <c r="H898" s="3"/>
      <c r="I898" s="3"/>
      <c r="J898" s="3"/>
      <c r="K898" s="3"/>
      <c r="L898" s="3"/>
      <c r="M898" s="3"/>
      <c r="N898" s="3"/>
      <c r="O898" s="3"/>
      <c r="P898" s="36"/>
      <c r="Q898" s="3"/>
      <c r="R898" s="3"/>
      <c r="S898" s="3"/>
      <c r="T898" s="36"/>
      <c r="U898" s="36"/>
      <c r="V898" s="36"/>
      <c r="W898" s="36"/>
      <c r="X898" s="36"/>
      <c r="Y898" s="36"/>
      <c r="Z898" s="36"/>
    </row>
    <row r="899" spans="1:26" ht="14">
      <c r="A899" s="3"/>
      <c r="B899" s="36"/>
      <c r="C899" s="163"/>
      <c r="D899" s="3"/>
      <c r="E899" s="3"/>
      <c r="F899" s="3"/>
      <c r="G899" s="3"/>
      <c r="H899" s="3"/>
      <c r="I899" s="3"/>
      <c r="J899" s="3"/>
      <c r="K899" s="3"/>
      <c r="L899" s="3"/>
      <c r="M899" s="3"/>
      <c r="N899" s="3"/>
      <c r="O899" s="3"/>
      <c r="P899" s="36"/>
      <c r="Q899" s="3"/>
      <c r="R899" s="3"/>
      <c r="S899" s="3"/>
      <c r="T899" s="36"/>
      <c r="U899" s="36"/>
      <c r="V899" s="36"/>
      <c r="W899" s="36"/>
      <c r="X899" s="36"/>
      <c r="Y899" s="36"/>
      <c r="Z899" s="36"/>
    </row>
    <row r="900" spans="1:26" ht="14">
      <c r="A900" s="3"/>
      <c r="B900" s="36"/>
      <c r="C900" s="163"/>
      <c r="D900" s="3"/>
      <c r="E900" s="3"/>
      <c r="F900" s="3"/>
      <c r="G900" s="3"/>
      <c r="H900" s="3"/>
      <c r="I900" s="3"/>
      <c r="J900" s="3"/>
      <c r="K900" s="3"/>
      <c r="L900" s="3"/>
      <c r="M900" s="3"/>
      <c r="N900" s="3"/>
      <c r="O900" s="3"/>
      <c r="P900" s="36"/>
      <c r="Q900" s="3"/>
      <c r="R900" s="3"/>
      <c r="S900" s="3"/>
      <c r="T900" s="36"/>
      <c r="U900" s="36"/>
      <c r="V900" s="36"/>
      <c r="W900" s="36"/>
      <c r="X900" s="36"/>
      <c r="Y900" s="36"/>
      <c r="Z900" s="36"/>
    </row>
    <row r="901" spans="1:26" ht="14">
      <c r="A901" s="3"/>
      <c r="B901" s="36"/>
      <c r="C901" s="163"/>
      <c r="D901" s="3"/>
      <c r="E901" s="3"/>
      <c r="F901" s="3"/>
      <c r="G901" s="3"/>
      <c r="H901" s="3"/>
      <c r="I901" s="3"/>
      <c r="J901" s="3"/>
      <c r="K901" s="3"/>
      <c r="L901" s="3"/>
      <c r="M901" s="3"/>
      <c r="N901" s="3"/>
      <c r="O901" s="3"/>
      <c r="P901" s="36"/>
      <c r="Q901" s="3"/>
      <c r="R901" s="3"/>
      <c r="S901" s="3"/>
      <c r="T901" s="36"/>
      <c r="U901" s="36"/>
      <c r="V901" s="36"/>
      <c r="W901" s="36"/>
      <c r="X901" s="36"/>
      <c r="Y901" s="36"/>
      <c r="Z901" s="36"/>
    </row>
    <row r="902" spans="1:26" ht="14">
      <c r="A902" s="3"/>
      <c r="B902" s="36"/>
      <c r="C902" s="163"/>
      <c r="D902" s="3"/>
      <c r="E902" s="3"/>
      <c r="F902" s="3"/>
      <c r="G902" s="3"/>
      <c r="H902" s="3"/>
      <c r="I902" s="3"/>
      <c r="J902" s="3"/>
      <c r="K902" s="3"/>
      <c r="L902" s="3"/>
      <c r="M902" s="3"/>
      <c r="N902" s="3"/>
      <c r="O902" s="3"/>
      <c r="P902" s="36"/>
      <c r="Q902" s="3"/>
      <c r="R902" s="3"/>
      <c r="S902" s="3"/>
      <c r="T902" s="36"/>
      <c r="U902" s="36"/>
      <c r="V902" s="36"/>
      <c r="W902" s="36"/>
      <c r="X902" s="36"/>
      <c r="Y902" s="36"/>
      <c r="Z902" s="36"/>
    </row>
    <row r="903" spans="1:26" ht="14">
      <c r="A903" s="3"/>
      <c r="B903" s="36"/>
      <c r="C903" s="163"/>
      <c r="D903" s="3"/>
      <c r="E903" s="3"/>
      <c r="F903" s="3"/>
      <c r="G903" s="3"/>
      <c r="H903" s="3"/>
      <c r="I903" s="3"/>
      <c r="J903" s="3"/>
      <c r="K903" s="3"/>
      <c r="L903" s="3"/>
      <c r="M903" s="3"/>
      <c r="N903" s="3"/>
      <c r="O903" s="3"/>
      <c r="P903" s="36"/>
      <c r="Q903" s="3"/>
      <c r="R903" s="3"/>
      <c r="S903" s="3"/>
      <c r="T903" s="36"/>
      <c r="U903" s="36"/>
      <c r="V903" s="36"/>
      <c r="W903" s="36"/>
      <c r="X903" s="36"/>
      <c r="Y903" s="36"/>
      <c r="Z903" s="36"/>
    </row>
    <row r="904" spans="1:26" ht="14">
      <c r="A904" s="3"/>
      <c r="B904" s="36"/>
      <c r="C904" s="163"/>
      <c r="D904" s="3"/>
      <c r="E904" s="3"/>
      <c r="F904" s="3"/>
      <c r="G904" s="3"/>
      <c r="H904" s="3"/>
      <c r="I904" s="3"/>
      <c r="J904" s="3"/>
      <c r="K904" s="3"/>
      <c r="L904" s="3"/>
      <c r="M904" s="3"/>
      <c r="N904" s="3"/>
      <c r="O904" s="3"/>
      <c r="P904" s="36"/>
      <c r="Q904" s="3"/>
      <c r="R904" s="3"/>
      <c r="S904" s="3"/>
      <c r="T904" s="36"/>
      <c r="U904" s="36"/>
      <c r="V904" s="36"/>
      <c r="W904" s="36"/>
      <c r="X904" s="36"/>
      <c r="Y904" s="36"/>
      <c r="Z904" s="36"/>
    </row>
    <row r="905" spans="1:26" ht="14">
      <c r="A905" s="3"/>
      <c r="B905" s="36"/>
      <c r="C905" s="163"/>
      <c r="D905" s="3"/>
      <c r="E905" s="3"/>
      <c r="F905" s="3"/>
      <c r="G905" s="3"/>
      <c r="H905" s="3"/>
      <c r="I905" s="3"/>
      <c r="J905" s="3"/>
      <c r="K905" s="3"/>
      <c r="L905" s="3"/>
      <c r="M905" s="3"/>
      <c r="N905" s="3"/>
      <c r="O905" s="3"/>
      <c r="P905" s="36"/>
      <c r="Q905" s="3"/>
      <c r="R905" s="3"/>
      <c r="S905" s="3"/>
      <c r="T905" s="36"/>
      <c r="U905" s="36"/>
      <c r="V905" s="36"/>
      <c r="W905" s="36"/>
      <c r="X905" s="36"/>
      <c r="Y905" s="36"/>
      <c r="Z905" s="36"/>
    </row>
    <row r="906" spans="1:26" ht="14">
      <c r="A906" s="3"/>
      <c r="B906" s="36"/>
      <c r="C906" s="163"/>
      <c r="D906" s="3"/>
      <c r="E906" s="3"/>
      <c r="F906" s="3"/>
      <c r="G906" s="3"/>
      <c r="H906" s="3"/>
      <c r="I906" s="3"/>
      <c r="J906" s="3"/>
      <c r="K906" s="3"/>
      <c r="L906" s="3"/>
      <c r="M906" s="3"/>
      <c r="N906" s="3"/>
      <c r="O906" s="3"/>
      <c r="P906" s="36"/>
      <c r="Q906" s="3"/>
      <c r="R906" s="3"/>
      <c r="S906" s="3"/>
      <c r="T906" s="36"/>
      <c r="U906" s="36"/>
      <c r="V906" s="36"/>
      <c r="W906" s="36"/>
      <c r="X906" s="36"/>
      <c r="Y906" s="36"/>
      <c r="Z906" s="36"/>
    </row>
    <row r="907" spans="1:26" ht="14">
      <c r="A907" s="3"/>
      <c r="B907" s="36"/>
      <c r="C907" s="163"/>
      <c r="D907" s="3"/>
      <c r="E907" s="3"/>
      <c r="F907" s="3"/>
      <c r="G907" s="3"/>
      <c r="H907" s="3"/>
      <c r="I907" s="3"/>
      <c r="J907" s="3"/>
      <c r="K907" s="3"/>
      <c r="L907" s="3"/>
      <c r="M907" s="3"/>
      <c r="N907" s="3"/>
      <c r="O907" s="3"/>
      <c r="P907" s="36"/>
      <c r="Q907" s="3"/>
      <c r="R907" s="3"/>
      <c r="S907" s="3"/>
      <c r="T907" s="36"/>
      <c r="U907" s="36"/>
      <c r="V907" s="36"/>
      <c r="W907" s="36"/>
      <c r="X907" s="36"/>
      <c r="Y907" s="36"/>
      <c r="Z907" s="36"/>
    </row>
    <row r="908" spans="1:26" ht="14">
      <c r="A908" s="3"/>
      <c r="B908" s="36"/>
      <c r="C908" s="163"/>
      <c r="D908" s="3"/>
      <c r="E908" s="3"/>
      <c r="F908" s="3"/>
      <c r="G908" s="3"/>
      <c r="H908" s="3"/>
      <c r="I908" s="3"/>
      <c r="J908" s="3"/>
      <c r="K908" s="3"/>
      <c r="L908" s="3"/>
      <c r="M908" s="3"/>
      <c r="N908" s="3"/>
      <c r="O908" s="3"/>
      <c r="P908" s="36"/>
      <c r="Q908" s="3"/>
      <c r="R908" s="3"/>
      <c r="S908" s="3"/>
      <c r="T908" s="36"/>
      <c r="U908" s="36"/>
      <c r="V908" s="36"/>
      <c r="W908" s="36"/>
      <c r="X908" s="36"/>
      <c r="Y908" s="36"/>
      <c r="Z908" s="36"/>
    </row>
    <row r="909" spans="1:26" ht="14">
      <c r="A909" s="3"/>
      <c r="B909" s="36"/>
      <c r="C909" s="163"/>
      <c r="D909" s="3"/>
      <c r="E909" s="3"/>
      <c r="F909" s="3"/>
      <c r="G909" s="3"/>
      <c r="H909" s="3"/>
      <c r="I909" s="3"/>
      <c r="J909" s="3"/>
      <c r="K909" s="3"/>
      <c r="L909" s="3"/>
      <c r="M909" s="3"/>
      <c r="N909" s="3"/>
      <c r="O909" s="3"/>
      <c r="P909" s="36"/>
      <c r="Q909" s="3"/>
      <c r="R909" s="3"/>
      <c r="S909" s="3"/>
      <c r="T909" s="36"/>
      <c r="U909" s="36"/>
      <c r="V909" s="36"/>
      <c r="W909" s="36"/>
      <c r="X909" s="36"/>
      <c r="Y909" s="36"/>
      <c r="Z909" s="36"/>
    </row>
    <row r="910" spans="1:26" ht="14">
      <c r="A910" s="3"/>
      <c r="B910" s="36"/>
      <c r="C910" s="163"/>
      <c r="D910" s="3"/>
      <c r="E910" s="3"/>
      <c r="F910" s="3"/>
      <c r="G910" s="3"/>
      <c r="H910" s="3"/>
      <c r="I910" s="3"/>
      <c r="J910" s="3"/>
      <c r="K910" s="3"/>
      <c r="L910" s="3"/>
      <c r="M910" s="3"/>
      <c r="N910" s="3"/>
      <c r="O910" s="3"/>
      <c r="P910" s="36"/>
      <c r="Q910" s="3"/>
      <c r="R910" s="3"/>
      <c r="S910" s="3"/>
      <c r="T910" s="36"/>
      <c r="U910" s="36"/>
      <c r="V910" s="36"/>
      <c r="W910" s="36"/>
      <c r="X910" s="36"/>
      <c r="Y910" s="36"/>
      <c r="Z910" s="36"/>
    </row>
    <row r="911" spans="1:26" ht="14">
      <c r="A911" s="3"/>
      <c r="B911" s="36"/>
      <c r="C911" s="163"/>
      <c r="D911" s="3"/>
      <c r="E911" s="3"/>
      <c r="F911" s="3"/>
      <c r="G911" s="3"/>
      <c r="H911" s="3"/>
      <c r="I911" s="3"/>
      <c r="J911" s="3"/>
      <c r="K911" s="3"/>
      <c r="L911" s="3"/>
      <c r="M911" s="3"/>
      <c r="N911" s="3"/>
      <c r="O911" s="3"/>
      <c r="P911" s="36"/>
      <c r="Q911" s="3"/>
      <c r="R911" s="3"/>
      <c r="S911" s="3"/>
      <c r="T911" s="36"/>
      <c r="U911" s="36"/>
      <c r="V911" s="36"/>
      <c r="W911" s="36"/>
      <c r="X911" s="36"/>
      <c r="Y911" s="36"/>
      <c r="Z911" s="36"/>
    </row>
    <row r="912" spans="1:26" ht="14">
      <c r="A912" s="3"/>
      <c r="B912" s="36"/>
      <c r="C912" s="163"/>
      <c r="D912" s="3"/>
      <c r="E912" s="3"/>
      <c r="F912" s="3"/>
      <c r="G912" s="3"/>
      <c r="H912" s="3"/>
      <c r="I912" s="3"/>
      <c r="J912" s="3"/>
      <c r="K912" s="3"/>
      <c r="L912" s="3"/>
      <c r="M912" s="3"/>
      <c r="N912" s="3"/>
      <c r="O912" s="3"/>
      <c r="P912" s="36"/>
      <c r="Q912" s="3"/>
      <c r="R912" s="3"/>
      <c r="S912" s="3"/>
      <c r="T912" s="36"/>
      <c r="U912" s="36"/>
      <c r="V912" s="36"/>
      <c r="W912" s="36"/>
      <c r="X912" s="36"/>
      <c r="Y912" s="36"/>
      <c r="Z912" s="36"/>
    </row>
    <row r="913" spans="1:26" ht="14">
      <c r="A913" s="3"/>
      <c r="B913" s="36"/>
      <c r="C913" s="163"/>
      <c r="D913" s="3"/>
      <c r="E913" s="3"/>
      <c r="F913" s="3"/>
      <c r="G913" s="3"/>
      <c r="H913" s="3"/>
      <c r="I913" s="3"/>
      <c r="J913" s="3"/>
      <c r="K913" s="3"/>
      <c r="L913" s="3"/>
      <c r="M913" s="3"/>
      <c r="N913" s="3"/>
      <c r="O913" s="3"/>
      <c r="P913" s="36"/>
      <c r="Q913" s="3"/>
      <c r="R913" s="3"/>
      <c r="S913" s="3"/>
      <c r="T913" s="36"/>
      <c r="U913" s="36"/>
      <c r="V913" s="36"/>
      <c r="W913" s="36"/>
      <c r="X913" s="36"/>
      <c r="Y913" s="36"/>
      <c r="Z913" s="36"/>
    </row>
    <row r="914" spans="1:26" ht="14">
      <c r="A914" s="3"/>
      <c r="B914" s="36"/>
      <c r="C914" s="163"/>
      <c r="D914" s="3"/>
      <c r="E914" s="3"/>
      <c r="F914" s="3"/>
      <c r="G914" s="3"/>
      <c r="H914" s="3"/>
      <c r="I914" s="3"/>
      <c r="J914" s="3"/>
      <c r="K914" s="3"/>
      <c r="L914" s="3"/>
      <c r="M914" s="3"/>
      <c r="N914" s="3"/>
      <c r="O914" s="3"/>
      <c r="P914" s="36"/>
      <c r="Q914" s="3"/>
      <c r="R914" s="3"/>
      <c r="S914" s="3"/>
      <c r="T914" s="36"/>
      <c r="U914" s="36"/>
      <c r="V914" s="36"/>
      <c r="W914" s="36"/>
      <c r="X914" s="36"/>
      <c r="Y914" s="36"/>
      <c r="Z914" s="36"/>
    </row>
    <row r="915" spans="1:26" ht="14">
      <c r="A915" s="3"/>
      <c r="B915" s="36"/>
      <c r="C915" s="163"/>
      <c r="D915" s="3"/>
      <c r="E915" s="3"/>
      <c r="F915" s="3"/>
      <c r="G915" s="3"/>
      <c r="H915" s="3"/>
      <c r="I915" s="3"/>
      <c r="J915" s="3"/>
      <c r="K915" s="3"/>
      <c r="L915" s="3"/>
      <c r="M915" s="3"/>
      <c r="N915" s="3"/>
      <c r="O915" s="3"/>
      <c r="P915" s="36"/>
      <c r="Q915" s="3"/>
      <c r="R915" s="3"/>
      <c r="S915" s="3"/>
      <c r="T915" s="36"/>
      <c r="U915" s="36"/>
      <c r="V915" s="36"/>
      <c r="W915" s="36"/>
      <c r="X915" s="36"/>
      <c r="Y915" s="36"/>
      <c r="Z915" s="36"/>
    </row>
    <row r="916" spans="1:26" ht="14">
      <c r="A916" s="3"/>
      <c r="B916" s="36"/>
      <c r="C916" s="163"/>
      <c r="D916" s="3"/>
      <c r="E916" s="3"/>
      <c r="F916" s="3"/>
      <c r="G916" s="3"/>
      <c r="H916" s="3"/>
      <c r="I916" s="3"/>
      <c r="J916" s="3"/>
      <c r="K916" s="3"/>
      <c r="L916" s="3"/>
      <c r="M916" s="3"/>
      <c r="N916" s="3"/>
      <c r="O916" s="3"/>
      <c r="P916" s="36"/>
      <c r="Q916" s="3"/>
      <c r="R916" s="3"/>
      <c r="S916" s="3"/>
      <c r="T916" s="36"/>
      <c r="U916" s="36"/>
      <c r="V916" s="36"/>
      <c r="W916" s="36"/>
      <c r="X916" s="36"/>
      <c r="Y916" s="36"/>
      <c r="Z916" s="36"/>
    </row>
    <row r="917" spans="1:26" ht="14">
      <c r="A917" s="3"/>
      <c r="B917" s="36"/>
      <c r="C917" s="163"/>
      <c r="D917" s="3"/>
      <c r="E917" s="3"/>
      <c r="F917" s="3"/>
      <c r="G917" s="3"/>
      <c r="H917" s="3"/>
      <c r="I917" s="3"/>
      <c r="J917" s="3"/>
      <c r="K917" s="3"/>
      <c r="L917" s="3"/>
      <c r="M917" s="3"/>
      <c r="N917" s="3"/>
      <c r="O917" s="3"/>
      <c r="P917" s="36"/>
      <c r="Q917" s="3"/>
      <c r="R917" s="3"/>
      <c r="S917" s="3"/>
      <c r="T917" s="36"/>
      <c r="U917" s="36"/>
      <c r="V917" s="36"/>
      <c r="W917" s="36"/>
      <c r="X917" s="36"/>
      <c r="Y917" s="36"/>
      <c r="Z917" s="36"/>
    </row>
    <row r="918" spans="1:26" ht="14">
      <c r="A918" s="3"/>
      <c r="B918" s="36"/>
      <c r="C918" s="163"/>
      <c r="D918" s="3"/>
      <c r="E918" s="3"/>
      <c r="F918" s="3"/>
      <c r="G918" s="3"/>
      <c r="H918" s="3"/>
      <c r="I918" s="3"/>
      <c r="J918" s="3"/>
      <c r="K918" s="3"/>
      <c r="L918" s="3"/>
      <c r="M918" s="3"/>
      <c r="N918" s="3"/>
      <c r="O918" s="3"/>
      <c r="P918" s="36"/>
      <c r="Q918" s="3"/>
      <c r="R918" s="3"/>
      <c r="S918" s="3"/>
      <c r="T918" s="36"/>
      <c r="U918" s="36"/>
      <c r="V918" s="36"/>
      <c r="W918" s="36"/>
      <c r="X918" s="36"/>
      <c r="Y918" s="36"/>
      <c r="Z918" s="36"/>
    </row>
    <row r="919" spans="1:26" ht="14">
      <c r="A919" s="3"/>
      <c r="B919" s="36"/>
      <c r="C919" s="163"/>
      <c r="D919" s="3"/>
      <c r="E919" s="3"/>
      <c r="F919" s="3"/>
      <c r="G919" s="3"/>
      <c r="H919" s="3"/>
      <c r="I919" s="3"/>
      <c r="J919" s="3"/>
      <c r="K919" s="3"/>
      <c r="L919" s="3"/>
      <c r="M919" s="3"/>
      <c r="N919" s="3"/>
      <c r="O919" s="3"/>
      <c r="P919" s="36"/>
      <c r="Q919" s="3"/>
      <c r="R919" s="3"/>
      <c r="S919" s="3"/>
      <c r="T919" s="36"/>
      <c r="U919" s="36"/>
      <c r="V919" s="36"/>
      <c r="W919" s="36"/>
      <c r="X919" s="36"/>
      <c r="Y919" s="36"/>
      <c r="Z919" s="36"/>
    </row>
    <row r="920" spans="1:26" ht="14">
      <c r="A920" s="3"/>
      <c r="B920" s="36"/>
      <c r="C920" s="163"/>
      <c r="D920" s="3"/>
      <c r="E920" s="3"/>
      <c r="F920" s="3"/>
      <c r="G920" s="3"/>
      <c r="H920" s="3"/>
      <c r="I920" s="3"/>
      <c r="J920" s="3"/>
      <c r="K920" s="3"/>
      <c r="L920" s="3"/>
      <c r="M920" s="3"/>
      <c r="N920" s="3"/>
      <c r="O920" s="3"/>
      <c r="P920" s="36"/>
      <c r="Q920" s="3"/>
      <c r="R920" s="3"/>
      <c r="S920" s="3"/>
      <c r="T920" s="36"/>
      <c r="U920" s="36"/>
      <c r="V920" s="36"/>
      <c r="W920" s="36"/>
      <c r="X920" s="36"/>
      <c r="Y920" s="36"/>
      <c r="Z920" s="36"/>
    </row>
    <row r="921" spans="1:26" ht="14">
      <c r="A921" s="3"/>
      <c r="B921" s="36"/>
      <c r="C921" s="163"/>
      <c r="D921" s="3"/>
      <c r="E921" s="3"/>
      <c r="F921" s="3"/>
      <c r="G921" s="3"/>
      <c r="H921" s="3"/>
      <c r="I921" s="3"/>
      <c r="J921" s="3"/>
      <c r="K921" s="3"/>
      <c r="L921" s="3"/>
      <c r="M921" s="3"/>
      <c r="N921" s="3"/>
      <c r="O921" s="3"/>
      <c r="P921" s="36"/>
      <c r="Q921" s="3"/>
      <c r="R921" s="3"/>
      <c r="S921" s="3"/>
      <c r="T921" s="36"/>
      <c r="U921" s="36"/>
      <c r="V921" s="36"/>
      <c r="W921" s="36"/>
      <c r="X921" s="36"/>
      <c r="Y921" s="36"/>
      <c r="Z921" s="36"/>
    </row>
    <row r="922" spans="1:26" ht="14">
      <c r="A922" s="3"/>
      <c r="B922" s="36"/>
      <c r="C922" s="163"/>
      <c r="D922" s="3"/>
      <c r="E922" s="3"/>
      <c r="F922" s="3"/>
      <c r="G922" s="3"/>
      <c r="H922" s="3"/>
      <c r="I922" s="3"/>
      <c r="J922" s="3"/>
      <c r="K922" s="3"/>
      <c r="L922" s="3"/>
      <c r="M922" s="3"/>
      <c r="N922" s="3"/>
      <c r="O922" s="3"/>
      <c r="P922" s="36"/>
      <c r="Q922" s="3"/>
      <c r="R922" s="3"/>
      <c r="S922" s="3"/>
      <c r="T922" s="36"/>
      <c r="U922" s="36"/>
      <c r="V922" s="36"/>
      <c r="W922" s="36"/>
      <c r="X922" s="36"/>
      <c r="Y922" s="36"/>
      <c r="Z922" s="36"/>
    </row>
    <row r="923" spans="1:26" ht="14">
      <c r="A923" s="3"/>
      <c r="B923" s="36"/>
      <c r="C923" s="163"/>
      <c r="D923" s="3"/>
      <c r="E923" s="3"/>
      <c r="F923" s="3"/>
      <c r="G923" s="3"/>
      <c r="H923" s="3"/>
      <c r="I923" s="3"/>
      <c r="J923" s="3"/>
      <c r="K923" s="3"/>
      <c r="L923" s="3"/>
      <c r="M923" s="3"/>
      <c r="N923" s="3"/>
      <c r="O923" s="3"/>
      <c r="P923" s="36"/>
      <c r="Q923" s="3"/>
      <c r="R923" s="3"/>
      <c r="S923" s="3"/>
      <c r="T923" s="36"/>
      <c r="U923" s="36"/>
      <c r="V923" s="36"/>
      <c r="W923" s="36"/>
      <c r="X923" s="36"/>
      <c r="Y923" s="36"/>
      <c r="Z923" s="36"/>
    </row>
    <row r="924" spans="1:26" ht="14">
      <c r="A924" s="3"/>
      <c r="B924" s="36"/>
      <c r="C924" s="163"/>
      <c r="D924" s="3"/>
      <c r="E924" s="3"/>
      <c r="F924" s="3"/>
      <c r="G924" s="3"/>
      <c r="H924" s="3"/>
      <c r="I924" s="3"/>
      <c r="J924" s="3"/>
      <c r="K924" s="3"/>
      <c r="L924" s="3"/>
      <c r="M924" s="3"/>
      <c r="N924" s="3"/>
      <c r="O924" s="3"/>
      <c r="P924" s="36"/>
      <c r="Q924" s="3"/>
      <c r="R924" s="3"/>
      <c r="S924" s="3"/>
      <c r="T924" s="36"/>
      <c r="U924" s="36"/>
      <c r="V924" s="36"/>
      <c r="W924" s="36"/>
      <c r="X924" s="36"/>
      <c r="Y924" s="36"/>
      <c r="Z924" s="36"/>
    </row>
    <row r="925" spans="1:26" ht="14">
      <c r="A925" s="3"/>
      <c r="B925" s="36"/>
      <c r="C925" s="163"/>
      <c r="D925" s="3"/>
      <c r="E925" s="3"/>
      <c r="F925" s="3"/>
      <c r="G925" s="3"/>
      <c r="H925" s="3"/>
      <c r="I925" s="3"/>
      <c r="J925" s="3"/>
      <c r="K925" s="3"/>
      <c r="L925" s="3"/>
      <c r="M925" s="3"/>
      <c r="N925" s="3"/>
      <c r="O925" s="3"/>
      <c r="P925" s="36"/>
      <c r="Q925" s="3"/>
      <c r="R925" s="3"/>
      <c r="S925" s="3"/>
      <c r="T925" s="36"/>
      <c r="U925" s="36"/>
      <c r="V925" s="36"/>
      <c r="W925" s="36"/>
      <c r="X925" s="36"/>
      <c r="Y925" s="36"/>
      <c r="Z925" s="36"/>
    </row>
    <row r="926" spans="1:26" ht="14">
      <c r="A926" s="3"/>
      <c r="B926" s="36"/>
      <c r="C926" s="163"/>
      <c r="D926" s="3"/>
      <c r="E926" s="3"/>
      <c r="F926" s="3"/>
      <c r="G926" s="3"/>
      <c r="H926" s="3"/>
      <c r="I926" s="3"/>
      <c r="J926" s="3"/>
      <c r="K926" s="3"/>
      <c r="L926" s="3"/>
      <c r="M926" s="3"/>
      <c r="N926" s="3"/>
      <c r="O926" s="3"/>
      <c r="P926" s="36"/>
      <c r="Q926" s="3"/>
      <c r="R926" s="3"/>
      <c r="S926" s="3"/>
      <c r="T926" s="36"/>
      <c r="U926" s="36"/>
      <c r="V926" s="36"/>
      <c r="W926" s="36"/>
      <c r="X926" s="36"/>
      <c r="Y926" s="36"/>
      <c r="Z926" s="36"/>
    </row>
    <row r="927" spans="1:26" ht="14">
      <c r="A927" s="3"/>
      <c r="B927" s="36"/>
      <c r="C927" s="163"/>
      <c r="D927" s="3"/>
      <c r="E927" s="3"/>
      <c r="F927" s="3"/>
      <c r="G927" s="3"/>
      <c r="H927" s="3"/>
      <c r="I927" s="3"/>
      <c r="J927" s="3"/>
      <c r="K927" s="3"/>
      <c r="L927" s="3"/>
      <c r="M927" s="3"/>
      <c r="N927" s="3"/>
      <c r="O927" s="3"/>
      <c r="P927" s="36"/>
      <c r="Q927" s="3"/>
      <c r="R927" s="3"/>
      <c r="S927" s="3"/>
      <c r="T927" s="36"/>
      <c r="U927" s="36"/>
      <c r="V927" s="36"/>
      <c r="W927" s="36"/>
      <c r="X927" s="36"/>
      <c r="Y927" s="36"/>
      <c r="Z927" s="36"/>
    </row>
    <row r="928" spans="1:26" ht="14">
      <c r="A928" s="3"/>
      <c r="B928" s="36"/>
      <c r="C928" s="163"/>
      <c r="D928" s="3"/>
      <c r="E928" s="3"/>
      <c r="F928" s="3"/>
      <c r="G928" s="3"/>
      <c r="H928" s="3"/>
      <c r="I928" s="3"/>
      <c r="J928" s="3"/>
      <c r="K928" s="3"/>
      <c r="L928" s="3"/>
      <c r="M928" s="3"/>
      <c r="N928" s="3"/>
      <c r="O928" s="3"/>
      <c r="P928" s="36"/>
      <c r="Q928" s="3"/>
      <c r="R928" s="3"/>
      <c r="S928" s="3"/>
      <c r="T928" s="36"/>
      <c r="U928" s="36"/>
      <c r="V928" s="36"/>
      <c r="W928" s="36"/>
      <c r="X928" s="36"/>
      <c r="Y928" s="36"/>
      <c r="Z928" s="36"/>
    </row>
    <row r="929" spans="1:26" ht="14">
      <c r="A929" s="3"/>
      <c r="B929" s="36"/>
      <c r="C929" s="163"/>
      <c r="D929" s="3"/>
      <c r="E929" s="3"/>
      <c r="F929" s="3"/>
      <c r="G929" s="3"/>
      <c r="H929" s="3"/>
      <c r="I929" s="3"/>
      <c r="J929" s="3"/>
      <c r="K929" s="3"/>
      <c r="L929" s="3"/>
      <c r="M929" s="3"/>
      <c r="N929" s="3"/>
      <c r="O929" s="3"/>
      <c r="P929" s="36"/>
      <c r="Q929" s="3"/>
      <c r="R929" s="3"/>
      <c r="S929" s="3"/>
      <c r="T929" s="36"/>
      <c r="U929" s="36"/>
      <c r="V929" s="36"/>
      <c r="W929" s="36"/>
      <c r="X929" s="36"/>
      <c r="Y929" s="36"/>
      <c r="Z929" s="36"/>
    </row>
    <row r="930" spans="1:26" ht="14">
      <c r="A930" s="3"/>
      <c r="B930" s="36"/>
      <c r="C930" s="163"/>
      <c r="D930" s="3"/>
      <c r="E930" s="3"/>
      <c r="F930" s="3"/>
      <c r="G930" s="3"/>
      <c r="H930" s="3"/>
      <c r="I930" s="3"/>
      <c r="J930" s="3"/>
      <c r="K930" s="3"/>
      <c r="L930" s="3"/>
      <c r="M930" s="3"/>
      <c r="N930" s="3"/>
      <c r="O930" s="3"/>
      <c r="P930" s="36"/>
      <c r="Q930" s="3"/>
      <c r="R930" s="3"/>
      <c r="S930" s="3"/>
      <c r="T930" s="36"/>
      <c r="U930" s="36"/>
      <c r="V930" s="36"/>
      <c r="W930" s="36"/>
      <c r="X930" s="36"/>
      <c r="Y930" s="36"/>
      <c r="Z930" s="36"/>
    </row>
    <row r="931" spans="1:26" ht="14">
      <c r="A931" s="3"/>
      <c r="B931" s="36"/>
      <c r="C931" s="163"/>
      <c r="D931" s="3"/>
      <c r="E931" s="3"/>
      <c r="F931" s="3"/>
      <c r="G931" s="3"/>
      <c r="H931" s="3"/>
      <c r="I931" s="3"/>
      <c r="J931" s="3"/>
      <c r="K931" s="3"/>
      <c r="L931" s="3"/>
      <c r="M931" s="3"/>
      <c r="N931" s="3"/>
      <c r="O931" s="3"/>
      <c r="P931" s="36"/>
      <c r="Q931" s="3"/>
      <c r="R931" s="3"/>
      <c r="S931" s="3"/>
      <c r="T931" s="36"/>
      <c r="U931" s="36"/>
      <c r="V931" s="36"/>
      <c r="W931" s="36"/>
      <c r="X931" s="36"/>
      <c r="Y931" s="36"/>
      <c r="Z931" s="36"/>
    </row>
    <row r="932" spans="1:26" ht="14">
      <c r="A932" s="3"/>
      <c r="B932" s="36"/>
      <c r="C932" s="163"/>
      <c r="D932" s="3"/>
      <c r="E932" s="3"/>
      <c r="F932" s="3"/>
      <c r="G932" s="3"/>
      <c r="H932" s="3"/>
      <c r="I932" s="3"/>
      <c r="J932" s="3"/>
      <c r="K932" s="3"/>
      <c r="L932" s="3"/>
      <c r="M932" s="3"/>
      <c r="N932" s="3"/>
      <c r="O932" s="3"/>
      <c r="P932" s="36"/>
      <c r="Q932" s="3"/>
      <c r="R932" s="3"/>
      <c r="S932" s="3"/>
      <c r="T932" s="36"/>
      <c r="U932" s="36"/>
      <c r="V932" s="36"/>
      <c r="W932" s="36"/>
      <c r="X932" s="36"/>
      <c r="Y932" s="36"/>
      <c r="Z932" s="36"/>
    </row>
    <row r="933" spans="1:26" ht="14">
      <c r="A933" s="3"/>
      <c r="B933" s="36"/>
      <c r="C933" s="163"/>
      <c r="D933" s="3"/>
      <c r="E933" s="3"/>
      <c r="F933" s="3"/>
      <c r="G933" s="3"/>
      <c r="H933" s="3"/>
      <c r="I933" s="3"/>
      <c r="J933" s="3"/>
      <c r="K933" s="3"/>
      <c r="L933" s="3"/>
      <c r="M933" s="3"/>
      <c r="N933" s="3"/>
      <c r="O933" s="3"/>
      <c r="P933" s="36"/>
      <c r="Q933" s="3"/>
      <c r="R933" s="3"/>
      <c r="S933" s="3"/>
      <c r="T933" s="36"/>
      <c r="U933" s="36"/>
      <c r="V933" s="36"/>
      <c r="W933" s="36"/>
      <c r="X933" s="36"/>
      <c r="Y933" s="36"/>
      <c r="Z933" s="36"/>
    </row>
    <row r="934" spans="1:26" ht="14">
      <c r="A934" s="3"/>
      <c r="B934" s="36"/>
      <c r="C934" s="163"/>
      <c r="D934" s="3"/>
      <c r="E934" s="3"/>
      <c r="F934" s="3"/>
      <c r="G934" s="3"/>
      <c r="H934" s="3"/>
      <c r="I934" s="3"/>
      <c r="J934" s="3"/>
      <c r="K934" s="3"/>
      <c r="L934" s="3"/>
      <c r="M934" s="3"/>
      <c r="N934" s="3"/>
      <c r="O934" s="3"/>
      <c r="P934" s="36"/>
      <c r="Q934" s="3"/>
      <c r="R934" s="3"/>
      <c r="S934" s="3"/>
      <c r="T934" s="36"/>
      <c r="U934" s="36"/>
      <c r="V934" s="36"/>
      <c r="W934" s="36"/>
      <c r="X934" s="36"/>
      <c r="Y934" s="36"/>
      <c r="Z934" s="36"/>
    </row>
    <row r="935" spans="1:26" ht="14">
      <c r="A935" s="3"/>
      <c r="B935" s="36"/>
      <c r="C935" s="163"/>
      <c r="D935" s="3"/>
      <c r="E935" s="3"/>
      <c r="F935" s="3"/>
      <c r="G935" s="3"/>
      <c r="H935" s="3"/>
      <c r="I935" s="3"/>
      <c r="J935" s="3"/>
      <c r="K935" s="3"/>
      <c r="L935" s="3"/>
      <c r="M935" s="3"/>
      <c r="N935" s="3"/>
      <c r="O935" s="3"/>
      <c r="P935" s="36"/>
      <c r="Q935" s="3"/>
      <c r="R935" s="3"/>
      <c r="S935" s="3"/>
      <c r="T935" s="36"/>
      <c r="U935" s="36"/>
      <c r="V935" s="36"/>
      <c r="W935" s="36"/>
      <c r="X935" s="36"/>
      <c r="Y935" s="36"/>
      <c r="Z935" s="36"/>
    </row>
    <row r="936" spans="1:26" ht="14">
      <c r="A936" s="3"/>
      <c r="B936" s="36"/>
      <c r="C936" s="163"/>
      <c r="D936" s="3"/>
      <c r="E936" s="3"/>
      <c r="F936" s="3"/>
      <c r="G936" s="3"/>
      <c r="H936" s="3"/>
      <c r="I936" s="3"/>
      <c r="J936" s="3"/>
      <c r="K936" s="3"/>
      <c r="L936" s="3"/>
      <c r="M936" s="3"/>
      <c r="N936" s="3"/>
      <c r="O936" s="3"/>
      <c r="P936" s="36"/>
      <c r="Q936" s="3"/>
      <c r="R936" s="3"/>
      <c r="S936" s="3"/>
      <c r="T936" s="36"/>
      <c r="U936" s="36"/>
      <c r="V936" s="36"/>
      <c r="W936" s="36"/>
      <c r="X936" s="36"/>
      <c r="Y936" s="36"/>
      <c r="Z936" s="36"/>
    </row>
    <row r="937" spans="1:26" ht="14">
      <c r="A937" s="3"/>
      <c r="B937" s="36"/>
      <c r="C937" s="163"/>
      <c r="D937" s="3"/>
      <c r="E937" s="3"/>
      <c r="F937" s="3"/>
      <c r="G937" s="3"/>
      <c r="H937" s="3"/>
      <c r="I937" s="3"/>
      <c r="J937" s="3"/>
      <c r="K937" s="3"/>
      <c r="L937" s="3"/>
      <c r="M937" s="3"/>
      <c r="N937" s="3"/>
      <c r="O937" s="3"/>
      <c r="P937" s="36"/>
      <c r="Q937" s="3"/>
      <c r="R937" s="3"/>
      <c r="S937" s="3"/>
      <c r="T937" s="36"/>
      <c r="U937" s="36"/>
      <c r="V937" s="36"/>
      <c r="W937" s="36"/>
      <c r="X937" s="36"/>
      <c r="Y937" s="36"/>
      <c r="Z937" s="36"/>
    </row>
    <row r="938" spans="1:26" ht="14">
      <c r="A938" s="3"/>
      <c r="B938" s="36"/>
      <c r="C938" s="163"/>
      <c r="D938" s="3"/>
      <c r="E938" s="3"/>
      <c r="F938" s="3"/>
      <c r="G938" s="3"/>
      <c r="H938" s="3"/>
      <c r="I938" s="3"/>
      <c r="J938" s="3"/>
      <c r="K938" s="3"/>
      <c r="L938" s="3"/>
      <c r="M938" s="3"/>
      <c r="N938" s="3"/>
      <c r="O938" s="3"/>
      <c r="P938" s="36"/>
      <c r="Q938" s="3"/>
      <c r="R938" s="3"/>
      <c r="S938" s="3"/>
      <c r="T938" s="36"/>
      <c r="U938" s="36"/>
      <c r="V938" s="36"/>
      <c r="W938" s="36"/>
      <c r="X938" s="36"/>
      <c r="Y938" s="36"/>
      <c r="Z938" s="36"/>
    </row>
    <row r="939" spans="1:26" ht="14">
      <c r="A939" s="3"/>
      <c r="B939" s="36"/>
      <c r="C939" s="163"/>
      <c r="D939" s="3"/>
      <c r="E939" s="3"/>
      <c r="F939" s="3"/>
      <c r="G939" s="3"/>
      <c r="H939" s="3"/>
      <c r="I939" s="3"/>
      <c r="J939" s="3"/>
      <c r="K939" s="3"/>
      <c r="L939" s="3"/>
      <c r="M939" s="3"/>
      <c r="N939" s="3"/>
      <c r="O939" s="3"/>
      <c r="P939" s="36"/>
      <c r="Q939" s="3"/>
      <c r="R939" s="3"/>
      <c r="S939" s="3"/>
      <c r="T939" s="36"/>
      <c r="U939" s="36"/>
      <c r="V939" s="36"/>
      <c r="W939" s="36"/>
      <c r="X939" s="36"/>
      <c r="Y939" s="36"/>
      <c r="Z939" s="36"/>
    </row>
    <row r="940" spans="1:26" ht="14">
      <c r="A940" s="3"/>
      <c r="B940" s="36"/>
      <c r="C940" s="163"/>
      <c r="D940" s="3"/>
      <c r="E940" s="3"/>
      <c r="F940" s="3"/>
      <c r="G940" s="3"/>
      <c r="H940" s="3"/>
      <c r="I940" s="3"/>
      <c r="J940" s="3"/>
      <c r="K940" s="3"/>
      <c r="L940" s="3"/>
      <c r="M940" s="3"/>
      <c r="N940" s="3"/>
      <c r="O940" s="3"/>
      <c r="P940" s="36"/>
      <c r="Q940" s="3"/>
      <c r="R940" s="3"/>
      <c r="S940" s="3"/>
      <c r="T940" s="36"/>
      <c r="U940" s="36"/>
      <c r="V940" s="36"/>
      <c r="W940" s="36"/>
      <c r="X940" s="36"/>
      <c r="Y940" s="36"/>
      <c r="Z940" s="36"/>
    </row>
    <row r="941" spans="1:26" ht="14">
      <c r="A941" s="3"/>
      <c r="B941" s="36"/>
      <c r="C941" s="163"/>
      <c r="D941" s="3"/>
      <c r="E941" s="3"/>
      <c r="F941" s="3"/>
      <c r="G941" s="3"/>
      <c r="H941" s="3"/>
      <c r="I941" s="3"/>
      <c r="J941" s="3"/>
      <c r="K941" s="3"/>
      <c r="L941" s="3"/>
      <c r="M941" s="3"/>
      <c r="N941" s="3"/>
      <c r="O941" s="3"/>
      <c r="P941" s="36"/>
      <c r="Q941" s="3"/>
      <c r="R941" s="3"/>
      <c r="S941" s="3"/>
      <c r="T941" s="36"/>
      <c r="U941" s="36"/>
      <c r="V941" s="36"/>
      <c r="W941" s="36"/>
      <c r="X941" s="36"/>
      <c r="Y941" s="36"/>
      <c r="Z941" s="36"/>
    </row>
    <row r="942" spans="1:26" ht="14">
      <c r="A942" s="3"/>
      <c r="B942" s="36"/>
      <c r="C942" s="163"/>
      <c r="D942" s="3"/>
      <c r="E942" s="3"/>
      <c r="F942" s="3"/>
      <c r="G942" s="3"/>
      <c r="H942" s="3"/>
      <c r="I942" s="3"/>
      <c r="J942" s="3"/>
      <c r="K942" s="3"/>
      <c r="L942" s="3"/>
      <c r="M942" s="3"/>
      <c r="N942" s="3"/>
      <c r="O942" s="3"/>
      <c r="P942" s="36"/>
      <c r="Q942" s="3"/>
      <c r="R942" s="3"/>
      <c r="S942" s="3"/>
      <c r="T942" s="36"/>
      <c r="U942" s="36"/>
      <c r="V942" s="36"/>
      <c r="W942" s="36"/>
      <c r="X942" s="36"/>
      <c r="Y942" s="36"/>
      <c r="Z942" s="36"/>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Field Notes</vt:lpstr>
      <vt:lpstr>Zooplankton</vt:lpstr>
      <vt:lpstr>Composition</vt:lpstr>
      <vt:lpstr>Comp Diversity</vt:lpstr>
      <vt:lpstr>Shannon</vt:lpstr>
      <vt:lpstr>Zooplankton Raw</vt:lpstr>
      <vt:lpstr>Horizontal</vt:lpstr>
      <vt:lpstr>Fish Data</vt:lpstr>
      <vt:lpstr>FishSp</vt:lpstr>
      <vt:lpstr>Old </vt:lpstr>
      <vt:lpstr>Neomysis demography</vt:lpstr>
      <vt:lpstr>Pooled Composition</vt:lpstr>
      <vt:lpstr>NMDS Happy</vt:lpstr>
      <vt:lpstr>NMDS Cyclopoid</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Erin  Bucci</cp:lastModifiedBy>
  <cp:revision/>
  <dcterms:created xsi:type="dcterms:W3CDTF">2017-11-24T19:18:12Z</dcterms:created>
  <dcterms:modified xsi:type="dcterms:W3CDTF">2020-02-13T15:42:10Z</dcterms:modified>
  <cp:category/>
  <cp:contentStatus/>
</cp:coreProperties>
</file>