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B5FBFB24-883E-4B3C-8184-A1A46632DCF9}" xr6:coauthVersionLast="47" xr6:coauthVersionMax="47" xr10:uidLastSave="{00000000-0000-0000-0000-000000000000}"/>
  <bookViews>
    <workbookView xWindow="-3504" yWindow="3420" windowWidth="13800" windowHeight="8964" tabRatio="762" activeTab="2" xr2:uid="{00000000-000D-0000-FFFF-FFFF00000000}"/>
  </bookViews>
  <sheets>
    <sheet name="pH- Veligers" sheetId="21" r:id="rId1"/>
    <sheet name="pH- Adults" sheetId="20" r:id="rId2"/>
    <sheet name="Calcium-Veligers" sheetId="19" r:id="rId3"/>
    <sheet name="Calcium-Adults" sheetId="18" r:id="rId4"/>
    <sheet name="Instructions" sheetId="12" r:id="rId5"/>
    <sheet name="Linear Function" sheetId="17" r:id="rId6"/>
    <sheet name="Categorical Function" sheetId="14" r:id="rId7"/>
    <sheet name="Logistic Function" sheetId="13" r:id="rId8"/>
    <sheet name="Sheet2" sheetId="1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9" l="1"/>
  <c r="C6" i="19"/>
  <c r="G5" i="19" s="1"/>
  <c r="F5" i="19" s="1"/>
  <c r="H5" i="19" s="1"/>
  <c r="C5" i="19"/>
  <c r="G4" i="19" s="1"/>
  <c r="F4" i="19" s="1"/>
  <c r="H4" i="19" s="1"/>
  <c r="C12" i="21"/>
  <c r="C11" i="21"/>
  <c r="C10" i="21"/>
  <c r="G7" i="21"/>
  <c r="F7" i="21" s="1"/>
  <c r="H7" i="21" s="1"/>
  <c r="C6" i="21"/>
  <c r="C5" i="21"/>
  <c r="C4" i="21"/>
  <c r="C3" i="21"/>
  <c r="H12" i="21"/>
  <c r="G12" i="21"/>
  <c r="F12" i="21"/>
  <c r="E12" i="21"/>
  <c r="E11" i="21"/>
  <c r="E10" i="21"/>
  <c r="G9" i="21"/>
  <c r="F9" i="21" s="1"/>
  <c r="H9" i="21" s="1"/>
  <c r="E9" i="21"/>
  <c r="G8" i="21"/>
  <c r="F8" i="21" s="1"/>
  <c r="H8" i="21" s="1"/>
  <c r="E8" i="21"/>
  <c r="E7" i="21"/>
  <c r="E6" i="21"/>
  <c r="E5" i="21"/>
  <c r="E4" i="2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H10" i="19"/>
  <c r="G10" i="19"/>
  <c r="F10" i="19"/>
  <c r="E10" i="19"/>
  <c r="G9" i="19"/>
  <c r="F9" i="19" s="1"/>
  <c r="H9" i="19" s="1"/>
  <c r="E9" i="19"/>
  <c r="G8" i="19"/>
  <c r="F8" i="19" s="1"/>
  <c r="H8" i="19" s="1"/>
  <c r="E8" i="19"/>
  <c r="G7" i="19"/>
  <c r="F7" i="19" s="1"/>
  <c r="H7" i="19" s="1"/>
  <c r="E7" i="19"/>
  <c r="E6" i="19"/>
  <c r="E5" i="19"/>
  <c r="E4" i="19"/>
  <c r="G3" i="19"/>
  <c r="F3" i="19" s="1"/>
  <c r="H3" i="19" s="1"/>
  <c r="E3" i="19"/>
  <c r="H12" i="18"/>
  <c r="G12" i="18"/>
  <c r="F12" i="18"/>
  <c r="E12" i="18"/>
  <c r="H11" i="18"/>
  <c r="G11" i="18"/>
  <c r="F11" i="18"/>
  <c r="E11" i="18"/>
  <c r="H10" i="18"/>
  <c r="G10" i="18"/>
  <c r="F10" i="18"/>
  <c r="E10" i="18"/>
  <c r="G9" i="18"/>
  <c r="F9" i="18" s="1"/>
  <c r="H9" i="18" s="1"/>
  <c r="E9" i="18"/>
  <c r="G8" i="18"/>
  <c r="F8" i="18" s="1"/>
  <c r="H8" i="18" s="1"/>
  <c r="E8" i="18"/>
  <c r="G7" i="18"/>
  <c r="F7" i="18" s="1"/>
  <c r="H7" i="18" s="1"/>
  <c r="E7" i="18"/>
  <c r="G6" i="18"/>
  <c r="F6" i="18" s="1"/>
  <c r="H6" i="18" s="1"/>
  <c r="E6" i="18"/>
  <c r="G5" i="18"/>
  <c r="F5" i="18" s="1"/>
  <c r="H5" i="18" s="1"/>
  <c r="E5" i="18"/>
  <c r="G4" i="18"/>
  <c r="F4" i="18" s="1"/>
  <c r="H4" i="18" s="1"/>
  <c r="E4" i="18"/>
  <c r="G3" i="18"/>
  <c r="F3" i="18" s="1"/>
  <c r="H3" i="18" s="1"/>
  <c r="E3" i="18"/>
  <c r="G6" i="19" l="1"/>
  <c r="F6" i="19" s="1"/>
  <c r="H6" i="19" s="1"/>
  <c r="G11" i="21"/>
  <c r="F11" i="21" s="1"/>
  <c r="H11" i="21" s="1"/>
  <c r="G10" i="21"/>
  <c r="F10" i="21" s="1"/>
  <c r="H10" i="21" s="1"/>
  <c r="G6" i="21"/>
  <c r="F6" i="21" s="1"/>
  <c r="H6" i="21" s="1"/>
  <c r="G5" i="21"/>
  <c r="F5" i="21" s="1"/>
  <c r="H5" i="21" s="1"/>
  <c r="G4" i="21"/>
  <c r="F4" i="21" s="1"/>
  <c r="H4" i="21" s="1"/>
  <c r="G3" i="21"/>
  <c r="F3" i="21" s="1"/>
  <c r="H3" i="21" s="1"/>
  <c r="H12" i="17"/>
  <c r="G12" i="17"/>
  <c r="F12" i="17"/>
  <c r="E12" i="17"/>
  <c r="H11" i="17"/>
  <c r="G11" i="17"/>
  <c r="F11" i="17"/>
  <c r="E11" i="17"/>
  <c r="H10" i="17"/>
  <c r="G10" i="17"/>
  <c r="F10" i="17"/>
  <c r="E10" i="17"/>
  <c r="G9" i="17"/>
  <c r="F9" i="17" s="1"/>
  <c r="H9" i="17" s="1"/>
  <c r="E9" i="17"/>
  <c r="G8" i="17"/>
  <c r="F8" i="17" s="1"/>
  <c r="H8" i="17" s="1"/>
  <c r="E8" i="17"/>
  <c r="G7" i="17"/>
  <c r="F7" i="17" s="1"/>
  <c r="H7" i="17" s="1"/>
  <c r="E7" i="17"/>
  <c r="G6" i="17"/>
  <c r="F6" i="17" s="1"/>
  <c r="H6" i="17" s="1"/>
  <c r="E6" i="17"/>
  <c r="G5" i="17"/>
  <c r="F5" i="17"/>
  <c r="H5" i="17" s="1"/>
  <c r="E5" i="17"/>
  <c r="G4" i="17"/>
  <c r="F4" i="17" s="1"/>
  <c r="H4" i="17" s="1"/>
  <c r="E4" i="17"/>
  <c r="G3" i="17"/>
  <c r="F3" i="17" s="1"/>
  <c r="H3" i="17" s="1"/>
  <c r="E3" i="17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B69" i="13"/>
  <c r="C69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B65" i="13"/>
  <c r="C65" i="13" s="1"/>
  <c r="G11" i="13" s="1"/>
  <c r="B67" i="13"/>
  <c r="C67" i="13" s="1"/>
  <c r="B58" i="13"/>
  <c r="C58" i="13" s="1"/>
  <c r="G4" i="13" s="1"/>
  <c r="B62" i="13"/>
  <c r="C62" i="13" s="1"/>
  <c r="G8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<sst xmlns="http://schemas.openxmlformats.org/spreadsheetml/2006/main" count="119" uniqueCount="61">
  <si>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</si>
  <si>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</si>
  <si>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</si>
  <si>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</si>
  <si>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</si>
  <si>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</si>
  <si>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</si>
  <si>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</si>
  <si>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</si>
  <si>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</si>
  <si>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</si>
  <si>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</si>
  <si>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</si>
  <si>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</si>
  <si>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</si>
  <si>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</si>
  <si>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</si>
  <si>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</si>
  <si>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</si>
  <si>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</si>
  <si>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</si>
  <si>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</si>
  <si>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</si>
  <si>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</si>
  <si>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</si>
  <si>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</si>
  <si>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</si>
  <si>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</si>
  <si>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</si>
  <si>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</si>
  <si>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</si>
  <si>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</si>
  <si>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</si>
  <si>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</si>
  <si>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</si>
  <si>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</si>
  <si>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</si>
  <si>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</si>
  <si>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</si>
  <si>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</si>
  <si>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</si>
  <si>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</si>
  <si>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</si>
  <si>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</si>
  <si>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</si>
  <si>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</si>
  <si>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</si>
  <si>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</si>
  <si>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</si>
  <si>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</si>
  <si>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</si>
  <si>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</si>
  <si>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</si>
  <si>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</si>
  <si>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</si>
  <si>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</si>
  <si>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</si>
  <si>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Wave energy</t>
  </si>
  <si>
    <t>Erosion</t>
  </si>
  <si>
    <t xml:space="preserve">Smith et al. 2019, Elevation impacts whatever elevation impacts and the citation is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</si>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</sst>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 applyProtection="1">
      <alignment horizontal="left" vertical="top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 vertical="top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Veligers'!$B$3:$B$12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7.1</c:v>
                </c:pt>
                <c:pt idx="3">
                  <c:v>7.3</c:v>
                </c:pt>
                <c:pt idx="4">
                  <c:v>8.3000000000000007</c:v>
                </c:pt>
                <c:pt idx="5">
                  <c:v>8.4</c:v>
                </c:pt>
                <c:pt idx="6">
                  <c:v>8.5</c:v>
                </c:pt>
                <c:pt idx="7">
                  <c:v>9.4</c:v>
                </c:pt>
                <c:pt idx="8">
                  <c:v>9.5</c:v>
                </c:pt>
                <c:pt idx="9">
                  <c:v>9.8000000000000007</c:v>
                </c:pt>
              </c:numCache>
            </c:numRef>
          </c:xVal>
          <c:yVal>
            <c:numRef>
              <c:f>'pH- 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0.11000000000000001</c:v>
                </c:pt>
                <c:pt idx="2">
                  <c:v>0.27500000000000002</c:v>
                </c:pt>
                <c:pt idx="3">
                  <c:v>0.82499999999999996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0.82499999999999996</c:v>
                </c:pt>
                <c:pt idx="8" formatCode="General">
                  <c:v>0.27500000000000002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622-A210-AC03CAC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Adults'!$B$3:$B$12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  <c:pt idx="8">
                  <c:v>9.6999999999999993</c:v>
                </c:pt>
              </c:numCache>
            </c:numRef>
          </c:xVal>
          <c:yVal>
            <c:numRef>
              <c:f>'pH- 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0.5</c:v>
                </c:pt>
                <c:pt idx="7" formatCode="General">
                  <c:v>0.25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8D6-A0D3-42438628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'Calcium-Veligers'!$B$3:$B$12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</c:numCache>
            </c:numRef>
          </c:xVal>
          <c:yVal>
            <c:numRef>
              <c:f>'Calcium-Veligers'!$C$3:$C$12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0.27500000000000002</c:v>
                </c:pt>
                <c:pt idx="3">
                  <c:v>0.55000000000000004</c:v>
                </c:pt>
                <c:pt idx="4" formatCode="General">
                  <c:v>0.99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5AA-89CD-E7714F1D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'Calcium-Adults'!$B$3:$B$12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</c:numCache>
            </c:numRef>
          </c:xVal>
          <c:yVal>
            <c:numRef>
              <c:f>'Calcium-Adults'!$C$3:$C$12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ED3-B14D-2B3440A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02744"/>
        <c:axId val="388803136"/>
      </c:barChart>
      <c:catAx>
        <c:axId val="3888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136"/>
        <c:crosses val="autoZero"/>
        <c:auto val="0"/>
        <c:lblAlgn val="ctr"/>
        <c:lblOffset val="100"/>
        <c:tickMarkSkip val="1"/>
        <c:noMultiLvlLbl val="0"/>
      </c:catAx>
      <c:valAx>
        <c:axId val="38880313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2.9963101069681017E-2</c:v>
                </c:pt>
                <c:pt idx="1">
                  <c:v>5.5044959170935069E-2</c:v>
                </c:pt>
                <c:pt idx="2">
                  <c:v>9.8980265456853844E-2</c:v>
                </c:pt>
                <c:pt idx="3">
                  <c:v>0.1716147367654626</c:v>
                </c:pt>
                <c:pt idx="4">
                  <c:v>0.28093147372269994</c:v>
                </c:pt>
                <c:pt idx="5">
                  <c:v>0.42422194391928403</c:v>
                </c:pt>
                <c:pt idx="6">
                  <c:v>0.58149533059791447</c:v>
                </c:pt>
                <c:pt idx="7">
                  <c:v>0.72378109085285147</c:v>
                </c:pt>
                <c:pt idx="8">
                  <c:v>0.83169327811209937</c:v>
                </c:pt>
                <c:pt idx="9">
                  <c:v>0.90309144963035415</c:v>
                </c:pt>
                <c:pt idx="10">
                  <c:v>0.94616211175983522</c:v>
                </c:pt>
                <c:pt idx="11">
                  <c:v>0.97071100214053463</c:v>
                </c:pt>
                <c:pt idx="12">
                  <c:v>0.98425244408736601</c:v>
                </c:pt>
                <c:pt idx="13">
                  <c:v>0.99158740933823519</c:v>
                </c:pt>
                <c:pt idx="14">
                  <c:v>0.99552140846800374</c:v>
                </c:pt>
                <c:pt idx="15">
                  <c:v>0.99762015778833135</c:v>
                </c:pt>
                <c:pt idx="16">
                  <c:v>0.99873664318162225</c:v>
                </c:pt>
                <c:pt idx="17">
                  <c:v>0.99932968964033608</c:v>
                </c:pt>
                <c:pt idx="18">
                  <c:v>0.99964444663298713</c:v>
                </c:pt>
                <c:pt idx="19">
                  <c:v>0.9998114313756653</c:v>
                </c:pt>
                <c:pt idx="2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0.99990000000000001</c:v>
                </c:pt>
                <c:pt idx="1">
                  <c:v>0.99873664318162225</c:v>
                </c:pt>
                <c:pt idx="2">
                  <c:v>0.99552140846800363</c:v>
                </c:pt>
                <c:pt idx="3">
                  <c:v>0.98425244408736601</c:v>
                </c:pt>
                <c:pt idx="4">
                  <c:v>0.94616211175983522</c:v>
                </c:pt>
                <c:pt idx="5">
                  <c:v>0.83169327811209948</c:v>
                </c:pt>
                <c:pt idx="6">
                  <c:v>0.58149533059791447</c:v>
                </c:pt>
                <c:pt idx="7">
                  <c:v>0.28093147372269994</c:v>
                </c:pt>
                <c:pt idx="8">
                  <c:v>9.8980265456853844E-2</c:v>
                </c:pt>
                <c:pt idx="9">
                  <c:v>2.9963101069681017E-2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3920"/>
        <c:axId val="388805096"/>
      </c:scatterChart>
      <c:valAx>
        <c:axId val="388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096"/>
        <c:crosses val="autoZero"/>
        <c:crossBetween val="midCat"/>
      </c:valAx>
      <c:valAx>
        <c:axId val="3888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Erosion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9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171714</xdr:rowOff>
    </xdr:from>
    <xdr:to>
      <xdr:col>3</xdr:col>
      <xdr:colOff>785813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opLeftCell="C1" zoomScale="80" zoomScaleNormal="80" workbookViewId="0">
      <selection activeCell="C12" sqref="C12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f>0+(0*0.1)</f>
        <v>0</v>
      </c>
      <c r="E3" s="21" t="str">
        <f>IF(ISBLANK(B4),"",CONCATENATE(B3," - ",B4))</f>
        <v>6 - 6.5</v>
      </c>
      <c r="F3" s="22">
        <f t="shared" ref="F3:F8" si="0">IF(ISBLANK(C4),"",C4-(B4*G3))</f>
        <v>-1.32</v>
      </c>
      <c r="G3" s="23">
        <f t="shared" ref="G3:G12" si="1">(IF(ISBLANK(C4),"",(C4-C3)/(B4-B3)))</f>
        <v>0.22000000000000003</v>
      </c>
      <c r="H3" s="24" t="str">
        <f t="shared" ref="H3:H8" si="2">IF(ISBLANK(C4),"",CONCATENATE("Y= ",ROUND(F3,2)," +  (",ROUND(G3,4)," * ",$B$2,")"))</f>
        <v>Y= -1.32 +  (0.22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f>0.1+(0.1*0.1)</f>
        <v>0.11000000000000001</v>
      </c>
      <c r="E4" s="21" t="str">
        <f t="shared" ref="E4:E12" si="3">IF(ISBLANK(B5),"",CONCATENATE(B4," - ",B5))</f>
        <v>6.5 - 7.1</v>
      </c>
      <c r="F4" s="22">
        <f t="shared" si="0"/>
        <v>-1.6775000000000011</v>
      </c>
      <c r="G4" s="23">
        <f t="shared" si="1"/>
        <v>0.27500000000000019</v>
      </c>
      <c r="H4" s="24" t="str">
        <f t="shared" si="2"/>
        <v>Y= -1.68 +  (0.275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7.1</v>
      </c>
      <c r="C5" s="34">
        <f>0.25+(0.25*0.1)</f>
        <v>0.27500000000000002</v>
      </c>
      <c r="E5" s="21" t="str">
        <f t="shared" si="3"/>
        <v>7.1 - 7.3</v>
      </c>
      <c r="F5" s="22">
        <f t="shared" si="0"/>
        <v>-19.249999999999982</v>
      </c>
      <c r="G5" s="23">
        <f t="shared" si="1"/>
        <v>2.7499999999999973</v>
      </c>
      <c r="H5" s="24" t="str">
        <f t="shared" si="2"/>
        <v>Y= -19.25 +  (2.75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7.3</v>
      </c>
      <c r="C6" s="34">
        <f>0.75+(0.75*0.1)</f>
        <v>0.82499999999999996</v>
      </c>
      <c r="E6" s="21" t="str">
        <f t="shared" si="3"/>
        <v>7.3 - 8.3</v>
      </c>
      <c r="F6" s="22">
        <f t="shared" si="0"/>
        <v>-0.45249999999999901</v>
      </c>
      <c r="G6" s="23">
        <f t="shared" si="1"/>
        <v>0.17499999999999988</v>
      </c>
      <c r="H6" s="24" t="str">
        <f t="shared" si="2"/>
        <v>Y= -0.45 +  (0.175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8.4</v>
      </c>
      <c r="C8" s="33">
        <v>1</v>
      </c>
      <c r="E8" s="21" t="str">
        <f t="shared" si="3"/>
        <v>8.4 - 8.5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8.5</v>
      </c>
      <c r="C9" s="33">
        <v>1</v>
      </c>
      <c r="E9" s="21" t="str">
        <f t="shared" si="3"/>
        <v>8.5 - 9.4</v>
      </c>
      <c r="F9" s="22">
        <f>IF(ISBLANK(C10),"",C10-(B10*G9))</f>
        <v>2.6527777777777777</v>
      </c>
      <c r="G9" s="23">
        <f t="shared" si="1"/>
        <v>-0.19444444444444442</v>
      </c>
      <c r="H9" s="24" t="str">
        <f>IF(ISBLANK(C10),"",CONCATENATE("Y= ",ROUND(F9,2)," +  (",ROUND(G9,4)," * ",$B$2,")"))</f>
        <v>Y= 2.65 +  (-0.1944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9.4</v>
      </c>
      <c r="C10" s="33">
        <f>0.75+(0.75*0.1)</f>
        <v>0.82499999999999996</v>
      </c>
      <c r="E10" s="21" t="str">
        <f t="shared" si="3"/>
        <v>9.4 - 9.5</v>
      </c>
      <c r="F10" s="22">
        <f>IF(ISBLANK(C11),"",C11-(B11*G10))</f>
        <v>52.525000000000176</v>
      </c>
      <c r="G10" s="23">
        <f t="shared" si="1"/>
        <v>-5.5000000000000187</v>
      </c>
      <c r="H10" s="24" t="str">
        <f t="shared" ref="H10:H12" si="4">IF(ISBLANK(C11),"",CONCATENATE("Y= ",ROUND(F10,2)," +  (",ROUND(G10,4)," * ",$B$2,")"))</f>
        <v>Y= 52.53 +  (-5.5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9.5</v>
      </c>
      <c r="C11" s="33">
        <f>0.25+(0.25*0.1)</f>
        <v>0.27500000000000002</v>
      </c>
      <c r="E11" s="21" t="str">
        <f t="shared" si="3"/>
        <v>9.5 - 9.8</v>
      </c>
      <c r="F11" s="22">
        <f t="shared" ref="F11:F12" si="5">IF(ISBLANK(C12),"",C12-(B12*G11))</f>
        <v>8.983333333333313</v>
      </c>
      <c r="G11" s="23">
        <f t="shared" si="1"/>
        <v>-0.91666666666666452</v>
      </c>
      <c r="H11" s="24" t="str">
        <f t="shared" si="4"/>
        <v>Y= 8.98 +  (-0.9167 * Temperature)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>
        <v>9.8000000000000007</v>
      </c>
      <c r="C12" s="35">
        <f>0+(0*0.1)</f>
        <v>0</v>
      </c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showGridLines="0" zoomScale="80" zoomScaleNormal="80" workbookViewId="0">
      <selection activeCell="B6" sqref="B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-3</v>
      </c>
      <c r="G3" s="23">
        <f t="shared" ref="G3:G12" si="1">(IF(ISBLANK(C4),"",(C4-C3)/(B4-B3)))</f>
        <v>0.5</v>
      </c>
      <c r="H3" s="24" t="str">
        <f t="shared" ref="H3:H8" si="2">IF(ISBLANK(C4),"",CONCATENATE("Y= ",ROUND(F3,2)," +  (",ROUND(G3,4)," * ",$B$2,")"))</f>
        <v>Y= -3 +  (0.5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0.25</v>
      </c>
      <c r="E4" s="21" t="str">
        <f t="shared" ref="E4:E12" si="3">IF(ISBLANK(B5),"",CONCATENATE(B4," - ",B5))</f>
        <v>6.5 - 7.4</v>
      </c>
      <c r="F4" s="22">
        <f t="shared" si="0"/>
        <v>-1.5555555555555549</v>
      </c>
      <c r="G4" s="23">
        <f t="shared" si="1"/>
        <v>0.27777777777777768</v>
      </c>
      <c r="H4" s="24" t="str">
        <f t="shared" si="2"/>
        <v>Y= -1.56 +  (0.2778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7.4</v>
      </c>
      <c r="C5" s="34">
        <v>0.5</v>
      </c>
      <c r="E5" s="21" t="str">
        <f t="shared" si="3"/>
        <v>7.4 - 8</v>
      </c>
      <c r="F5" s="22">
        <f t="shared" si="0"/>
        <v>-2.5833333333333353</v>
      </c>
      <c r="G5" s="23">
        <f t="shared" si="1"/>
        <v>0.41666666666666691</v>
      </c>
      <c r="H5" s="24" t="str">
        <f t="shared" si="2"/>
        <v>Y= -2.58 +  (0.4167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8</v>
      </c>
      <c r="C6" s="34">
        <v>0.75</v>
      </c>
      <c r="E6" s="21" t="str">
        <f t="shared" si="3"/>
        <v>8 - 8.3</v>
      </c>
      <c r="F6" s="22">
        <f t="shared" si="0"/>
        <v>-5.916666666666651</v>
      </c>
      <c r="G6" s="23">
        <f t="shared" si="1"/>
        <v>0.83333333333333137</v>
      </c>
      <c r="H6" s="24" t="str">
        <f t="shared" si="2"/>
        <v>Y= -5.92 +  (0.8333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8.3 - 8.8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8.8000000000000007</v>
      </c>
      <c r="C8" s="33">
        <v>1</v>
      </c>
      <c r="E8" s="21" t="str">
        <f t="shared" si="3"/>
        <v>8.8 - 9</v>
      </c>
      <c r="F8" s="22">
        <f t="shared" si="0"/>
        <v>23.000000000000078</v>
      </c>
      <c r="G8" s="23">
        <f t="shared" si="1"/>
        <v>-2.5000000000000089</v>
      </c>
      <c r="H8" s="24" t="str">
        <f t="shared" si="2"/>
        <v>Y= 23 +  (-2.5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9</v>
      </c>
      <c r="C9" s="33">
        <v>0.5</v>
      </c>
      <c r="E9" s="21" t="str">
        <f t="shared" si="3"/>
        <v>9 - 9.5</v>
      </c>
      <c r="F9" s="22">
        <f>IF(ISBLANK(C10),"",C10-(B10*G9))</f>
        <v>5</v>
      </c>
      <c r="G9" s="23">
        <f t="shared" si="1"/>
        <v>-0.5</v>
      </c>
      <c r="H9" s="24" t="str">
        <f>IF(ISBLANK(C10),"",CONCATENATE("Y= ",ROUND(F9,2)," +  (",ROUND(G9,4)," * ",$B$2,")"))</f>
        <v>Y= 5 +  (-0.5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9.5</v>
      </c>
      <c r="C10" s="33">
        <v>0.25</v>
      </c>
      <c r="E10" s="21" t="str">
        <f t="shared" si="3"/>
        <v>9.5 - 9.7</v>
      </c>
      <c r="F10" s="22">
        <f>IF(ISBLANK(C11),"",C11-(B11*G10))</f>
        <v>12.125000000000043</v>
      </c>
      <c r="G10" s="23">
        <f t="shared" si="1"/>
        <v>-1.2500000000000044</v>
      </c>
      <c r="H10" s="24" t="str">
        <f t="shared" ref="H10:H12" si="4">IF(ISBLANK(C11),"",CONCATENATE("Y= ",ROUND(F10,2)," +  (",ROUND(G10,4)," * ",$B$2,")"))</f>
        <v>Y= 12.13 +  (-1.25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9.6999999999999993</v>
      </c>
      <c r="C11" s="33">
        <v>0</v>
      </c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tabSelected="1" topLeftCell="B1" zoomScale="80" zoomScaleNormal="80" workbookViewId="0">
      <selection activeCell="C7" sqref="C7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5</v>
      </c>
      <c r="C3" s="34">
        <v>0</v>
      </c>
      <c r="E3" s="21" t="str">
        <f>IF(ISBLANK(B4),"",CONCATENATE(B3," - ",B4))</f>
        <v>5 - 8</v>
      </c>
      <c r="F3" s="22">
        <f t="shared" ref="F3:F8" si="0">IF(ISBLANK(C4),"",C4-(B4*G3))</f>
        <v>0</v>
      </c>
      <c r="G3" s="23">
        <f t="shared" ref="G3:G12" si="1">(IF(ISBLANK(C4),"",(C4-C3)/(B4-B3)))</f>
        <v>0</v>
      </c>
      <c r="H3" s="24" t="str">
        <f t="shared" ref="H3:H8" si="2">IF(ISBLANK(C4),"",CONCATENATE("Y= ",ROUND(F3,2)," +  (",ROUND(G3,4)," * ",$B$2,")"))</f>
        <v>Y= 0 +  (0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8</v>
      </c>
      <c r="C4" s="34">
        <v>0</v>
      </c>
      <c r="E4" s="21" t="str">
        <f t="shared" ref="E4:E12" si="3">IF(ISBLANK(B5),"",CONCATENATE(B4," - ",B5))</f>
        <v>8 - 12</v>
      </c>
      <c r="F4" s="22">
        <f t="shared" si="0"/>
        <v>-0.55000000000000004</v>
      </c>
      <c r="G4" s="23">
        <f t="shared" si="1"/>
        <v>6.8750000000000006E-2</v>
      </c>
      <c r="H4" s="24" t="str">
        <f t="shared" si="2"/>
        <v>Y= -0.55 +  (0.0688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f>0.25+(0.25*0.1)</f>
        <v>0.27500000000000002</v>
      </c>
      <c r="E5" s="21" t="str">
        <f t="shared" si="3"/>
        <v>12 - 20</v>
      </c>
      <c r="F5" s="22">
        <f t="shared" si="0"/>
        <v>-0.13749999999999996</v>
      </c>
      <c r="G5" s="23">
        <f t="shared" si="1"/>
        <v>3.4375000000000003E-2</v>
      </c>
      <c r="H5" s="24" t="str">
        <f t="shared" si="2"/>
        <v>Y= -0.14 +  (0.0344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20</v>
      </c>
      <c r="C6" s="34">
        <f>0.5+(0.5*0.1)</f>
        <v>0.55000000000000004</v>
      </c>
      <c r="E6" s="21" t="str">
        <f t="shared" si="3"/>
        <v>20 - 26</v>
      </c>
      <c r="F6" s="22">
        <f t="shared" si="0"/>
        <v>-0.9166666666666663</v>
      </c>
      <c r="G6" s="23">
        <f t="shared" si="1"/>
        <v>7.333333333333332E-2</v>
      </c>
      <c r="H6" s="24" t="str">
        <f t="shared" si="2"/>
        <v>Y= -0.92 +  (0.0733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f>0.9+(0.9*0.1)</f>
        <v>0.99</v>
      </c>
      <c r="E7" s="21" t="str">
        <f t="shared" si="3"/>
        <v>26 - 35</v>
      </c>
      <c r="F7" s="22">
        <f t="shared" si="0"/>
        <v>0.96111111111111103</v>
      </c>
      <c r="G7" s="23">
        <f t="shared" si="1"/>
        <v>1.1111111111111122E-3</v>
      </c>
      <c r="H7" s="24" t="str">
        <f t="shared" si="2"/>
        <v>Y= 0.96 +  (0.0011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35</v>
      </c>
      <c r="C8" s="33">
        <v>1</v>
      </c>
      <c r="E8" s="21" t="str">
        <f t="shared" si="3"/>
        <v>35 - 46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46</v>
      </c>
      <c r="C9" s="33">
        <v>1</v>
      </c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C9" sqref="C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8</v>
      </c>
      <c r="C3" s="34">
        <v>0</v>
      </c>
      <c r="E3" s="21" t="str">
        <f>IF(ISBLANK(B4),"",CONCATENATE(B3," - ",B4))</f>
        <v>8 - 12</v>
      </c>
      <c r="F3" s="22">
        <f t="shared" ref="F3:F8" si="0">IF(ISBLANK(C4),"",C4-(B4*G3))</f>
        <v>-0.25</v>
      </c>
      <c r="G3" s="23">
        <f t="shared" ref="G3:G12" si="1">(IF(ISBLANK(C4),"",(C4-C3)/(B4-B3)))</f>
        <v>3.125E-2</v>
      </c>
      <c r="H3" s="24" t="str">
        <f t="shared" ref="H3:H8" si="2">IF(ISBLANK(C4),"",CONCATENATE("Y= ",ROUND(F3,2)," +  (",ROUND(G3,4)," * ",$B$2,")"))</f>
        <v>Y= -0.25 +  (0.0313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12</v>
      </c>
      <c r="C4" s="34">
        <v>0.125</v>
      </c>
      <c r="E4" s="21" t="str">
        <f t="shared" ref="E4:E12" si="3">IF(ISBLANK(B5),"",CONCATENATE(B4," - ",B5))</f>
        <v>12 - 15</v>
      </c>
      <c r="F4" s="22">
        <f t="shared" si="0"/>
        <v>-0.375</v>
      </c>
      <c r="G4" s="23">
        <f t="shared" si="1"/>
        <v>4.1666666666666664E-2</v>
      </c>
      <c r="H4" s="24" t="str">
        <f t="shared" si="2"/>
        <v>Y= -0.38 +  (0.0417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0.25</v>
      </c>
      <c r="E5" s="21" t="str">
        <f t="shared" si="3"/>
        <v>15 - 21</v>
      </c>
      <c r="F5" s="22">
        <f t="shared" si="0"/>
        <v>-1</v>
      </c>
      <c r="G5" s="23">
        <f t="shared" si="1"/>
        <v>8.3333333333333329E-2</v>
      </c>
      <c r="H5" s="24" t="str">
        <f t="shared" si="2"/>
        <v>Y= -1 +  (0.0833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21</v>
      </c>
      <c r="C6" s="34">
        <v>0.75</v>
      </c>
      <c r="E6" s="21" t="str">
        <f t="shared" si="3"/>
        <v>21 - 26</v>
      </c>
      <c r="F6" s="22">
        <f t="shared" si="0"/>
        <v>-0.30000000000000004</v>
      </c>
      <c r="G6" s="23">
        <f t="shared" si="1"/>
        <v>0.05</v>
      </c>
      <c r="H6" s="24" t="str">
        <f t="shared" si="2"/>
        <v>Y= -0.3 +  (0.05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34</v>
      </c>
      <c r="C8" s="33">
        <v>1</v>
      </c>
      <c r="E8" s="21" t="str">
        <f t="shared" si="3"/>
        <v/>
      </c>
      <c r="F8" s="22" t="str">
        <f t="shared" si="0"/>
        <v/>
      </c>
      <c r="G8" s="23" t="str">
        <f t="shared" si="1"/>
        <v/>
      </c>
      <c r="H8" s="24" t="str">
        <f t="shared" si="2"/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/>
      <c r="C9" s="33"/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15"/>
  <sheetViews>
    <sheetView showGridLines="0" workbookViewId="0">
      <selection activeCell="D8" sqref="D8"/>
    </sheetView>
  </sheetViews>
  <sheetFormatPr defaultColWidth="9.109375" defaultRowHeight="14.4" x14ac:dyDescent="0.3"/>
  <cols>
    <col min="1" max="1" width="11.109375" style="4" bestFit="1" customWidth="1"/>
    <col min="2" max="2" width="39.77734375" style="9" customWidth="1"/>
    <col min="3" max="3" width="9.109375" style="4"/>
    <col min="4" max="4" width="11.109375" style="4" bestFit="1" customWidth="1"/>
    <col min="5" max="5" width="100.77734375" style="4" customWidth="1"/>
    <col min="6" max="16384" width="9.109375" style="4"/>
  </cols>
  <sheetData>
    <row r="1" spans="1:5" ht="15" thickTop="1" x14ac:dyDescent="0.3">
      <c r="A1" s="92" t="s">
        <v>21</v>
      </c>
      <c r="B1" s="93"/>
      <c r="D1" s="94" t="s">
        <v>17</v>
      </c>
      <c r="E1" s="95"/>
    </row>
    <row r="2" spans="1:5" ht="28.8" x14ac:dyDescent="0.3">
      <c r="A2" s="5" t="s">
        <v>6</v>
      </c>
      <c r="B2" s="49" t="s">
        <v>14</v>
      </c>
      <c r="D2" s="46" t="s">
        <v>6</v>
      </c>
      <c r="E2" s="42" t="s">
        <v>15</v>
      </c>
    </row>
    <row r="3" spans="1:5" ht="28.8" x14ac:dyDescent="0.3">
      <c r="A3" s="5" t="s">
        <v>7</v>
      </c>
      <c r="B3" s="50" t="s">
        <v>13</v>
      </c>
      <c r="D3" s="47" t="s">
        <v>7</v>
      </c>
      <c r="E3" s="43" t="s">
        <v>41</v>
      </c>
    </row>
    <row r="4" spans="1:5" ht="28.8" x14ac:dyDescent="0.3">
      <c r="A4" s="40" t="s">
        <v>36</v>
      </c>
      <c r="B4" s="51" t="s">
        <v>8</v>
      </c>
      <c r="D4" s="47" t="s">
        <v>36</v>
      </c>
      <c r="E4" s="43" t="s">
        <v>16</v>
      </c>
    </row>
    <row r="5" spans="1:5" ht="20.100000000000001" customHeight="1" thickBot="1" x14ac:dyDescent="0.35">
      <c r="D5" s="47" t="s">
        <v>37</v>
      </c>
      <c r="E5" s="43" t="s">
        <v>19</v>
      </c>
    </row>
    <row r="6" spans="1:5" ht="24.75" customHeight="1" thickTop="1" x14ac:dyDescent="0.3">
      <c r="A6" s="96" t="s">
        <v>29</v>
      </c>
      <c r="B6" s="97"/>
      <c r="D6" s="47" t="s">
        <v>38</v>
      </c>
      <c r="E6" s="44" t="s">
        <v>18</v>
      </c>
    </row>
    <row r="7" spans="1:5" ht="42.75" customHeight="1" x14ac:dyDescent="0.3">
      <c r="A7" s="10" t="s">
        <v>6</v>
      </c>
      <c r="B7" s="49" t="s">
        <v>30</v>
      </c>
      <c r="D7" s="48" t="s">
        <v>39</v>
      </c>
      <c r="E7" s="45" t="s">
        <v>42</v>
      </c>
    </row>
    <row r="8" spans="1:5" x14ac:dyDescent="0.3">
      <c r="A8" s="11" t="s">
        <v>7</v>
      </c>
      <c r="B8" s="52" t="s">
        <v>31</v>
      </c>
    </row>
    <row r="9" spans="1:5" ht="15" customHeight="1" x14ac:dyDescent="0.3">
      <c r="A9" s="10" t="s">
        <v>36</v>
      </c>
      <c r="B9" s="52" t="s">
        <v>32</v>
      </c>
    </row>
    <row r="10" spans="1:5" ht="28.8" x14ac:dyDescent="0.3">
      <c r="A10" s="11" t="s">
        <v>37</v>
      </c>
      <c r="B10" s="53" t="s">
        <v>33</v>
      </c>
    </row>
    <row r="11" spans="1:5" x14ac:dyDescent="0.3">
      <c r="A11" s="10" t="s">
        <v>38</v>
      </c>
      <c r="B11" s="52" t="s">
        <v>34</v>
      </c>
    </row>
    <row r="12" spans="1:5" x14ac:dyDescent="0.3">
      <c r="A12" s="41" t="s">
        <v>39</v>
      </c>
      <c r="B12" s="54" t="s">
        <v>35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showGridLines="0" zoomScale="80" zoomScaleNormal="80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>IF(ISBLANK(B4),"",CONCATENATE(B3," - ",B4))</f>
        <v>0 - 5</v>
      </c>
      <c r="F3" s="22">
        <f t="shared" ref="F3:F8" si="0">IF(ISBLANK(C4),"",C4-(B4*G3))</f>
        <v>0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0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5</v>
      </c>
      <c r="C4" s="34">
        <v>1</v>
      </c>
      <c r="E4" s="21" t="str">
        <f t="shared" ref="E4:E12" si="3">IF(ISBLANK(B5),"",CONCATENATE(B4," - ",B5))</f>
        <v>5 - 15</v>
      </c>
      <c r="F4" s="22">
        <f t="shared" si="0"/>
        <v>1</v>
      </c>
      <c r="G4" s="23">
        <f t="shared" si="1"/>
        <v>0</v>
      </c>
      <c r="H4" s="24" t="str">
        <f t="shared" si="2"/>
        <v>Y= 1 +  (0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1</v>
      </c>
      <c r="E5" s="21" t="str">
        <f t="shared" si="3"/>
        <v>15 - 18</v>
      </c>
      <c r="F5" s="22">
        <f t="shared" si="0"/>
        <v>1.9999999999999998</v>
      </c>
      <c r="G5" s="23">
        <f t="shared" si="1"/>
        <v>-6.6666666666666652E-2</v>
      </c>
      <c r="H5" s="24" t="str">
        <f t="shared" si="2"/>
        <v>Y= 2 +  (-0.0667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18</v>
      </c>
      <c r="C6" s="34">
        <v>0.8</v>
      </c>
      <c r="E6" s="21" t="str">
        <f t="shared" si="3"/>
        <v>18 - 20</v>
      </c>
      <c r="F6" s="22">
        <f t="shared" si="0"/>
        <v>2.600000000000001</v>
      </c>
      <c r="G6" s="23">
        <f t="shared" si="1"/>
        <v>-0.10000000000000003</v>
      </c>
      <c r="H6" s="24" t="str">
        <f t="shared" si="2"/>
        <v>Y= 2.6 +  (-0.1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20</v>
      </c>
      <c r="C7" s="33">
        <v>0.6</v>
      </c>
      <c r="E7" s="21" t="str">
        <f t="shared" si="3"/>
        <v>20 - 23</v>
      </c>
      <c r="F7" s="22">
        <f t="shared" si="0"/>
        <v>4.5933333333333337</v>
      </c>
      <c r="G7" s="23">
        <f t="shared" si="1"/>
        <v>-0.19966666666666666</v>
      </c>
      <c r="H7" s="24" t="str">
        <f t="shared" si="2"/>
        <v>Y= 4.59 +  (-0.1997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23</v>
      </c>
      <c r="C8" s="33">
        <v>1E-3</v>
      </c>
      <c r="E8" s="21" t="str">
        <f t="shared" si="3"/>
        <v>23 - 26</v>
      </c>
      <c r="F8" s="22">
        <f t="shared" si="0"/>
        <v>8.6666666666666663E-3</v>
      </c>
      <c r="G8" s="23">
        <f t="shared" si="1"/>
        <v>-3.3333333333333332E-4</v>
      </c>
      <c r="H8" s="24" t="str">
        <f t="shared" si="2"/>
        <v>Y= 0.01 +  (-0.0003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26</v>
      </c>
      <c r="C9" s="33">
        <v>0</v>
      </c>
      <c r="E9" s="21" t="str">
        <f t="shared" si="3"/>
        <v>26 - 27</v>
      </c>
      <c r="F9" s="22">
        <f>IF(ISBLANK(C10),"",C10-(B10*G9))</f>
        <v>0</v>
      </c>
      <c r="G9" s="23">
        <f t="shared" si="1"/>
        <v>0</v>
      </c>
      <c r="H9" s="24" t="str">
        <f>IF(ISBLANK(C10),"",CONCATENATE("Y= ",ROUND(F9,2)," +  (",ROUND(G9,4)," * ",$B$2,")"))</f>
        <v>Y= 0 +  (0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27</v>
      </c>
      <c r="C10" s="33">
        <v>0</v>
      </c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5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77734375" bestFit="1" customWidth="1"/>
    <col min="7" max="7" width="12.44140625" bestFit="1" customWidth="1"/>
    <col min="8" max="8" width="43.77734375" bestFit="1" customWidth="1"/>
    <col min="9" max="9" width="2.77734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60" t="s">
        <v>20</v>
      </c>
      <c r="C2" s="61" t="s">
        <v>1</v>
      </c>
      <c r="E2" s="80" t="s">
        <v>51</v>
      </c>
      <c r="F2" s="81"/>
      <c r="G2" s="81"/>
      <c r="H2" s="82"/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57" t="s">
        <v>47</v>
      </c>
      <c r="C3" s="58">
        <v>0.1</v>
      </c>
      <c r="E3" s="68" t="s">
        <v>52</v>
      </c>
      <c r="F3" s="69"/>
      <c r="G3" s="70"/>
      <c r="H3" s="71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7" t="s">
        <v>48</v>
      </c>
      <c r="C4" s="58">
        <v>0.25</v>
      </c>
      <c r="E4" s="68" t="s">
        <v>53</v>
      </c>
      <c r="F4" s="69"/>
      <c r="G4" s="70"/>
      <c r="H4" s="71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7" t="s">
        <v>49</v>
      </c>
      <c r="C5" s="58">
        <v>0.5</v>
      </c>
      <c r="E5" s="68" t="s">
        <v>55</v>
      </c>
      <c r="F5" s="69"/>
      <c r="G5" s="70"/>
      <c r="H5" s="71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7" t="s">
        <v>50</v>
      </c>
      <c r="C6" s="58">
        <v>1</v>
      </c>
      <c r="E6" s="68" t="s">
        <v>54</v>
      </c>
      <c r="F6" s="69"/>
      <c r="G6" s="70"/>
      <c r="H6" s="71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7"/>
      <c r="C7" s="59"/>
      <c r="E7" s="68"/>
      <c r="F7" s="69"/>
      <c r="G7" s="70"/>
      <c r="H7" s="71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7"/>
      <c r="C8" s="59"/>
      <c r="E8" s="68"/>
      <c r="F8" s="69"/>
      <c r="G8" s="70"/>
      <c r="H8" s="71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7"/>
      <c r="C9" s="59"/>
      <c r="E9" s="68"/>
      <c r="F9" s="69"/>
      <c r="G9" s="70"/>
      <c r="H9" s="71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7"/>
      <c r="C10" s="59"/>
      <c r="E10" s="68"/>
      <c r="F10" s="69"/>
      <c r="G10" s="70"/>
      <c r="H10" s="71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7"/>
      <c r="C11" s="59"/>
      <c r="E11" s="68"/>
      <c r="F11" s="69"/>
      <c r="G11" s="70"/>
      <c r="H11" s="71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7"/>
      <c r="C12" s="59"/>
      <c r="E12" s="72"/>
      <c r="F12" s="73"/>
      <c r="G12" s="74"/>
      <c r="H12" s="75"/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6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163"/>
  <sheetViews>
    <sheetView showGridLines="0" zoomScale="80" zoomScaleNormal="80" workbookViewId="0">
      <selection activeCell="B5" sqref="B5"/>
    </sheetView>
  </sheetViews>
  <sheetFormatPr defaultColWidth="11.5546875" defaultRowHeight="13.2" x14ac:dyDescent="0.25"/>
  <cols>
    <col min="1" max="1" width="40.777343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109375" style="2" bestFit="1" customWidth="1"/>
    <col min="7" max="7" width="14.77734375" style="2" bestFit="1" customWidth="1"/>
    <col min="8" max="8" width="2.109375" style="2" customWidth="1"/>
    <col min="9" max="9" width="8.777343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8" t="s">
        <v>28</v>
      </c>
      <c r="B1" s="98"/>
      <c r="E1" s="6" t="s">
        <v>0</v>
      </c>
      <c r="F1" s="31" t="s">
        <v>57</v>
      </c>
      <c r="G1" s="37" t="s">
        <v>58</v>
      </c>
      <c r="I1" s="80" t="s">
        <v>56</v>
      </c>
      <c r="J1" s="81"/>
      <c r="K1" s="81"/>
      <c r="L1" s="81"/>
      <c r="M1" s="81"/>
      <c r="N1" s="82"/>
    </row>
    <row r="2" spans="1:14" ht="14.4" x14ac:dyDescent="0.3">
      <c r="A2" s="38" t="s">
        <v>9</v>
      </c>
      <c r="B2" s="39" t="s">
        <v>2</v>
      </c>
      <c r="E2" s="15">
        <v>1</v>
      </c>
      <c r="F2" s="30">
        <v>1</v>
      </c>
      <c r="G2" s="16">
        <f t="shared" ref="G2:G11" si="0">C56</f>
        <v>0.99990000000000001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43</v>
      </c>
      <c r="B3" s="28">
        <v>1</v>
      </c>
      <c r="E3" s="15">
        <v>2</v>
      </c>
      <c r="F3" s="30">
        <v>0.8</v>
      </c>
      <c r="G3" s="16">
        <f t="shared" si="0"/>
        <v>0.99873664318162225</v>
      </c>
      <c r="I3" s="86"/>
      <c r="J3" s="87"/>
      <c r="K3" s="87"/>
      <c r="L3" s="87"/>
      <c r="M3" s="87"/>
      <c r="N3" s="88"/>
    </row>
    <row r="4" spans="1:14" ht="14.4" x14ac:dyDescent="0.3">
      <c r="A4" s="19" t="s">
        <v>44</v>
      </c>
      <c r="B4" s="36">
        <v>0.99990000000000001</v>
      </c>
      <c r="E4" s="15">
        <v>3</v>
      </c>
      <c r="F4" s="30">
        <v>0.7</v>
      </c>
      <c r="G4" s="16">
        <f t="shared" si="0"/>
        <v>0.99552140846800363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45</v>
      </c>
      <c r="B5" s="28">
        <v>1E-4</v>
      </c>
      <c r="E5" s="15">
        <v>4</v>
      </c>
      <c r="F5" s="30">
        <v>0.6</v>
      </c>
      <c r="G5" s="16">
        <f t="shared" si="0"/>
        <v>0.98425244408736601</v>
      </c>
      <c r="I5" s="86"/>
      <c r="J5" s="87"/>
      <c r="K5" s="87"/>
      <c r="L5" s="87"/>
      <c r="M5" s="87"/>
      <c r="N5" s="88"/>
    </row>
    <row r="6" spans="1:14" ht="14.4" x14ac:dyDescent="0.3">
      <c r="A6" s="20" t="s">
        <v>46</v>
      </c>
      <c r="B6" s="29">
        <v>0.03</v>
      </c>
      <c r="E6" s="15">
        <v>5</v>
      </c>
      <c r="F6" s="30">
        <v>0.5</v>
      </c>
      <c r="G6" s="16">
        <f t="shared" si="0"/>
        <v>0.94616211175983522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0.4</v>
      </c>
      <c r="G7" s="16">
        <f t="shared" si="0"/>
        <v>0.83169327811209948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0.3</v>
      </c>
      <c r="G8" s="16">
        <f t="shared" si="0"/>
        <v>0.58149533059791447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0.2</v>
      </c>
      <c r="G9" s="16">
        <f t="shared" si="0"/>
        <v>0.28093147372269994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0.1</v>
      </c>
      <c r="G10" s="16">
        <f t="shared" si="0"/>
        <v>9.8980265456853844E-2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6">
        <v>0</v>
      </c>
      <c r="G11" s="18">
        <f t="shared" si="0"/>
        <v>2.9963101069681017E-2</v>
      </c>
      <c r="I11" s="89"/>
      <c r="J11" s="90"/>
      <c r="K11" s="90"/>
      <c r="L11" s="90"/>
      <c r="M11" s="90"/>
      <c r="N11" s="91"/>
    </row>
    <row r="14" spans="1:14" ht="14.4" x14ac:dyDescent="0.25">
      <c r="I14" s="3"/>
    </row>
    <row r="15" spans="1:14" ht="14.4" x14ac:dyDescent="0.3">
      <c r="A15"/>
      <c r="B15"/>
      <c r="C15"/>
      <c r="D15"/>
      <c r="I15" s="3"/>
    </row>
    <row r="16" spans="1:14" ht="14.4" x14ac:dyDescent="0.3">
      <c r="A16"/>
      <c r="B16"/>
      <c r="C16"/>
      <c r="D16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23</v>
      </c>
      <c r="B25">
        <f>LN(B4/(1-B4))</f>
        <v>9.2102403669759596</v>
      </c>
      <c r="C25"/>
      <c r="D25"/>
      <c r="H25"/>
    </row>
    <row r="26" spans="1:12" ht="14.4" hidden="1" x14ac:dyDescent="0.3">
      <c r="A26" t="s">
        <v>24</v>
      </c>
      <c r="B26">
        <f>LN(B6/(1-B6))</f>
        <v>-3.4760986898352733</v>
      </c>
      <c r="C26"/>
      <c r="D26"/>
      <c r="H26"/>
    </row>
    <row r="27" spans="1:12" ht="14.4" hidden="1" x14ac:dyDescent="0.3">
      <c r="A27" t="s">
        <v>22</v>
      </c>
      <c r="B27" s="2">
        <f>($B$25-$B$26)/($B$3-$B$5)</f>
        <v>12.687607817592992</v>
      </c>
      <c r="C27"/>
      <c r="D27"/>
      <c r="H27"/>
    </row>
    <row r="28" spans="1:12" ht="14.4" hidden="1" x14ac:dyDescent="0.3">
      <c r="A28" t="s">
        <v>10</v>
      </c>
      <c r="B28" s="2">
        <f>$B$25-($B$27*$B$3)</f>
        <v>-3.4773674506170327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25</v>
      </c>
      <c r="B31" t="s">
        <v>11</v>
      </c>
      <c r="C31" t="s">
        <v>26</v>
      </c>
      <c r="D31" t="s">
        <v>40</v>
      </c>
      <c r="H31"/>
    </row>
    <row r="32" spans="1:12" ht="14.4" hidden="1" x14ac:dyDescent="0.3">
      <c r="A32" s="2">
        <v>0</v>
      </c>
      <c r="B32">
        <f t="shared" ref="B32:B52" si="1">EXP($B$28+($B$27*A32))</f>
        <v>3.088861990994568E-2</v>
      </c>
      <c r="C32">
        <f>B32/(1+B32)</f>
        <v>2.9963101069681017E-2</v>
      </c>
      <c r="D32">
        <v>1</v>
      </c>
      <c r="H32"/>
    </row>
    <row r="33" spans="1:8" ht="14.4" hidden="1" x14ac:dyDescent="0.3">
      <c r="A33">
        <f t="shared" ref="A33:A52" si="2">A32+($B$3/20)</f>
        <v>0.05</v>
      </c>
      <c r="B33">
        <f t="shared" si="1"/>
        <v>5.8251405402992368E-2</v>
      </c>
      <c r="C33">
        <f t="shared" ref="C33:C52" si="3">B33/(1+B33)</f>
        <v>5.5044959170935069E-2</v>
      </c>
      <c r="D33">
        <v>2</v>
      </c>
      <c r="H33"/>
    </row>
    <row r="34" spans="1:8" ht="14.4" hidden="1" x14ac:dyDescent="0.3">
      <c r="A34">
        <f t="shared" si="2"/>
        <v>0.1</v>
      </c>
      <c r="B34">
        <f t="shared" si="1"/>
        <v>0.1098536043797541</v>
      </c>
      <c r="C34">
        <f t="shared" si="3"/>
        <v>9.8980265456853844E-2</v>
      </c>
      <c r="D34">
        <v>3</v>
      </c>
      <c r="H34"/>
    </row>
    <row r="35" spans="1:8" ht="14.4" hidden="1" x14ac:dyDescent="0.3">
      <c r="A35">
        <f t="shared" si="2"/>
        <v>0.15000000000000002</v>
      </c>
      <c r="B35">
        <f t="shared" si="1"/>
        <v>0.20716778096144622</v>
      </c>
      <c r="C35">
        <f t="shared" si="3"/>
        <v>0.1716147367654626</v>
      </c>
      <c r="D35">
        <v>4</v>
      </c>
      <c r="H35"/>
    </row>
    <row r="36" spans="1:8" ht="14.4" hidden="1" x14ac:dyDescent="0.3">
      <c r="A36">
        <f t="shared" si="2"/>
        <v>0.2</v>
      </c>
      <c r="B36">
        <f t="shared" si="1"/>
        <v>0.39068804078675817</v>
      </c>
      <c r="C36">
        <f t="shared" si="3"/>
        <v>0.28093147372269994</v>
      </c>
      <c r="D36">
        <v>5</v>
      </c>
      <c r="H36"/>
    </row>
    <row r="37" spans="1:8" ht="14.4" hidden="1" x14ac:dyDescent="0.3">
      <c r="A37">
        <f t="shared" si="2"/>
        <v>0.25</v>
      </c>
      <c r="B37">
        <f t="shared" si="1"/>
        <v>0.73678032609810695</v>
      </c>
      <c r="C37">
        <f t="shared" si="3"/>
        <v>0.42422194391928403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0.3</v>
      </c>
      <c r="B38">
        <f t="shared" si="1"/>
        <v>1.3894596001251129</v>
      </c>
      <c r="C38">
        <f t="shared" si="3"/>
        <v>0.58149533059791447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0.35</v>
      </c>
      <c r="B39">
        <f t="shared" si="1"/>
        <v>2.6203169547211393</v>
      </c>
      <c r="C39">
        <f t="shared" si="3"/>
        <v>0.72378109085285147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0.39999999999999997</v>
      </c>
      <c r="B40">
        <f t="shared" si="1"/>
        <v>4.9415333433090209</v>
      </c>
      <c r="C40">
        <f t="shared" si="3"/>
        <v>0.83169327811209937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0.44999999999999996</v>
      </c>
      <c r="B41">
        <f t="shared" si="1"/>
        <v>9.3190069006875227</v>
      </c>
      <c r="C41">
        <f t="shared" si="3"/>
        <v>0.90309144963035415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0.49999999999999994</v>
      </c>
      <c r="B42">
        <f t="shared" si="1"/>
        <v>17.574279799740879</v>
      </c>
      <c r="C42">
        <f t="shared" si="3"/>
        <v>0.94616211175983522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0.54999999999999993</v>
      </c>
      <c r="B43">
        <f t="shared" si="1"/>
        <v>33.142513335492232</v>
      </c>
      <c r="C43">
        <f t="shared" si="3"/>
        <v>0.97071100214053463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0.6</v>
      </c>
      <c r="B44">
        <f t="shared" si="1"/>
        <v>62.501917729196265</v>
      </c>
      <c r="C44">
        <f t="shared" si="3"/>
        <v>0.98425244408736601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0.65</v>
      </c>
      <c r="B45">
        <f t="shared" si="1"/>
        <v>117.869447023614</v>
      </c>
      <c r="C45">
        <f t="shared" si="3"/>
        <v>0.99158740933823519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0.70000000000000007</v>
      </c>
      <c r="B46">
        <f t="shared" si="1"/>
        <v>222.28448416331824</v>
      </c>
      <c r="C46">
        <f t="shared" si="3"/>
        <v>0.99552140846800374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0.75000000000000011</v>
      </c>
      <c r="B47">
        <f t="shared" si="1"/>
        <v>419.19592521591784</v>
      </c>
      <c r="C47">
        <f t="shared" si="3"/>
        <v>0.99762015778833135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0.80000000000000016</v>
      </c>
      <c r="B48">
        <f t="shared" si="1"/>
        <v>790.54201366803056</v>
      </c>
      <c r="C48">
        <f t="shared" si="3"/>
        <v>0.99873664318162225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0.8500000000000002</v>
      </c>
      <c r="B49">
        <f t="shared" si="1"/>
        <v>1490.846255369504</v>
      </c>
      <c r="C49">
        <f t="shared" si="3"/>
        <v>0.99932968964033608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0.90000000000000024</v>
      </c>
      <c r="B50">
        <f t="shared" si="1"/>
        <v>2811.5173118207099</v>
      </c>
      <c r="C50">
        <f t="shared" si="3"/>
        <v>0.99964444663298713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0.95000000000000029</v>
      </c>
      <c r="B51">
        <f t="shared" si="1"/>
        <v>5302.1091653132271</v>
      </c>
      <c r="C51">
        <f t="shared" si="3"/>
        <v>0.9998114313756653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1.0000000000000002</v>
      </c>
      <c r="B52">
        <f t="shared" si="1"/>
        <v>9999.0000000011369</v>
      </c>
      <c r="C52">
        <f t="shared" si="3"/>
        <v>0.99990000000000001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27</v>
      </c>
      <c r="B55"/>
      <c r="C55"/>
      <c r="D55" t="s">
        <v>40</v>
      </c>
      <c r="E55"/>
      <c r="F55"/>
      <c r="G55"/>
      <c r="H55"/>
    </row>
    <row r="56" spans="1:8" ht="14.4" hidden="1" x14ac:dyDescent="0.3">
      <c r="A56">
        <f t="shared" ref="A56:A61" si="4">F2</f>
        <v>1</v>
      </c>
      <c r="B56">
        <f t="shared" ref="B56:B69" si="5">EXP($B$28+($B$27*A56))</f>
        <v>9999.0000000011023</v>
      </c>
      <c r="C56">
        <f t="shared" ref="C56:C69" si="6">B56/(1+B56)</f>
        <v>0.99990000000000001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0.8</v>
      </c>
      <c r="B57">
        <f t="shared" si="5"/>
        <v>790.54201366803056</v>
      </c>
      <c r="C57">
        <f t="shared" si="6"/>
        <v>0.99873664318162225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0.7</v>
      </c>
      <c r="B58">
        <f t="shared" si="5"/>
        <v>222.28448416331784</v>
      </c>
      <c r="C58">
        <f t="shared" si="6"/>
        <v>0.99552140846800363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0.6</v>
      </c>
      <c r="B59">
        <f t="shared" si="5"/>
        <v>62.501917729196265</v>
      </c>
      <c r="C59">
        <f t="shared" si="6"/>
        <v>0.98425244408736601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0.5</v>
      </c>
      <c r="B60">
        <f t="shared" si="5"/>
        <v>17.574279799740896</v>
      </c>
      <c r="C60">
        <f t="shared" si="6"/>
        <v>0.94616211175983522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0.4</v>
      </c>
      <c r="B61">
        <f t="shared" si="5"/>
        <v>4.9415333433090254</v>
      </c>
      <c r="C61">
        <f t="shared" si="6"/>
        <v>0.83169327811209948</v>
      </c>
      <c r="D61">
        <v>6</v>
      </c>
      <c r="E61"/>
      <c r="F61"/>
      <c r="G61"/>
      <c r="H61"/>
    </row>
    <row r="62" spans="1:8" ht="14.4" hidden="1" x14ac:dyDescent="0.3">
      <c r="A62">
        <f t="shared" ref="A62:A65" si="7">F8</f>
        <v>0.3</v>
      </c>
      <c r="B62">
        <f t="shared" si="5"/>
        <v>1.3894596001251129</v>
      </c>
      <c r="C62">
        <f t="shared" si="6"/>
        <v>0.58149533059791447</v>
      </c>
      <c r="D62">
        <v>7</v>
      </c>
      <c r="E62"/>
      <c r="F62"/>
      <c r="G62"/>
      <c r="H62"/>
    </row>
    <row r="63" spans="1:8" ht="14.4" hidden="1" x14ac:dyDescent="0.3">
      <c r="A63">
        <f t="shared" si="7"/>
        <v>0.2</v>
      </c>
      <c r="B63">
        <f t="shared" si="5"/>
        <v>0.39068804078675817</v>
      </c>
      <c r="C63">
        <f t="shared" si="6"/>
        <v>0.28093147372269994</v>
      </c>
      <c r="D63">
        <v>8</v>
      </c>
      <c r="E63"/>
      <c r="F63"/>
      <c r="G63"/>
      <c r="H63"/>
    </row>
    <row r="64" spans="1:8" ht="14.4" hidden="1" x14ac:dyDescent="0.3">
      <c r="A64">
        <f t="shared" si="7"/>
        <v>0.1</v>
      </c>
      <c r="B64">
        <f t="shared" si="5"/>
        <v>0.1098536043797541</v>
      </c>
      <c r="C64">
        <f t="shared" si="6"/>
        <v>9.8980265456853844E-2</v>
      </c>
      <c r="D64">
        <v>9</v>
      </c>
      <c r="E64"/>
      <c r="F64"/>
      <c r="G64"/>
      <c r="H64"/>
    </row>
    <row r="65" spans="1:8" ht="14.4" hidden="1" x14ac:dyDescent="0.3">
      <c r="A65">
        <f t="shared" si="7"/>
        <v>0</v>
      </c>
      <c r="B65">
        <f t="shared" si="5"/>
        <v>3.088861990994568E-2</v>
      </c>
      <c r="C65">
        <f t="shared" si="6"/>
        <v>2.9963101069681017E-2</v>
      </c>
      <c r="D65">
        <v>10</v>
      </c>
      <c r="E65"/>
      <c r="F65"/>
      <c r="G65"/>
      <c r="H65"/>
    </row>
    <row r="66" spans="1:8" ht="14.4" hidden="1" x14ac:dyDescent="0.3">
      <c r="A66" t="e">
        <f>#REF!</f>
        <v>#REF!</v>
      </c>
      <c r="B66" t="e">
        <f t="shared" si="5"/>
        <v>#REF!</v>
      </c>
      <c r="C66" t="e">
        <f t="shared" si="6"/>
        <v>#REF!</v>
      </c>
      <c r="D66">
        <v>11</v>
      </c>
      <c r="E66"/>
      <c r="F66"/>
      <c r="G66"/>
      <c r="H66"/>
    </row>
    <row r="67" spans="1:8" ht="14.4" hidden="1" x14ac:dyDescent="0.3">
      <c r="A67" t="e">
        <f>#REF!</f>
        <v>#REF!</v>
      </c>
      <c r="B67" t="e">
        <f t="shared" si="5"/>
        <v>#REF!</v>
      </c>
      <c r="C67" t="e">
        <f t="shared" si="6"/>
        <v>#REF!</v>
      </c>
      <c r="D67">
        <v>12</v>
      </c>
      <c r="E67"/>
      <c r="F67"/>
      <c r="G67"/>
      <c r="H67"/>
    </row>
    <row r="68" spans="1:8" ht="14.4" hidden="1" x14ac:dyDescent="0.3">
      <c r="A68" t="e">
        <f>#REF!</f>
        <v>#REF!</v>
      </c>
      <c r="B68" t="e">
        <f t="shared" si="5"/>
        <v>#REF!</v>
      </c>
      <c r="C68" t="e">
        <f t="shared" si="6"/>
        <v>#REF!</v>
      </c>
      <c r="D68">
        <v>13</v>
      </c>
      <c r="E68"/>
      <c r="F68"/>
      <c r="G68"/>
      <c r="H68"/>
    </row>
    <row r="69" spans="1:8" ht="14.4" hidden="1" x14ac:dyDescent="0.3">
      <c r="A69" t="e">
        <f>#REF!</f>
        <v>#REF!</v>
      </c>
      <c r="B69" t="e">
        <f t="shared" si="5"/>
        <v>#REF!</v>
      </c>
      <c r="C69" t="e">
        <f t="shared" si="6"/>
        <v>#REF!</v>
      </c>
      <c r="D69">
        <v>14</v>
      </c>
      <c r="E69"/>
      <c r="F69"/>
      <c r="G69"/>
      <c r="H69"/>
    </row>
    <row r="70" spans="1:8" ht="14.4" hidden="1" x14ac:dyDescent="0.3">
      <c r="A70" t="e">
        <f>#REF!</f>
        <v>#REF!</v>
      </c>
      <c r="B70" t="e">
        <f t="shared" ref="B70:B76" si="8">EXP($B$28+($B$27*A70))</f>
        <v>#REF!</v>
      </c>
      <c r="C70" t="e">
        <f t="shared" ref="C70:C73" si="9">B70/(1+B70)</f>
        <v>#REF!</v>
      </c>
      <c r="D70">
        <v>15</v>
      </c>
      <c r="E70"/>
      <c r="F70"/>
      <c r="G70"/>
      <c r="H70"/>
    </row>
    <row r="71" spans="1:8" ht="14.4" hidden="1" x14ac:dyDescent="0.3">
      <c r="A71" t="e">
        <f>#REF!</f>
        <v>#REF!</v>
      </c>
      <c r="B71" t="e">
        <f t="shared" si="8"/>
        <v>#REF!</v>
      </c>
      <c r="C71" t="e">
        <f t="shared" si="9"/>
        <v>#REF!</v>
      </c>
      <c r="D71">
        <v>16</v>
      </c>
      <c r="E71"/>
      <c r="F71"/>
      <c r="G71"/>
      <c r="H71"/>
    </row>
    <row r="72" spans="1:8" ht="14.4" hidden="1" x14ac:dyDescent="0.3">
      <c r="A72" t="e">
        <f>#REF!</f>
        <v>#REF!</v>
      </c>
      <c r="B72" t="e">
        <f t="shared" si="8"/>
        <v>#REF!</v>
      </c>
      <c r="C72" t="e">
        <f t="shared" si="9"/>
        <v>#REF!</v>
      </c>
      <c r="D72">
        <v>17</v>
      </c>
      <c r="E72"/>
      <c r="F72"/>
      <c r="G72"/>
      <c r="H72"/>
    </row>
    <row r="73" spans="1:8" ht="14.4" hidden="1" x14ac:dyDescent="0.3">
      <c r="A73" t="e">
        <f>#REF!</f>
        <v>#REF!</v>
      </c>
      <c r="B73" t="e">
        <f t="shared" si="8"/>
        <v>#REF!</v>
      </c>
      <c r="C73" t="e">
        <f t="shared" si="9"/>
        <v>#REF!</v>
      </c>
      <c r="D73">
        <v>18</v>
      </c>
      <c r="E73"/>
      <c r="F73"/>
      <c r="G73"/>
      <c r="H73"/>
    </row>
    <row r="74" spans="1:8" ht="14.4" hidden="1" x14ac:dyDescent="0.3">
      <c r="A74" t="e">
        <f>#REF!</f>
        <v>#REF!</v>
      </c>
      <c r="B74" t="e">
        <f t="shared" si="8"/>
        <v>#REF!</v>
      </c>
      <c r="C74" t="e">
        <f t="shared" ref="C74:C76" si="10">B74/(1+B74)</f>
        <v>#REF!</v>
      </c>
      <c r="D74">
        <v>19</v>
      </c>
      <c r="E74"/>
      <c r="F74"/>
      <c r="G74"/>
      <c r="H74"/>
    </row>
    <row r="75" spans="1:8" ht="14.4" hidden="1" x14ac:dyDescent="0.3">
      <c r="A75" t="e">
        <f>#REF!</f>
        <v>#REF!</v>
      </c>
      <c r="B75" t="e">
        <f t="shared" si="8"/>
        <v>#REF!</v>
      </c>
      <c r="C75" t="e">
        <f t="shared" si="10"/>
        <v>#REF!</v>
      </c>
      <c r="D75">
        <v>20</v>
      </c>
      <c r="E75"/>
      <c r="F75"/>
      <c r="G75"/>
      <c r="H75"/>
    </row>
    <row r="76" spans="1:8" ht="14.4" hidden="1" x14ac:dyDescent="0.3">
      <c r="A76">
        <f>F12</f>
        <v>0</v>
      </c>
      <c r="B76">
        <f t="shared" si="8"/>
        <v>3.088861990994568E-2</v>
      </c>
      <c r="C76">
        <f t="shared" si="10"/>
        <v>2.9963101069681017E-2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12</v>
      </c>
    </row>
  </sheetData>
  <sheetProtection sheet="1" objects="1" scenarios="1"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1" xr:uid="{00000000-0002-0000-07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7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pH- Veligers</vt:lpstr>
      <vt:lpstr>pH- Adults</vt:lpstr>
      <vt:lpstr>Calcium-Veligers</vt:lpstr>
      <vt:lpstr>Calcium-Adults</vt:lpstr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2022-09-09T15:15:21Z</dcterms:modified>
</cp:coreProperties>
</file>