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03789995b200be/1. TUC Data Manager 2023/4. Datakvalite/INDIVIDUELLINLÄMNING/"/>
    </mc:Choice>
  </mc:AlternateContent>
  <xr:revisionPtr revIDLastSave="1223" documentId="8_{EFB23757-12B4-4874-808C-EF6CB7BE1CB4}" xr6:coauthVersionLast="47" xr6:coauthVersionMax="47" xr10:uidLastSave="{AA1CBD77-2D29-458A-901D-2C003D8D227F}"/>
  <bookViews>
    <workbookView xWindow="-108" yWindow="-108" windowWidth="23256" windowHeight="12456" tabRatio="618" firstSheet="16" activeTab="20" xr2:uid="{BCAF4820-4AC4-442C-AE23-43417C5AA276}"/>
  </bookViews>
  <sheets>
    <sheet name="Artists_Dirty" sheetId="19" r:id="rId1"/>
    <sheet name="Artists_Check" sheetId="1" r:id="rId2"/>
    <sheet name="Artists_Clean" sheetId="10" r:id="rId3"/>
    <sheet name="Venues_Dirty" sheetId="20" r:id="rId4"/>
    <sheet name="Venues_Check" sheetId="2" r:id="rId5"/>
    <sheet name="Venues_Clean" sheetId="11" r:id="rId6"/>
    <sheet name="Tickets_Dirty" sheetId="27" r:id="rId7"/>
    <sheet name="Tickets_Check" sheetId="3" r:id="rId8"/>
    <sheet name="Tickets_Clean" sheetId="12" r:id="rId9"/>
    <sheet name="Concerts_Dirty" sheetId="26" r:id="rId10"/>
    <sheet name="Concerts_Check" sheetId="4" r:id="rId11"/>
    <sheet name="Concerts_Clean" sheetId="13" r:id="rId12"/>
    <sheet name="Sponsors_Dirty" sheetId="25" r:id="rId13"/>
    <sheet name="Sponsors_Check" sheetId="5" r:id="rId14"/>
    <sheet name="Sponsors_Clean" sheetId="14" r:id="rId15"/>
    <sheet name="Attendees_Dirty" sheetId="23" r:id="rId16"/>
    <sheet name="Attendees_Check" sheetId="7" r:id="rId17"/>
    <sheet name="Attendees_Clean" sheetId="16" r:id="rId18"/>
    <sheet name="Performance_Dirty" sheetId="22" r:id="rId19"/>
    <sheet name="Performances_Check" sheetId="8" r:id="rId20"/>
    <sheet name="Performances_Clean" sheetId="17" r:id="rId21"/>
    <sheet name="Merchandise_Dirty" sheetId="21" r:id="rId22"/>
    <sheet name="Merchandise_Check" sheetId="9" r:id="rId23"/>
    <sheet name="Merchandise_Clean" sheetId="18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7" l="1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H4" i="8"/>
  <c r="H2" i="8"/>
  <c r="H3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G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L2" i="9" l="1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I3" i="7" a="1"/>
  <c r="I3" i="7" s="1"/>
  <c r="I2" i="7" a="1"/>
  <c r="I2" i="7" s="1"/>
  <c r="I4" i="7" a="1"/>
  <c r="I4" i="7" s="1"/>
  <c r="I5" i="7" a="1"/>
  <c r="I5" i="7" s="1"/>
  <c r="I6" i="7" a="1"/>
  <c r="I6" i="7" s="1"/>
  <c r="I7" i="7" a="1"/>
  <c r="I7" i="7" s="1"/>
  <c r="I8" i="7" a="1"/>
  <c r="I8" i="7" s="1"/>
  <c r="I9" i="7" a="1"/>
  <c r="I9" i="7" s="1"/>
  <c r="I10" i="7" a="1"/>
  <c r="I10" i="7" s="1"/>
  <c r="I11" i="7" a="1"/>
  <c r="I11" i="7" s="1"/>
  <c r="I12" i="7" a="1"/>
  <c r="I12" i="7" s="1"/>
  <c r="I13" i="7" a="1"/>
  <c r="I13" i="7" s="1"/>
  <c r="I14" i="7" a="1"/>
  <c r="I14" i="7" s="1"/>
  <c r="I15" i="7" a="1"/>
  <c r="I15" i="7" s="1"/>
  <c r="I16" i="7" a="1"/>
  <c r="I16" i="7" s="1"/>
  <c r="I17" i="7" a="1"/>
  <c r="I17" i="7" s="1"/>
  <c r="I18" i="7" a="1"/>
  <c r="I18" i="7" s="1"/>
  <c r="I19" i="7" a="1"/>
  <c r="I19" i="7" s="1"/>
  <c r="I20" i="7" a="1"/>
  <c r="I20" i="7" s="1"/>
  <c r="I21" i="7" a="1"/>
  <c r="I21" i="7" s="1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F3" i="3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" i="14"/>
  <c r="O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" i="3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" i="3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A21" i="11"/>
  <c r="A20" i="11"/>
  <c r="A19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H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K6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9" i="2"/>
  <c r="C20" i="2"/>
  <c r="C2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D2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D21" i="10" l="1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K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G2" i="1"/>
  <c r="K3" i="1"/>
  <c r="K4" i="1"/>
  <c r="K5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<sst xmlns="http://schemas.openxmlformats.org/spreadsheetml/2006/main" count="709" uniqueCount="272">
  <si>
    <t>ArtistID</t>
  </si>
  <si>
    <t>ArtistName</t>
  </si>
  <si>
    <t>Genre</t>
  </si>
  <si>
    <t>Country</t>
  </si>
  <si>
    <t>AvgPerformanceRating</t>
  </si>
  <si>
    <t>NumPerformances</t>
  </si>
  <si>
    <t>The Rocking Band</t>
  </si>
  <si>
    <t>Rock</t>
  </si>
  <si>
    <t>USA</t>
  </si>
  <si>
    <t>Electric Groove</t>
  </si>
  <si>
    <t>Electronic</t>
  </si>
  <si>
    <t>UK</t>
  </si>
  <si>
    <t>Jazz Ensemble</t>
  </si>
  <si>
    <t>Jazz</t>
  </si>
  <si>
    <t>The Electric Beats</t>
  </si>
  <si>
    <t>Jazz Fusion Trio</t>
  </si>
  <si>
    <t>Pop Sensations</t>
  </si>
  <si>
    <t>The Rockers</t>
  </si>
  <si>
    <t>Electric Beats</t>
  </si>
  <si>
    <t>Jazz Vibes</t>
  </si>
  <si>
    <t>YellowPink</t>
  </si>
  <si>
    <t>CTS</t>
  </si>
  <si>
    <t>Justin Gomez</t>
  </si>
  <si>
    <t>Selena Bieber</t>
  </si>
  <si>
    <t>James Aliston</t>
  </si>
  <si>
    <t>Michael Mendez</t>
  </si>
  <si>
    <t>Whatta Sale</t>
  </si>
  <si>
    <t>Shawn Buble</t>
  </si>
  <si>
    <t>Mia Ingrosso</t>
  </si>
  <si>
    <t>EDM</t>
  </si>
  <si>
    <t>Kpop</t>
  </si>
  <si>
    <t>Dancehall</t>
  </si>
  <si>
    <t>Rockbwoy</t>
  </si>
  <si>
    <t>Reggae</t>
  </si>
  <si>
    <t>Afrobeats</t>
  </si>
  <si>
    <t>Afropop</t>
  </si>
  <si>
    <t>Highlife</t>
  </si>
  <si>
    <t>Ghana</t>
  </si>
  <si>
    <t>Sweden</t>
  </si>
  <si>
    <t>Nigeria</t>
  </si>
  <si>
    <t>Iran</t>
  </si>
  <si>
    <t>India</t>
  </si>
  <si>
    <t>SouthKorea</t>
  </si>
  <si>
    <t>Australia</t>
  </si>
  <si>
    <t>Spain</t>
  </si>
  <si>
    <t>VenueName</t>
  </si>
  <si>
    <t>Location</t>
  </si>
  <si>
    <t>Capacity</t>
  </si>
  <si>
    <t>VenueRating</t>
  </si>
  <si>
    <t>NumEvents</t>
  </si>
  <si>
    <t>Main Stage Hall</t>
  </si>
  <si>
    <t>City Center</t>
  </si>
  <si>
    <t>Jazz Lounge</t>
  </si>
  <si>
    <t>Downtown</t>
  </si>
  <si>
    <t>Open Air Arena</t>
  </si>
  <si>
    <t>Suburb</t>
  </si>
  <si>
    <t>VenueID</t>
  </si>
  <si>
    <t>Main Stage</t>
  </si>
  <si>
    <t>City Park</t>
  </si>
  <si>
    <t>Waterfront</t>
  </si>
  <si>
    <t>Strawberry Friends Arena</t>
  </si>
  <si>
    <t>Stockholm</t>
  </si>
  <si>
    <t>Kotoka Arena</t>
  </si>
  <si>
    <t>Accra</t>
  </si>
  <si>
    <t>Incheon</t>
  </si>
  <si>
    <t>Gangneung Arena</t>
  </si>
  <si>
    <t>Busan</t>
  </si>
  <si>
    <t>Azadi Arena</t>
  </si>
  <si>
    <t>Tehran</t>
  </si>
  <si>
    <t>Baba yaraArena</t>
  </si>
  <si>
    <t>Kumasi</t>
  </si>
  <si>
    <t>Rizal Arena</t>
  </si>
  <si>
    <t>Emperador Arena</t>
  </si>
  <si>
    <t>Kobe Green Arena</t>
  </si>
  <si>
    <t>KansasCity</t>
  </si>
  <si>
    <t>Domo Arena</t>
  </si>
  <si>
    <t>Banku Arena</t>
  </si>
  <si>
    <t>Tamale</t>
  </si>
  <si>
    <t>Kimchi Arena</t>
  </si>
  <si>
    <t>Guri</t>
  </si>
  <si>
    <t>Potato Arena</t>
  </si>
  <si>
    <t>Fried Chicken arena</t>
  </si>
  <si>
    <t>Tumba</t>
  </si>
  <si>
    <t>Orleans</t>
  </si>
  <si>
    <t>Alibaba</t>
  </si>
  <si>
    <t>TicketID</t>
  </si>
  <si>
    <t>TicketType</t>
  </si>
  <si>
    <t>Price</t>
  </si>
  <si>
    <t>Availability</t>
  </si>
  <si>
    <t>VIP</t>
  </si>
  <si>
    <t>General</t>
  </si>
  <si>
    <t>Premium</t>
  </si>
  <si>
    <t>ConcertID</t>
  </si>
  <si>
    <t>Date</t>
  </si>
  <si>
    <t>TicketSales</t>
  </si>
  <si>
    <t>SponsorID</t>
  </si>
  <si>
    <t>SponsorName</t>
  </si>
  <si>
    <t>SponsorLevel</t>
  </si>
  <si>
    <t>ContributionAmount</t>
  </si>
  <si>
    <t>NumEventsSponsored</t>
  </si>
  <si>
    <t>Mega Corp</t>
  </si>
  <si>
    <t>Platinum</t>
  </si>
  <si>
    <t>Music Gear Co.</t>
  </si>
  <si>
    <t>Gold</t>
  </si>
  <si>
    <t>Local Radio Station</t>
  </si>
  <si>
    <t>Silver</t>
  </si>
  <si>
    <t>Foodie Delights Inc.</t>
  </si>
  <si>
    <t>Bronze</t>
  </si>
  <si>
    <t>Tech Innovators Ltd.</t>
  </si>
  <si>
    <t>HealthFirst</t>
  </si>
  <si>
    <t>Fashion Trends Co.</t>
  </si>
  <si>
    <t>Green Energy Solutions</t>
  </si>
  <si>
    <t>Adventure Seekers</t>
  </si>
  <si>
    <t>Wellness Essentials</t>
  </si>
  <si>
    <t>Home Decor Creations</t>
  </si>
  <si>
    <t>Global Outreach Org.</t>
  </si>
  <si>
    <t>Community Builders</t>
  </si>
  <si>
    <t>Digital Solutions Inc.</t>
  </si>
  <si>
    <t>Sports Enthusiasts</t>
  </si>
  <si>
    <t>Artistic Expressions</t>
  </si>
  <si>
    <t>Educational Visionaries</t>
  </si>
  <si>
    <t>Culinary Delights</t>
  </si>
  <si>
    <t>Electro Dome</t>
  </si>
  <si>
    <t>AttendeeID</t>
  </si>
  <si>
    <t>FullName</t>
  </si>
  <si>
    <t>Email</t>
  </si>
  <si>
    <t>CheckInStatus</t>
  </si>
  <si>
    <t>John Smith</t>
  </si>
  <si>
    <t>john.smith@email.com</t>
  </si>
  <si>
    <t>Checked In</t>
  </si>
  <si>
    <t>Emily Johnson</t>
  </si>
  <si>
    <t>emily.johnson@email.com</t>
  </si>
  <si>
    <t>Michael Davis</t>
  </si>
  <si>
    <t>michael.davis@email.com</t>
  </si>
  <si>
    <t>Not Checked In</t>
  </si>
  <si>
    <t>sarah.brown@email.com</t>
  </si>
  <si>
    <t>Brian Wilson</t>
  </si>
  <si>
    <t>brian.wilson@email.com</t>
  </si>
  <si>
    <t>Emma Miller</t>
  </si>
  <si>
    <t>emma.miller@email.com</t>
  </si>
  <si>
    <t>David Clark</t>
  </si>
  <si>
    <t>Jessica Adams</t>
  </si>
  <si>
    <t>jessica.adams@email.com</t>
  </si>
  <si>
    <t>Andrew Turner</t>
  </si>
  <si>
    <t>andrew.turner@email.com</t>
  </si>
  <si>
    <t>Olivia Roberts</t>
  </si>
  <si>
    <t>olivia.roberts@email.com</t>
  </si>
  <si>
    <t>William Johnson</t>
  </si>
  <si>
    <t>william.johnson@email.com</t>
  </si>
  <si>
    <t>Sophia Brown</t>
  </si>
  <si>
    <t>sophia.brown@email.com</t>
  </si>
  <si>
    <t>Ethan Davis</t>
  </si>
  <si>
    <t>ethan.davis@email.com</t>
  </si>
  <si>
    <t>Aria Thompson</t>
  </si>
  <si>
    <t>aria.thompson@email.com</t>
  </si>
  <si>
    <t>Jackson White</t>
  </si>
  <si>
    <t>jackson.white@email.com</t>
  </si>
  <si>
    <t>lily.turner@email.com</t>
  </si>
  <si>
    <t>Caleb Adams</t>
  </si>
  <si>
    <t>caleb.adams@email.com</t>
  </si>
  <si>
    <t>Grace Wilson</t>
  </si>
  <si>
    <t>grace.wilson@email.com</t>
  </si>
  <si>
    <t>Noah Miller</t>
  </si>
  <si>
    <t>Mia Clark</t>
  </si>
  <si>
    <t>mia.clark@email.com</t>
  </si>
  <si>
    <t>PerformanceID</t>
  </si>
  <si>
    <t>StartTime</t>
  </si>
  <si>
    <t>EndTime</t>
  </si>
  <si>
    <t>Duration</t>
  </si>
  <si>
    <t>MerchandiseID</t>
  </si>
  <si>
    <t>ItemName</t>
  </si>
  <si>
    <t>StockLevel</t>
  </si>
  <si>
    <t>NumSales</t>
  </si>
  <si>
    <t>Festival T-Shirt</t>
  </si>
  <si>
    <t>Music Festival Hat</t>
  </si>
  <si>
    <t>Concert Poster</t>
  </si>
  <si>
    <t>Water Bottle</t>
  </si>
  <si>
    <t>Keychain</t>
  </si>
  <si>
    <t>Sunglasses</t>
  </si>
  <si>
    <t>Bandana</t>
  </si>
  <si>
    <t>Phone Holder</t>
  </si>
  <si>
    <t>Backpack</t>
  </si>
  <si>
    <t>USB Drive</t>
  </si>
  <si>
    <t>Poster Collection</t>
  </si>
  <si>
    <t>Hoodie</t>
  </si>
  <si>
    <t>Mug</t>
  </si>
  <si>
    <t>Lanyard</t>
  </si>
  <si>
    <t>Sticker Pack</t>
  </si>
  <si>
    <t>Hat Collection</t>
  </si>
  <si>
    <t>Earphones</t>
  </si>
  <si>
    <t>Tote Bag</t>
  </si>
  <si>
    <t>Poster Frame</t>
  </si>
  <si>
    <t>Collectible Vinyl</t>
  </si>
  <si>
    <t>11th December, 2024</t>
  </si>
  <si>
    <t>SweDen</t>
  </si>
  <si>
    <t>thirty</t>
  </si>
  <si>
    <t xml:space="preserve">      General</t>
  </si>
  <si>
    <t>Vip</t>
  </si>
  <si>
    <t>GOlD</t>
  </si>
  <si>
    <t>Travel       Explorers</t>
  </si>
  <si>
    <t>two</t>
  </si>
  <si>
    <t>#david.clar/k@email.com</t>
  </si>
  <si>
    <t xml:space="preserve">Sarah Brown          </t>
  </si>
  <si>
    <t>7796p</t>
  </si>
  <si>
    <t>Not Yet</t>
  </si>
  <si>
    <t>Lily     Turner</t>
  </si>
  <si>
    <t>Price(kr)</t>
  </si>
  <si>
    <t>ArtistsID_Check</t>
  </si>
  <si>
    <t>AN_Check</t>
  </si>
  <si>
    <t>AN_Clean</t>
  </si>
  <si>
    <t>Country_Clean</t>
  </si>
  <si>
    <t>Country_Check</t>
  </si>
  <si>
    <t>Genre_Check</t>
  </si>
  <si>
    <t>Genre_Clean</t>
  </si>
  <si>
    <t>AvgPR_Check</t>
  </si>
  <si>
    <t>NoP_Check</t>
  </si>
  <si>
    <t>VenueID_Check</t>
  </si>
  <si>
    <t>VenueID_Clean</t>
  </si>
  <si>
    <t>VN_Check</t>
  </si>
  <si>
    <t>VN_Clean</t>
  </si>
  <si>
    <t>Location_Check</t>
  </si>
  <si>
    <t>Location_Clean</t>
  </si>
  <si>
    <t>Capacity_Check</t>
  </si>
  <si>
    <t>VR_Check</t>
  </si>
  <si>
    <t>NumEvents_Check</t>
  </si>
  <si>
    <t>Sajika Arena</t>
  </si>
  <si>
    <t>3000</t>
  </si>
  <si>
    <t>Muchi</t>
  </si>
  <si>
    <t>Philippines</t>
  </si>
  <si>
    <t>TicketID_Check</t>
  </si>
  <si>
    <t>Deleted Duplicate Value</t>
  </si>
  <si>
    <t>Duplicate</t>
  </si>
  <si>
    <t>TicketType_Check</t>
  </si>
  <si>
    <t>ConcertID_Check</t>
  </si>
  <si>
    <t>TicketType_Clean</t>
  </si>
  <si>
    <t>Price_Check</t>
  </si>
  <si>
    <t>Availability_Check</t>
  </si>
  <si>
    <t>Avalability_Clean</t>
  </si>
  <si>
    <t>ArtistID_Check</t>
  </si>
  <si>
    <t>Date_Check</t>
  </si>
  <si>
    <t>Date_Clean</t>
  </si>
  <si>
    <t>TicketSales_Check</t>
  </si>
  <si>
    <t>Innovation Hub</t>
  </si>
  <si>
    <t>SponsorID_Check</t>
  </si>
  <si>
    <t>SponsorName_Check</t>
  </si>
  <si>
    <t>SLevel_Check</t>
  </si>
  <si>
    <t>Slevel_Clean</t>
  </si>
  <si>
    <t>SponsorName_Clean</t>
  </si>
  <si>
    <t>NESponsored_Check</t>
  </si>
  <si>
    <t>NESponsored_Clean</t>
  </si>
  <si>
    <t>Email_Check</t>
  </si>
  <si>
    <t>Email_Clean</t>
  </si>
  <si>
    <t>AttendeeID_Check</t>
  </si>
  <si>
    <t>FullName_Check</t>
  </si>
  <si>
    <t>FullName_Clean</t>
  </si>
  <si>
    <t>CIStatus_Check</t>
  </si>
  <si>
    <t>CIStatus_Clean</t>
  </si>
  <si>
    <t>PerID_Check</t>
  </si>
  <si>
    <t>StartTime_Check</t>
  </si>
  <si>
    <t>StartTime_Clean</t>
  </si>
  <si>
    <t>Duration_Check</t>
  </si>
  <si>
    <t>EndTime_Check</t>
  </si>
  <si>
    <t>EndTime_Clean</t>
  </si>
  <si>
    <t>NumSales_Check</t>
  </si>
  <si>
    <t>StockLevel_Check</t>
  </si>
  <si>
    <t>ItemName_Check</t>
  </si>
  <si>
    <t>MerchandiseID_Check</t>
  </si>
  <si>
    <t>Zscores_VenueRating</t>
  </si>
  <si>
    <t>Zscores_NumSales</t>
  </si>
  <si>
    <t>ConcertID_Clean</t>
  </si>
  <si>
    <t>ContributionAmount_Check</t>
  </si>
  <si>
    <t>no#ah.miller@email.com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</si>
</sst>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/>
      <bottom style="medium">
        <color rgb="FFD9D9E3"/>
      </bottom>
      <diagonal/>
    </border>
    <border>
      <left/>
      <right/>
      <top style="thin">
        <color theme="8" tint="0.39997558519241921"/>
      </top>
      <bottom style="medium">
        <color rgb="FFD9D9E3"/>
      </bottom>
      <diagonal/>
    </border>
    <border>
      <left style="medium">
        <color rgb="FFD9D9E3"/>
      </left>
      <right/>
      <top style="thin">
        <color theme="8" tint="0.39997558519241921"/>
      </top>
      <bottom style="medium">
        <color rgb="FFD9D9E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5" borderId="7" applyNumberFormat="0" applyAlignment="0" applyProtection="0"/>
  </cellStyleXfs>
  <cellXfs count="4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0" xfId="0" applyNumberFormat="1" applyFont="1"/>
    <xf numFmtId="49" fontId="4" fillId="0" borderId="0" xfId="0" applyNumberFormat="1" applyFont="1" applyAlignment="1">
      <alignment vertic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1" xfId="1" applyFont="1" applyFill="1" applyBorder="1" applyAlignment="1">
      <alignment vertical="center" wrapText="1"/>
    </xf>
    <xf numFmtId="22" fontId="4" fillId="0" borderId="1" xfId="0" applyNumberFormat="1" applyFont="1" applyBorder="1" applyAlignment="1">
      <alignment vertical="center" wrapText="1"/>
    </xf>
    <xf numFmtId="22" fontId="4" fillId="0" borderId="3" xfId="0" applyNumberFormat="1" applyFont="1" applyBorder="1" applyAlignment="1">
      <alignment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0" xfId="0" applyFont="1" applyFill="1"/>
    <xf numFmtId="0" fontId="4" fillId="3" borderId="0" xfId="0" applyFont="1" applyFill="1" applyAlignment="1">
      <alignment vertic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1" fontId="4" fillId="0" borderId="1" xfId="0" applyNumberFormat="1" applyFont="1" applyBorder="1" applyAlignment="1">
      <alignment vertical="center" wrapText="1"/>
    </xf>
    <xf numFmtId="1" fontId="4" fillId="0" borderId="3" xfId="0" applyNumberFormat="1" applyFont="1" applyBorder="1" applyAlignment="1">
      <alignment vertical="center" wrapText="1"/>
    </xf>
    <xf numFmtId="164" fontId="4" fillId="3" borderId="1" xfId="0" applyNumberFormat="1" applyFont="1" applyFill="1" applyBorder="1" applyAlignment="1">
      <alignment vertical="center" wrapText="1"/>
    </xf>
    <xf numFmtId="164" fontId="4" fillId="3" borderId="3" xfId="0" applyNumberFormat="1" applyFont="1" applyFill="1" applyBorder="1" applyAlignment="1">
      <alignment vertical="center" wrapText="1"/>
    </xf>
    <xf numFmtId="165" fontId="4" fillId="3" borderId="1" xfId="0" applyNumberFormat="1" applyFont="1" applyFill="1" applyBorder="1" applyAlignment="1">
      <alignment vertical="center" wrapText="1"/>
    </xf>
    <xf numFmtId="165" fontId="4" fillId="3" borderId="3" xfId="0" applyNumberFormat="1" applyFont="1" applyFill="1" applyBorder="1" applyAlignment="1">
      <alignment vertical="center" wrapText="1"/>
    </xf>
    <xf numFmtId="165" fontId="4" fillId="0" borderId="1" xfId="0" applyNumberFormat="1" applyFont="1" applyBorder="1" applyAlignment="1">
      <alignment vertical="center" wrapText="1"/>
    </xf>
    <xf numFmtId="165" fontId="4" fillId="0" borderId="3" xfId="0" applyNumberFormat="1" applyFont="1" applyBorder="1" applyAlignment="1">
      <alignment vertical="center" wrapText="1"/>
    </xf>
    <xf numFmtId="164" fontId="4" fillId="3" borderId="1" xfId="0" applyNumberFormat="1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6" fillId="5" borderId="7" xfId="2" applyAlignment="1">
      <alignment horizontal="center" wrapText="1"/>
    </xf>
    <xf numFmtId="0" fontId="6" fillId="5" borderId="7" xfId="2" applyAlignment="1">
      <alignment vertical="center" wrapText="1"/>
    </xf>
    <xf numFmtId="22" fontId="6" fillId="5" borderId="7" xfId="2" applyNumberFormat="1" applyAlignment="1">
      <alignment vertical="center" wrapText="1"/>
    </xf>
    <xf numFmtId="0" fontId="6" fillId="5" borderId="7" xfId="2"/>
    <xf numFmtId="0" fontId="6" fillId="5" borderId="7" xfId="2" applyAlignment="1">
      <alignment vertical="center"/>
    </xf>
    <xf numFmtId="14" fontId="6" fillId="5" borderId="7" xfId="2" applyNumberFormat="1" applyAlignment="1">
      <alignment vertical="center" wrapText="1"/>
    </xf>
    <xf numFmtId="0" fontId="3" fillId="0" borderId="1" xfId="1" applyFill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164" fontId="4" fillId="0" borderId="3" xfId="0" applyNumberFormat="1" applyFont="1" applyBorder="1" applyAlignment="1">
      <alignment vertical="center" wrapText="1"/>
    </xf>
  </cellXfs>
  <cellStyles count="3">
    <cellStyle name="Check Cell" xfId="2" builtinId="23"/>
    <cellStyle name="Hyperlink" xfId="1" builtinId="8"/>
    <cellStyle name="Normal" xfId="0" builtinId="0"/>
  </cellStyles>
  <dxfs count="30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h:mm;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h:mm;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D9D9E3"/>
        </right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numFmt numFmtId="27" formatCode="dd/mm/yyyy\ hh:mm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h:mm;@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numFmt numFmtId="27" formatCode="dd/mm/yyyy\ hh:mm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6" formatCode="yyyy/mm/dd\ hh:mm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h:mm;@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numFmt numFmtId="27" formatCode="dd/mm/yyyy\ hh:mm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6" formatCode="yyyy/mm/dd\ hh:mm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6" formatCode="yyyy/mm/dd\ hh:mm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6" formatCode="yyyy/mm/dd\ hh:mm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5" formatCode="yyyy\-mm\-dd;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5" formatCode="yyyy\-mm\-dd;@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</border>
    </dxf>
    <dxf>
      <numFmt numFmtId="167" formatCode="yyyy/mm/dd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5" formatCode="yyyy\-mm\-dd;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5" formatCode="yyyy\-mm\-dd;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rgb="FF000000"/>
          <bgColor auto="1"/>
        </patternFill>
      </fill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D9D9E3"/>
        </right>
        <top/>
        <bottom style="medium">
          <color rgb="FFD9D9E3"/>
        </bottom>
      </border>
    </dxf>
    <dxf>
      <border outline="0">
        <left style="medium">
          <color rgb="FFD9D9E3"/>
        </left>
        <top style="medium">
          <color rgb="FFD9D9E3"/>
        </top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numFmt numFmtId="0" formatCode="General"/>
      <alignment horizontal="general" vertical="center" textRotation="0" wrapText="1" indent="0" justifyLastLine="0" shrinkToFit="0" readingOrder="0"/>
      <border outline="0">
        <right style="medium">
          <color rgb="FFD9D9E3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numFmt numFmtId="0" formatCode="General"/>
      <alignment horizontal="general" vertical="center" textRotation="0" wrapText="1" indent="0" justifyLastLine="0" shrinkToFit="0" readingOrder="0"/>
      <border outline="0">
        <right style="medium">
          <color rgb="FFD9D9E3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numFmt numFmtId="0" formatCode="General"/>
      <alignment horizontal="general" vertical="center" textRotation="0" wrapText="1" indent="0" justifyLastLine="0" shrinkToFit="0" readingOrder="0"/>
      <border outline="0">
        <right style="medium">
          <color rgb="FFD9D9E3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top style="medium">
          <color rgb="FFD9D9E3"/>
        </top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top style="medium">
          <color rgb="FFD9D9E3"/>
        </top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7E0C3E8-79F2-4D22-B9DE-F6E2759819C0}" name="Table11120" displayName="Table11120" ref="A1:F22" totalsRowShown="0" headerRowDxfId="306" dataDxfId="304" headerRowBorderDxfId="305" tableBorderDxfId="303">
  <autoFilter ref="A1:F22" xr:uid="{57E0C3E8-79F2-4D22-B9DE-F6E2759819C0}"/>
  <tableColumns count="6">
    <tableColumn id="1" xr3:uid="{319A45AD-A569-4F47-97C4-DB49A1AB704B}" name="ArtistID" dataDxfId="302"/>
    <tableColumn id="2" xr3:uid="{2DDA918E-BEFA-42A0-9046-E55C8181B620}" name="ArtistName" dataDxfId="301"/>
    <tableColumn id="3" xr3:uid="{E7187469-5AF4-4651-8D0B-45345280D085}" name="Genre" dataDxfId="300"/>
    <tableColumn id="4" xr3:uid="{267FE7A2-4891-4220-8EDF-A0506B2DE6C0}" name="Country" dataDxfId="299"/>
    <tableColumn id="5" xr3:uid="{046FE25C-37F8-48BA-A2D1-AD97D9FB52EC}" name="AvgPerformanceRating" dataDxfId="298"/>
    <tableColumn id="6" xr3:uid="{33077408-DF93-486A-AD0D-88F5A62C30A8}" name="NumPerformances" dataDxfId="29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430FA-C15A-407B-A966-F03F302FC6BF}" name="Table1" displayName="Table1" ref="A1:O21" totalsRowShown="0" headerRowDxfId="296" dataDxfId="294" headerRowBorderDxfId="295" tableBorderDxfId="293">
  <autoFilter ref="A1:O21" xr:uid="{C92430FA-C15A-407B-A966-F03F302FC6BF}"/>
  <tableColumns count="15">
    <tableColumn id="1" xr3:uid="{CA316D62-A68F-42A1-A39A-6AB64405ADA9}" name="ArtistID" dataDxfId="292"/>
    <tableColumn id="8" xr3:uid="{61A7A7AC-3025-4B49-BFAC-0B065B102B75}" name="ArtistsID_Check" dataDxfId="291" dataCellStyle="Check Cell">
      <calculatedColumnFormula>ISNUMBER(Table1[[#This Row],[ArtistID]])</calculatedColumnFormula>
    </tableColumn>
    <tableColumn id="2" xr3:uid="{5A8B6302-6158-449B-B136-2C2DD56856C9}" name="ArtistName" dataDxfId="290"/>
    <tableColumn id="9" xr3:uid="{C9BE3518-951C-4D2E-AB59-D87E1BDC948D}" name="AN_Check" dataDxfId="289" dataCellStyle="Check Cell">
      <calculatedColumnFormula>IF(EXACT(Table1[[#This Row],[ArtistName]], PROPER(Table1[[#This Row],[ArtistName]])), "TRUE", "FALSE")</calculatedColumnFormula>
    </tableColumn>
    <tableColumn id="10" xr3:uid="{012FE65A-7305-4826-BD93-C89DF598DFE6}" name="AN_Clean" dataDxfId="288">
      <calculatedColumnFormula>SUBSTITUTE(SUBSTITUTE(TRIM(PROPER(Table1[[#This Row],[ArtistName]])), "Yellowpink", "Yellow Pink"), "Cts", "CTS")</calculatedColumnFormula>
    </tableColumn>
    <tableColumn id="3" xr3:uid="{66AC71AC-B941-4E9D-A4D5-99C542CFAB11}" name="Genre" dataDxfId="287"/>
    <tableColumn id="11" xr3:uid="{7CE45642-B86A-4D50-8091-F50A66BFEC70}" name="Genre_Check" dataDxfId="286" dataCellStyle="Check Cell">
      <calculatedColumnFormula>IF(EXACT(Table1[[#This Row],[Genre]], PROPER(Table1[[#This Row],[Genre]])), "TRUE", "FALSE")</calculatedColumnFormula>
    </tableColumn>
    <tableColumn id="12" xr3:uid="{8B2F3560-9FC2-4E39-A823-FDD5D341A94F}" name="Genre_Clean" dataDxfId="285">
      <calculatedColumnFormula>SUBSTITUTE(TRIM(PROPER(Table1[[#This Row],[Genre]])), "Edm", "EDM")</calculatedColumnFormula>
    </tableColumn>
    <tableColumn id="4" xr3:uid="{D0C81CB1-C157-4A9B-8E0D-4EE45BC05F29}" name="Country" dataDxfId="284"/>
    <tableColumn id="13" xr3:uid="{D1377932-1D9E-422D-951B-739E4A5D3BC0}" name="Country_Check" dataDxfId="283" dataCellStyle="Check Cell">
      <calculatedColumnFormula>IF(EXACT(Table1[[#This Row],[Country]], PROPER(Table1[[#This Row],[Country]])), "TRUE", "FALSE")</calculatedColumnFormula>
    </tableColumn>
    <tableColumn id="14" xr3:uid="{F8AB5747-F3EC-43D5-B6B2-5EACBF6D4CA8}" name="Country_Clean" dataDxfId="282">
      <calculatedColumnFormula>SUBSTITUTE(SUBSTITUTE(SUBSTITUTE(TRIM(PROPER(Table1[[#This Row],[Country]])), "Southkorea", "South Korea"), "Usa", "USA"), "Uk", "UK")</calculatedColumnFormula>
    </tableColumn>
    <tableColumn id="5" xr3:uid="{81128961-1D31-4120-9B8F-6B438A577367}" name="AvgPerformanceRating" dataDxfId="281"/>
    <tableColumn id="16" xr3:uid="{E758A784-2E35-4E0C-9EB0-FFFAE1894DA4}" name="AvgPR_Check" dataDxfId="280" dataCellStyle="Check Cell">
      <calculatedColumnFormula>ISNUMBER(Table1[[#This Row],[AvgPerformanceRating]])</calculatedColumnFormula>
    </tableColumn>
    <tableColumn id="6" xr3:uid="{4A47D4C6-C80A-4C10-9992-51641538AAC9}" name="NumPerformances" dataDxfId="279"/>
    <tableColumn id="18" xr3:uid="{CB37338F-C779-4504-8068-85F0A4D2309E}" name="NoP_Check" dataDxfId="278" dataCellStyle="Check Cell">
      <calculatedColumnFormula>ISNUMBER(Table1[[#This Row],[NumPerformances]])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F2C0AE-81A0-4C29-8A3C-E837016ED3C6}" name="Table111" displayName="Table111" ref="A1:F21" totalsRowShown="0" headerRowDxfId="277" dataDxfId="275" headerRowBorderDxfId="276" tableBorderDxfId="274">
  <autoFilter ref="A1:F21" xr:uid="{07F2C0AE-81A0-4C29-8A3C-E837016ED3C6}"/>
  <tableColumns count="6">
    <tableColumn id="1" xr3:uid="{8A30B7A8-BF45-457D-B6DD-8E3017F901C6}" name="ArtistID" dataDxfId="273"/>
    <tableColumn id="2" xr3:uid="{8EEEB0BF-7886-46DF-9EBC-503CA593A748}" name="ArtistName" dataDxfId="272">
      <calculatedColumnFormula>SUBSTITUTE(SUBSTITUTE(TRIM(PROPER(Table1[[#This Row],[ArtistName]])), "Yellowpink", "Yellow Pink"), "Cts", "CTS")</calculatedColumnFormula>
    </tableColumn>
    <tableColumn id="3" xr3:uid="{9FA44C77-41DC-4078-8260-DB698008E126}" name="Genre" dataDxfId="271">
      <calculatedColumnFormula>SUBSTITUTE(TRIM(PROPER(Table1[[#This Row],[Genre]])), "Edm", "EDM")</calculatedColumnFormula>
    </tableColumn>
    <tableColumn id="4" xr3:uid="{BAEB856E-0C5F-4172-AE9D-0174CC3E8860}" name="Country" dataDxfId="270">
      <calculatedColumnFormula>SUBSTITUTE(SUBSTITUTE(SUBSTITUTE(TRIM(PROPER(Table1[[#This Row],[Country]])), "Southkorea", "South Korea"), "Usa", "USA"), "Uk", "UK")</calculatedColumnFormula>
    </tableColumn>
    <tableColumn id="5" xr3:uid="{8BDA4013-253C-4357-B95A-0B2F669A47A9}" name="AvgPerformanceRating" dataDxfId="269"/>
    <tableColumn id="6" xr3:uid="{473D65F4-D5C7-437B-BDE9-7972B1091174}" name="NumPerformances" dataDxfId="2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CFD4A41-CBBE-4AAB-AAB4-E02AD5693A79}" name="Table221" displayName="Table221" ref="A1:F21" totalsRowShown="0" headerRowDxfId="267" dataDxfId="265" headerRowBorderDxfId="266" tableBorderDxfId="264">
  <autoFilter ref="A1:F21" xr:uid="{15793C2F-87E7-4BAF-A103-3490F0BEF977}"/>
  <tableColumns count="6">
    <tableColumn id="1" xr3:uid="{0BE225AD-4D08-4B1B-ADB9-80330415AAA4}" name="VenueID" dataDxfId="263"/>
    <tableColumn id="2" xr3:uid="{6AE4A172-38C9-46EC-B4F9-7160B0AD7AA6}" name="VenueName" dataDxfId="262"/>
    <tableColumn id="3" xr3:uid="{A4215986-11B0-40E8-94AA-B9C3E0E0A24F}" name="Location" dataDxfId="261"/>
    <tableColumn id="4" xr3:uid="{B4B019B8-D3AD-45DB-80AE-59B7C902F4B9}" name="Capacity" dataDxfId="260"/>
    <tableColumn id="5" xr3:uid="{231B5D68-70F0-4CD4-881E-163AD81A6D88}" name="VenueRating" dataDxfId="259"/>
    <tableColumn id="6" xr3:uid="{A5451190-1F05-40F7-ABD1-CDB05393E8A9}" name="NumEvents" dataDxfId="25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93C2F-87E7-4BAF-A103-3490F0BEF977}" name="Table2" displayName="Table2" ref="A1:O21" totalsRowShown="0" headerRowDxfId="257" dataDxfId="255" headerRowBorderDxfId="256" tableBorderDxfId="254">
  <autoFilter ref="A1:O21" xr:uid="{15793C2F-87E7-4BAF-A103-3490F0BEF977}"/>
  <tableColumns count="15">
    <tableColumn id="1" xr3:uid="{38FF48E1-19E9-4E4B-B1CB-79A839415D95}" name="VenueID" dataDxfId="253"/>
    <tableColumn id="7" xr3:uid="{E09D4C79-9AD4-43DD-AEAE-52D8B4DBDE00}" name="VenueID_Check" dataDxfId="252" dataCellStyle="Check Cell">
      <calculatedColumnFormula>IF(AND(ISNUMBER(Table2[[#This Row],[VenueID]]), Table2[[#This Row],[VenueID]] &gt; 100), "TRUE", "FALSE")</calculatedColumnFormula>
    </tableColumn>
    <tableColumn id="8" xr3:uid="{C18EAB4B-B7DE-42E1-B2CC-DD62385E2737}" name="VenueID_Clean" dataDxfId="251">
      <calculatedColumnFormula>VALUE(Table2[[#This Row],[VenueID]])</calculatedColumnFormula>
    </tableColumn>
    <tableColumn id="2" xr3:uid="{A800B69E-6BE3-4A14-882D-96B507B823BD}" name="VenueName" dataDxfId="250"/>
    <tableColumn id="9" xr3:uid="{2A065CA1-2252-4207-A96E-23FD703E2F3D}" name="VN_Check" dataDxfId="249" dataCellStyle="Check Cell">
      <calculatedColumnFormula>IF(EXACT(Table2[[#This Row],[VenueName]], PROPER(Table2[[#This Row],[VenueName]])), "TRUE", "FALSE")</calculatedColumnFormula>
    </tableColumn>
    <tableColumn id="10" xr3:uid="{E0DB153B-D51B-4233-A26D-669900C1A3A4}" name="VN_Clean" dataDxfId="248">
      <calculatedColumnFormula>PROPER(TRIM(SUBSTITUTE(Table2[[#This Row],[VenueName]], "Baba yaraArena", "Baba Yara Arena")))</calculatedColumnFormula>
    </tableColumn>
    <tableColumn id="3" xr3:uid="{C9328336-1B27-477B-A08B-E6BDD4F2BDD1}" name="Location" dataDxfId="247"/>
    <tableColumn id="11" xr3:uid="{E4DBE6C2-0198-45F2-8290-BBC9F53C5334}" name="Location_Check" dataDxfId="246" dataCellStyle="Check Cell">
      <calculatedColumnFormula>IF(AND(Table2[[#This Row],[Location]]&lt;&gt;"", EXACT(Table2[[#This Row],[Location]], PROPER(Table2[[#This Row],[Location]]))), "TRUE", "FALSE")</calculatedColumnFormula>
    </tableColumn>
    <tableColumn id="12" xr3:uid="{E66340CB-4D5D-4B93-B7FD-9158FD5EB090}" name="Location_Clean" dataDxfId="245">
      <calculatedColumnFormula>PROPER(TRIM(SUBSTITUTE(Table2[[#This Row],[Location]], "KansasCity", "Kansas City")))</calculatedColumnFormula>
    </tableColumn>
    <tableColumn id="4" xr3:uid="{9C182D64-A64E-4F3C-85CE-0E1FEA863366}" name="Capacity" dataDxfId="244"/>
    <tableColumn id="14" xr3:uid="{9BD1C54D-1385-482A-A495-F60512DE88E0}" name="Capacity_Check" dataDxfId="243" dataCellStyle="Check Cell">
      <calculatedColumnFormula>ISNUMBER(Table2[[#This Row],[Capacity]])</calculatedColumnFormula>
    </tableColumn>
    <tableColumn id="5" xr3:uid="{4274C0D6-67F6-4283-BBD7-DB24B4F8211B}" name="VenueRating" dataDxfId="242"/>
    <tableColumn id="16" xr3:uid="{611DAED1-AFD2-4697-B365-644E4A5D5F37}" name="VR_Check" dataDxfId="241" dataCellStyle="Check Cell">
      <calculatedColumnFormula>ISNUMBER(Table2[[#This Row],[VenueRating]])</calculatedColumnFormula>
    </tableColumn>
    <tableColumn id="6" xr3:uid="{F2C01804-1D65-45C1-9A57-1A20C0749A67}" name="NumEvents" dataDxfId="240"/>
    <tableColumn id="18" xr3:uid="{EAB95E7E-83B9-4D43-9919-722D7CDC5455}" name="NumEvents_Check" dataDxfId="239" dataCellStyle="Check Cell">
      <calculatedColumnFormula>ISNUMBER(Table2[[#This Row],[NumEvents]])</calculatedColumnFormula>
    </tableColumn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0D65C9-4306-4C03-B84A-17EE1AB0981E}" name="Table212" displayName="Table212" ref="A1:G21" totalsRowShown="0" headerRowDxfId="238" dataDxfId="236" headerRowBorderDxfId="237" tableBorderDxfId="235">
  <autoFilter ref="A1:G21" xr:uid="{E60D65C9-4306-4C03-B84A-17EE1AB0981E}"/>
  <tableColumns count="7">
    <tableColumn id="1" xr3:uid="{30D41A9F-CA92-4E99-8071-5F57AB70E92C}" name="VenueID" dataDxfId="234"/>
    <tableColumn id="2" xr3:uid="{E96A8242-6D14-4428-8205-AC7C96579B27}" name="VenueName" dataDxfId="233">
      <calculatedColumnFormula>PROPER(TRIM(SUBSTITUTE(Table2[[#This Row],[VenueName]], "Baba yaraArena", "Baba Yara Arena")))</calculatedColumnFormula>
    </tableColumn>
    <tableColumn id="3" xr3:uid="{A4C5E55A-ACAE-4ACC-9871-1FBF19A179B9}" name="Location" dataDxfId="232">
      <calculatedColumnFormula>PROPER(TRIM(SUBSTITUTE(Table2[[#This Row],[Location]], "KansasCity", "Kansas City")))</calculatedColumnFormula>
    </tableColumn>
    <tableColumn id="4" xr3:uid="{8C4A89BF-E810-477C-A111-4EF3982996D5}" name="Capacity" dataDxfId="231"/>
    <tableColumn id="5" xr3:uid="{01242E0D-41C8-40C4-9E14-8B5C1BC52E76}" name="VenueRating" dataDxfId="230"/>
    <tableColumn id="7" xr3:uid="{F054A76B-3428-49E8-B62E-1DFD72707E28}" name="Zscores_VenueRating" dataDxfId="229">
      <calculatedColumnFormula>ROUND((Table212[[#This Row],[VenueRating]]-AVERAGE(Table212[VenueRating]))/_xlfn.STDEV.P(Table212[VenueRating]), 3)</calculatedColumnFormula>
    </tableColumn>
    <tableColumn id="6" xr3:uid="{57C44CBB-E5B4-4891-ADD0-63009AC37FD2}" name="NumEvents" dataDxfId="228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D3DAEC2-4A9D-4BA1-8BD0-21F5092BB69C}" name="Table31328" displayName="Table31328" ref="A1:E22" totalsRowShown="0" headerRowDxfId="227" dataDxfId="225" headerRowBorderDxfId="226" tableBorderDxfId="224">
  <autoFilter ref="A1:E22" xr:uid="{BD3DAEC2-4A9D-4BA1-8BD0-21F5092BB69C}"/>
  <tableColumns count="5">
    <tableColumn id="1" xr3:uid="{127EB053-3C9F-4482-A2D0-3D02120F9A9D}" name="TicketID" dataDxfId="223"/>
    <tableColumn id="2" xr3:uid="{1F1042EA-B35C-4DA6-A936-1B30F780B891}" name="ConcertID" dataDxfId="222"/>
    <tableColumn id="3" xr3:uid="{52A0389B-7112-41DA-B952-247A35B465D4}" name="TicketType" dataDxfId="221"/>
    <tableColumn id="4" xr3:uid="{0803F3EF-973A-44E6-92B9-D36123029523}" name="Price" dataDxfId="220"/>
    <tableColumn id="5" xr3:uid="{673DC87D-ED1B-4596-A7DB-8115E32EB02B}" name="Availability" dataDxfId="219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F02455-E71A-4399-9FB9-BB1E786980B4}" name="Table3" displayName="Table3" ref="A1:L21" totalsRowShown="0" headerRowDxfId="218" dataDxfId="216" headerRowBorderDxfId="217" tableBorderDxfId="215">
  <autoFilter ref="A1:L21" xr:uid="{E2F02455-E71A-4399-9FB9-BB1E786980B4}"/>
  <tableColumns count="12">
    <tableColumn id="1" xr3:uid="{E903CC12-707D-459C-8081-8FEDEF775428}" name="TicketID" dataDxfId="214"/>
    <tableColumn id="6" xr3:uid="{0F89B5F6-CA17-4B67-BB41-9E63B14BFF75}" name="TicketID_Check" dataDxfId="213" dataCellStyle="Check Cell">
      <calculatedColumnFormula>IF(COUNTIF(Table3[TicketID],Table3[[#This Row],[TicketID]])&gt;1, "Duplicate", "Unique")</calculatedColumnFormula>
    </tableColumn>
    <tableColumn id="2" xr3:uid="{484772BD-CF42-4F7A-8052-B14E38891585}" name="ConcertID" dataDxfId="212"/>
    <tableColumn id="9" xr3:uid="{368CD460-E2A5-48B5-9726-58416CB12AF6}" name="ConcertID_Check" dataDxfId="211" dataCellStyle="Check Cell">
      <calculatedColumnFormula>ISNUMBER(Table3[[#This Row],[ConcertID]])</calculatedColumnFormula>
    </tableColumn>
    <tableColumn id="3" xr3:uid="{AA5CEDE5-7609-4D69-80B0-2387B8FE6215}" name="TicketType" dataDxfId="210"/>
    <tableColumn id="11" xr3:uid="{CB63DA09-6A15-44D3-84BA-2EDCE7CEE0BF}" name="TicketType_Check" dataDxfId="209" dataCellStyle="Check Cell">
      <calculatedColumnFormula>IF(OR(ISNUMBER(MATCH(Table3[[#This Row],[TicketType]], {"VIP","General","Premium"}, 0))), "TRUE", "FALSE")</calculatedColumnFormula>
    </tableColumn>
    <tableColumn id="10" xr3:uid="{97AAFD26-B64D-4F4A-8DBA-EDE8F0119C8F}" name="TicketType_Clean" dataDxfId="208">
      <calculatedColumnFormula>TRIM(SUBSTITUTE(Table3[[#This Row],[TicketType]], "Vip", "VIP"))</calculatedColumnFormula>
    </tableColumn>
    <tableColumn id="4" xr3:uid="{B04AC066-37C2-4D8D-94D0-CEC513660E73}" name="Price" dataDxfId="207"/>
    <tableColumn id="13" xr3:uid="{ABA6F6FF-474C-49E5-974E-1EA4A76CE69C}" name="Price_Check" dataDxfId="206" dataCellStyle="Check Cell">
      <calculatedColumnFormula>ISNUMBER(Table3[[#This Row],[Price]])</calculatedColumnFormula>
    </tableColumn>
    <tableColumn id="5" xr3:uid="{9F9D06D6-ABF4-4196-9AC7-0617FB022B65}" name="Availability" dataDxfId="205"/>
    <tableColumn id="15" xr3:uid="{3878D836-2A2E-44F0-AB87-4A8B7A10B823}" name="Availability_Check" dataDxfId="204" dataCellStyle="Check Cell">
      <calculatedColumnFormula>ISNUMBER(Table3[[#This Row],[Availability]])</calculatedColumnFormula>
    </tableColumn>
    <tableColumn id="14" xr3:uid="{ACDA3DCC-A7A9-4E3A-9C83-C9B9018934BA}" name="Avalability_Clean" dataDxfId="203">
      <calculatedColumnFormula>VALUE(SUBSTITUTE(Table3[[#This Row],[Availability]], "thirty", 30))</calculatedColumnFormula>
    </tableColumn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A1ACA6-F887-4440-BC5C-FEEA78DA901D}" name="Table313" displayName="Table313" ref="A1:E21" totalsRowShown="0" headerRowDxfId="202" dataDxfId="200" headerRowBorderDxfId="201" tableBorderDxfId="199">
  <autoFilter ref="A1:E21" xr:uid="{13A1ACA6-F887-4440-BC5C-FEEA78DA901D}"/>
  <tableColumns count="5">
    <tableColumn id="1" xr3:uid="{8318ED8B-F05E-4753-83CD-5BACC9116765}" name="TicketID" dataDxfId="198"/>
    <tableColumn id="2" xr3:uid="{98E9BBE9-6545-46C4-ADEA-6F5FF28CC2F1}" name="ConcertID" dataDxfId="197"/>
    <tableColumn id="3" xr3:uid="{665D12A3-FF5C-4454-B40C-16D3CDD8E7CD}" name="TicketType" dataDxfId="196">
      <calculatedColumnFormula>TRIM(SUBSTITUTE(Table3[[#This Row],[TicketType]], "Vip", "VIP"))</calculatedColumnFormula>
    </tableColumn>
    <tableColumn id="4" xr3:uid="{DCCECFE3-3FD9-4F21-B7BA-9EB2FE6551C7}" name="Price" dataDxfId="195"/>
    <tableColumn id="5" xr3:uid="{0FA9034F-1C65-4BD4-B46D-4E438C0BB921}" name="Availability" dataDxfId="194">
      <calculatedColumnFormula>VALUE(SUBSTITUTE(Table3[[#This Row],[Availability]], "thirty", 30))</calculatedColumnFormula>
    </tableColumn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7099131-6FAA-4888-AFF4-5A3E90767687}" name="Table427" displayName="Table427" ref="A1:E21" totalsRowShown="0" headerRowDxfId="193" dataDxfId="191" headerRowBorderDxfId="192" tableBorderDxfId="190">
  <autoFilter ref="A1:E21" xr:uid="{37099131-6FAA-4888-AFF4-5A3E90767687}"/>
  <tableColumns count="5">
    <tableColumn id="1" xr3:uid="{AA150CE5-3900-48B6-B50D-0B17DC4F878F}" name="ConcertID" dataDxfId="189"/>
    <tableColumn id="2" xr3:uid="{B15D88ED-C81F-46E3-927C-6BD1207FB172}" name="ArtistID" dataDxfId="188"/>
    <tableColumn id="3" xr3:uid="{04C1178B-8E1F-4C3A-8725-69F463664878}" name="VenueID" dataDxfId="187"/>
    <tableColumn id="4" xr3:uid="{01453A0B-57D2-487D-A5F3-F9855012A903}" name="Date" dataDxfId="186"/>
    <tableColumn id="6" xr3:uid="{1736E83C-5B1C-4615-A378-F80A6A63D1DC}" name="TicketSales" dataDxfId="18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20FB77-6490-4B68-AB21-1AB40563A23A}" name="Table4" displayName="Table4" ref="A1:K21" totalsRowShown="0" headerRowDxfId="184" dataDxfId="182" headerRowBorderDxfId="183" tableBorderDxfId="181">
  <autoFilter ref="A1:K21" xr:uid="{F920FB77-6490-4B68-AB21-1AB40563A23A}"/>
  <tableColumns count="11">
    <tableColumn id="1" xr3:uid="{E7679310-C01C-47E4-9A17-375350E600D8}" name="ConcertID" dataDxfId="180"/>
    <tableColumn id="8" xr3:uid="{DBC295A5-2A8B-465B-A36F-AEFD33E61D86}" name="ConcertID_Check" dataDxfId="179" dataCellStyle="Check Cell">
      <calculatedColumnFormula>IF(COUNTIF(Table4[ConcertID],Table4[[#This Row],[ConcertID]])&gt;1, "Duplicate", "Unique")</calculatedColumnFormula>
    </tableColumn>
    <tableColumn id="2" xr3:uid="{57EC9B86-E863-45CD-9FCF-B77C895D992A}" name="ArtistID" dataDxfId="178"/>
    <tableColumn id="10" xr3:uid="{8386CB91-BD60-40FB-A4CB-6C259B70F715}" name="ArtistID_Check" dataDxfId="177" dataCellStyle="Check Cell">
      <calculatedColumnFormula>ISNUMBER(Table4[[#This Row],[ArtistID]])</calculatedColumnFormula>
    </tableColumn>
    <tableColumn id="3" xr3:uid="{96D9D0D8-9E96-4163-A3FF-873B38B20275}" name="VenueID" dataDxfId="176"/>
    <tableColumn id="12" xr3:uid="{CB4CB6DA-9286-46EF-AFA1-6E092746F1B1}" name="VenueID_Check" dataDxfId="175" dataCellStyle="Check Cell">
      <calculatedColumnFormula>ISNUMBER(Table4[[#This Row],[VenueID]])</calculatedColumnFormula>
    </tableColumn>
    <tableColumn id="4" xr3:uid="{B26EDE67-FBF7-450F-8028-964620CC24E1}" name="Date" dataDxfId="174"/>
    <tableColumn id="14" xr3:uid="{A6BC9F47-5BFD-41C5-8AB7-E5BBA2F27A20}" name="Date_Check" dataDxfId="173" dataCellStyle="Check Cell">
      <calculatedColumnFormula>ISNUMBER(Table4[[#This Row],[Date]])</calculatedColumnFormula>
    </tableColumn>
    <tableColumn id="13" xr3:uid="{8DF3DAB2-50E7-48B9-A69E-01E509C1C4DA}" name="Date_Clean" dataDxfId="172">
      <calculatedColumnFormula>TEXT(SUBSTITUTE(Table4[[#This Row],[Date]], "11th December, 2024", "2024-12-11"), "yyyy-mm-dd")</calculatedColumnFormula>
    </tableColumn>
    <tableColumn id="6" xr3:uid="{F51AD0C3-A83F-49F8-8D79-0C0FDB2D3039}" name="TicketSales" dataDxfId="171"/>
    <tableColumn id="18" xr3:uid="{DDFFAA96-6530-4D47-BF2F-21669D57F383}" name="TicketSales_Check" dataDxfId="170" dataCellStyle="Check Cell">
      <calculatedColumnFormula>ISNUMBER(Table4[[#This Row],[TicketSales]])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C4E898C-169A-41DF-8681-DB479AEF7CC5}" name="Table414" displayName="Table414" ref="A1:E21" totalsRowShown="0" headerRowDxfId="169" dataDxfId="167" headerRowBorderDxfId="168" tableBorderDxfId="166">
  <autoFilter ref="A1:E21" xr:uid="{8C4E898C-169A-41DF-8681-DB479AEF7CC5}"/>
  <tableColumns count="5">
    <tableColumn id="1" xr3:uid="{E6C95716-9105-443E-B65D-21036251D053}" name="ConcertID" dataDxfId="165"/>
    <tableColumn id="2" xr3:uid="{3F6BC0E4-5E71-4AD8-8AE4-4701F8454251}" name="ArtistID" dataDxfId="164"/>
    <tableColumn id="3" xr3:uid="{575D7A6C-32D1-4679-B386-874ABDF07096}" name="VenueID" dataDxfId="163"/>
    <tableColumn id="4" xr3:uid="{ED3D4A84-4467-4CD3-8607-526906129BDC}" name="Date" dataDxfId="162">
      <calculatedColumnFormula>TEXT(SUBSTITUTE(Table4[[#This Row],[Date]], "11th December, 2024", "2024-12-11"), "yyyy-mm-dd")</calculatedColumnFormula>
    </tableColumn>
    <tableColumn id="6" xr3:uid="{A5913C98-E08A-40EC-A161-F2EB6A365D57}" name="TicketSales" dataDxfId="16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432B3CD-148A-434C-980F-FFEF9D740933}" name="Table51526" displayName="Table51526" ref="A1:F21" totalsRowShown="0" headerRowDxfId="160" dataDxfId="158" headerRowBorderDxfId="159" tableBorderDxfId="157">
  <autoFilter ref="A1:F21" xr:uid="{D432B3CD-148A-434C-980F-FFEF9D740933}"/>
  <tableColumns count="6">
    <tableColumn id="1" xr3:uid="{CA41C472-A2F6-4388-9F04-D499448901E8}" name="SponsorID" dataDxfId="156"/>
    <tableColumn id="6" xr3:uid="{DE10BDC4-2EFA-4384-AEBB-2544AA185418}" name="ConcertID" dataDxfId="155"/>
    <tableColumn id="2" xr3:uid="{D2911470-CAE1-4EA2-9CD5-7A291E1FBB72}" name="SponsorName" dataDxfId="154"/>
    <tableColumn id="3" xr3:uid="{28815687-0E98-4A0B-AA64-04E2C2134164}" name="SponsorLevel" dataDxfId="153"/>
    <tableColumn id="4" xr3:uid="{7A38D66A-2335-4AB7-9940-1F0155C1FA9D}" name="ContributionAmount" dataDxfId="152"/>
    <tableColumn id="5" xr3:uid="{067FEBC2-1E9B-4DA3-AA6B-08A1AC49E19D}" name="NumEventsSponsored" dataDxfId="151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CCE57A-02BE-49F1-9914-26E33F0943B7}" name="Table5" displayName="Table5" ref="A1:O21" totalsRowShown="0" headerRowDxfId="150" dataDxfId="148" headerRowBorderDxfId="149" tableBorderDxfId="147">
  <autoFilter ref="A1:O21" xr:uid="{50CCE57A-02BE-49F1-9914-26E33F0943B7}"/>
  <tableColumns count="15">
    <tableColumn id="1" xr3:uid="{C6CCACDE-C4E6-4871-A83E-631911526BBC}" name="SponsorID" dataDxfId="146"/>
    <tableColumn id="7" xr3:uid="{40699D82-5615-48F6-89CF-A8620D37C002}" name="SponsorID_Check" dataDxfId="145" dataCellStyle="Check Cell">
      <calculatedColumnFormula>IF(COUNTIF(Table5[SponsorID], Table5[[#This Row],[SponsorID]])&gt;1, "Duplicate", "Unique")</calculatedColumnFormula>
    </tableColumn>
    <tableColumn id="6" xr3:uid="{88E1C5D0-0BA3-490A-80F3-2CC85623C20A}" name="ConcertID" dataDxfId="144"/>
    <tableColumn id="8" xr3:uid="{DB97D80F-B969-478F-A175-38B50D102AEC}" name="ConcertID_Check" dataDxfId="143" dataCellStyle="Check Cell">
      <calculatedColumnFormula>ISNUMBER(Table5[[#This Row],[ConcertID]])</calculatedColumnFormula>
    </tableColumn>
    <tableColumn id="2" xr3:uid="{BC90B7D6-1BDA-486D-8367-A51C1290B717}" name="SponsorName" dataDxfId="142"/>
    <tableColumn id="10" xr3:uid="{D351AE3E-A9C3-49DA-81BF-82ECEA9EB219}" name="SponsorName_Check" dataDxfId="141" dataCellStyle="Check Cell">
      <calculatedColumnFormula>ISTEXT(Table5[[#This Row],[SponsorName]])</calculatedColumnFormula>
    </tableColumn>
    <tableColumn id="9" xr3:uid="{05A9C614-9395-40F0-A020-6FDF36A062F2}" name="SponsorName_Clean" dataDxfId="140">
      <calculatedColumnFormula>TRIM(PROPER(Table5[[#This Row],[SponsorName]]))</calculatedColumnFormula>
    </tableColumn>
    <tableColumn id="3" xr3:uid="{7B55728B-C383-4CDE-9066-F0F2A8830A4F}" name="SponsorLevel" dataDxfId="139"/>
    <tableColumn id="12" xr3:uid="{8B0753FF-494C-4C06-81A7-278408210392}" name="SLevel_Check" dataDxfId="138" dataCellStyle="Check Cell">
      <calculatedColumnFormula>ISTEXT(Table5[[#This Row],[SponsorLevel]])</calculatedColumnFormula>
    </tableColumn>
    <tableColumn id="11" xr3:uid="{77C2DD2D-4C92-4D4B-9F1E-1D4F855B4E10}" name="Slevel_Clean" dataDxfId="137">
      <calculatedColumnFormula>TRIM(PROPER(Table5[[#This Row],[SponsorLevel]]))</calculatedColumnFormula>
    </tableColumn>
    <tableColumn id="4" xr3:uid="{586EE089-3334-42A7-9A40-08CC6D2B66CD}" name="ContributionAmount" dataDxfId="136"/>
    <tableColumn id="14" xr3:uid="{25002CA2-9347-43A6-9144-AF1A1BDE7CF2}" name="ContributionAmount_Check" dataDxfId="135" dataCellStyle="Check Cell">
      <calculatedColumnFormula>ISNUMBER(Table5[[#This Row],[ContributionAmount]])</calculatedColumnFormula>
    </tableColumn>
    <tableColumn id="5" xr3:uid="{87C6FCBF-623A-4B01-AD49-32116227CC87}" name="NumEventsSponsored" dataDxfId="134"/>
    <tableColumn id="15" xr3:uid="{5D297DC2-A1F4-4D3E-B521-A2BC4CF67E00}" name="NESponsored_Check" dataDxfId="133" dataCellStyle="Check Cell">
      <calculatedColumnFormula>ISNUMBER(Table5[[#This Row],[NumEventsSponsored]])</calculatedColumnFormula>
    </tableColumn>
    <tableColumn id="16" xr3:uid="{4996CB2F-43B3-4D6A-890D-6600F20A6515}" name="NESponsored_Clean" dataDxfId="132">
      <calculatedColumnFormula>VALUE(SUBSTITUTE(Table5[[#This Row],[NumEventsSponsored]], "two", 2))</calculatedColumnFormula>
    </tableColumn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2203910-21CE-4396-BE4D-A543F44BFF37}" name="Table515" displayName="Table515" ref="A1:F21" totalsRowShown="0" headerRowDxfId="131" dataDxfId="129" headerRowBorderDxfId="130" tableBorderDxfId="128">
  <autoFilter ref="A1:F21" xr:uid="{12203910-21CE-4396-BE4D-A543F44BFF37}"/>
  <tableColumns count="6">
    <tableColumn id="1" xr3:uid="{107ED71E-6173-4B28-BB3F-C490A6CFD1A8}" name="SponsorID" dataDxfId="127"/>
    <tableColumn id="6" xr3:uid="{3261D0EF-6BF6-468F-AC88-0F7367C8C3C7}" name="ConcertID" dataDxfId="126"/>
    <tableColumn id="2" xr3:uid="{11DD4D7B-C13A-4378-9912-D20FFDD6B03B}" name="SponsorName" dataDxfId="125">
      <calculatedColumnFormula>TRIM(PROPER(Table5[[#This Row],[SponsorName]]))</calculatedColumnFormula>
    </tableColumn>
    <tableColumn id="3" xr3:uid="{558CA242-9EB1-4A4F-9A46-9B31AEA644F3}" name="SponsorLevel" dataDxfId="124">
      <calculatedColumnFormula>TRIM(PROPER(Table5[[#This Row],[SponsorLevel]]))</calculatedColumnFormula>
    </tableColumn>
    <tableColumn id="4" xr3:uid="{4BB8C5FD-0A78-4C62-8F3A-E6DE48DBE99E}" name="ContributionAmount" dataDxfId="123"/>
    <tableColumn id="5" xr3:uid="{E1CD9736-25EF-4C33-B9E3-055F3EE9C62B}" name="NumEventsSponsored" dataDxfId="122">
      <calculatedColumnFormula>VALUE(SUBSTITUTE(Table5[[#This Row],[NumEventsSponsored]], "two", 2))</calculatedColumnFormula>
    </tableColumn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0463658-CCB8-4E99-ACB7-74E733E1F3DC}" name="Table71724" displayName="Table71724" ref="A1:E21" totalsRowShown="0" headerRowDxfId="121" dataDxfId="119" headerRowBorderDxfId="120" tableBorderDxfId="118">
  <autoFilter ref="A1:E21" xr:uid="{90463658-CCB8-4E99-ACB7-74E733E1F3DC}"/>
  <tableColumns count="5">
    <tableColumn id="1" xr3:uid="{3CBFBE26-5E21-49A4-95FB-7C2F4478FDE8}" name="AttendeeID" dataDxfId="117"/>
    <tableColumn id="4" xr3:uid="{E3D317FE-1850-449A-A8E1-7C867D94C3D2}" name="TicketID" dataDxfId="116"/>
    <tableColumn id="2" xr3:uid="{E55E74DA-ACB7-4505-9E1C-FC6DEF68826F}" name="FullName" dataDxfId="115"/>
    <tableColumn id="3" xr3:uid="{53AC441C-1B3D-45DC-BA6D-3DBF795EFEBC}" name="Email" dataDxfId="114"/>
    <tableColumn id="5" xr3:uid="{3B9ACEDC-9A6E-47D5-9ECB-C65F95FEEE9E}" name="CheckInStatus" dataDxfId="113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1302D3-9C7E-43AD-AB75-0F7B9EB40E21}" name="Table7" displayName="Table7" ref="A1:M21" totalsRowShown="0" headerRowDxfId="112" dataDxfId="110" headerRowBorderDxfId="111" tableBorderDxfId="109">
  <autoFilter ref="A1:M21" xr:uid="{141302D3-9C7E-43AD-AB75-0F7B9EB40E21}"/>
  <tableColumns count="13">
    <tableColumn id="1" xr3:uid="{11E0A174-5F5F-4F4C-852E-D53C12D494BE}" name="AttendeeID" dataDxfId="108"/>
    <tableColumn id="8" xr3:uid="{8D2A0136-0656-472C-BA3D-C68CB9C6E505}" name="AttendeeID_Check" dataDxfId="107" dataCellStyle="Check Cell">
      <calculatedColumnFormula>IF(COUNTIF(Table7[AttendeeID], Table7[[#This Row],[AttendeeID]])&gt;1, "Duplicate", "Unique")</calculatedColumnFormula>
    </tableColumn>
    <tableColumn id="4" xr3:uid="{6CED2709-C2C9-4DD5-9F26-E66B43932FCA}" name="TicketID" dataDxfId="106"/>
    <tableColumn id="9" xr3:uid="{8A7B4114-8970-4C99-90BC-99A8A39A28B4}" name="TicketID_Check" dataDxfId="105" dataCellStyle="Check Cell">
      <calculatedColumnFormula>ISNUMBER(Table7[[#This Row],[TicketID]])</calculatedColumnFormula>
    </tableColumn>
    <tableColumn id="2" xr3:uid="{2C017E2A-F159-4CFA-9287-1B3122270497}" name="FullName" dataDxfId="104"/>
    <tableColumn id="11" xr3:uid="{EA3DCE4F-C313-4EB4-8432-E02D2AF0D039}" name="FullName_Check" dataDxfId="103" dataCellStyle="Check Cell">
      <calculatedColumnFormula>ISTEXT(Table7[[#This Row],[FullName]])</calculatedColumnFormula>
    </tableColumn>
    <tableColumn id="10" xr3:uid="{72EE5DC3-08E9-422A-B686-578ABA23745C}" name="FullName_Clean" dataDxfId="102">
      <calculatedColumnFormula>TRIM(PROPER(Table7[[#This Row],[FullName]]))</calculatedColumnFormula>
    </tableColumn>
    <tableColumn id="3" xr3:uid="{66BA3FD9-BFEA-4247-81B2-7EEB5F12E72B}" name="Email" dataDxfId="101"/>
    <tableColumn id="6" xr3:uid="{4B950E8A-0DDA-486F-8593-6B5C1A1E240B}" name="Email_Check" dataDxfId="100" dataCellStyle="Check Cell">
      <calculatedColumnFormula array="1">IF(SUM(COUNTIF(Table7[[#This Row],[Email]], "*" &amp; {"/","#","&amp;"} &amp; "*")), "Contains characters", "Does not contain")</calculatedColumnFormula>
    </tableColumn>
    <tableColumn id="7" xr3:uid="{2DD93EA4-7A87-458E-A7A7-A58C21BD78AD}" name="Email_Clean" dataDxfId="99">
      <calculatedColumnFormula>SUBSTITUTE(SUBSTITUTE(Table7[[#This Row],[Email]], "#", ""), "/", "")</calculatedColumnFormula>
    </tableColumn>
    <tableColumn id="5" xr3:uid="{A5F5D5F3-89E1-4789-9681-403325884477}" name="CheckInStatus" dataDxfId="98"/>
    <tableColumn id="13" xr3:uid="{696B8D69-6767-48BB-A988-F9393423B2D4}" name="CIStatus_Check" dataDxfId="97" dataCellStyle="Check Cell">
      <calculatedColumnFormula>IF(OR(ISNUMBER(MATCH(Table7[[#This Row],[CheckInStatus]], {"Checked In","Not Checked In"}, 0))), "TRUE", "FALSE")</calculatedColumnFormula>
    </tableColumn>
    <tableColumn id="12" xr3:uid="{4E6EB7EB-7CEF-4E7D-9B89-6A3B71C93BD5}" name="CIStatus_Clean" dataDxfId="96">
      <calculatedColumnFormula>SUBSTITUTE(Table7[[#This Row],[CheckInStatus]], "Not Yet", "Not Checked In")</calculatedColumnFormula>
    </tableColumn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C04CE92-2EE7-4F37-969F-138632897C33}" name="Table717" displayName="Table717" ref="A1:E21" totalsRowShown="0" headerRowDxfId="95" dataDxfId="93" headerRowBorderDxfId="94" tableBorderDxfId="92">
  <autoFilter ref="A1:E21" xr:uid="{AC04CE92-2EE7-4F37-969F-138632897C33}"/>
  <tableColumns count="5">
    <tableColumn id="1" xr3:uid="{0FCF030D-1314-4DD6-AE13-BD4F2A2BD1D4}" name="AttendeeID" dataDxfId="91"/>
    <tableColumn id="4" xr3:uid="{B47FE07B-0B0C-4BC9-A87E-80008E699BCC}" name="TicketID" dataDxfId="90"/>
    <tableColumn id="2" xr3:uid="{6A45517D-ACDF-4EC3-A6EE-875C6405C97B}" name="FullName" dataDxfId="89">
      <calculatedColumnFormula>TRIM(PROPER(Table7[[#This Row],[FullName]]))</calculatedColumnFormula>
    </tableColumn>
    <tableColumn id="3" xr3:uid="{7F6831F6-2C7D-4742-A7DA-88623B1F5F3F}" name="Email" dataDxfId="88">
      <calculatedColumnFormula>SUBSTITUTE(SUBSTITUTE(Table7[[#This Row],[Email]], "#", ""), "/", "")</calculatedColumnFormula>
    </tableColumn>
    <tableColumn id="5" xr3:uid="{CE01592C-D0BF-4E5C-A618-BFBE5204D627}" name="CheckInStatus" dataDxfId="87">
      <calculatedColumnFormula>SUBSTITUTE(Table7[[#This Row],[CheckInStatus]], "Not Yet", "Not Checked In")</calculatedColumnFormula>
    </tableColumn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EFE2E35-40F9-4FB8-A618-00FBAF2117EF}" name="Table81823" displayName="Table81823" ref="A1:E21" totalsRowShown="0" headerRowDxfId="86" dataDxfId="84" headerRowBorderDxfId="85" tableBorderDxfId="83">
  <autoFilter ref="A1:E21" xr:uid="{8EFE2E35-40F9-4FB8-A618-00FBAF2117EF}"/>
  <tableColumns count="5">
    <tableColumn id="1" xr3:uid="{4C276784-131A-4666-A36E-37C5834EC62E}" name="PerformanceID" dataDxfId="82"/>
    <tableColumn id="2" xr3:uid="{D956A457-45A6-43BE-B283-E67041D81326}" name="ConcertID" dataDxfId="81"/>
    <tableColumn id="4" xr3:uid="{D46AD6D6-9E7A-48A0-A389-D793240317B1}" name="StartTime" dataDxfId="80"/>
    <tableColumn id="5" xr3:uid="{633015F9-C420-4896-A1C0-629908B80F1C}" name="EndTime" dataDxfId="79"/>
    <tableColumn id="6" xr3:uid="{2DC66022-95E6-4DAB-97A5-55CF3286E53B}" name="Duration" dataDxfId="78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A182CB-23F7-4EEF-BE95-B712B9DAD200}" name="Table8" displayName="Table8" ref="A1:M21" totalsRowShown="0" headerRowDxfId="77" dataDxfId="75" headerRowBorderDxfId="76" tableBorderDxfId="74">
  <autoFilter ref="A1:M21" xr:uid="{3BA182CB-23F7-4EEF-BE95-B712B9DAD200}"/>
  <tableColumns count="13">
    <tableColumn id="1" xr3:uid="{875F1A96-6DC1-4D33-AA17-AB2745C4D7BD}" name="PerformanceID" dataDxfId="73"/>
    <tableColumn id="8" xr3:uid="{488EBCB9-F4F8-436B-B89B-C7DEF6ABC1C7}" name="PerID_Check" dataDxfId="72" dataCellStyle="Check Cell">
      <calculatedColumnFormula>ISNUMBER(Table8[[#This Row],[PerformanceID]])</calculatedColumnFormula>
    </tableColumn>
    <tableColumn id="2" xr3:uid="{4358BD30-F6A1-4962-94AB-078CB21B1D1E}" name="ConcertID" dataDxfId="71"/>
    <tableColumn id="10" xr3:uid="{6CE1582E-E587-475B-B742-0A3F0F25DCA7}" name="ConcertID_Check" dataDxfId="70" dataCellStyle="Check Cell">
      <calculatedColumnFormula>ISNUMBER(Table8[[#This Row],[ConcertID]])</calculatedColumnFormula>
    </tableColumn>
    <tableColumn id="9" xr3:uid="{9E4AAC8F-7B77-4CEE-9B57-F70B5E5114AD}" name="ConcertID_Clean" dataDxfId="69">
      <calculatedColumnFormula>VALUE(SUBSTITUTE(Table8[[#This Row],[ConcertID]], "7796p", 7796))</calculatedColumnFormula>
    </tableColumn>
    <tableColumn id="4" xr3:uid="{D49A39C5-D247-4D25-B050-1E2A58A1AD87}" name="StartTime" dataDxfId="68"/>
    <tableColumn id="14" xr3:uid="{E30CABAB-C226-4D3C-9092-C906A8E14E63}" name="StartTime_Check" dataDxfId="67" dataCellStyle="Check Cell">
      <calculatedColumnFormula>IF(ISTEXT(Table8[[#This Row],[StartTime]]), IF(ISNUMBER(TIMEVALUE(Table8[[#This Row],[StartTime]])), "TRUE", "FALSE"), "FALSE")</calculatedColumnFormula>
    </tableColumn>
    <tableColumn id="13" xr3:uid="{D2F3B254-60E8-4511-A96F-0D4B9100F77C}" name="StartTime_Clean" dataDxfId="66">
      <calculatedColumnFormula>TEXT(Table8[[#This Row],[StartTime]], "hh:mm")</calculatedColumnFormula>
    </tableColumn>
    <tableColumn id="5" xr3:uid="{84627D8B-3B2C-4C18-A579-DE9CA89732B0}" name="EndTime" dataDxfId="65"/>
    <tableColumn id="16" xr3:uid="{0EA4EADD-79A5-4985-9F85-9F340AECF4FF}" name="EndTime_Check" dataDxfId="64" dataCellStyle="Check Cell">
      <calculatedColumnFormula>IF(ISTEXT(Table8[[#This Row],[EndTime]]), IF(ISNUMBER(TIMEVALUE(Table8[[#This Row],[EndTime]])), "TRUE", "FALSE"), "FALSE")</calculatedColumnFormula>
    </tableColumn>
    <tableColumn id="15" xr3:uid="{21FA3CBC-EAF0-4C61-BF05-690C7A62D14E}" name="EndTime_Clean" dataDxfId="63">
      <calculatedColumnFormula>TEXT(Table8[[#This Row],[EndTime]], "hh:mm")</calculatedColumnFormula>
    </tableColumn>
    <tableColumn id="6" xr3:uid="{741A04B0-B19E-46AE-8024-BE4ADCC28A81}" name="Duration" dataDxfId="62"/>
    <tableColumn id="17" xr3:uid="{C782BBE2-22F6-4EBD-B68F-2D113A141798}" name="Duration_Check" dataDxfId="61" dataCellStyle="Check Cell">
      <calculatedColumnFormula>ISNUMBER(Table8[[#This Row],[Duration]])</calculatedColumnFormula>
    </tableColumn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7598932-C9B0-4904-9B18-CBB3B738E178}" name="Table818" displayName="Table818" ref="A1:E21" totalsRowShown="0" headerRowDxfId="60" dataDxfId="58" headerRowBorderDxfId="59" tableBorderDxfId="57">
  <autoFilter ref="A1:E21" xr:uid="{A7598932-C9B0-4904-9B18-CBB3B738E178}"/>
  <tableColumns count="5">
    <tableColumn id="1" xr3:uid="{CACFFEA8-05F8-475B-8834-C568D681EBFE}" name="PerformanceID" dataDxfId="56"/>
    <tableColumn id="2" xr3:uid="{07C85EE0-3556-4937-B4E1-47198332A6FA}" name="ConcertID" dataDxfId="55">
      <calculatedColumnFormula>VALUE(SUBSTITUTE(Table8[[#This Row],[ConcertID]], "7796p", 7796))</calculatedColumnFormula>
    </tableColumn>
    <tableColumn id="4" xr3:uid="{90902FDB-7AD5-4335-93A3-AC769F709558}" name="StartTime" dataDxfId="54">
      <calculatedColumnFormula>TEXT(Table8[[#This Row],[StartTime]], "hh:mm")</calculatedColumnFormula>
    </tableColumn>
    <tableColumn id="5" xr3:uid="{E113C45E-307C-45F2-BD16-FA216A18EDB6}" name="EndTime" dataDxfId="53">
      <calculatedColumnFormula>TEXT(Table8[[#This Row],[EndTime]], "hh:mm")</calculatedColumnFormula>
    </tableColumn>
    <tableColumn id="6" xr3:uid="{C70720F2-EFD0-4D80-A50E-D3D2A308688F}" name="Duration" dataDxfId="52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CF19657-F6C5-4E58-9699-B57649C86751}" name="Table91922" displayName="Table91922" ref="A1:F21" totalsRowShown="0" headerRowDxfId="51" dataDxfId="49" headerRowBorderDxfId="50" tableBorderDxfId="48">
  <autoFilter ref="A1:F21" xr:uid="{ACF19657-F6C5-4E58-9699-B57649C86751}"/>
  <tableColumns count="6">
    <tableColumn id="1" xr3:uid="{8DD9B636-1153-479F-B4D6-BE6CDD97834D}" name="MerchandiseID" dataDxfId="47"/>
    <tableColumn id="6" xr3:uid="{61C21E91-5B15-4312-8947-E7EAF089F01C}" name="TicketID" dataDxfId="46"/>
    <tableColumn id="2" xr3:uid="{224E8A04-6258-4E71-8FEB-7CBC79BCB35F}" name="ItemName" dataDxfId="45"/>
    <tableColumn id="3" xr3:uid="{BCC34CF8-108B-496B-AE67-081DCF240F8C}" name="Price(kr)" dataDxfId="44"/>
    <tableColumn id="4" xr3:uid="{2B5D86A4-3BC8-4AE4-8A33-56A1BB74AEC0}" name="StockLevel" dataDxfId="43"/>
    <tableColumn id="5" xr3:uid="{9C845275-8E17-49EA-A56E-3A852160A66F}" name="NumSales" dataDxfId="42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FF3DBE-E488-44AD-B73C-1BF32B01428E}" name="Table9" displayName="Table9" ref="A1:L21" totalsRowShown="0" headerRowDxfId="41" dataDxfId="39" headerRowBorderDxfId="40" tableBorderDxfId="38">
  <autoFilter ref="A1:L21" xr:uid="{3FFF3DBE-E488-44AD-B73C-1BF32B01428E}"/>
  <tableColumns count="12">
    <tableColumn id="1" xr3:uid="{EB47646A-4D4A-4B68-92D0-C24D19DF6EF3}" name="MerchandiseID" dataDxfId="37"/>
    <tableColumn id="7" xr3:uid="{F0C3E2AE-DAFB-416A-B039-674085635C8F}" name="MerchandiseID_Check" dataDxfId="36" dataCellStyle="Check Cell">
      <calculatedColumnFormula>ISNUMBER(Table9[[#This Row],[MerchandiseID]])</calculatedColumnFormula>
    </tableColumn>
    <tableColumn id="6" xr3:uid="{45C6A505-412B-4119-9520-540C58981492}" name="TicketID" dataDxfId="35"/>
    <tableColumn id="8" xr3:uid="{396C023E-76C5-40EC-B76A-000D279FAC40}" name="TicketID_Check" dataDxfId="34" dataCellStyle="Check Cell">
      <calculatedColumnFormula>ISNUMBER(Table9[[#This Row],[TicketID]])</calculatedColumnFormula>
    </tableColumn>
    <tableColumn id="2" xr3:uid="{669D62D7-F794-4394-8F30-858118FE4D88}" name="ItemName" dataDxfId="33"/>
    <tableColumn id="9" xr3:uid="{AA751329-DC2A-432D-94AF-3A1C7C7C2BA7}" name="ItemName_Check" dataDxfId="32" dataCellStyle="Check Cell">
      <calculatedColumnFormula>ISTEXT(PROPER(Table9[[#This Row],[ItemName]]))</calculatedColumnFormula>
    </tableColumn>
    <tableColumn id="3" xr3:uid="{462F7E9D-EF7C-459A-AC53-C6AB924D1AD5}" name="Price(kr)" dataDxfId="31"/>
    <tableColumn id="12" xr3:uid="{254FCCA9-9F0A-476A-BDE7-F6FB2D653556}" name="Price_Check" dataDxfId="30" dataCellStyle="Check Cell">
      <calculatedColumnFormula>ISNUMBER(Table9[[#This Row],[Price(kr)]])</calculatedColumnFormula>
    </tableColumn>
    <tableColumn id="4" xr3:uid="{2839E31D-E7EC-4568-B8D3-F17F582EF5EA}" name="StockLevel" dataDxfId="29"/>
    <tableColumn id="11" xr3:uid="{DDBB2A1C-08ED-4042-B24B-9B2C68E7F3C2}" name="StockLevel_Check" dataDxfId="28" dataCellStyle="Check Cell">
      <calculatedColumnFormula>ISNUMBER(Table9[[#This Row],[StockLevel]])</calculatedColumnFormula>
    </tableColumn>
    <tableColumn id="5" xr3:uid="{6AE1EBC8-F5C4-4486-9D5D-B3D2948ABA8F}" name="NumSales" dataDxfId="27"/>
    <tableColumn id="10" xr3:uid="{4A50D0A4-7B4A-45A8-8CCC-C29974519365}" name="NumSales_Check" dataDxfId="26" dataCellStyle="Check Cell">
      <calculatedColumnFormula>ISNUMBER(Table9[[#This Row],[NumSales]])</calculatedColumnFormula>
    </tableColumn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6C8CBDC-8E75-4886-BFD5-C71DF2A3F992}" name="Table919" displayName="Table919" ref="A1:G21" totalsRowShown="0" headerRowDxfId="25" dataDxfId="23" headerRowBorderDxfId="24" tableBorderDxfId="22">
  <autoFilter ref="A1:G21" xr:uid="{B6C8CBDC-8E75-4886-BFD5-C71DF2A3F992}"/>
  <tableColumns count="7">
    <tableColumn id="1" xr3:uid="{5ED3FC3E-842D-4882-B220-4A8C3232A8A5}" name="MerchandiseID" dataDxfId="21"/>
    <tableColumn id="6" xr3:uid="{F054B90F-A69A-46EB-B98A-7DFD11218367}" name="TicketID" dataDxfId="20"/>
    <tableColumn id="2" xr3:uid="{28182842-24DA-470A-B065-1DCCC2BE818F}" name="ItemName" dataDxfId="19"/>
    <tableColumn id="3" xr3:uid="{B06C2C13-60D9-4FE2-80CA-F9B9345AC463}" name="Price(kr)" dataDxfId="18"/>
    <tableColumn id="4" xr3:uid="{CF9017D1-3663-4B1A-A099-7DF29CE8E8FB}" name="StockLevel" dataDxfId="17"/>
    <tableColumn id="5" xr3:uid="{E2A74FD2-1EFB-415C-9251-3CB0A74CFDFF}" name="NumSales" dataDxfId="16"/>
    <tableColumn id="7" xr3:uid="{FBAC40FB-69A4-4342-8C5D-AF5D366E377E}" name="Zscores_NumSales" dataDxfId="15">
      <calculatedColumnFormula>ROUND((Table919[[#This Row],[NumSales]]-AVERAGE(Table919[NumSales]))/_xlfn.STDEV.P(Table919[NumSales]), 3)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hyperlink" Target="mailto:no#ah.miller@email.com" TargetMode="External"/><Relationship Id="rId1" Type="http://schemas.openxmlformats.org/officeDocument/2006/relationships/hyperlink" Target="mailto:#david.clar/k@e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hyperlink" Target="mailto:no#ah.miller@email.com" TargetMode="External"/><Relationship Id="rId1" Type="http://schemas.openxmlformats.org/officeDocument/2006/relationships/hyperlink" Target="mailto:#david.clar/k@e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C093-34A0-4D2B-9E58-3634FAF3082A}">
  <sheetPr>
    <tabColor rgb="FFFF0000"/>
  </sheetPr>
  <dimension ref="A1:F22"/>
  <sheetViews>
    <sheetView workbookViewId="0">
      <selection activeCell="H4" sqref="H4"/>
    </sheetView>
  </sheetViews>
  <sheetFormatPr defaultRowHeight="14.4" x14ac:dyDescent="0.3"/>
  <cols>
    <col min="1" max="1" width="13.21875" bestFit="1" customWidth="1"/>
    <col min="2" max="2" width="17.5546875" bestFit="1" customWidth="1"/>
    <col min="3" max="3" width="11.44140625" bestFit="1" customWidth="1"/>
    <col min="4" max="4" width="13.109375" bestFit="1" customWidth="1"/>
    <col min="5" max="5" width="30" customWidth="1"/>
    <col min="6" max="6" width="27.21875" customWidth="1"/>
  </cols>
  <sheetData>
    <row r="1" spans="1:6" ht="19.95" customHeight="1" thickBot="1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</row>
    <row r="2" spans="1:6" ht="19.95" customHeight="1" thickBot="1" x14ac:dyDescent="0.35">
      <c r="A2" s="6">
        <v>10001</v>
      </c>
      <c r="B2" s="2" t="s">
        <v>6</v>
      </c>
      <c r="C2" s="2" t="s">
        <v>7</v>
      </c>
      <c r="D2" s="2" t="s">
        <v>8</v>
      </c>
      <c r="E2" s="2">
        <v>4.5</v>
      </c>
      <c r="F2" s="7">
        <v>10</v>
      </c>
    </row>
    <row r="3" spans="1:6" ht="19.95" customHeight="1" thickBot="1" x14ac:dyDescent="0.35">
      <c r="A3" s="6">
        <v>10002</v>
      </c>
      <c r="B3" s="2" t="s">
        <v>9</v>
      </c>
      <c r="C3" s="2" t="s">
        <v>10</v>
      </c>
      <c r="D3" s="2" t="s">
        <v>11</v>
      </c>
      <c r="E3" s="2">
        <v>4</v>
      </c>
      <c r="F3" s="7">
        <v>15</v>
      </c>
    </row>
    <row r="4" spans="1:6" ht="19.95" customHeight="1" thickBot="1" x14ac:dyDescent="0.35">
      <c r="A4" s="6">
        <v>10003</v>
      </c>
      <c r="B4" s="2" t="s">
        <v>17</v>
      </c>
      <c r="C4" s="2" t="s">
        <v>34</v>
      </c>
      <c r="D4" s="2" t="s">
        <v>37</v>
      </c>
      <c r="E4" s="2">
        <v>3.8</v>
      </c>
      <c r="F4" s="7">
        <v>10</v>
      </c>
    </row>
    <row r="5" spans="1:6" ht="19.95" customHeight="1" thickBot="1" x14ac:dyDescent="0.35">
      <c r="A5" s="6">
        <v>10004</v>
      </c>
      <c r="B5" s="2" t="s">
        <v>12</v>
      </c>
      <c r="C5" s="2" t="s">
        <v>13</v>
      </c>
      <c r="D5" s="2" t="s">
        <v>194</v>
      </c>
      <c r="E5" s="2">
        <v>4.2</v>
      </c>
      <c r="F5" s="7">
        <v>8</v>
      </c>
    </row>
    <row r="6" spans="1:6" ht="19.95" customHeight="1" thickBot="1" x14ac:dyDescent="0.35">
      <c r="A6" s="6">
        <v>10005</v>
      </c>
      <c r="B6" s="2" t="s">
        <v>14</v>
      </c>
      <c r="C6" s="2" t="s">
        <v>7</v>
      </c>
      <c r="D6" s="2" t="s">
        <v>42</v>
      </c>
      <c r="E6" s="2">
        <v>4.5</v>
      </c>
      <c r="F6" s="7">
        <v>25</v>
      </c>
    </row>
    <row r="7" spans="1:6" ht="19.95" customHeight="1" thickBot="1" x14ac:dyDescent="0.35">
      <c r="A7" s="6">
        <v>10006</v>
      </c>
      <c r="B7" s="2" t="s">
        <v>15</v>
      </c>
      <c r="C7" s="2" t="s">
        <v>13</v>
      </c>
      <c r="D7" s="2" t="s">
        <v>41</v>
      </c>
      <c r="E7" s="2">
        <v>4.2</v>
      </c>
      <c r="F7" s="7">
        <v>18</v>
      </c>
    </row>
    <row r="8" spans="1:6" ht="19.95" customHeight="1" thickBot="1" x14ac:dyDescent="0.35">
      <c r="A8" s="6">
        <v>10007</v>
      </c>
      <c r="B8" s="2" t="s">
        <v>16</v>
      </c>
      <c r="C8" s="2" t="s">
        <v>35</v>
      </c>
      <c r="D8" s="2" t="s">
        <v>39</v>
      </c>
      <c r="E8" s="2">
        <v>4.8</v>
      </c>
      <c r="F8" s="7">
        <v>22</v>
      </c>
    </row>
    <row r="9" spans="1:6" ht="19.95" customHeight="1" thickBot="1" x14ac:dyDescent="0.35">
      <c r="A9" s="6"/>
      <c r="B9" s="3"/>
      <c r="C9" s="3"/>
      <c r="D9" s="3"/>
      <c r="E9" s="3"/>
      <c r="F9" s="5"/>
    </row>
    <row r="10" spans="1:6" ht="19.95" customHeight="1" thickBot="1" x14ac:dyDescent="0.35">
      <c r="A10" s="6">
        <v>10008</v>
      </c>
      <c r="B10" s="3" t="s">
        <v>18</v>
      </c>
      <c r="C10" s="3" t="s">
        <v>29</v>
      </c>
      <c r="D10" s="3" t="s">
        <v>40</v>
      </c>
      <c r="E10" s="3">
        <v>4</v>
      </c>
      <c r="F10" s="5">
        <v>12</v>
      </c>
    </row>
    <row r="11" spans="1:6" ht="19.95" customHeight="1" thickBot="1" x14ac:dyDescent="0.35">
      <c r="A11" s="6">
        <v>10009</v>
      </c>
      <c r="B11" s="3" t="s">
        <v>19</v>
      </c>
      <c r="C11" s="3" t="s">
        <v>13</v>
      </c>
      <c r="D11" s="3" t="s">
        <v>43</v>
      </c>
      <c r="E11" s="3">
        <v>3</v>
      </c>
      <c r="F11" s="5">
        <v>5</v>
      </c>
    </row>
    <row r="12" spans="1:6" ht="19.95" customHeight="1" thickBot="1" x14ac:dyDescent="0.35">
      <c r="A12" s="6">
        <v>10010</v>
      </c>
      <c r="B12" s="3" t="s">
        <v>20</v>
      </c>
      <c r="C12" s="3" t="s">
        <v>30</v>
      </c>
      <c r="D12" s="3" t="s">
        <v>44</v>
      </c>
      <c r="E12" s="2">
        <v>3.7</v>
      </c>
      <c r="F12" s="5">
        <v>18</v>
      </c>
    </row>
    <row r="13" spans="1:6" ht="19.95" customHeight="1" thickBot="1" x14ac:dyDescent="0.35">
      <c r="A13" s="6">
        <v>10011</v>
      </c>
      <c r="B13" s="3" t="s">
        <v>21</v>
      </c>
      <c r="C13" s="3" t="s">
        <v>30</v>
      </c>
      <c r="D13" s="2" t="s">
        <v>8</v>
      </c>
      <c r="E13" s="2">
        <v>3.7</v>
      </c>
      <c r="F13" s="5">
        <v>40</v>
      </c>
    </row>
    <row r="14" spans="1:6" ht="19.95" customHeight="1" thickBot="1" x14ac:dyDescent="0.35">
      <c r="A14" s="6">
        <v>10012</v>
      </c>
      <c r="B14" s="3" t="s">
        <v>32</v>
      </c>
      <c r="C14" s="3" t="s">
        <v>31</v>
      </c>
      <c r="D14" s="2" t="s">
        <v>11</v>
      </c>
      <c r="E14" s="2">
        <v>3.6</v>
      </c>
      <c r="F14" s="5">
        <v>22</v>
      </c>
    </row>
    <row r="15" spans="1:6" ht="19.95" customHeight="1" thickBot="1" x14ac:dyDescent="0.35">
      <c r="A15" s="6">
        <v>10013</v>
      </c>
      <c r="B15" s="3" t="s">
        <v>22</v>
      </c>
      <c r="C15" s="3" t="s">
        <v>33</v>
      </c>
      <c r="D15" s="2" t="s">
        <v>37</v>
      </c>
      <c r="E15" s="2">
        <v>4.7</v>
      </c>
      <c r="F15" s="5">
        <v>41</v>
      </c>
    </row>
    <row r="16" spans="1:6" ht="19.95" customHeight="1" thickBot="1" x14ac:dyDescent="0.35">
      <c r="A16" s="6">
        <v>10014</v>
      </c>
      <c r="B16" s="3" t="s">
        <v>23</v>
      </c>
      <c r="C16" s="2" t="s">
        <v>36</v>
      </c>
      <c r="D16" s="2" t="s">
        <v>38</v>
      </c>
      <c r="E16" s="2">
        <v>2.8</v>
      </c>
      <c r="F16" s="5">
        <v>33</v>
      </c>
    </row>
    <row r="17" spans="1:6" ht="19.95" customHeight="1" thickBot="1" x14ac:dyDescent="0.35">
      <c r="A17" s="6">
        <v>10015</v>
      </c>
      <c r="B17" s="3" t="s">
        <v>24</v>
      </c>
      <c r="C17" s="2" t="s">
        <v>7</v>
      </c>
      <c r="D17" s="2" t="s">
        <v>42</v>
      </c>
      <c r="E17" s="2">
        <v>3</v>
      </c>
      <c r="F17" s="5">
        <v>31</v>
      </c>
    </row>
    <row r="18" spans="1:6" ht="19.95" customHeight="1" thickBot="1" x14ac:dyDescent="0.35">
      <c r="A18" s="6">
        <v>10016</v>
      </c>
      <c r="B18" s="3" t="s">
        <v>25</v>
      </c>
      <c r="C18" s="2" t="s">
        <v>10</v>
      </c>
      <c r="D18" s="2" t="s">
        <v>41</v>
      </c>
      <c r="E18" s="2">
        <v>4.8</v>
      </c>
      <c r="F18" s="5">
        <v>14</v>
      </c>
    </row>
    <row r="19" spans="1:6" ht="19.95" customHeight="1" thickBot="1" x14ac:dyDescent="0.35">
      <c r="A19" s="6">
        <v>10017</v>
      </c>
      <c r="B19" s="3" t="s">
        <v>26</v>
      </c>
      <c r="C19" s="2" t="s">
        <v>34</v>
      </c>
      <c r="D19" s="2" t="s">
        <v>39</v>
      </c>
      <c r="E19" s="3">
        <v>3.7</v>
      </c>
      <c r="F19" s="5">
        <v>16</v>
      </c>
    </row>
    <row r="20" spans="1:6" ht="19.95" customHeight="1" thickBot="1" x14ac:dyDescent="0.35">
      <c r="A20" s="6">
        <v>10018</v>
      </c>
      <c r="B20" s="3" t="s">
        <v>27</v>
      </c>
      <c r="C20" s="2" t="s">
        <v>36</v>
      </c>
      <c r="D20" s="3" t="s">
        <v>40</v>
      </c>
      <c r="E20" s="3">
        <v>3.9</v>
      </c>
      <c r="F20" s="5">
        <v>18</v>
      </c>
    </row>
    <row r="21" spans="1:6" ht="19.95" customHeight="1" thickBot="1" x14ac:dyDescent="0.35">
      <c r="A21" s="6">
        <v>10019</v>
      </c>
      <c r="B21" s="3" t="s">
        <v>28</v>
      </c>
      <c r="C21" s="2" t="s">
        <v>7</v>
      </c>
      <c r="D21" s="3" t="s">
        <v>43</v>
      </c>
      <c r="E21" s="2">
        <v>4.4000000000000004</v>
      </c>
      <c r="F21" s="5">
        <v>18</v>
      </c>
    </row>
    <row r="22" spans="1:6" ht="19.95" customHeight="1" thickBot="1" x14ac:dyDescent="0.35">
      <c r="A22" s="6">
        <v>10020</v>
      </c>
      <c r="B22" s="3" t="s">
        <v>20</v>
      </c>
      <c r="C22" s="2" t="s">
        <v>30</v>
      </c>
      <c r="D22" s="3" t="s">
        <v>44</v>
      </c>
      <c r="E22" s="2">
        <v>3.7</v>
      </c>
      <c r="F22" s="5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34B7-6CBB-42F1-B656-FF41ED490EFB}">
  <sheetPr>
    <tabColor theme="1" tint="0.34998626667073579"/>
  </sheetPr>
  <dimension ref="A1:O21"/>
  <sheetViews>
    <sheetView topLeftCell="D1" zoomScale="85" zoomScaleNormal="85" workbookViewId="0">
      <selection activeCell="M23" sqref="M23"/>
    </sheetView>
  </sheetViews>
  <sheetFormatPr defaultColWidth="19.5546875" defaultRowHeight="19.95" customHeight="1" x14ac:dyDescent="0.3"/>
  <cols>
    <col min="12" max="12" width="28.109375" customWidth="1"/>
    <col min="13" max="13" width="23" customWidth="1"/>
    <col min="14" max="14" width="24.6640625" customWidth="1"/>
  </cols>
  <sheetData>
    <row r="1" spans="1:15" ht="19.95" customHeight="1" thickTop="1" thickBot="1" x14ac:dyDescent="0.35">
      <c r="A1" s="12" t="s">
        <v>0</v>
      </c>
      <c r="B1" s="39" t="s">
        <v>207</v>
      </c>
      <c r="C1" s="13" t="s">
        <v>1</v>
      </c>
      <c r="D1" s="39" t="s">
        <v>208</v>
      </c>
      <c r="E1" s="18" t="s">
        <v>209</v>
      </c>
      <c r="F1" s="13" t="s">
        <v>2</v>
      </c>
      <c r="G1" s="39" t="s">
        <v>212</v>
      </c>
      <c r="H1" s="18" t="s">
        <v>213</v>
      </c>
      <c r="I1" s="13" t="s">
        <v>3</v>
      </c>
      <c r="J1" s="39" t="s">
        <v>211</v>
      </c>
      <c r="K1" s="18" t="s">
        <v>210</v>
      </c>
      <c r="L1" s="13" t="s">
        <v>4</v>
      </c>
      <c r="M1" s="39" t="s">
        <v>214</v>
      </c>
      <c r="N1" s="14" t="s">
        <v>5</v>
      </c>
      <c r="O1" s="39" t="s">
        <v>215</v>
      </c>
    </row>
    <row r="2" spans="1:15" ht="19.95" customHeight="1" thickTop="1" thickBot="1" x14ac:dyDescent="0.35">
      <c r="A2" s="6">
        <v>10001</v>
      </c>
      <c r="B2" s="40" t="b">
        <f>ISNUMBER(Table1[[#This Row],[ArtistID]])</f>
        <v>1</v>
      </c>
      <c r="C2" s="2" t="s">
        <v>6</v>
      </c>
      <c r="D2" s="40" t="str">
        <f>IF(EXACT(Table1[[#This Row],[ArtistName]], PROPER(Table1[[#This Row],[ArtistName]])), "TRUE", "FALSE")</f>
        <v>TRUE</v>
      </c>
      <c r="E2" s="19" t="str">
        <f>SUBSTITUTE(SUBSTITUTE(TRIM(PROPER(Table1[[#This Row],[ArtistName]])), "Yellowpink", "Yellow Pink"), "Cts", "CTS")</f>
        <v>The Rocking Band</v>
      </c>
      <c r="F2" s="2" t="s">
        <v>7</v>
      </c>
      <c r="G2" s="40" t="str">
        <f>IF(EXACT(Table1[[#This Row],[Genre]], PROPER(Table1[[#This Row],[Genre]])), "TRUE", "FALSE")</f>
        <v>TRUE</v>
      </c>
      <c r="H2" s="19" t="str">
        <f>SUBSTITUTE(TRIM(PROPER(Table1[[#This Row],[Genre]])), "Edm", "EDM")</f>
        <v>Rock</v>
      </c>
      <c r="I2" s="2" t="s">
        <v>8</v>
      </c>
      <c r="J2" s="40" t="str">
        <f>IF(EXACT(Table1[[#This Row],[Country]], PROPER(Table1[[#This Row],[Country]])), "TRUE", "FALSE")</f>
        <v>FALSE</v>
      </c>
      <c r="K2" s="19" t="str">
        <f>SUBSTITUTE(SUBSTITUTE(SUBSTITUTE(TRIM(PROPER(Table1[[#This Row],[Country]])), "Southkorea", "South Korea"), "Usa", "USA"), "Uk", "UK")</f>
        <v>USA</v>
      </c>
      <c r="L2" s="2">
        <v>4.5</v>
      </c>
      <c r="M2" s="40" t="b">
        <f>ISNUMBER(Table1[[#This Row],[AvgPerformanceRating]])</f>
        <v>1</v>
      </c>
      <c r="N2" s="7">
        <v>10</v>
      </c>
      <c r="O2" s="40" t="b">
        <f>ISNUMBER(Table1[[#This Row],[NumPerformances]])</f>
        <v>1</v>
      </c>
    </row>
    <row r="3" spans="1:15" ht="19.95" customHeight="1" thickTop="1" thickBot="1" x14ac:dyDescent="0.35">
      <c r="A3" s="6">
        <v>10002</v>
      </c>
      <c r="B3" s="40" t="b">
        <f>ISNUMBER(Table1[[#This Row],[ArtistID]])</f>
        <v>1</v>
      </c>
      <c r="C3" s="2" t="s">
        <v>9</v>
      </c>
      <c r="D3" s="40" t="str">
        <f>IF(EXACT(Table1[[#This Row],[ArtistName]], PROPER(Table1[[#This Row],[ArtistName]])), "TRUE", "FALSE")</f>
        <v>TRUE</v>
      </c>
      <c r="E3" s="19" t="str">
        <f>SUBSTITUTE(SUBSTITUTE(TRIM(PROPER(Table1[[#This Row],[ArtistName]])), "Yellowpink", "Yellow Pink"), "Cts", "CTS")</f>
        <v>Electric Groove</v>
      </c>
      <c r="F3" s="2" t="s">
        <v>10</v>
      </c>
      <c r="G3" s="40" t="str">
        <f>IF(EXACT(Table1[[#This Row],[Genre]], PROPER(Table1[[#This Row],[Genre]])), "TRUE", "FALSE")</f>
        <v>TRUE</v>
      </c>
      <c r="H3" s="19" t="str">
        <f>SUBSTITUTE(TRIM(PROPER(Table1[[#This Row],[Genre]])), "Edm", "EDM")</f>
        <v>Electronic</v>
      </c>
      <c r="I3" s="2" t="s">
        <v>11</v>
      </c>
      <c r="J3" s="40" t="str">
        <f>IF(EXACT(Table1[[#This Row],[Country]], PROPER(Table1[[#This Row],[Country]])), "TRUE", "FALSE")</f>
        <v>FALSE</v>
      </c>
      <c r="K3" s="19" t="str">
        <f>SUBSTITUTE(SUBSTITUTE(SUBSTITUTE(TRIM(PROPER(Table1[[#This Row],[Country]])), "Southkorea", "South Korea"), "Usa", "USA"), "Uk", "UK")</f>
        <v>UK</v>
      </c>
      <c r="L3" s="2">
        <v>4</v>
      </c>
      <c r="M3" s="40" t="b">
        <f>ISNUMBER(Table1[[#This Row],[AvgPerformanceRating]])</f>
        <v>1</v>
      </c>
      <c r="N3" s="7">
        <v>15</v>
      </c>
      <c r="O3" s="40" t="b">
        <f>ISNUMBER(Table1[[#This Row],[NumPerformances]])</f>
        <v>1</v>
      </c>
    </row>
    <row r="4" spans="1:15" ht="19.95" customHeight="1" thickTop="1" thickBot="1" x14ac:dyDescent="0.35">
      <c r="A4" s="6">
        <v>10003</v>
      </c>
      <c r="B4" s="40" t="b">
        <f>ISNUMBER(Table1[[#This Row],[ArtistID]])</f>
        <v>1</v>
      </c>
      <c r="C4" s="2" t="s">
        <v>17</v>
      </c>
      <c r="D4" s="40" t="str">
        <f>IF(EXACT(Table1[[#This Row],[ArtistName]], PROPER(Table1[[#This Row],[ArtistName]])), "TRUE", "FALSE")</f>
        <v>TRUE</v>
      </c>
      <c r="E4" s="19" t="str">
        <f>SUBSTITUTE(SUBSTITUTE(TRIM(PROPER(Table1[[#This Row],[ArtistName]])), "Yellowpink", "Yellow Pink"), "Cts", "CTS")</f>
        <v>The Rockers</v>
      </c>
      <c r="F4" s="2" t="s">
        <v>34</v>
      </c>
      <c r="G4" s="40" t="str">
        <f>IF(EXACT(Table1[[#This Row],[Genre]], PROPER(Table1[[#This Row],[Genre]])), "TRUE", "FALSE")</f>
        <v>TRUE</v>
      </c>
      <c r="H4" s="19" t="str">
        <f>SUBSTITUTE(TRIM(PROPER(Table1[[#This Row],[Genre]])), "Edm", "EDM")</f>
        <v>Afrobeats</v>
      </c>
      <c r="I4" s="2" t="s">
        <v>37</v>
      </c>
      <c r="J4" s="40" t="str">
        <f>IF(EXACT(Table1[[#This Row],[Country]], PROPER(Table1[[#This Row],[Country]])), "TRUE", "FALSE")</f>
        <v>TRUE</v>
      </c>
      <c r="K4" s="19" t="str">
        <f>SUBSTITUTE(SUBSTITUTE(SUBSTITUTE(TRIM(PROPER(Table1[[#This Row],[Country]])), "Southkorea", "South Korea"), "Usa", "USA"), "Uk", "UK")</f>
        <v>Ghana</v>
      </c>
      <c r="L4" s="2">
        <v>3.8</v>
      </c>
      <c r="M4" s="40" t="b">
        <f>ISNUMBER(Table1[[#This Row],[AvgPerformanceRating]])</f>
        <v>1</v>
      </c>
      <c r="N4" s="7">
        <v>10</v>
      </c>
      <c r="O4" s="40" t="b">
        <f>ISNUMBER(Table1[[#This Row],[NumPerformances]])</f>
        <v>1</v>
      </c>
    </row>
    <row r="5" spans="1:15" ht="19.95" customHeight="1" thickTop="1" thickBot="1" x14ac:dyDescent="0.35">
      <c r="A5" s="6">
        <v>10004</v>
      </c>
      <c r="B5" s="40" t="b">
        <f>ISNUMBER(Table1[[#This Row],[ArtistID]])</f>
        <v>1</v>
      </c>
      <c r="C5" s="2" t="s">
        <v>12</v>
      </c>
      <c r="D5" s="40" t="str">
        <f>IF(EXACT(Table1[[#This Row],[ArtistName]], PROPER(Table1[[#This Row],[ArtistName]])), "TRUE", "FALSE")</f>
        <v>TRUE</v>
      </c>
      <c r="E5" s="19" t="str">
        <f>SUBSTITUTE(SUBSTITUTE(TRIM(PROPER(Table1[[#This Row],[ArtistName]])), "Yellowpink", "Yellow Pink"), "Cts", "CTS")</f>
        <v>Jazz Ensemble</v>
      </c>
      <c r="F5" s="2" t="s">
        <v>13</v>
      </c>
      <c r="G5" s="40" t="str">
        <f>IF(EXACT(Table1[[#This Row],[Genre]], PROPER(Table1[[#This Row],[Genre]])), "TRUE", "FALSE")</f>
        <v>TRUE</v>
      </c>
      <c r="H5" s="19" t="str">
        <f>SUBSTITUTE(TRIM(PROPER(Table1[[#This Row],[Genre]])), "Edm", "EDM")</f>
        <v>Jazz</v>
      </c>
      <c r="I5" s="2" t="s">
        <v>194</v>
      </c>
      <c r="J5" s="40" t="str">
        <f>IF(EXACT(Table1[[#This Row],[Country]], PROPER(Table1[[#This Row],[Country]])), "TRUE", "FALSE")</f>
        <v>FALSE</v>
      </c>
      <c r="K5" s="19" t="str">
        <f>SUBSTITUTE(SUBSTITUTE(SUBSTITUTE(TRIM(PROPER(Table1[[#This Row],[Country]])), "Southkorea", "South Korea"), "Usa", "USA"), "Uk", "UK")</f>
        <v>Sweden</v>
      </c>
      <c r="L5" s="2">
        <v>4.2</v>
      </c>
      <c r="M5" s="40" t="b">
        <f>ISNUMBER(Table1[[#This Row],[AvgPerformanceRating]])</f>
        <v>1</v>
      </c>
      <c r="N5" s="7">
        <v>8</v>
      </c>
      <c r="O5" s="40" t="b">
        <f>ISNUMBER(Table1[[#This Row],[NumPerformances]])</f>
        <v>1</v>
      </c>
    </row>
    <row r="6" spans="1:15" ht="19.95" customHeight="1" thickTop="1" thickBot="1" x14ac:dyDescent="0.35">
      <c r="A6" s="6">
        <v>10005</v>
      </c>
      <c r="B6" s="40" t="b">
        <f>ISNUMBER(Table1[[#This Row],[ArtistID]])</f>
        <v>1</v>
      </c>
      <c r="C6" s="2" t="s">
        <v>14</v>
      </c>
      <c r="D6" s="40" t="str">
        <f>IF(EXACT(Table1[[#This Row],[ArtistName]], PROPER(Table1[[#This Row],[ArtistName]])), "TRUE", "FALSE")</f>
        <v>TRUE</v>
      </c>
      <c r="E6" s="19" t="str">
        <f>SUBSTITUTE(SUBSTITUTE(TRIM(PROPER(Table1[[#This Row],[ArtistName]])), "Yellowpink", "Yellow Pink"), "Cts", "CTS")</f>
        <v>The Electric Beats</v>
      </c>
      <c r="F6" s="2" t="s">
        <v>7</v>
      </c>
      <c r="G6" s="40" t="str">
        <f>IF(EXACT(Table1[[#This Row],[Genre]], PROPER(Table1[[#This Row],[Genre]])), "TRUE", "FALSE")</f>
        <v>TRUE</v>
      </c>
      <c r="H6" s="19" t="str">
        <f>SUBSTITUTE(TRIM(PROPER(Table1[[#This Row],[Genre]])), "Edm", "EDM")</f>
        <v>Rock</v>
      </c>
      <c r="I6" s="2" t="s">
        <v>42</v>
      </c>
      <c r="J6" s="40" t="str">
        <f>IF(EXACT(Table1[[#This Row],[Country]], PROPER(Table1[[#This Row],[Country]])), "TRUE", "FALSE")</f>
        <v>FALSE</v>
      </c>
      <c r="K6" s="19" t="str">
        <f>SUBSTITUTE(SUBSTITUTE(SUBSTITUTE(TRIM(PROPER(Table1[[#This Row],[Country]])), "Southkorea", "South Korea"), "Usa", "USA"), "Uk", "UK")</f>
        <v>South Korea</v>
      </c>
      <c r="L6" s="2">
        <v>4.5</v>
      </c>
      <c r="M6" s="40" t="b">
        <f>ISNUMBER(Table1[[#This Row],[AvgPerformanceRating]])</f>
        <v>1</v>
      </c>
      <c r="N6" s="7">
        <v>25</v>
      </c>
      <c r="O6" s="40" t="b">
        <f>ISNUMBER(Table1[[#This Row],[NumPerformances]])</f>
        <v>1</v>
      </c>
    </row>
    <row r="7" spans="1:15" ht="19.95" customHeight="1" thickTop="1" thickBot="1" x14ac:dyDescent="0.35">
      <c r="A7" s="6">
        <v>10006</v>
      </c>
      <c r="B7" s="40" t="b">
        <f>ISNUMBER(Table1[[#This Row],[ArtistID]])</f>
        <v>1</v>
      </c>
      <c r="C7" s="2" t="s">
        <v>15</v>
      </c>
      <c r="D7" s="40" t="str">
        <f>IF(EXACT(Table1[[#This Row],[ArtistName]], PROPER(Table1[[#This Row],[ArtistName]])), "TRUE", "FALSE")</f>
        <v>TRUE</v>
      </c>
      <c r="E7" s="19" t="str">
        <f>SUBSTITUTE(SUBSTITUTE(TRIM(PROPER(Table1[[#This Row],[ArtistName]])), "Yellowpink", "Yellow Pink"), "Cts", "CTS")</f>
        <v>Jazz Fusion Trio</v>
      </c>
      <c r="F7" s="2" t="s">
        <v>13</v>
      </c>
      <c r="G7" s="40" t="str">
        <f>IF(EXACT(Table1[[#This Row],[Genre]], PROPER(Table1[[#This Row],[Genre]])), "TRUE", "FALSE")</f>
        <v>TRUE</v>
      </c>
      <c r="H7" s="19" t="str">
        <f>SUBSTITUTE(TRIM(PROPER(Table1[[#This Row],[Genre]])), "Edm", "EDM")</f>
        <v>Jazz</v>
      </c>
      <c r="I7" s="2" t="s">
        <v>41</v>
      </c>
      <c r="J7" s="40" t="str">
        <f>IF(EXACT(Table1[[#This Row],[Country]], PROPER(Table1[[#This Row],[Country]])), "TRUE", "FALSE")</f>
        <v>TRUE</v>
      </c>
      <c r="K7" s="19" t="str">
        <f>SUBSTITUTE(SUBSTITUTE(SUBSTITUTE(TRIM(PROPER(Table1[[#This Row],[Country]])), "Southkorea", "South Korea"), "Usa", "USA"), "Uk", "UK")</f>
        <v>India</v>
      </c>
      <c r="L7" s="2">
        <v>4.2</v>
      </c>
      <c r="M7" s="40" t="b">
        <f>ISNUMBER(Table1[[#This Row],[AvgPerformanceRating]])</f>
        <v>1</v>
      </c>
      <c r="N7" s="7">
        <v>18</v>
      </c>
      <c r="O7" s="40" t="b">
        <f>ISNUMBER(Table1[[#This Row],[NumPerformances]])</f>
        <v>1</v>
      </c>
    </row>
    <row r="8" spans="1:15" ht="19.95" customHeight="1" thickTop="1" thickBot="1" x14ac:dyDescent="0.35">
      <c r="A8" s="6">
        <v>10007</v>
      </c>
      <c r="B8" s="40" t="b">
        <f>ISNUMBER(Table1[[#This Row],[ArtistID]])</f>
        <v>1</v>
      </c>
      <c r="C8" s="2" t="s">
        <v>16</v>
      </c>
      <c r="D8" s="40" t="str">
        <f>IF(EXACT(Table1[[#This Row],[ArtistName]], PROPER(Table1[[#This Row],[ArtistName]])), "TRUE", "FALSE")</f>
        <v>TRUE</v>
      </c>
      <c r="E8" s="19" t="str">
        <f>SUBSTITUTE(SUBSTITUTE(TRIM(PROPER(Table1[[#This Row],[ArtistName]])), "Yellowpink", "Yellow Pink"), "Cts", "CTS")</f>
        <v>Pop Sensations</v>
      </c>
      <c r="F8" s="2" t="s">
        <v>35</v>
      </c>
      <c r="G8" s="40" t="str">
        <f>IF(EXACT(Table1[[#This Row],[Genre]], PROPER(Table1[[#This Row],[Genre]])), "TRUE", "FALSE")</f>
        <v>TRUE</v>
      </c>
      <c r="H8" s="19" t="str">
        <f>SUBSTITUTE(TRIM(PROPER(Table1[[#This Row],[Genre]])), "Edm", "EDM")</f>
        <v>Afropop</v>
      </c>
      <c r="I8" s="2" t="s">
        <v>39</v>
      </c>
      <c r="J8" s="40" t="str">
        <f>IF(EXACT(Table1[[#This Row],[Country]], PROPER(Table1[[#This Row],[Country]])), "TRUE", "FALSE")</f>
        <v>TRUE</v>
      </c>
      <c r="K8" s="19" t="str">
        <f>SUBSTITUTE(SUBSTITUTE(SUBSTITUTE(TRIM(PROPER(Table1[[#This Row],[Country]])), "Southkorea", "South Korea"), "Usa", "USA"), "Uk", "UK")</f>
        <v>Nigeria</v>
      </c>
      <c r="L8" s="2">
        <v>4.8</v>
      </c>
      <c r="M8" s="40" t="b">
        <f>ISNUMBER(Table1[[#This Row],[AvgPerformanceRating]])</f>
        <v>1</v>
      </c>
      <c r="N8" s="7">
        <v>22</v>
      </c>
      <c r="O8" s="40" t="b">
        <f>ISNUMBER(Table1[[#This Row],[NumPerformances]])</f>
        <v>1</v>
      </c>
    </row>
    <row r="9" spans="1:15" ht="19.95" customHeight="1" thickTop="1" thickBot="1" x14ac:dyDescent="0.35">
      <c r="A9" s="6">
        <v>10008</v>
      </c>
      <c r="B9" s="40" t="b">
        <f>ISNUMBER(Table1[[#This Row],[ArtistID]])</f>
        <v>1</v>
      </c>
      <c r="C9" s="3" t="s">
        <v>18</v>
      </c>
      <c r="D9" s="40" t="str">
        <f>IF(EXACT(Table1[[#This Row],[ArtistName]], PROPER(Table1[[#This Row],[ArtistName]])), "TRUE", "FALSE")</f>
        <v>TRUE</v>
      </c>
      <c r="E9" s="19" t="str">
        <f>SUBSTITUTE(SUBSTITUTE(TRIM(PROPER(Table1[[#This Row],[ArtistName]])), "Yellowpink", "Yellow Pink"), "Cts", "CTS")</f>
        <v>Electric Beats</v>
      </c>
      <c r="F9" s="3" t="s">
        <v>29</v>
      </c>
      <c r="G9" s="40" t="str">
        <f>IF(EXACT(Table1[[#This Row],[Genre]], PROPER(Table1[[#This Row],[Genre]])), "TRUE", "FALSE")</f>
        <v>FALSE</v>
      </c>
      <c r="H9" s="21" t="str">
        <f>SUBSTITUTE(TRIM(PROPER(Table1[[#This Row],[Genre]])), "Edm", "EDM")</f>
        <v>EDM</v>
      </c>
      <c r="I9" s="3" t="s">
        <v>40</v>
      </c>
      <c r="J9" s="40" t="str">
        <f>IF(EXACT(Table1[[#This Row],[Country]], PROPER(Table1[[#This Row],[Country]])), "TRUE", "FALSE")</f>
        <v>TRUE</v>
      </c>
      <c r="K9" s="19" t="str">
        <f>SUBSTITUTE(SUBSTITUTE(SUBSTITUTE(TRIM(PROPER(Table1[[#This Row],[Country]])), "Southkorea", "South Korea"), "Usa", "USA"), "Uk", "UK")</f>
        <v>Iran</v>
      </c>
      <c r="L9" s="3">
        <v>4</v>
      </c>
      <c r="M9" s="40" t="b">
        <f>ISNUMBER(Table1[[#This Row],[AvgPerformanceRating]])</f>
        <v>1</v>
      </c>
      <c r="N9" s="5">
        <v>12</v>
      </c>
      <c r="O9" s="40" t="b">
        <f>ISNUMBER(Table1[[#This Row],[NumPerformances]])</f>
        <v>1</v>
      </c>
    </row>
    <row r="10" spans="1:15" ht="19.95" customHeight="1" thickTop="1" thickBot="1" x14ac:dyDescent="0.35">
      <c r="A10" s="6">
        <v>10009</v>
      </c>
      <c r="B10" s="40" t="b">
        <f>ISNUMBER(Table1[[#This Row],[ArtistID]])</f>
        <v>1</v>
      </c>
      <c r="C10" s="3" t="s">
        <v>19</v>
      </c>
      <c r="D10" s="40" t="str">
        <f>IF(EXACT(Table1[[#This Row],[ArtistName]], PROPER(Table1[[#This Row],[ArtistName]])), "TRUE", "FALSE")</f>
        <v>TRUE</v>
      </c>
      <c r="E10" s="19" t="str">
        <f>SUBSTITUTE(SUBSTITUTE(TRIM(PROPER(Table1[[#This Row],[ArtistName]])), "Yellowpink", "Yellow Pink"), "Cts", "CTS")</f>
        <v>Jazz Vibes</v>
      </c>
      <c r="F10" s="3" t="s">
        <v>13</v>
      </c>
      <c r="G10" s="40" t="str">
        <f>IF(EXACT(Table1[[#This Row],[Genre]], PROPER(Table1[[#This Row],[Genre]])), "TRUE", "FALSE")</f>
        <v>TRUE</v>
      </c>
      <c r="H10" s="21" t="str">
        <f>SUBSTITUTE(TRIM(PROPER(Table1[[#This Row],[Genre]])), "Edm", "EDM")</f>
        <v>Jazz</v>
      </c>
      <c r="I10" s="3" t="s">
        <v>43</v>
      </c>
      <c r="J10" s="40" t="str">
        <f>IF(EXACT(Table1[[#This Row],[Country]], PROPER(Table1[[#This Row],[Country]])), "TRUE", "FALSE")</f>
        <v>TRUE</v>
      </c>
      <c r="K10" s="19" t="str">
        <f>SUBSTITUTE(SUBSTITUTE(SUBSTITUTE(TRIM(PROPER(Table1[[#This Row],[Country]])), "Southkorea", "South Korea"), "Usa", "USA"), "Uk", "UK")</f>
        <v>Australia</v>
      </c>
      <c r="L10" s="3">
        <v>3</v>
      </c>
      <c r="M10" s="40" t="b">
        <f>ISNUMBER(Table1[[#This Row],[AvgPerformanceRating]])</f>
        <v>1</v>
      </c>
      <c r="N10" s="5">
        <v>5</v>
      </c>
      <c r="O10" s="40" t="b">
        <f>ISNUMBER(Table1[[#This Row],[NumPerformances]])</f>
        <v>1</v>
      </c>
    </row>
    <row r="11" spans="1:15" ht="19.95" customHeight="1" thickTop="1" thickBot="1" x14ac:dyDescent="0.35">
      <c r="A11" s="6">
        <v>10010</v>
      </c>
      <c r="B11" s="40" t="b">
        <f>ISNUMBER(Table1[[#This Row],[ArtistID]])</f>
        <v>1</v>
      </c>
      <c r="C11" s="3" t="s">
        <v>20</v>
      </c>
      <c r="D11" s="40" t="str">
        <f>IF(EXACT(Table1[[#This Row],[ArtistName]], PROPER(Table1[[#This Row],[ArtistName]])), "TRUE", "FALSE")</f>
        <v>FALSE</v>
      </c>
      <c r="E11" s="19" t="str">
        <f>SUBSTITUTE(SUBSTITUTE(TRIM(PROPER(Table1[[#This Row],[ArtistName]])), "Yellowpink", "Yellow Pink"), "Cts", "CTS")</f>
        <v>Yellow Pink</v>
      </c>
      <c r="F11" s="3" t="s">
        <v>30</v>
      </c>
      <c r="G11" s="40" t="str">
        <f>IF(EXACT(Table1[[#This Row],[Genre]], PROPER(Table1[[#This Row],[Genre]])), "TRUE", "FALSE")</f>
        <v>TRUE</v>
      </c>
      <c r="H11" s="21" t="str">
        <f>SUBSTITUTE(TRIM(PROPER(Table1[[#This Row],[Genre]])), "Edm", "EDM")</f>
        <v>Kpop</v>
      </c>
      <c r="I11" s="3" t="s">
        <v>44</v>
      </c>
      <c r="J11" s="40" t="str">
        <f>IF(EXACT(Table1[[#This Row],[Country]], PROPER(Table1[[#This Row],[Country]])), "TRUE", "FALSE")</f>
        <v>TRUE</v>
      </c>
      <c r="K11" s="19" t="str">
        <f>SUBSTITUTE(SUBSTITUTE(SUBSTITUTE(TRIM(PROPER(Table1[[#This Row],[Country]])), "Southkorea", "South Korea"), "Usa", "USA"), "Uk", "UK")</f>
        <v>Spain</v>
      </c>
      <c r="L11" s="2">
        <v>3.7</v>
      </c>
      <c r="M11" s="40" t="b">
        <f>ISNUMBER(Table1[[#This Row],[AvgPerformanceRating]])</f>
        <v>1</v>
      </c>
      <c r="N11" s="5">
        <v>18</v>
      </c>
      <c r="O11" s="40" t="b">
        <f>ISNUMBER(Table1[[#This Row],[NumPerformances]])</f>
        <v>1</v>
      </c>
    </row>
    <row r="12" spans="1:15" ht="19.95" customHeight="1" thickTop="1" thickBot="1" x14ac:dyDescent="0.35">
      <c r="A12" s="6">
        <v>10011</v>
      </c>
      <c r="B12" s="40" t="b">
        <f>ISNUMBER(Table1[[#This Row],[ArtistID]])</f>
        <v>1</v>
      </c>
      <c r="C12" s="3" t="s">
        <v>21</v>
      </c>
      <c r="D12" s="40" t="str">
        <f>IF(EXACT(Table1[[#This Row],[ArtistName]], PROPER(Table1[[#This Row],[ArtistName]])), "TRUE", "FALSE")</f>
        <v>FALSE</v>
      </c>
      <c r="E12" s="19" t="str">
        <f>SUBSTITUTE(SUBSTITUTE(TRIM(PROPER(Table1[[#This Row],[ArtistName]])), "Yellowpink", "Yellow Pink"), "Cts", "CTS")</f>
        <v>CTS</v>
      </c>
      <c r="F12" s="3" t="s">
        <v>30</v>
      </c>
      <c r="G12" s="40" t="str">
        <f>IF(EXACT(Table1[[#This Row],[Genre]], PROPER(Table1[[#This Row],[Genre]])), "TRUE", "FALSE")</f>
        <v>TRUE</v>
      </c>
      <c r="H12" s="21" t="str">
        <f>SUBSTITUTE(TRIM(PROPER(Table1[[#This Row],[Genre]])), "Edm", "EDM")</f>
        <v>Kpop</v>
      </c>
      <c r="I12" s="2" t="s">
        <v>8</v>
      </c>
      <c r="J12" s="40" t="str">
        <f>IF(EXACT(Table1[[#This Row],[Country]], PROPER(Table1[[#This Row],[Country]])), "TRUE", "FALSE")</f>
        <v>FALSE</v>
      </c>
      <c r="K12" s="19" t="str">
        <f>SUBSTITUTE(SUBSTITUTE(SUBSTITUTE(TRIM(PROPER(Table1[[#This Row],[Country]])), "Southkorea", "South Korea"), "Usa", "USA"), "Uk", "UK")</f>
        <v>USA</v>
      </c>
      <c r="L12" s="2">
        <v>3.7</v>
      </c>
      <c r="M12" s="40" t="b">
        <f>ISNUMBER(Table1[[#This Row],[AvgPerformanceRating]])</f>
        <v>1</v>
      </c>
      <c r="N12" s="5">
        <v>40</v>
      </c>
      <c r="O12" s="40" t="b">
        <f>ISNUMBER(Table1[[#This Row],[NumPerformances]])</f>
        <v>1</v>
      </c>
    </row>
    <row r="13" spans="1:15" ht="19.95" customHeight="1" thickTop="1" thickBot="1" x14ac:dyDescent="0.35">
      <c r="A13" s="6">
        <v>10012</v>
      </c>
      <c r="B13" s="40" t="b">
        <f>ISNUMBER(Table1[[#This Row],[ArtistID]])</f>
        <v>1</v>
      </c>
      <c r="C13" s="3" t="s">
        <v>32</v>
      </c>
      <c r="D13" s="40" t="str">
        <f>IF(EXACT(Table1[[#This Row],[ArtistName]], PROPER(Table1[[#This Row],[ArtistName]])), "TRUE", "FALSE")</f>
        <v>TRUE</v>
      </c>
      <c r="E13" s="19" t="str">
        <f>SUBSTITUTE(SUBSTITUTE(TRIM(PROPER(Table1[[#This Row],[ArtistName]])), "Yellowpink", "Yellow Pink"), "Cts", "CTS")</f>
        <v>Rockbwoy</v>
      </c>
      <c r="F13" s="3" t="s">
        <v>31</v>
      </c>
      <c r="G13" s="40" t="str">
        <f>IF(EXACT(Table1[[#This Row],[Genre]], PROPER(Table1[[#This Row],[Genre]])), "TRUE", "FALSE")</f>
        <v>TRUE</v>
      </c>
      <c r="H13" s="21" t="str">
        <f>SUBSTITUTE(TRIM(PROPER(Table1[[#This Row],[Genre]])), "Edm", "EDM")</f>
        <v>Dancehall</v>
      </c>
      <c r="I13" s="2" t="s">
        <v>11</v>
      </c>
      <c r="J13" s="40" t="str">
        <f>IF(EXACT(Table1[[#This Row],[Country]], PROPER(Table1[[#This Row],[Country]])), "TRUE", "FALSE")</f>
        <v>FALSE</v>
      </c>
      <c r="K13" s="19" t="str">
        <f>SUBSTITUTE(SUBSTITUTE(SUBSTITUTE(TRIM(PROPER(Table1[[#This Row],[Country]])), "Southkorea", "South Korea"), "Usa", "USA"), "Uk", "UK")</f>
        <v>UK</v>
      </c>
      <c r="L13" s="2">
        <v>3.6</v>
      </c>
      <c r="M13" s="40" t="b">
        <f>ISNUMBER(Table1[[#This Row],[AvgPerformanceRating]])</f>
        <v>1</v>
      </c>
      <c r="N13" s="5">
        <v>22</v>
      </c>
      <c r="O13" s="40" t="b">
        <f>ISNUMBER(Table1[[#This Row],[NumPerformances]])</f>
        <v>1</v>
      </c>
    </row>
    <row r="14" spans="1:15" ht="19.95" customHeight="1" thickTop="1" thickBot="1" x14ac:dyDescent="0.35">
      <c r="A14" s="6">
        <v>10013</v>
      </c>
      <c r="B14" s="40" t="b">
        <f>ISNUMBER(Table1[[#This Row],[ArtistID]])</f>
        <v>1</v>
      </c>
      <c r="C14" s="3" t="s">
        <v>22</v>
      </c>
      <c r="D14" s="40" t="str">
        <f>IF(EXACT(Table1[[#This Row],[ArtistName]], PROPER(Table1[[#This Row],[ArtistName]])), "TRUE", "FALSE")</f>
        <v>TRUE</v>
      </c>
      <c r="E14" s="19" t="str">
        <f>SUBSTITUTE(SUBSTITUTE(TRIM(PROPER(Table1[[#This Row],[ArtistName]])), "Yellowpink", "Yellow Pink"), "Cts", "CTS")</f>
        <v>Justin Gomez</v>
      </c>
      <c r="F14" s="3" t="s">
        <v>33</v>
      </c>
      <c r="G14" s="40" t="str">
        <f>IF(EXACT(Table1[[#This Row],[Genre]], PROPER(Table1[[#This Row],[Genre]])), "TRUE", "FALSE")</f>
        <v>TRUE</v>
      </c>
      <c r="H14" s="21" t="str">
        <f>SUBSTITUTE(TRIM(PROPER(Table1[[#This Row],[Genre]])), "Edm", "EDM")</f>
        <v>Reggae</v>
      </c>
      <c r="I14" s="2" t="s">
        <v>37</v>
      </c>
      <c r="J14" s="40" t="str">
        <f>IF(EXACT(Table1[[#This Row],[Country]], PROPER(Table1[[#This Row],[Country]])), "TRUE", "FALSE")</f>
        <v>TRUE</v>
      </c>
      <c r="K14" s="19" t="str">
        <f>SUBSTITUTE(SUBSTITUTE(SUBSTITUTE(TRIM(PROPER(Table1[[#This Row],[Country]])), "Southkorea", "South Korea"), "Usa", "USA"), "Uk", "UK")</f>
        <v>Ghana</v>
      </c>
      <c r="L14" s="2">
        <v>4.7</v>
      </c>
      <c r="M14" s="40" t="b">
        <f>ISNUMBER(Table1[[#This Row],[AvgPerformanceRating]])</f>
        <v>1</v>
      </c>
      <c r="N14" s="5">
        <v>41</v>
      </c>
      <c r="O14" s="40" t="b">
        <f>ISNUMBER(Table1[[#This Row],[NumPerformances]])</f>
        <v>1</v>
      </c>
    </row>
    <row r="15" spans="1:15" ht="19.95" customHeight="1" thickTop="1" thickBot="1" x14ac:dyDescent="0.35">
      <c r="A15" s="6">
        <v>10014</v>
      </c>
      <c r="B15" s="40" t="b">
        <f>ISNUMBER(Table1[[#This Row],[ArtistID]])</f>
        <v>1</v>
      </c>
      <c r="C15" s="3" t="s">
        <v>23</v>
      </c>
      <c r="D15" s="40" t="str">
        <f>IF(EXACT(Table1[[#This Row],[ArtistName]], PROPER(Table1[[#This Row],[ArtistName]])), "TRUE", "FALSE")</f>
        <v>TRUE</v>
      </c>
      <c r="E15" s="19" t="str">
        <f>SUBSTITUTE(SUBSTITUTE(TRIM(PROPER(Table1[[#This Row],[ArtistName]])), "Yellowpink", "Yellow Pink"), "Cts", "CTS")</f>
        <v>Selena Bieber</v>
      </c>
      <c r="F15" s="2" t="s">
        <v>36</v>
      </c>
      <c r="G15" s="40" t="str">
        <f>IF(EXACT(Table1[[#This Row],[Genre]], PROPER(Table1[[#This Row],[Genre]])), "TRUE", "FALSE")</f>
        <v>TRUE</v>
      </c>
      <c r="H15" s="19" t="str">
        <f>SUBSTITUTE(TRIM(PROPER(Table1[[#This Row],[Genre]])), "Edm", "EDM")</f>
        <v>Highlife</v>
      </c>
      <c r="I15" s="2" t="s">
        <v>38</v>
      </c>
      <c r="J15" s="40" t="str">
        <f>IF(EXACT(Table1[[#This Row],[Country]], PROPER(Table1[[#This Row],[Country]])), "TRUE", "FALSE")</f>
        <v>TRUE</v>
      </c>
      <c r="K15" s="19" t="str">
        <f>SUBSTITUTE(SUBSTITUTE(SUBSTITUTE(TRIM(PROPER(Table1[[#This Row],[Country]])), "Southkorea", "South Korea"), "Usa", "USA"), "Uk", "UK")</f>
        <v>Sweden</v>
      </c>
      <c r="L15" s="2">
        <v>2.8</v>
      </c>
      <c r="M15" s="40" t="b">
        <f>ISNUMBER(Table1[[#This Row],[AvgPerformanceRating]])</f>
        <v>1</v>
      </c>
      <c r="N15" s="5">
        <v>33</v>
      </c>
      <c r="O15" s="40" t="b">
        <f>ISNUMBER(Table1[[#This Row],[NumPerformances]])</f>
        <v>1</v>
      </c>
    </row>
    <row r="16" spans="1:15" ht="19.95" customHeight="1" thickTop="1" thickBot="1" x14ac:dyDescent="0.35">
      <c r="A16" s="6">
        <v>10015</v>
      </c>
      <c r="B16" s="40" t="b">
        <f>ISNUMBER(Table1[[#This Row],[ArtistID]])</f>
        <v>1</v>
      </c>
      <c r="C16" s="3" t="s">
        <v>24</v>
      </c>
      <c r="D16" s="40" t="str">
        <f>IF(EXACT(Table1[[#This Row],[ArtistName]], PROPER(Table1[[#This Row],[ArtistName]])), "TRUE", "FALSE")</f>
        <v>TRUE</v>
      </c>
      <c r="E16" s="19" t="str">
        <f>SUBSTITUTE(SUBSTITUTE(TRIM(PROPER(Table1[[#This Row],[ArtistName]])), "Yellowpink", "Yellow Pink"), "Cts", "CTS")</f>
        <v>James Aliston</v>
      </c>
      <c r="F16" s="2" t="s">
        <v>7</v>
      </c>
      <c r="G16" s="40" t="str">
        <f>IF(EXACT(Table1[[#This Row],[Genre]], PROPER(Table1[[#This Row],[Genre]])), "TRUE", "FALSE")</f>
        <v>TRUE</v>
      </c>
      <c r="H16" s="19" t="str">
        <f>SUBSTITUTE(TRIM(PROPER(Table1[[#This Row],[Genre]])), "Edm", "EDM")</f>
        <v>Rock</v>
      </c>
      <c r="I16" s="2" t="s">
        <v>42</v>
      </c>
      <c r="J16" s="40" t="str">
        <f>IF(EXACT(Table1[[#This Row],[Country]], PROPER(Table1[[#This Row],[Country]])), "TRUE", "FALSE")</f>
        <v>FALSE</v>
      </c>
      <c r="K16" s="19" t="str">
        <f>SUBSTITUTE(SUBSTITUTE(SUBSTITUTE(TRIM(PROPER(Table1[[#This Row],[Country]])), "Southkorea", "South Korea"), "Usa", "USA"), "Uk", "UK")</f>
        <v>South Korea</v>
      </c>
      <c r="L16" s="2">
        <v>3</v>
      </c>
      <c r="M16" s="40" t="b">
        <f>ISNUMBER(Table1[[#This Row],[AvgPerformanceRating]])</f>
        <v>1</v>
      </c>
      <c r="N16" s="5">
        <v>31</v>
      </c>
      <c r="O16" s="40" t="b">
        <f>ISNUMBER(Table1[[#This Row],[NumPerformances]])</f>
        <v>1</v>
      </c>
    </row>
    <row r="17" spans="1:15" ht="19.95" customHeight="1" thickTop="1" thickBot="1" x14ac:dyDescent="0.35">
      <c r="A17" s="6">
        <v>10016</v>
      </c>
      <c r="B17" s="40" t="b">
        <f>ISNUMBER(Table1[[#This Row],[ArtistID]])</f>
        <v>1</v>
      </c>
      <c r="C17" s="3" t="s">
        <v>25</v>
      </c>
      <c r="D17" s="40" t="str">
        <f>IF(EXACT(Table1[[#This Row],[ArtistName]], PROPER(Table1[[#This Row],[ArtistName]])), "TRUE", "FALSE")</f>
        <v>TRUE</v>
      </c>
      <c r="E17" s="19" t="str">
        <f>SUBSTITUTE(SUBSTITUTE(TRIM(PROPER(Table1[[#This Row],[ArtistName]])), "Yellowpink", "Yellow Pink"), "Cts", "CTS")</f>
        <v>Michael Mendez</v>
      </c>
      <c r="F17" s="2" t="s">
        <v>10</v>
      </c>
      <c r="G17" s="40" t="str">
        <f>IF(EXACT(Table1[[#This Row],[Genre]], PROPER(Table1[[#This Row],[Genre]])), "TRUE", "FALSE")</f>
        <v>TRUE</v>
      </c>
      <c r="H17" s="19" t="str">
        <f>SUBSTITUTE(TRIM(PROPER(Table1[[#This Row],[Genre]])), "Edm", "EDM")</f>
        <v>Electronic</v>
      </c>
      <c r="I17" s="2" t="s">
        <v>41</v>
      </c>
      <c r="J17" s="40" t="str">
        <f>IF(EXACT(Table1[[#This Row],[Country]], PROPER(Table1[[#This Row],[Country]])), "TRUE", "FALSE")</f>
        <v>TRUE</v>
      </c>
      <c r="K17" s="19" t="str">
        <f>SUBSTITUTE(SUBSTITUTE(SUBSTITUTE(TRIM(PROPER(Table1[[#This Row],[Country]])), "Southkorea", "South Korea"), "Usa", "USA"), "Uk", "UK")</f>
        <v>India</v>
      </c>
      <c r="L17" s="2">
        <v>4.8</v>
      </c>
      <c r="M17" s="40" t="b">
        <f>ISNUMBER(Table1[[#This Row],[AvgPerformanceRating]])</f>
        <v>1</v>
      </c>
      <c r="N17" s="5">
        <v>14</v>
      </c>
      <c r="O17" s="40" t="b">
        <f>ISNUMBER(Table1[[#This Row],[NumPerformances]])</f>
        <v>1</v>
      </c>
    </row>
    <row r="18" spans="1:15" ht="19.95" customHeight="1" thickTop="1" thickBot="1" x14ac:dyDescent="0.35">
      <c r="A18" s="6">
        <v>10017</v>
      </c>
      <c r="B18" s="40" t="b">
        <f>ISNUMBER(Table1[[#This Row],[ArtistID]])</f>
        <v>1</v>
      </c>
      <c r="C18" s="3" t="s">
        <v>26</v>
      </c>
      <c r="D18" s="40" t="str">
        <f>IF(EXACT(Table1[[#This Row],[ArtistName]], PROPER(Table1[[#This Row],[ArtistName]])), "TRUE", "FALSE")</f>
        <v>TRUE</v>
      </c>
      <c r="E18" s="19" t="str">
        <f>SUBSTITUTE(SUBSTITUTE(TRIM(PROPER(Table1[[#This Row],[ArtistName]])), "Yellowpink", "Yellow Pink"), "Cts", "CTS")</f>
        <v>Whatta Sale</v>
      </c>
      <c r="F18" s="2" t="s">
        <v>34</v>
      </c>
      <c r="G18" s="40" t="str">
        <f>IF(EXACT(Table1[[#This Row],[Genre]], PROPER(Table1[[#This Row],[Genre]])), "TRUE", "FALSE")</f>
        <v>TRUE</v>
      </c>
      <c r="H18" s="19" t="str">
        <f>SUBSTITUTE(TRIM(PROPER(Table1[[#This Row],[Genre]])), "Edm", "EDM")</f>
        <v>Afrobeats</v>
      </c>
      <c r="I18" s="2" t="s">
        <v>39</v>
      </c>
      <c r="J18" s="40" t="str">
        <f>IF(EXACT(Table1[[#This Row],[Country]], PROPER(Table1[[#This Row],[Country]])), "TRUE", "FALSE")</f>
        <v>TRUE</v>
      </c>
      <c r="K18" s="19" t="str">
        <f>SUBSTITUTE(SUBSTITUTE(SUBSTITUTE(TRIM(PROPER(Table1[[#This Row],[Country]])), "Southkorea", "South Korea"), "Usa", "USA"), "Uk", "UK")</f>
        <v>Nigeria</v>
      </c>
      <c r="L18" s="3">
        <v>3.7</v>
      </c>
      <c r="M18" s="40" t="b">
        <f>ISNUMBER(Table1[[#This Row],[AvgPerformanceRating]])</f>
        <v>1</v>
      </c>
      <c r="N18" s="5">
        <v>16</v>
      </c>
      <c r="O18" s="40" t="b">
        <f>ISNUMBER(Table1[[#This Row],[NumPerformances]])</f>
        <v>1</v>
      </c>
    </row>
    <row r="19" spans="1:15" ht="19.95" customHeight="1" thickTop="1" thickBot="1" x14ac:dyDescent="0.35">
      <c r="A19" s="6">
        <v>10018</v>
      </c>
      <c r="B19" s="40" t="b">
        <f>ISNUMBER(Table1[[#This Row],[ArtistID]])</f>
        <v>1</v>
      </c>
      <c r="C19" s="3" t="s">
        <v>27</v>
      </c>
      <c r="D19" s="40" t="str">
        <f>IF(EXACT(Table1[[#This Row],[ArtistName]], PROPER(Table1[[#This Row],[ArtistName]])), "TRUE", "FALSE")</f>
        <v>TRUE</v>
      </c>
      <c r="E19" s="19" t="str">
        <f>SUBSTITUTE(SUBSTITUTE(TRIM(PROPER(Table1[[#This Row],[ArtistName]])), "Yellowpink", "Yellow Pink"), "Cts", "CTS")</f>
        <v>Shawn Buble</v>
      </c>
      <c r="F19" s="2" t="s">
        <v>36</v>
      </c>
      <c r="G19" s="40" t="str">
        <f>IF(EXACT(Table1[[#This Row],[Genre]], PROPER(Table1[[#This Row],[Genre]])), "TRUE", "FALSE")</f>
        <v>TRUE</v>
      </c>
      <c r="H19" s="21" t="str">
        <f>SUBSTITUTE(TRIM(PROPER(Table1[[#This Row],[Genre]])), "Edm", "EDM")</f>
        <v>Highlife</v>
      </c>
      <c r="I19" s="3" t="s">
        <v>40</v>
      </c>
      <c r="J19" s="40" t="str">
        <f>IF(EXACT(Table1[[#This Row],[Country]], PROPER(Table1[[#This Row],[Country]])), "TRUE", "FALSE")</f>
        <v>TRUE</v>
      </c>
      <c r="K19" s="19" t="str">
        <f>SUBSTITUTE(SUBSTITUTE(SUBSTITUTE(TRIM(PROPER(Table1[[#This Row],[Country]])), "Southkorea", "South Korea"), "Usa", "USA"), "Uk", "UK")</f>
        <v>Iran</v>
      </c>
      <c r="L19" s="3">
        <v>3.9</v>
      </c>
      <c r="M19" s="40" t="b">
        <f>ISNUMBER(Table1[[#This Row],[AvgPerformanceRating]])</f>
        <v>1</v>
      </c>
      <c r="N19" s="5">
        <v>18</v>
      </c>
      <c r="O19" s="40" t="b">
        <f>ISNUMBER(Table1[[#This Row],[NumPerformances]])</f>
        <v>1</v>
      </c>
    </row>
    <row r="20" spans="1:15" ht="19.95" customHeight="1" thickTop="1" thickBot="1" x14ac:dyDescent="0.35">
      <c r="A20" s="6">
        <v>10019</v>
      </c>
      <c r="B20" s="40" t="b">
        <f>ISNUMBER(Table1[[#This Row],[ArtistID]])</f>
        <v>1</v>
      </c>
      <c r="C20" s="3" t="s">
        <v>28</v>
      </c>
      <c r="D20" s="40" t="str">
        <f>IF(EXACT(Table1[[#This Row],[ArtistName]], PROPER(Table1[[#This Row],[ArtistName]])), "TRUE", "FALSE")</f>
        <v>TRUE</v>
      </c>
      <c r="E20" s="19" t="str">
        <f>SUBSTITUTE(SUBSTITUTE(TRIM(PROPER(Table1[[#This Row],[ArtistName]])), "Yellowpink", "Yellow Pink"), "Cts", "CTS")</f>
        <v>Mia Ingrosso</v>
      </c>
      <c r="F20" s="2" t="s">
        <v>7</v>
      </c>
      <c r="G20" s="40" t="str">
        <f>IF(EXACT(Table1[[#This Row],[Genre]], PROPER(Table1[[#This Row],[Genre]])), "TRUE", "FALSE")</f>
        <v>TRUE</v>
      </c>
      <c r="H20" s="21" t="str">
        <f>SUBSTITUTE(TRIM(PROPER(Table1[[#This Row],[Genre]])), "Edm", "EDM")</f>
        <v>Rock</v>
      </c>
      <c r="I20" s="3" t="s">
        <v>43</v>
      </c>
      <c r="J20" s="40" t="str">
        <f>IF(EXACT(Table1[[#This Row],[Country]], PROPER(Table1[[#This Row],[Country]])), "TRUE", "FALSE")</f>
        <v>TRUE</v>
      </c>
      <c r="K20" s="19" t="str">
        <f>SUBSTITUTE(SUBSTITUTE(SUBSTITUTE(TRIM(PROPER(Table1[[#This Row],[Country]])), "Southkorea", "South Korea"), "Usa", "USA"), "Uk", "UK")</f>
        <v>Australia</v>
      </c>
      <c r="L20" s="2">
        <v>4.4000000000000004</v>
      </c>
      <c r="M20" s="40" t="b">
        <f>ISNUMBER(Table1[[#This Row],[AvgPerformanceRating]])</f>
        <v>1</v>
      </c>
      <c r="N20" s="5">
        <v>18</v>
      </c>
      <c r="O20" s="40" t="b">
        <f>ISNUMBER(Table1[[#This Row],[NumPerformances]])</f>
        <v>1</v>
      </c>
    </row>
    <row r="21" spans="1:15" ht="19.95" customHeight="1" thickTop="1" thickBot="1" x14ac:dyDescent="0.35">
      <c r="A21" s="6">
        <v>10020</v>
      </c>
      <c r="B21" s="40" t="b">
        <f>ISNUMBER(Table1[[#This Row],[ArtistID]])</f>
        <v>1</v>
      </c>
      <c r="C21" s="3" t="s">
        <v>20</v>
      </c>
      <c r="D21" s="40" t="str">
        <f>IF(EXACT(Table1[[#This Row],[ArtistName]], PROPER(Table1[[#This Row],[ArtistName]])), "TRUE", "FALSE")</f>
        <v>FALSE</v>
      </c>
      <c r="E21" s="19" t="str">
        <f>SUBSTITUTE(SUBSTITUTE(TRIM(PROPER(Table1[[#This Row],[ArtistName]])), "Yellowpink", "Yellow Pink"), "Cts", "CTS")</f>
        <v>Yellow Pink</v>
      </c>
      <c r="F21" s="2" t="s">
        <v>30</v>
      </c>
      <c r="G21" s="40" t="str">
        <f>IF(EXACT(Table1[[#This Row],[Genre]], PROPER(Table1[[#This Row],[Genre]])), "TRUE", "FALSE")</f>
        <v>TRUE</v>
      </c>
      <c r="H21" s="21" t="str">
        <f>SUBSTITUTE(TRIM(PROPER(Table1[[#This Row],[Genre]])), "Edm", "EDM")</f>
        <v>Kpop</v>
      </c>
      <c r="I21" s="3" t="s">
        <v>44</v>
      </c>
      <c r="J21" s="40" t="str">
        <f>IF(EXACT(Table1[[#This Row],[Country]], PROPER(Table1[[#This Row],[Country]])), "TRUE", "FALSE")</f>
        <v>TRUE</v>
      </c>
      <c r="K21" s="19" t="str">
        <f>SUBSTITUTE(SUBSTITUTE(SUBSTITUTE(TRIM(PROPER(Table1[[#This Row],[Country]])), "Southkorea", "South Korea"), "Usa", "USA"), "Uk", "UK")</f>
        <v>Spain</v>
      </c>
      <c r="L21" s="2">
        <v>3.7</v>
      </c>
      <c r="M21" s="40" t="b">
        <f>ISNUMBER(Table1[[#This Row],[AvgPerformanceRating]])</f>
        <v>1</v>
      </c>
      <c r="N21" s="5">
        <v>18</v>
      </c>
      <c r="O21" s="40" t="b">
        <f>ISNUMBER(Table1[[#This Row],[NumPerformances]])</f>
        <v>1</v>
      </c>
    </row>
  </sheetData>
  <phoneticPr fontId="2" type="noConversion"/>
  <conditionalFormatting sqref="B1:B21 D1:D21 G1:G21 J1:J21 M1:M21 O1:O21">
    <cfRule type="containsText" dxfId="14" priority="1" operator="containsText" text="FALSE">
      <formula>NOT(ISERROR(SEARCH("FALSE",B1)))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84C4-93FF-4C98-B027-14316F7B1291}">
  <sheetPr>
    <tabColor theme="9" tint="-0.249977111117893"/>
  </sheetPr>
  <dimension ref="A1:F21"/>
  <sheetViews>
    <sheetView zoomScale="85" zoomScaleNormal="85" workbookViewId="0">
      <selection activeCell="G10" sqref="G10"/>
    </sheetView>
  </sheetViews>
  <sheetFormatPr defaultColWidth="20.77734375" defaultRowHeight="14.4" x14ac:dyDescent="0.3"/>
  <cols>
    <col min="1" max="1" width="23.5546875" customWidth="1"/>
    <col min="2" max="2" width="26.33203125" customWidth="1"/>
    <col min="3" max="3" width="30.33203125" customWidth="1"/>
    <col min="4" max="4" width="25.6640625" customWidth="1"/>
    <col min="5" max="5" width="27.88671875" bestFit="1" customWidth="1"/>
    <col min="6" max="6" width="23" bestFit="1" customWidth="1"/>
  </cols>
  <sheetData>
    <row r="1" spans="1:6" ht="19.95" customHeight="1" thickBot="1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</row>
    <row r="2" spans="1:6" ht="19.95" customHeight="1" thickBot="1" x14ac:dyDescent="0.35">
      <c r="A2" s="6">
        <v>10001</v>
      </c>
      <c r="B2" s="2" t="str">
        <f>SUBSTITUTE(SUBSTITUTE(TRIM(PROPER(Table1[[#This Row],[ArtistName]])), "Yellowpink", "Yellow Pink"), "Cts", "CTS")</f>
        <v>The Rocking Band</v>
      </c>
      <c r="C2" s="2" t="str">
        <f>SUBSTITUTE(TRIM(PROPER(Table1[[#This Row],[Genre]])), "Edm", "EDM")</f>
        <v>Rock</v>
      </c>
      <c r="D2" s="2" t="str">
        <f>SUBSTITUTE(SUBSTITUTE(SUBSTITUTE(TRIM(PROPER(Table1[[#This Row],[Country]])), "Southkorea", "South Korea"), "Usa", "USA"), "Uk", "UK")</f>
        <v>USA</v>
      </c>
      <c r="E2" s="2">
        <v>4.5</v>
      </c>
      <c r="F2" s="7">
        <v>10</v>
      </c>
    </row>
    <row r="3" spans="1:6" ht="19.95" customHeight="1" thickBot="1" x14ac:dyDescent="0.35">
      <c r="A3" s="6">
        <v>10002</v>
      </c>
      <c r="B3" s="2" t="str">
        <f>SUBSTITUTE(SUBSTITUTE(TRIM(PROPER(Table1[[#This Row],[ArtistName]])), "Yellowpink", "Yellow Pink"), "Cts", "CTS")</f>
        <v>Electric Groove</v>
      </c>
      <c r="C3" s="2" t="str">
        <f>SUBSTITUTE(TRIM(PROPER(Table1[[#This Row],[Genre]])), "Edm", "EDM")</f>
        <v>Electronic</v>
      </c>
      <c r="D3" s="2" t="str">
        <f>SUBSTITUTE(SUBSTITUTE(SUBSTITUTE(TRIM(PROPER(Table1[[#This Row],[Country]])), "Southkorea", "South Korea"), "Usa", "USA"), "Uk", "UK")</f>
        <v>UK</v>
      </c>
      <c r="E3" s="2">
        <v>4</v>
      </c>
      <c r="F3" s="7">
        <v>15</v>
      </c>
    </row>
    <row r="4" spans="1:6" ht="19.95" customHeight="1" thickBot="1" x14ac:dyDescent="0.35">
      <c r="A4" s="6">
        <v>10003</v>
      </c>
      <c r="B4" s="2" t="str">
        <f>SUBSTITUTE(SUBSTITUTE(TRIM(PROPER(Table1[[#This Row],[ArtistName]])), "Yellowpink", "Yellow Pink"), "Cts", "CTS")</f>
        <v>The Rockers</v>
      </c>
      <c r="C4" s="2" t="str">
        <f>SUBSTITUTE(TRIM(PROPER(Table1[[#This Row],[Genre]])), "Edm", "EDM")</f>
        <v>Afrobeats</v>
      </c>
      <c r="D4" s="2" t="str">
        <f>SUBSTITUTE(SUBSTITUTE(SUBSTITUTE(TRIM(PROPER(Table1[[#This Row],[Country]])), "Southkorea", "South Korea"), "Usa", "USA"), "Uk", "UK")</f>
        <v>Ghana</v>
      </c>
      <c r="E4" s="2">
        <v>3.8</v>
      </c>
      <c r="F4" s="7">
        <v>10</v>
      </c>
    </row>
    <row r="5" spans="1:6" ht="19.95" customHeight="1" thickBot="1" x14ac:dyDescent="0.35">
      <c r="A5" s="6">
        <v>10004</v>
      </c>
      <c r="B5" s="2" t="str">
        <f>SUBSTITUTE(SUBSTITUTE(TRIM(PROPER(Table1[[#This Row],[ArtistName]])), "Yellowpink", "Yellow Pink"), "Cts", "CTS")</f>
        <v>Jazz Ensemble</v>
      </c>
      <c r="C5" s="2" t="str">
        <f>SUBSTITUTE(TRIM(PROPER(Table1[[#This Row],[Genre]])), "Edm", "EDM")</f>
        <v>Jazz</v>
      </c>
      <c r="D5" s="2" t="str">
        <f>SUBSTITUTE(SUBSTITUTE(SUBSTITUTE(TRIM(PROPER(Table1[[#This Row],[Country]])), "Southkorea", "South Korea"), "Usa", "USA"), "Uk", "UK")</f>
        <v>Sweden</v>
      </c>
      <c r="E5" s="2">
        <v>4.2</v>
      </c>
      <c r="F5" s="7">
        <v>8</v>
      </c>
    </row>
    <row r="6" spans="1:6" ht="19.95" customHeight="1" thickBot="1" x14ac:dyDescent="0.35">
      <c r="A6" s="6">
        <v>10005</v>
      </c>
      <c r="B6" s="2" t="str">
        <f>SUBSTITUTE(SUBSTITUTE(TRIM(PROPER(Table1[[#This Row],[ArtistName]])), "Yellowpink", "Yellow Pink"), "Cts", "CTS")</f>
        <v>The Electric Beats</v>
      </c>
      <c r="C6" s="2" t="str">
        <f>SUBSTITUTE(TRIM(PROPER(Table1[[#This Row],[Genre]])), "Edm", "EDM")</f>
        <v>Rock</v>
      </c>
      <c r="D6" s="2" t="str">
        <f>SUBSTITUTE(SUBSTITUTE(SUBSTITUTE(TRIM(PROPER(Table1[[#This Row],[Country]])), "Southkorea", "South Korea"), "Usa", "USA"), "Uk", "UK")</f>
        <v>South Korea</v>
      </c>
      <c r="E6" s="2">
        <v>4.5</v>
      </c>
      <c r="F6" s="7">
        <v>25</v>
      </c>
    </row>
    <row r="7" spans="1:6" ht="19.95" customHeight="1" thickBot="1" x14ac:dyDescent="0.35">
      <c r="A7" s="6">
        <v>10006</v>
      </c>
      <c r="B7" s="2" t="str">
        <f>SUBSTITUTE(SUBSTITUTE(TRIM(PROPER(Table1[[#This Row],[ArtistName]])), "Yellowpink", "Yellow Pink"), "Cts", "CTS")</f>
        <v>Jazz Fusion Trio</v>
      </c>
      <c r="C7" s="2" t="str">
        <f>SUBSTITUTE(TRIM(PROPER(Table1[[#This Row],[Genre]])), "Edm", "EDM")</f>
        <v>Jazz</v>
      </c>
      <c r="D7" s="2" t="str">
        <f>SUBSTITUTE(SUBSTITUTE(SUBSTITUTE(TRIM(PROPER(Table1[[#This Row],[Country]])), "Southkorea", "South Korea"), "Usa", "USA"), "Uk", "UK")</f>
        <v>India</v>
      </c>
      <c r="E7" s="2">
        <v>4.2</v>
      </c>
      <c r="F7" s="7">
        <v>18</v>
      </c>
    </row>
    <row r="8" spans="1:6" ht="19.95" customHeight="1" thickBot="1" x14ac:dyDescent="0.35">
      <c r="A8" s="6">
        <v>10007</v>
      </c>
      <c r="B8" s="2" t="str">
        <f>SUBSTITUTE(SUBSTITUTE(TRIM(PROPER(Table1[[#This Row],[ArtistName]])), "Yellowpink", "Yellow Pink"), "Cts", "CTS")</f>
        <v>Pop Sensations</v>
      </c>
      <c r="C8" s="2" t="str">
        <f>SUBSTITUTE(TRIM(PROPER(Table1[[#This Row],[Genre]])), "Edm", "EDM")</f>
        <v>Afropop</v>
      </c>
      <c r="D8" s="2" t="str">
        <f>SUBSTITUTE(SUBSTITUTE(SUBSTITUTE(TRIM(PROPER(Table1[[#This Row],[Country]])), "Southkorea", "South Korea"), "Usa", "USA"), "Uk", "UK")</f>
        <v>Nigeria</v>
      </c>
      <c r="E8" s="2">
        <v>4.8</v>
      </c>
      <c r="F8" s="7">
        <v>22</v>
      </c>
    </row>
    <row r="9" spans="1:6" ht="19.95" customHeight="1" thickBot="1" x14ac:dyDescent="0.35">
      <c r="A9" s="6">
        <v>10008</v>
      </c>
      <c r="B9" s="2" t="str">
        <f>SUBSTITUTE(SUBSTITUTE(TRIM(PROPER(Table1[[#This Row],[ArtistName]])), "Yellowpink", "Yellow Pink"), "Cts", "CTS")</f>
        <v>Electric Beats</v>
      </c>
      <c r="C9" s="3" t="str">
        <f>SUBSTITUTE(TRIM(PROPER(Table1[[#This Row],[Genre]])), "Edm", "EDM")</f>
        <v>EDM</v>
      </c>
      <c r="D9" s="2" t="str">
        <f>SUBSTITUTE(SUBSTITUTE(SUBSTITUTE(TRIM(PROPER(Table1[[#This Row],[Country]])), "Southkorea", "South Korea"), "Usa", "USA"), "Uk", "UK")</f>
        <v>Iran</v>
      </c>
      <c r="E9" s="3">
        <v>4</v>
      </c>
      <c r="F9" s="5">
        <v>12</v>
      </c>
    </row>
    <row r="10" spans="1:6" ht="19.95" customHeight="1" thickBot="1" x14ac:dyDescent="0.35">
      <c r="A10" s="6">
        <v>10009</v>
      </c>
      <c r="B10" s="2" t="str">
        <f>SUBSTITUTE(SUBSTITUTE(TRIM(PROPER(Table1[[#This Row],[ArtistName]])), "Yellowpink", "Yellow Pink"), "Cts", "CTS")</f>
        <v>Jazz Vibes</v>
      </c>
      <c r="C10" s="3" t="str">
        <f>SUBSTITUTE(TRIM(PROPER(Table1[[#This Row],[Genre]])), "Edm", "EDM")</f>
        <v>Jazz</v>
      </c>
      <c r="D10" s="2" t="str">
        <f>SUBSTITUTE(SUBSTITUTE(SUBSTITUTE(TRIM(PROPER(Table1[[#This Row],[Country]])), "Southkorea", "South Korea"), "Usa", "USA"), "Uk", "UK")</f>
        <v>Australia</v>
      </c>
      <c r="E10" s="3">
        <v>3</v>
      </c>
      <c r="F10" s="5">
        <v>5</v>
      </c>
    </row>
    <row r="11" spans="1:6" ht="19.95" customHeight="1" thickBot="1" x14ac:dyDescent="0.35">
      <c r="A11" s="6">
        <v>10010</v>
      </c>
      <c r="B11" s="2" t="str">
        <f>SUBSTITUTE(SUBSTITUTE(TRIM(PROPER(Table1[[#This Row],[ArtistName]])), "Yellowpink", "Yellow Pink"), "Cts", "CTS")</f>
        <v>Yellow Pink</v>
      </c>
      <c r="C11" s="3" t="str">
        <f>SUBSTITUTE(TRIM(PROPER(Table1[[#This Row],[Genre]])), "Edm", "EDM")</f>
        <v>Kpop</v>
      </c>
      <c r="D11" s="2" t="str">
        <f>SUBSTITUTE(SUBSTITUTE(SUBSTITUTE(TRIM(PROPER(Table1[[#This Row],[Country]])), "Southkorea", "South Korea"), "Usa", "USA"), "Uk", "UK")</f>
        <v>Spain</v>
      </c>
      <c r="E11" s="2">
        <v>3.7</v>
      </c>
      <c r="F11" s="5">
        <v>18</v>
      </c>
    </row>
    <row r="12" spans="1:6" ht="19.95" customHeight="1" thickBot="1" x14ac:dyDescent="0.35">
      <c r="A12" s="6">
        <v>10011</v>
      </c>
      <c r="B12" s="2" t="str">
        <f>SUBSTITUTE(SUBSTITUTE(TRIM(PROPER(Table1[[#This Row],[ArtistName]])), "Yellowpink", "Yellow Pink"), "Cts", "CTS")</f>
        <v>CTS</v>
      </c>
      <c r="C12" s="3" t="str">
        <f>SUBSTITUTE(TRIM(PROPER(Table1[[#This Row],[Genre]])), "Edm", "EDM")</f>
        <v>Kpop</v>
      </c>
      <c r="D12" s="2" t="str">
        <f>SUBSTITUTE(SUBSTITUTE(SUBSTITUTE(TRIM(PROPER(Table1[[#This Row],[Country]])), "Southkorea", "South Korea"), "Usa", "USA"), "Uk", "UK")</f>
        <v>USA</v>
      </c>
      <c r="E12" s="2">
        <v>3.7</v>
      </c>
      <c r="F12" s="5">
        <v>40</v>
      </c>
    </row>
    <row r="13" spans="1:6" ht="19.95" customHeight="1" thickBot="1" x14ac:dyDescent="0.35">
      <c r="A13" s="6">
        <v>10012</v>
      </c>
      <c r="B13" s="2" t="str">
        <f>SUBSTITUTE(SUBSTITUTE(TRIM(PROPER(Table1[[#This Row],[ArtistName]])), "Yellowpink", "Yellow Pink"), "Cts", "CTS")</f>
        <v>Rockbwoy</v>
      </c>
      <c r="C13" s="3" t="str">
        <f>SUBSTITUTE(TRIM(PROPER(Table1[[#This Row],[Genre]])), "Edm", "EDM")</f>
        <v>Dancehall</v>
      </c>
      <c r="D13" s="2" t="str">
        <f>SUBSTITUTE(SUBSTITUTE(SUBSTITUTE(TRIM(PROPER(Table1[[#This Row],[Country]])), "Southkorea", "South Korea"), "Usa", "USA"), "Uk", "UK")</f>
        <v>UK</v>
      </c>
      <c r="E13" s="2">
        <v>3.6</v>
      </c>
      <c r="F13" s="5">
        <v>22</v>
      </c>
    </row>
    <row r="14" spans="1:6" ht="19.95" customHeight="1" thickBot="1" x14ac:dyDescent="0.35">
      <c r="A14" s="6">
        <v>10013</v>
      </c>
      <c r="B14" s="2" t="str">
        <f>SUBSTITUTE(SUBSTITUTE(TRIM(PROPER(Table1[[#This Row],[ArtistName]])), "Yellowpink", "Yellow Pink"), "Cts", "CTS")</f>
        <v>Justin Gomez</v>
      </c>
      <c r="C14" s="3" t="str">
        <f>SUBSTITUTE(TRIM(PROPER(Table1[[#This Row],[Genre]])), "Edm", "EDM")</f>
        <v>Reggae</v>
      </c>
      <c r="D14" s="2" t="str">
        <f>SUBSTITUTE(SUBSTITUTE(SUBSTITUTE(TRIM(PROPER(Table1[[#This Row],[Country]])), "Southkorea", "South Korea"), "Usa", "USA"), "Uk", "UK")</f>
        <v>Ghana</v>
      </c>
      <c r="E14" s="2">
        <v>4.7</v>
      </c>
      <c r="F14" s="5">
        <v>41</v>
      </c>
    </row>
    <row r="15" spans="1:6" ht="19.95" customHeight="1" thickBot="1" x14ac:dyDescent="0.35">
      <c r="A15" s="6">
        <v>10014</v>
      </c>
      <c r="B15" s="2" t="str">
        <f>SUBSTITUTE(SUBSTITUTE(TRIM(PROPER(Table1[[#This Row],[ArtistName]])), "Yellowpink", "Yellow Pink"), "Cts", "CTS")</f>
        <v>Selena Bieber</v>
      </c>
      <c r="C15" s="2" t="str">
        <f>SUBSTITUTE(TRIM(PROPER(Table1[[#This Row],[Genre]])), "Edm", "EDM")</f>
        <v>Highlife</v>
      </c>
      <c r="D15" s="2" t="str">
        <f>SUBSTITUTE(SUBSTITUTE(SUBSTITUTE(TRIM(PROPER(Table1[[#This Row],[Country]])), "Southkorea", "South Korea"), "Usa", "USA"), "Uk", "UK")</f>
        <v>Sweden</v>
      </c>
      <c r="E15" s="2">
        <v>2.8</v>
      </c>
      <c r="F15" s="5">
        <v>33</v>
      </c>
    </row>
    <row r="16" spans="1:6" ht="19.95" customHeight="1" thickBot="1" x14ac:dyDescent="0.35">
      <c r="A16" s="6">
        <v>10015</v>
      </c>
      <c r="B16" s="2" t="str">
        <f>SUBSTITUTE(SUBSTITUTE(TRIM(PROPER(Table1[[#This Row],[ArtistName]])), "Yellowpink", "Yellow Pink"), "Cts", "CTS")</f>
        <v>James Aliston</v>
      </c>
      <c r="C16" s="2" t="str">
        <f>SUBSTITUTE(TRIM(PROPER(Table1[[#This Row],[Genre]])), "Edm", "EDM")</f>
        <v>Rock</v>
      </c>
      <c r="D16" s="2" t="str">
        <f>SUBSTITUTE(SUBSTITUTE(SUBSTITUTE(TRIM(PROPER(Table1[[#This Row],[Country]])), "Southkorea", "South Korea"), "Usa", "USA"), "Uk", "UK")</f>
        <v>South Korea</v>
      </c>
      <c r="E16" s="2">
        <v>3</v>
      </c>
      <c r="F16" s="5">
        <v>31</v>
      </c>
    </row>
    <row r="17" spans="1:6" ht="19.95" customHeight="1" thickBot="1" x14ac:dyDescent="0.35">
      <c r="A17" s="6">
        <v>10016</v>
      </c>
      <c r="B17" s="2" t="str">
        <f>SUBSTITUTE(SUBSTITUTE(TRIM(PROPER(Table1[[#This Row],[ArtistName]])), "Yellowpink", "Yellow Pink"), "Cts", "CTS")</f>
        <v>Michael Mendez</v>
      </c>
      <c r="C17" s="2" t="str">
        <f>SUBSTITUTE(TRIM(PROPER(Table1[[#This Row],[Genre]])), "Edm", "EDM")</f>
        <v>Electronic</v>
      </c>
      <c r="D17" s="2" t="str">
        <f>SUBSTITUTE(SUBSTITUTE(SUBSTITUTE(TRIM(PROPER(Table1[[#This Row],[Country]])), "Southkorea", "South Korea"), "Usa", "USA"), "Uk", "UK")</f>
        <v>India</v>
      </c>
      <c r="E17" s="2">
        <v>4.8</v>
      </c>
      <c r="F17" s="5">
        <v>14</v>
      </c>
    </row>
    <row r="18" spans="1:6" ht="19.95" customHeight="1" thickBot="1" x14ac:dyDescent="0.35">
      <c r="A18" s="6">
        <v>10017</v>
      </c>
      <c r="B18" s="2" t="str">
        <f>SUBSTITUTE(SUBSTITUTE(TRIM(PROPER(Table1[[#This Row],[ArtistName]])), "Yellowpink", "Yellow Pink"), "Cts", "CTS")</f>
        <v>Whatta Sale</v>
      </c>
      <c r="C18" s="2" t="str">
        <f>SUBSTITUTE(TRIM(PROPER(Table1[[#This Row],[Genre]])), "Edm", "EDM")</f>
        <v>Afrobeats</v>
      </c>
      <c r="D18" s="2" t="str">
        <f>SUBSTITUTE(SUBSTITUTE(SUBSTITUTE(TRIM(PROPER(Table1[[#This Row],[Country]])), "Southkorea", "South Korea"), "Usa", "USA"), "Uk", "UK")</f>
        <v>Nigeria</v>
      </c>
      <c r="E18" s="3">
        <v>3.7</v>
      </c>
      <c r="F18" s="5">
        <v>16</v>
      </c>
    </row>
    <row r="19" spans="1:6" ht="19.95" customHeight="1" thickBot="1" x14ac:dyDescent="0.35">
      <c r="A19" s="6">
        <v>10018</v>
      </c>
      <c r="B19" s="2" t="str">
        <f>SUBSTITUTE(SUBSTITUTE(TRIM(PROPER(Table1[[#This Row],[ArtistName]])), "Yellowpink", "Yellow Pink"), "Cts", "CTS")</f>
        <v>Shawn Buble</v>
      </c>
      <c r="C19" s="3" t="str">
        <f>SUBSTITUTE(TRIM(PROPER(Table1[[#This Row],[Genre]])), "Edm", "EDM")</f>
        <v>Highlife</v>
      </c>
      <c r="D19" s="2" t="str">
        <f>SUBSTITUTE(SUBSTITUTE(SUBSTITUTE(TRIM(PROPER(Table1[[#This Row],[Country]])), "Southkorea", "South Korea"), "Usa", "USA"), "Uk", "UK")</f>
        <v>Iran</v>
      </c>
      <c r="E19" s="3">
        <v>3.9</v>
      </c>
      <c r="F19" s="5">
        <v>18</v>
      </c>
    </row>
    <row r="20" spans="1:6" ht="19.95" customHeight="1" thickBot="1" x14ac:dyDescent="0.35">
      <c r="A20" s="6">
        <v>10019</v>
      </c>
      <c r="B20" s="2" t="str">
        <f>SUBSTITUTE(SUBSTITUTE(TRIM(PROPER(Table1[[#This Row],[ArtistName]])), "Yellowpink", "Yellow Pink"), "Cts", "CTS")</f>
        <v>Mia Ingrosso</v>
      </c>
      <c r="C20" s="3" t="str">
        <f>SUBSTITUTE(TRIM(PROPER(Table1[[#This Row],[Genre]])), "Edm", "EDM")</f>
        <v>Rock</v>
      </c>
      <c r="D20" s="2" t="str">
        <f>SUBSTITUTE(SUBSTITUTE(SUBSTITUTE(TRIM(PROPER(Table1[[#This Row],[Country]])), "Southkorea", "South Korea"), "Usa", "USA"), "Uk", "UK")</f>
        <v>Australia</v>
      </c>
      <c r="E20" s="2">
        <v>4.4000000000000004</v>
      </c>
      <c r="F20" s="5">
        <v>18</v>
      </c>
    </row>
    <row r="21" spans="1:6" ht="19.95" customHeight="1" thickBot="1" x14ac:dyDescent="0.35">
      <c r="A21" s="6">
        <v>10020</v>
      </c>
      <c r="B21" s="2" t="str">
        <f>SUBSTITUTE(SUBSTITUTE(TRIM(PROPER(Table1[[#This Row],[ArtistName]])), "Yellowpink", "Yellow Pink"), "Cts", "CTS")</f>
        <v>Yellow Pink</v>
      </c>
      <c r="C21" s="3" t="str">
        <f>SUBSTITUTE(TRIM(PROPER(Table1[[#This Row],[Genre]])), "Edm", "EDM")</f>
        <v>Kpop</v>
      </c>
      <c r="D21" s="2" t="str">
        <f>SUBSTITUTE(SUBSTITUTE(SUBSTITUTE(TRIM(PROPER(Table1[[#This Row],[Country]])), "Southkorea", "South Korea"), "Usa", "USA"), "Uk", "UK")</f>
        <v>Spain</v>
      </c>
      <c r="E21" s="2">
        <v>3.7</v>
      </c>
      <c r="F21" s="5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808F-AF90-4EC3-BEFB-F34719F125F5}">
  <sheetPr>
    <tabColor rgb="FFFF0000"/>
  </sheetPr>
  <dimension ref="A1:F21"/>
  <sheetViews>
    <sheetView zoomScale="85" zoomScaleNormal="85" workbookViewId="0">
      <selection activeCell="E18" sqref="E18"/>
    </sheetView>
  </sheetViews>
  <sheetFormatPr defaultRowHeight="14.4" x14ac:dyDescent="0.3"/>
  <cols>
    <col min="1" max="1" width="15.5546875" customWidth="1"/>
    <col min="2" max="2" width="24.88671875" customWidth="1"/>
    <col min="3" max="3" width="17.5546875" customWidth="1"/>
    <col min="4" max="4" width="14" customWidth="1"/>
    <col min="5" max="5" width="15.109375" customWidth="1"/>
    <col min="6" max="6" width="14.109375" customWidth="1"/>
  </cols>
  <sheetData>
    <row r="1" spans="1:6" ht="19.95" customHeight="1" thickBot="1" x14ac:dyDescent="0.35">
      <c r="A1" s="12" t="s">
        <v>56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</row>
    <row r="2" spans="1:6" ht="19.95" customHeight="1" thickBot="1" x14ac:dyDescent="0.35">
      <c r="A2" s="6">
        <v>101</v>
      </c>
      <c r="B2" s="2" t="s">
        <v>50</v>
      </c>
      <c r="C2" s="2" t="s">
        <v>51</v>
      </c>
      <c r="D2" s="8">
        <v>5000</v>
      </c>
      <c r="E2" s="2">
        <v>4.7</v>
      </c>
      <c r="F2" s="2">
        <v>10</v>
      </c>
    </row>
    <row r="3" spans="1:6" ht="19.95" customHeight="1" thickBot="1" x14ac:dyDescent="0.35">
      <c r="A3" s="6">
        <v>102</v>
      </c>
      <c r="B3" s="2" t="s">
        <v>52</v>
      </c>
      <c r="C3" s="2" t="s">
        <v>53</v>
      </c>
      <c r="D3" s="8">
        <v>1000</v>
      </c>
      <c r="E3" s="2">
        <v>4.2</v>
      </c>
      <c r="F3" s="2">
        <v>8</v>
      </c>
    </row>
    <row r="4" spans="1:6" ht="19.95" customHeight="1" thickBot="1" x14ac:dyDescent="0.35">
      <c r="A4" s="6">
        <v>103</v>
      </c>
      <c r="B4" s="2" t="s">
        <v>54</v>
      </c>
      <c r="C4" s="2" t="s">
        <v>55</v>
      </c>
      <c r="D4" s="8">
        <v>8000</v>
      </c>
      <c r="E4" s="2">
        <v>4.9000000000000004</v>
      </c>
      <c r="F4" s="2">
        <v>15</v>
      </c>
    </row>
    <row r="5" spans="1:6" ht="19.95" customHeight="1" thickBot="1" x14ac:dyDescent="0.35">
      <c r="A5" s="6">
        <v>104</v>
      </c>
      <c r="B5" s="2" t="s">
        <v>57</v>
      </c>
      <c r="C5" s="2" t="s">
        <v>58</v>
      </c>
      <c r="D5" s="8">
        <v>5000</v>
      </c>
      <c r="E5" s="2">
        <v>4.7</v>
      </c>
      <c r="F5" s="2">
        <v>5</v>
      </c>
    </row>
    <row r="6" spans="1:6" ht="19.95" customHeight="1" thickBot="1" x14ac:dyDescent="0.35">
      <c r="A6" s="6">
        <v>105</v>
      </c>
      <c r="B6" s="2" t="s">
        <v>122</v>
      </c>
      <c r="C6" s="2" t="s">
        <v>53</v>
      </c>
      <c r="D6" s="8">
        <v>3000</v>
      </c>
      <c r="E6" s="2">
        <v>4.2</v>
      </c>
      <c r="F6" s="2">
        <v>8</v>
      </c>
    </row>
    <row r="7" spans="1:6" ht="19.95" customHeight="1" thickBot="1" x14ac:dyDescent="0.35">
      <c r="A7" s="6">
        <v>106</v>
      </c>
      <c r="B7" s="2" t="s">
        <v>60</v>
      </c>
      <c r="C7" s="2" t="s">
        <v>61</v>
      </c>
      <c r="D7" s="8">
        <v>7000</v>
      </c>
      <c r="E7" s="2">
        <v>4.9000000000000004</v>
      </c>
      <c r="F7" s="2">
        <v>20</v>
      </c>
    </row>
    <row r="8" spans="1:6" ht="19.95" customHeight="1" thickBot="1" x14ac:dyDescent="0.35">
      <c r="A8" s="6">
        <v>107</v>
      </c>
      <c r="B8" s="2" t="s">
        <v>52</v>
      </c>
      <c r="C8" s="2" t="s">
        <v>59</v>
      </c>
      <c r="D8" s="8">
        <v>800</v>
      </c>
      <c r="E8" s="2">
        <v>4.5</v>
      </c>
      <c r="F8" s="2">
        <v>12</v>
      </c>
    </row>
    <row r="9" spans="1:6" ht="19.95" customHeight="1" thickBot="1" x14ac:dyDescent="0.35">
      <c r="A9" s="6">
        <v>108</v>
      </c>
      <c r="B9" s="3" t="s">
        <v>62</v>
      </c>
      <c r="C9" s="3" t="s">
        <v>63</v>
      </c>
      <c r="D9" s="9">
        <v>5000</v>
      </c>
      <c r="E9" s="3">
        <v>4</v>
      </c>
      <c r="F9" s="3">
        <v>15</v>
      </c>
    </row>
    <row r="10" spans="1:6" ht="19.95" customHeight="1" thickBot="1" x14ac:dyDescent="0.35">
      <c r="A10" s="6">
        <v>109</v>
      </c>
      <c r="B10" s="3" t="s">
        <v>225</v>
      </c>
      <c r="C10" s="3" t="s">
        <v>64</v>
      </c>
      <c r="D10" s="9">
        <v>5000</v>
      </c>
      <c r="E10" s="3">
        <v>4.7</v>
      </c>
      <c r="F10" s="2">
        <v>40</v>
      </c>
    </row>
    <row r="11" spans="1:6" ht="19.95" customHeight="1" thickBot="1" x14ac:dyDescent="0.35">
      <c r="A11" s="6">
        <v>110</v>
      </c>
      <c r="B11" s="3" t="s">
        <v>67</v>
      </c>
      <c r="C11" s="3" t="s">
        <v>68</v>
      </c>
      <c r="D11" s="9">
        <v>3000</v>
      </c>
      <c r="E11" s="3">
        <v>3.9</v>
      </c>
      <c r="F11" s="2">
        <v>16</v>
      </c>
    </row>
    <row r="12" spans="1:6" ht="19.95" customHeight="1" thickBot="1" x14ac:dyDescent="0.35">
      <c r="A12" s="6">
        <v>111</v>
      </c>
      <c r="B12" s="3" t="s">
        <v>69</v>
      </c>
      <c r="C12" s="3" t="s">
        <v>70</v>
      </c>
      <c r="D12" s="9">
        <v>5000</v>
      </c>
      <c r="E12" s="3">
        <v>4.0999999999999996</v>
      </c>
      <c r="F12" s="2">
        <v>17</v>
      </c>
    </row>
    <row r="13" spans="1:6" ht="19.95" customHeight="1" thickBot="1" x14ac:dyDescent="0.35">
      <c r="A13" s="6">
        <v>112</v>
      </c>
      <c r="B13" s="3" t="s">
        <v>71</v>
      </c>
      <c r="C13" s="3" t="s">
        <v>84</v>
      </c>
      <c r="D13" s="10" t="s">
        <v>226</v>
      </c>
      <c r="E13" s="3">
        <v>3</v>
      </c>
      <c r="F13" s="2">
        <v>18</v>
      </c>
    </row>
    <row r="14" spans="1:6" ht="19.95" customHeight="1" thickBot="1" x14ac:dyDescent="0.35">
      <c r="A14" s="6">
        <v>113</v>
      </c>
      <c r="B14" s="3" t="s">
        <v>72</v>
      </c>
      <c r="C14" s="4" t="s">
        <v>228</v>
      </c>
      <c r="D14" s="11">
        <v>1000</v>
      </c>
      <c r="E14" s="4">
        <v>3</v>
      </c>
      <c r="F14" s="2">
        <v>19</v>
      </c>
    </row>
    <row r="15" spans="1:6" ht="19.95" customHeight="1" thickBot="1" x14ac:dyDescent="0.35">
      <c r="A15" s="6">
        <v>114</v>
      </c>
      <c r="B15" s="4" t="s">
        <v>65</v>
      </c>
      <c r="C15" s="4" t="s">
        <v>66</v>
      </c>
      <c r="D15" s="10">
        <v>3500</v>
      </c>
      <c r="E15" s="4">
        <v>3.9</v>
      </c>
      <c r="F15" s="2">
        <v>11</v>
      </c>
    </row>
    <row r="16" spans="1:6" ht="19.95" customHeight="1" thickBot="1" x14ac:dyDescent="0.35">
      <c r="A16" s="6">
        <v>115</v>
      </c>
      <c r="B16" s="5" t="s">
        <v>73</v>
      </c>
      <c r="C16" s="4" t="s">
        <v>74</v>
      </c>
      <c r="D16" s="10">
        <v>7500</v>
      </c>
      <c r="E16" s="4">
        <v>4.7</v>
      </c>
      <c r="F16" s="2">
        <v>20</v>
      </c>
    </row>
    <row r="17" spans="1:6" ht="19.95" customHeight="1" thickBot="1" x14ac:dyDescent="0.35">
      <c r="A17" s="6">
        <v>116</v>
      </c>
      <c r="B17" s="5" t="s">
        <v>75</v>
      </c>
      <c r="C17" s="4" t="s">
        <v>227</v>
      </c>
      <c r="D17" s="10"/>
      <c r="E17" s="4">
        <v>2</v>
      </c>
      <c r="F17" s="3">
        <v>1</v>
      </c>
    </row>
    <row r="18" spans="1:6" ht="19.95" customHeight="1" thickBot="1" x14ac:dyDescent="0.35">
      <c r="A18" s="6">
        <v>11</v>
      </c>
      <c r="B18" s="5" t="s">
        <v>76</v>
      </c>
      <c r="C18" s="4" t="s">
        <v>77</v>
      </c>
      <c r="D18" s="10">
        <v>10000</v>
      </c>
      <c r="E18" s="4">
        <v>4.9000000000000004</v>
      </c>
      <c r="F18" s="2">
        <v>22</v>
      </c>
    </row>
    <row r="19" spans="1:6" ht="19.95" customHeight="1" thickBot="1" x14ac:dyDescent="0.35">
      <c r="A19" s="6">
        <v>118</v>
      </c>
      <c r="B19" s="5" t="s">
        <v>78</v>
      </c>
      <c r="C19" s="4" t="s">
        <v>79</v>
      </c>
      <c r="D19" s="10">
        <v>10500</v>
      </c>
      <c r="E19" s="4">
        <v>4.8</v>
      </c>
      <c r="F19" s="2">
        <v>23</v>
      </c>
    </row>
    <row r="20" spans="1:6" ht="19.95" customHeight="1" thickBot="1" x14ac:dyDescent="0.35">
      <c r="A20" s="6">
        <v>119</v>
      </c>
      <c r="B20" s="5" t="s">
        <v>80</v>
      </c>
      <c r="C20" s="4" t="s">
        <v>82</v>
      </c>
      <c r="D20" s="10">
        <v>6000</v>
      </c>
      <c r="E20" s="4">
        <v>4.7</v>
      </c>
      <c r="F20" s="2">
        <v>14</v>
      </c>
    </row>
    <row r="21" spans="1:6" ht="19.95" customHeight="1" thickBot="1" x14ac:dyDescent="0.35">
      <c r="A21" s="6">
        <v>120</v>
      </c>
      <c r="B21" s="5" t="s">
        <v>81</v>
      </c>
      <c r="C21" s="4" t="s">
        <v>83</v>
      </c>
      <c r="D21" s="10">
        <v>4000</v>
      </c>
      <c r="E21" s="4">
        <v>4.7</v>
      </c>
      <c r="F21" s="2">
        <v>5</v>
      </c>
    </row>
  </sheetData>
  <pageMargins left="0.7" right="0.7" top="0.75" bottom="0.75" header="0.3" footer="0.3"/>
  <ignoredErrors>
    <ignoredError sqref="D13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09F6-49E6-4BD1-8109-248B3460887A}">
  <sheetPr>
    <tabColor theme="1" tint="0.34998626667073579"/>
  </sheetPr>
  <dimension ref="A1:O21"/>
  <sheetViews>
    <sheetView zoomScale="70" zoomScaleNormal="70" workbookViewId="0">
      <selection activeCell="F26" sqref="F26"/>
    </sheetView>
  </sheetViews>
  <sheetFormatPr defaultRowHeight="14.4" x14ac:dyDescent="0.3"/>
  <cols>
    <col min="1" max="1" width="15.5546875" customWidth="1"/>
    <col min="2" max="2" width="22.44140625" customWidth="1"/>
    <col min="3" max="3" width="20.6640625" customWidth="1"/>
    <col min="4" max="6" width="24.88671875" customWidth="1"/>
    <col min="7" max="9" width="17.5546875" customWidth="1"/>
    <col min="10" max="11" width="20.33203125" customWidth="1"/>
    <col min="12" max="13" width="22.33203125" customWidth="1"/>
    <col min="14" max="14" width="14.109375" customWidth="1"/>
    <col min="15" max="15" width="22.77734375" customWidth="1"/>
  </cols>
  <sheetData>
    <row r="1" spans="1:15" ht="19.95" customHeight="1" thickTop="1" thickBot="1" x14ac:dyDescent="0.35">
      <c r="A1" s="12" t="s">
        <v>56</v>
      </c>
      <c r="B1" s="39" t="s">
        <v>216</v>
      </c>
      <c r="C1" s="25" t="s">
        <v>217</v>
      </c>
      <c r="D1" s="13" t="s">
        <v>45</v>
      </c>
      <c r="E1" s="39" t="s">
        <v>218</v>
      </c>
      <c r="F1" s="18" t="s">
        <v>219</v>
      </c>
      <c r="G1" s="13" t="s">
        <v>46</v>
      </c>
      <c r="H1" s="39" t="s">
        <v>220</v>
      </c>
      <c r="I1" s="18" t="s">
        <v>221</v>
      </c>
      <c r="J1" s="13" t="s">
        <v>47</v>
      </c>
      <c r="K1" s="39" t="s">
        <v>222</v>
      </c>
      <c r="L1" s="13" t="s">
        <v>48</v>
      </c>
      <c r="M1" s="39" t="s">
        <v>223</v>
      </c>
      <c r="N1" s="13" t="s">
        <v>49</v>
      </c>
      <c r="O1" s="39" t="s">
        <v>224</v>
      </c>
    </row>
    <row r="2" spans="1:15" ht="19.95" customHeight="1" thickTop="1" thickBot="1" x14ac:dyDescent="0.35">
      <c r="A2" s="6">
        <v>101</v>
      </c>
      <c r="B2" s="40" t="str">
        <f>IF(AND(ISNUMBER(Table2[[#This Row],[VenueID]]), Table2[[#This Row],[VenueID]] &gt; 100), "TRUE", "FALSE")</f>
        <v>TRUE</v>
      </c>
      <c r="C2" s="26">
        <f>VALUE(Table2[[#This Row],[VenueID]])</f>
        <v>101</v>
      </c>
      <c r="D2" s="2" t="s">
        <v>50</v>
      </c>
      <c r="E2" s="40" t="str">
        <f>IF(EXACT(Table2[[#This Row],[VenueName]], PROPER(Table2[[#This Row],[VenueName]])), "TRUE", "FALSE")</f>
        <v>TRUE</v>
      </c>
      <c r="F2" s="19" t="str">
        <f>PROPER(TRIM(SUBSTITUTE(Table2[[#This Row],[VenueName]], "Baba yaraArena", "Baba Yara Arena")))</f>
        <v>Main Stage Hall</v>
      </c>
      <c r="G2" s="2" t="s">
        <v>51</v>
      </c>
      <c r="H2" s="40" t="str">
        <f>IF(AND(Table2[[#This Row],[Location]]&lt;&gt;"", EXACT(Table2[[#This Row],[Location]], PROPER(Table2[[#This Row],[Location]]))), "TRUE", "FALSE")</f>
        <v>TRUE</v>
      </c>
      <c r="I2" s="19" t="str">
        <f>PROPER(TRIM(SUBSTITUTE(Table2[[#This Row],[Location]], "KansasCity", "Kansas City")))</f>
        <v>City Center</v>
      </c>
      <c r="J2" s="8">
        <v>5000</v>
      </c>
      <c r="K2" s="40" t="b">
        <f>ISNUMBER(Table2[[#This Row],[Capacity]])</f>
        <v>1</v>
      </c>
      <c r="L2" s="2">
        <v>4.7</v>
      </c>
      <c r="M2" s="40" t="b">
        <f>ISNUMBER(Table2[[#This Row],[VenueRating]])</f>
        <v>1</v>
      </c>
      <c r="N2" s="2">
        <v>10</v>
      </c>
      <c r="O2" s="40" t="b">
        <f>ISNUMBER(Table2[[#This Row],[NumEvents]])</f>
        <v>1</v>
      </c>
    </row>
    <row r="3" spans="1:15" ht="19.95" customHeight="1" thickTop="1" thickBot="1" x14ac:dyDescent="0.35">
      <c r="A3" s="6">
        <v>102</v>
      </c>
      <c r="B3" s="40" t="str">
        <f>IF(AND(ISNUMBER(Table2[[#This Row],[VenueID]]), Table2[[#This Row],[VenueID]] &gt; 100), "TRUE", "FALSE")</f>
        <v>TRUE</v>
      </c>
      <c r="C3" s="26">
        <f>VALUE(Table2[[#This Row],[VenueID]])</f>
        <v>102</v>
      </c>
      <c r="D3" s="2" t="s">
        <v>52</v>
      </c>
      <c r="E3" s="40" t="str">
        <f>IF(EXACT(Table2[[#This Row],[VenueName]], PROPER(Table2[[#This Row],[VenueName]])), "TRUE", "FALSE")</f>
        <v>TRUE</v>
      </c>
      <c r="F3" s="19" t="str">
        <f>PROPER(TRIM(SUBSTITUTE(Table2[[#This Row],[VenueName]], "Baba yaraArena", "Baba Yara Arena")))</f>
        <v>Jazz Lounge</v>
      </c>
      <c r="G3" s="2" t="s">
        <v>53</v>
      </c>
      <c r="H3" s="40" t="str">
        <f>IF(AND(Table2[[#This Row],[Location]]&lt;&gt;"", EXACT(Table2[[#This Row],[Location]], PROPER(Table2[[#This Row],[Location]]))), "TRUE", "FALSE")</f>
        <v>TRUE</v>
      </c>
      <c r="I3" s="19" t="str">
        <f>PROPER(TRIM(SUBSTITUTE(Table2[[#This Row],[Location]], "KansasCity", "Kansas City")))</f>
        <v>Downtown</v>
      </c>
      <c r="J3" s="8">
        <v>1000</v>
      </c>
      <c r="K3" s="43" t="b">
        <f>ISNUMBER(Table2[[#This Row],[Capacity]])</f>
        <v>1</v>
      </c>
      <c r="L3" s="2">
        <v>4.2</v>
      </c>
      <c r="M3" s="40" t="b">
        <f>ISNUMBER(Table2[[#This Row],[VenueRating]])</f>
        <v>1</v>
      </c>
      <c r="N3" s="2">
        <v>8</v>
      </c>
      <c r="O3" s="40" t="b">
        <f>ISNUMBER(Table2[[#This Row],[NumEvents]])</f>
        <v>1</v>
      </c>
    </row>
    <row r="4" spans="1:15" ht="19.95" customHeight="1" thickTop="1" thickBot="1" x14ac:dyDescent="0.35">
      <c r="A4" s="6">
        <v>103</v>
      </c>
      <c r="B4" s="40" t="str">
        <f>IF(AND(ISNUMBER(Table2[[#This Row],[VenueID]]), Table2[[#This Row],[VenueID]] &gt; 100), "TRUE", "FALSE")</f>
        <v>TRUE</v>
      </c>
      <c r="C4" s="26">
        <f>VALUE(Table2[[#This Row],[VenueID]])</f>
        <v>103</v>
      </c>
      <c r="D4" s="2" t="s">
        <v>54</v>
      </c>
      <c r="E4" s="40" t="str">
        <f>IF(EXACT(Table2[[#This Row],[VenueName]], PROPER(Table2[[#This Row],[VenueName]])), "TRUE", "FALSE")</f>
        <v>TRUE</v>
      </c>
      <c r="F4" s="19" t="str">
        <f>PROPER(TRIM(SUBSTITUTE(Table2[[#This Row],[VenueName]], "Baba yaraArena", "Baba Yara Arena")))</f>
        <v>Open Air Arena</v>
      </c>
      <c r="G4" s="2" t="s">
        <v>55</v>
      </c>
      <c r="H4" s="40" t="str">
        <f>IF(AND(Table2[[#This Row],[Location]]&lt;&gt;"", EXACT(Table2[[#This Row],[Location]], PROPER(Table2[[#This Row],[Location]]))), "TRUE", "FALSE")</f>
        <v>TRUE</v>
      </c>
      <c r="I4" s="19" t="str">
        <f>PROPER(TRIM(SUBSTITUTE(Table2[[#This Row],[Location]], "KansasCity", "Kansas City")))</f>
        <v>Suburb</v>
      </c>
      <c r="J4" s="8">
        <v>8000</v>
      </c>
      <c r="K4" s="40" t="b">
        <f>ISNUMBER(Table2[[#This Row],[Capacity]])</f>
        <v>1</v>
      </c>
      <c r="L4" s="2">
        <v>4.9000000000000004</v>
      </c>
      <c r="M4" s="40" t="b">
        <f>ISNUMBER(Table2[[#This Row],[VenueRating]])</f>
        <v>1</v>
      </c>
      <c r="N4" s="2">
        <v>15</v>
      </c>
      <c r="O4" s="40" t="b">
        <f>ISNUMBER(Table2[[#This Row],[NumEvents]])</f>
        <v>1</v>
      </c>
    </row>
    <row r="5" spans="1:15" ht="19.95" customHeight="1" thickTop="1" thickBot="1" x14ac:dyDescent="0.35">
      <c r="A5" s="6">
        <v>104</v>
      </c>
      <c r="B5" s="40" t="str">
        <f>IF(AND(ISNUMBER(Table2[[#This Row],[VenueID]]), Table2[[#This Row],[VenueID]] &gt; 100), "TRUE", "FALSE")</f>
        <v>TRUE</v>
      </c>
      <c r="C5" s="26">
        <f>VALUE(Table2[[#This Row],[VenueID]])</f>
        <v>104</v>
      </c>
      <c r="D5" s="2" t="s">
        <v>57</v>
      </c>
      <c r="E5" s="40" t="str">
        <f>IF(EXACT(Table2[[#This Row],[VenueName]], PROPER(Table2[[#This Row],[VenueName]])), "TRUE", "FALSE")</f>
        <v>TRUE</v>
      </c>
      <c r="F5" s="19" t="str">
        <f>PROPER(TRIM(SUBSTITUTE(Table2[[#This Row],[VenueName]], "Baba yaraArena", "Baba Yara Arena")))</f>
        <v>Main Stage</v>
      </c>
      <c r="G5" s="2" t="s">
        <v>58</v>
      </c>
      <c r="H5" s="40" t="str">
        <f>IF(AND(Table2[[#This Row],[Location]]&lt;&gt;"", EXACT(Table2[[#This Row],[Location]], PROPER(Table2[[#This Row],[Location]]))), "TRUE", "FALSE")</f>
        <v>TRUE</v>
      </c>
      <c r="I5" s="19" t="str">
        <f>PROPER(TRIM(SUBSTITUTE(Table2[[#This Row],[Location]], "KansasCity", "Kansas City")))</f>
        <v>City Park</v>
      </c>
      <c r="J5" s="8">
        <v>5000</v>
      </c>
      <c r="K5" s="40" t="b">
        <f>ISNUMBER(Table2[[#This Row],[Capacity]])</f>
        <v>1</v>
      </c>
      <c r="L5" s="2">
        <v>4.7</v>
      </c>
      <c r="M5" s="40" t="b">
        <f>ISNUMBER(Table2[[#This Row],[VenueRating]])</f>
        <v>1</v>
      </c>
      <c r="N5" s="2">
        <v>5</v>
      </c>
      <c r="O5" s="40" t="b">
        <f>ISNUMBER(Table2[[#This Row],[NumEvents]])</f>
        <v>1</v>
      </c>
    </row>
    <row r="6" spans="1:15" ht="19.95" customHeight="1" thickTop="1" thickBot="1" x14ac:dyDescent="0.35">
      <c r="A6" s="6">
        <v>105</v>
      </c>
      <c r="B6" s="40" t="str">
        <f>IF(AND(ISNUMBER(Table2[[#This Row],[VenueID]]), Table2[[#This Row],[VenueID]] &gt; 100), "TRUE", "FALSE")</f>
        <v>TRUE</v>
      </c>
      <c r="C6" s="26">
        <f>VALUE(Table2[[#This Row],[VenueID]])</f>
        <v>105</v>
      </c>
      <c r="D6" s="2" t="s">
        <v>122</v>
      </c>
      <c r="E6" s="40" t="str">
        <f>IF(EXACT(Table2[[#This Row],[VenueName]], PROPER(Table2[[#This Row],[VenueName]])), "TRUE", "FALSE")</f>
        <v>TRUE</v>
      </c>
      <c r="F6" s="19" t="str">
        <f>PROPER(TRIM(SUBSTITUTE(Table2[[#This Row],[VenueName]], "Baba yaraArena", "Baba Yara Arena")))</f>
        <v>Electro Dome</v>
      </c>
      <c r="G6" s="2" t="s">
        <v>53</v>
      </c>
      <c r="H6" s="40" t="str">
        <f>IF(AND(Table2[[#This Row],[Location]]&lt;&gt;"", EXACT(Table2[[#This Row],[Location]], PROPER(Table2[[#This Row],[Location]]))), "TRUE", "FALSE")</f>
        <v>TRUE</v>
      </c>
      <c r="I6" s="19" t="str">
        <f>PROPER(TRIM(SUBSTITUTE(Table2[[#This Row],[Location]], "KansasCity", "Kansas City")))</f>
        <v>Downtown</v>
      </c>
      <c r="J6" s="8">
        <v>3000</v>
      </c>
      <c r="K6" s="40" t="b">
        <f>ISNUMBER(Table2[[#This Row],[Capacity]])</f>
        <v>1</v>
      </c>
      <c r="L6" s="2">
        <v>4.2</v>
      </c>
      <c r="M6" s="40" t="b">
        <f>ISNUMBER(Table2[[#This Row],[VenueRating]])</f>
        <v>1</v>
      </c>
      <c r="N6" s="2">
        <v>8</v>
      </c>
      <c r="O6" s="40" t="b">
        <f>ISNUMBER(Table2[[#This Row],[NumEvents]])</f>
        <v>1</v>
      </c>
    </row>
    <row r="7" spans="1:15" ht="19.95" customHeight="1" thickTop="1" thickBot="1" x14ac:dyDescent="0.35">
      <c r="A7" s="6">
        <v>106</v>
      </c>
      <c r="B7" s="40" t="str">
        <f>IF(AND(ISNUMBER(Table2[[#This Row],[VenueID]]), Table2[[#This Row],[VenueID]] &gt; 100), "TRUE", "FALSE")</f>
        <v>TRUE</v>
      </c>
      <c r="C7" s="26">
        <f>VALUE(Table2[[#This Row],[VenueID]])</f>
        <v>106</v>
      </c>
      <c r="D7" s="2" t="s">
        <v>60</v>
      </c>
      <c r="E7" s="40" t="str">
        <f>IF(EXACT(Table2[[#This Row],[VenueName]], PROPER(Table2[[#This Row],[VenueName]])), "TRUE", "FALSE")</f>
        <v>TRUE</v>
      </c>
      <c r="F7" s="19" t="str">
        <f>PROPER(TRIM(SUBSTITUTE(Table2[[#This Row],[VenueName]], "Baba yaraArena", "Baba Yara Arena")))</f>
        <v>Strawberry Friends Arena</v>
      </c>
      <c r="G7" s="2" t="s">
        <v>61</v>
      </c>
      <c r="H7" s="40" t="str">
        <f>IF(AND(Table2[[#This Row],[Location]]&lt;&gt;"", EXACT(Table2[[#This Row],[Location]], PROPER(Table2[[#This Row],[Location]]))), "TRUE", "FALSE")</f>
        <v>TRUE</v>
      </c>
      <c r="I7" s="19" t="str">
        <f>PROPER(TRIM(SUBSTITUTE(Table2[[#This Row],[Location]], "KansasCity", "Kansas City")))</f>
        <v>Stockholm</v>
      </c>
      <c r="J7" s="8">
        <v>7000</v>
      </c>
      <c r="K7" s="40" t="b">
        <f>ISNUMBER(Table2[[#This Row],[Capacity]])</f>
        <v>1</v>
      </c>
      <c r="L7" s="2">
        <v>4.9000000000000004</v>
      </c>
      <c r="M7" s="40" t="b">
        <f>ISNUMBER(Table2[[#This Row],[VenueRating]])</f>
        <v>1</v>
      </c>
      <c r="N7" s="2">
        <v>20</v>
      </c>
      <c r="O7" s="40" t="b">
        <f>ISNUMBER(Table2[[#This Row],[NumEvents]])</f>
        <v>1</v>
      </c>
    </row>
    <row r="8" spans="1:15" ht="19.95" customHeight="1" thickTop="1" thickBot="1" x14ac:dyDescent="0.35">
      <c r="A8" s="6">
        <v>107</v>
      </c>
      <c r="B8" s="40" t="str">
        <f>IF(AND(ISNUMBER(Table2[[#This Row],[VenueID]]), Table2[[#This Row],[VenueID]] &gt; 100), "TRUE", "FALSE")</f>
        <v>TRUE</v>
      </c>
      <c r="C8" s="26">
        <f>VALUE(Table2[[#This Row],[VenueID]])</f>
        <v>107</v>
      </c>
      <c r="D8" s="2" t="s">
        <v>52</v>
      </c>
      <c r="E8" s="40" t="str">
        <f>IF(EXACT(Table2[[#This Row],[VenueName]], PROPER(Table2[[#This Row],[VenueName]])), "TRUE", "FALSE")</f>
        <v>TRUE</v>
      </c>
      <c r="F8" s="19" t="str">
        <f>PROPER(TRIM(SUBSTITUTE(Table2[[#This Row],[VenueName]], "Baba yaraArena", "Baba Yara Arena")))</f>
        <v>Jazz Lounge</v>
      </c>
      <c r="G8" s="2" t="s">
        <v>59</v>
      </c>
      <c r="H8" s="40" t="str">
        <f>IF(AND(Table2[[#This Row],[Location]]&lt;&gt;"", EXACT(Table2[[#This Row],[Location]], PROPER(Table2[[#This Row],[Location]]))), "TRUE", "FALSE")</f>
        <v>TRUE</v>
      </c>
      <c r="I8" s="19" t="str">
        <f>PROPER(TRIM(SUBSTITUTE(Table2[[#This Row],[Location]], "KansasCity", "Kansas City")))</f>
        <v>Waterfront</v>
      </c>
      <c r="J8" s="8">
        <v>800</v>
      </c>
      <c r="K8" s="40" t="b">
        <f>ISNUMBER(Table2[[#This Row],[Capacity]])</f>
        <v>1</v>
      </c>
      <c r="L8" s="2">
        <v>4.5</v>
      </c>
      <c r="M8" s="40" t="b">
        <f>ISNUMBER(Table2[[#This Row],[VenueRating]])</f>
        <v>1</v>
      </c>
      <c r="N8" s="2">
        <v>12</v>
      </c>
      <c r="O8" s="40" t="b">
        <f>ISNUMBER(Table2[[#This Row],[NumEvents]])</f>
        <v>1</v>
      </c>
    </row>
    <row r="9" spans="1:15" ht="19.95" customHeight="1" thickTop="1" thickBot="1" x14ac:dyDescent="0.35">
      <c r="A9" s="6">
        <v>108</v>
      </c>
      <c r="B9" s="40" t="str">
        <f>IF(AND(ISNUMBER(Table2[[#This Row],[VenueID]]), Table2[[#This Row],[VenueID]] &gt; 100), "TRUE", "FALSE")</f>
        <v>TRUE</v>
      </c>
      <c r="C9" s="24">
        <f>VALUE(Table2[[#This Row],[VenueID]])</f>
        <v>108</v>
      </c>
      <c r="D9" s="3" t="s">
        <v>62</v>
      </c>
      <c r="E9" s="40" t="str">
        <f>IF(EXACT(Table2[[#This Row],[VenueName]], PROPER(Table2[[#This Row],[VenueName]])), "TRUE", "FALSE")</f>
        <v>TRUE</v>
      </c>
      <c r="F9" s="21" t="str">
        <f>PROPER(TRIM(SUBSTITUTE(Table2[[#This Row],[VenueName]], "Baba yaraArena", "Baba Yara Arena")))</f>
        <v>Kotoka Arena</v>
      </c>
      <c r="G9" s="3" t="s">
        <v>63</v>
      </c>
      <c r="H9" s="40" t="str">
        <f>IF(AND(Table2[[#This Row],[Location]]&lt;&gt;"", EXACT(Table2[[#This Row],[Location]], PROPER(Table2[[#This Row],[Location]]))), "TRUE", "FALSE")</f>
        <v>TRUE</v>
      </c>
      <c r="I9" s="21" t="str">
        <f>PROPER(TRIM(SUBSTITUTE(Table2[[#This Row],[Location]], "KansasCity", "Kansas City")))</f>
        <v>Accra</v>
      </c>
      <c r="J9" s="9">
        <v>5000</v>
      </c>
      <c r="K9" s="40" t="b">
        <f>ISNUMBER(Table2[[#This Row],[Capacity]])</f>
        <v>1</v>
      </c>
      <c r="L9" s="3">
        <v>4</v>
      </c>
      <c r="M9" s="40" t="b">
        <f>ISNUMBER(Table2[[#This Row],[VenueRating]])</f>
        <v>1</v>
      </c>
      <c r="N9" s="3">
        <v>15</v>
      </c>
      <c r="O9" s="40" t="b">
        <f>ISNUMBER(Table2[[#This Row],[NumEvents]])</f>
        <v>1</v>
      </c>
    </row>
    <row r="10" spans="1:15" ht="19.95" customHeight="1" thickTop="1" thickBot="1" x14ac:dyDescent="0.35">
      <c r="A10" s="6">
        <v>109</v>
      </c>
      <c r="B10" s="40" t="str">
        <f>IF(AND(ISNUMBER(Table2[[#This Row],[VenueID]]), Table2[[#This Row],[VenueID]] &gt; 100), "TRUE", "FALSE")</f>
        <v>TRUE</v>
      </c>
      <c r="C10" s="24">
        <f>VALUE(Table2[[#This Row],[VenueID]])</f>
        <v>109</v>
      </c>
      <c r="D10" s="3" t="s">
        <v>225</v>
      </c>
      <c r="E10" s="40" t="str">
        <f>IF(EXACT(Table2[[#This Row],[VenueName]], PROPER(Table2[[#This Row],[VenueName]])), "TRUE", "FALSE")</f>
        <v>TRUE</v>
      </c>
      <c r="F10" s="21" t="str">
        <f>PROPER(TRIM(SUBSTITUTE(Table2[[#This Row],[VenueName]], "Baba yaraArena", "Baba Yara Arena")))</f>
        <v>Sajika Arena</v>
      </c>
      <c r="G10" s="3" t="s">
        <v>64</v>
      </c>
      <c r="H10" s="40" t="str">
        <f>IF(AND(Table2[[#This Row],[Location]]&lt;&gt;"", EXACT(Table2[[#This Row],[Location]], PROPER(Table2[[#This Row],[Location]]))), "TRUE", "FALSE")</f>
        <v>TRUE</v>
      </c>
      <c r="I10" s="21" t="str">
        <f>PROPER(TRIM(SUBSTITUTE(Table2[[#This Row],[Location]], "KansasCity", "Kansas City")))</f>
        <v>Incheon</v>
      </c>
      <c r="J10" s="9">
        <v>5000</v>
      </c>
      <c r="K10" s="40" t="b">
        <f>ISNUMBER(Table2[[#This Row],[Capacity]])</f>
        <v>1</v>
      </c>
      <c r="L10" s="3">
        <v>4.7</v>
      </c>
      <c r="M10" s="40" t="b">
        <f>ISNUMBER(Table2[[#This Row],[VenueRating]])</f>
        <v>1</v>
      </c>
      <c r="N10" s="2">
        <v>40</v>
      </c>
      <c r="O10" s="40" t="b">
        <f>ISNUMBER(Table2[[#This Row],[NumEvents]])</f>
        <v>1</v>
      </c>
    </row>
    <row r="11" spans="1:15" ht="19.95" customHeight="1" thickTop="1" thickBot="1" x14ac:dyDescent="0.35">
      <c r="A11" s="6">
        <v>110</v>
      </c>
      <c r="B11" s="40" t="str">
        <f>IF(AND(ISNUMBER(Table2[[#This Row],[VenueID]]), Table2[[#This Row],[VenueID]] &gt; 100), "TRUE", "FALSE")</f>
        <v>TRUE</v>
      </c>
      <c r="C11" s="24">
        <f>VALUE(Table2[[#This Row],[VenueID]])</f>
        <v>110</v>
      </c>
      <c r="D11" s="3" t="s">
        <v>67</v>
      </c>
      <c r="E11" s="40" t="str">
        <f>IF(EXACT(Table2[[#This Row],[VenueName]], PROPER(Table2[[#This Row],[VenueName]])), "TRUE", "FALSE")</f>
        <v>TRUE</v>
      </c>
      <c r="F11" s="21" t="str">
        <f>PROPER(TRIM(SUBSTITUTE(Table2[[#This Row],[VenueName]], "Baba yaraArena", "Baba Yara Arena")))</f>
        <v>Azadi Arena</v>
      </c>
      <c r="G11" s="3" t="s">
        <v>68</v>
      </c>
      <c r="H11" s="40" t="str">
        <f>IF(AND(Table2[[#This Row],[Location]]&lt;&gt;"", EXACT(Table2[[#This Row],[Location]], PROPER(Table2[[#This Row],[Location]]))), "TRUE", "FALSE")</f>
        <v>TRUE</v>
      </c>
      <c r="I11" s="21" t="str">
        <f>PROPER(TRIM(SUBSTITUTE(Table2[[#This Row],[Location]], "KansasCity", "Kansas City")))</f>
        <v>Tehran</v>
      </c>
      <c r="J11" s="9">
        <v>3000</v>
      </c>
      <c r="K11" s="40" t="b">
        <f>ISNUMBER(Table2[[#This Row],[Capacity]])</f>
        <v>1</v>
      </c>
      <c r="L11" s="3">
        <v>3.9</v>
      </c>
      <c r="M11" s="40" t="b">
        <f>ISNUMBER(Table2[[#This Row],[VenueRating]])</f>
        <v>1</v>
      </c>
      <c r="N11" s="2">
        <v>16</v>
      </c>
      <c r="O11" s="40" t="b">
        <f>ISNUMBER(Table2[[#This Row],[NumEvents]])</f>
        <v>1</v>
      </c>
    </row>
    <row r="12" spans="1:15" ht="19.95" customHeight="1" thickTop="1" thickBot="1" x14ac:dyDescent="0.35">
      <c r="A12" s="6">
        <v>111</v>
      </c>
      <c r="B12" s="40" t="str">
        <f>IF(AND(ISNUMBER(Table2[[#This Row],[VenueID]]), Table2[[#This Row],[VenueID]] &gt; 100), "TRUE", "FALSE")</f>
        <v>TRUE</v>
      </c>
      <c r="C12" s="24">
        <f>VALUE(Table2[[#This Row],[VenueID]])</f>
        <v>111</v>
      </c>
      <c r="D12" s="3" t="s">
        <v>69</v>
      </c>
      <c r="E12" s="40" t="str">
        <f>IF(EXACT(Table2[[#This Row],[VenueName]], PROPER(Table2[[#This Row],[VenueName]])), "TRUE", "FALSE")</f>
        <v>FALSE</v>
      </c>
      <c r="F12" s="21" t="str">
        <f>PROPER(TRIM(SUBSTITUTE(Table2[[#This Row],[VenueName]], "Baba yaraArena", "Baba Yara Arena")))</f>
        <v>Baba Yara Arena</v>
      </c>
      <c r="G12" s="3" t="s">
        <v>70</v>
      </c>
      <c r="H12" s="40" t="str">
        <f>IF(AND(Table2[[#This Row],[Location]]&lt;&gt;"", EXACT(Table2[[#This Row],[Location]], PROPER(Table2[[#This Row],[Location]]))), "TRUE", "FALSE")</f>
        <v>TRUE</v>
      </c>
      <c r="I12" s="21" t="str">
        <f>PROPER(TRIM(SUBSTITUTE(Table2[[#This Row],[Location]], "KansasCity", "Kansas City")))</f>
        <v>Kumasi</v>
      </c>
      <c r="J12" s="9">
        <v>5000</v>
      </c>
      <c r="K12" s="40" t="b">
        <f>ISNUMBER(Table2[[#This Row],[Capacity]])</f>
        <v>1</v>
      </c>
      <c r="L12" s="3">
        <v>4.0999999999999996</v>
      </c>
      <c r="M12" s="40" t="b">
        <f>ISNUMBER(Table2[[#This Row],[VenueRating]])</f>
        <v>1</v>
      </c>
      <c r="N12" s="2">
        <v>17</v>
      </c>
      <c r="O12" s="40" t="b">
        <f>ISNUMBER(Table2[[#This Row],[NumEvents]])</f>
        <v>1</v>
      </c>
    </row>
    <row r="13" spans="1:15" ht="19.95" customHeight="1" thickTop="1" thickBot="1" x14ac:dyDescent="0.35">
      <c r="A13" s="6">
        <v>112</v>
      </c>
      <c r="B13" s="40" t="str">
        <f>IF(AND(ISNUMBER(Table2[[#This Row],[VenueID]]), Table2[[#This Row],[VenueID]] &gt; 100), "TRUE", "FALSE")</f>
        <v>TRUE</v>
      </c>
      <c r="C13" s="24">
        <f>VALUE(Table2[[#This Row],[VenueID]])</f>
        <v>112</v>
      </c>
      <c r="D13" s="3" t="s">
        <v>71</v>
      </c>
      <c r="E13" s="40" t="str">
        <f>IF(EXACT(Table2[[#This Row],[VenueName]], PROPER(Table2[[#This Row],[VenueName]])), "TRUE", "FALSE")</f>
        <v>TRUE</v>
      </c>
      <c r="F13" s="21" t="str">
        <f>PROPER(TRIM(SUBSTITUTE(Table2[[#This Row],[VenueName]], "Baba yaraArena", "Baba Yara Arena")))</f>
        <v>Rizal Arena</v>
      </c>
      <c r="G13" s="3" t="s">
        <v>84</v>
      </c>
      <c r="H13" s="40" t="str">
        <f>IF(AND(Table2[[#This Row],[Location]]&lt;&gt;"", EXACT(Table2[[#This Row],[Location]], PROPER(Table2[[#This Row],[Location]]))), "TRUE", "FALSE")</f>
        <v>TRUE</v>
      </c>
      <c r="I13" s="24" t="str">
        <f>PROPER(TRIM(SUBSTITUTE(Table2[[#This Row],[Location]], "KansasCity", "Kansas City")))</f>
        <v>Alibaba</v>
      </c>
      <c r="J13" s="10">
        <v>3000</v>
      </c>
      <c r="K13" s="42" t="b">
        <f>ISNUMBER(Table2[[#This Row],[Capacity]])</f>
        <v>1</v>
      </c>
      <c r="L13" s="3">
        <v>3</v>
      </c>
      <c r="M13" s="40" t="b">
        <f>ISNUMBER(Table2[[#This Row],[VenueRating]])</f>
        <v>1</v>
      </c>
      <c r="N13" s="2">
        <v>18</v>
      </c>
      <c r="O13" s="40" t="b">
        <f>ISNUMBER(Table2[[#This Row],[NumEvents]])</f>
        <v>1</v>
      </c>
    </row>
    <row r="14" spans="1:15" ht="19.95" customHeight="1" thickTop="1" thickBot="1" x14ac:dyDescent="0.35">
      <c r="A14" s="6">
        <v>113</v>
      </c>
      <c r="B14" s="40" t="str">
        <f>IF(AND(ISNUMBER(Table2[[#This Row],[VenueID]]), Table2[[#This Row],[VenueID]] &gt; 100), "TRUE", "FALSE")</f>
        <v>TRUE</v>
      </c>
      <c r="C14" s="24">
        <f>VALUE(Table2[[#This Row],[VenueID]])</f>
        <v>113</v>
      </c>
      <c r="D14" s="3" t="s">
        <v>72</v>
      </c>
      <c r="E14" s="40" t="str">
        <f>IF(EXACT(Table2[[#This Row],[VenueName]], PROPER(Table2[[#This Row],[VenueName]])), "TRUE", "FALSE")</f>
        <v>TRUE</v>
      </c>
      <c r="F14" s="24" t="str">
        <f>PROPER(TRIM(SUBSTITUTE(Table2[[#This Row],[VenueName]], "Baba yaraArena", "Baba Yara Arena")))</f>
        <v>Emperador Arena</v>
      </c>
      <c r="G14" s="4" t="s">
        <v>228</v>
      </c>
      <c r="H14" s="40" t="str">
        <f>IF(AND(Table2[[#This Row],[Location]]&lt;&gt;"", EXACT(Table2[[#This Row],[Location]], PROPER(Table2[[#This Row],[Location]]))), "TRUE", "FALSE")</f>
        <v>TRUE</v>
      </c>
      <c r="I14" s="23" t="str">
        <f>PROPER(TRIM(SUBSTITUTE(Table2[[#This Row],[Location]], "KansasCity", "Kansas City")))</f>
        <v>Philippines</v>
      </c>
      <c r="J14" s="11">
        <v>1000</v>
      </c>
      <c r="K14" s="40" t="b">
        <f>ISNUMBER(Table2[[#This Row],[Capacity]])</f>
        <v>1</v>
      </c>
      <c r="L14" s="4">
        <v>3</v>
      </c>
      <c r="M14" s="42" t="b">
        <f>ISNUMBER(Table2[[#This Row],[VenueRating]])</f>
        <v>1</v>
      </c>
      <c r="N14" s="2">
        <v>19</v>
      </c>
      <c r="O14" s="40" t="b">
        <f>ISNUMBER(Table2[[#This Row],[NumEvents]])</f>
        <v>1</v>
      </c>
    </row>
    <row r="15" spans="1:15" ht="19.95" customHeight="1" thickTop="1" thickBot="1" x14ac:dyDescent="0.35">
      <c r="A15" s="6">
        <v>114</v>
      </c>
      <c r="B15" s="40" t="str">
        <f>IF(AND(ISNUMBER(Table2[[#This Row],[VenueID]]), Table2[[#This Row],[VenueID]] &gt; 100), "TRUE", "FALSE")</f>
        <v>TRUE</v>
      </c>
      <c r="C15" s="24">
        <f>VALUE(Table2[[#This Row],[VenueID]])</f>
        <v>114</v>
      </c>
      <c r="D15" s="4" t="s">
        <v>65</v>
      </c>
      <c r="E15" s="42" t="str">
        <f>IF(EXACT(Table2[[#This Row],[VenueName]], PROPER(Table2[[#This Row],[VenueName]])), "TRUE", "FALSE")</f>
        <v>TRUE</v>
      </c>
      <c r="F15" s="23" t="str">
        <f>PROPER(TRIM(SUBSTITUTE(Table2[[#This Row],[VenueName]], "Baba yaraArena", "Baba Yara Arena")))</f>
        <v>Gangneung Arena</v>
      </c>
      <c r="G15" s="4" t="s">
        <v>66</v>
      </c>
      <c r="H15" s="40" t="str">
        <f>IF(AND(Table2[[#This Row],[Location]]&lt;&gt;"", EXACT(Table2[[#This Row],[Location]], PROPER(Table2[[#This Row],[Location]]))), "TRUE", "FALSE")</f>
        <v>TRUE</v>
      </c>
      <c r="I15" s="23" t="str">
        <f>PROPER(TRIM(SUBSTITUTE(Table2[[#This Row],[Location]], "KansasCity", "Kansas City")))</f>
        <v>Busan</v>
      </c>
      <c r="J15" s="10">
        <v>3500</v>
      </c>
      <c r="K15" s="42" t="b">
        <f>ISNUMBER(Table2[[#This Row],[Capacity]])</f>
        <v>1</v>
      </c>
      <c r="L15" s="4">
        <v>3.9</v>
      </c>
      <c r="M15" s="42" t="b">
        <f>ISNUMBER(Table2[[#This Row],[VenueRating]])</f>
        <v>1</v>
      </c>
      <c r="N15" s="2">
        <v>11</v>
      </c>
      <c r="O15" s="40" t="b">
        <f>ISNUMBER(Table2[[#This Row],[NumEvents]])</f>
        <v>1</v>
      </c>
    </row>
    <row r="16" spans="1:15" ht="19.95" customHeight="1" thickTop="1" thickBot="1" x14ac:dyDescent="0.35">
      <c r="A16" s="6">
        <v>115</v>
      </c>
      <c r="B16" s="40" t="str">
        <f>IF(AND(ISNUMBER(Table2[[#This Row],[VenueID]]), Table2[[#This Row],[VenueID]] &gt; 100), "TRUE", "FALSE")</f>
        <v>TRUE</v>
      </c>
      <c r="C16" s="24">
        <f>VALUE(Table2[[#This Row],[VenueID]])</f>
        <v>115</v>
      </c>
      <c r="D16" s="5" t="s">
        <v>73</v>
      </c>
      <c r="E16" s="40" t="str">
        <f>IF(EXACT(Table2[[#This Row],[VenueName]], PROPER(Table2[[#This Row],[VenueName]])), "TRUE", "FALSE")</f>
        <v>TRUE</v>
      </c>
      <c r="F16" s="24" t="str">
        <f>PROPER(TRIM(SUBSTITUTE(Table2[[#This Row],[VenueName]], "Baba yaraArena", "Baba Yara Arena")))</f>
        <v>Kobe Green Arena</v>
      </c>
      <c r="G16" s="4" t="s">
        <v>74</v>
      </c>
      <c r="H16" s="40" t="str">
        <f>IF(AND(Table2[[#This Row],[Location]]&lt;&gt;"", EXACT(Table2[[#This Row],[Location]], PROPER(Table2[[#This Row],[Location]]))), "TRUE", "FALSE")</f>
        <v>FALSE</v>
      </c>
      <c r="I16" s="23" t="str">
        <f>PROPER(TRIM(SUBSTITUTE(Table2[[#This Row],[Location]], "KansasCity", "Kansas City")))</f>
        <v>Kansas City</v>
      </c>
      <c r="J16" s="10">
        <v>7500</v>
      </c>
      <c r="K16" s="42" t="b">
        <f>ISNUMBER(Table2[[#This Row],[Capacity]])</f>
        <v>1</v>
      </c>
      <c r="L16" s="4">
        <v>4.7</v>
      </c>
      <c r="M16" s="42" t="b">
        <f>ISNUMBER(Table2[[#This Row],[VenueRating]])</f>
        <v>1</v>
      </c>
      <c r="N16" s="2">
        <v>20</v>
      </c>
      <c r="O16" s="40" t="b">
        <f>ISNUMBER(Table2[[#This Row],[NumEvents]])</f>
        <v>1</v>
      </c>
    </row>
    <row r="17" spans="1:15" ht="19.95" customHeight="1" thickTop="1" thickBot="1" x14ac:dyDescent="0.35">
      <c r="A17" s="6">
        <v>116</v>
      </c>
      <c r="B17" s="40" t="str">
        <f>IF(AND(ISNUMBER(Table2[[#This Row],[VenueID]]), Table2[[#This Row],[VenueID]] &gt; 100), "TRUE", "FALSE")</f>
        <v>TRUE</v>
      </c>
      <c r="C17" s="24">
        <f>VALUE(Table2[[#This Row],[VenueID]])</f>
        <v>116</v>
      </c>
      <c r="D17" s="5" t="s">
        <v>75</v>
      </c>
      <c r="E17" s="40" t="str">
        <f>IF(EXACT(Table2[[#This Row],[VenueName]], PROPER(Table2[[#This Row],[VenueName]])), "TRUE", "FALSE")</f>
        <v>TRUE</v>
      </c>
      <c r="F17" s="24" t="str">
        <f>PROPER(TRIM(SUBSTITUTE(Table2[[#This Row],[VenueName]], "Baba yaraArena", "Baba Yara Arena")))</f>
        <v>Domo Arena</v>
      </c>
      <c r="G17" s="4" t="s">
        <v>227</v>
      </c>
      <c r="H17" s="40" t="str">
        <f>IF(AND(Table2[[#This Row],[Location]]&lt;&gt;"", EXACT(Table2[[#This Row],[Location]], PROPER(Table2[[#This Row],[Location]]))), "TRUE", "FALSE")</f>
        <v>TRUE</v>
      </c>
      <c r="I17" s="23" t="str">
        <f>PROPER(TRIM(SUBSTITUTE(Table2[[#This Row],[Location]], "KansasCity", "Kansas City")))</f>
        <v>Muchi</v>
      </c>
      <c r="J17" s="10"/>
      <c r="K17" s="42" t="b">
        <f>ISNUMBER(Table2[[#This Row],[Capacity]])</f>
        <v>0</v>
      </c>
      <c r="L17" s="4">
        <v>2</v>
      </c>
      <c r="M17" s="42" t="b">
        <f>ISNUMBER(Table2[[#This Row],[VenueRating]])</f>
        <v>1</v>
      </c>
      <c r="N17" s="3">
        <v>1</v>
      </c>
      <c r="O17" s="40" t="b">
        <f>ISNUMBER(Table2[[#This Row],[NumEvents]])</f>
        <v>1</v>
      </c>
    </row>
    <row r="18" spans="1:15" ht="19.95" customHeight="1" thickTop="1" thickBot="1" x14ac:dyDescent="0.35">
      <c r="A18" s="6">
        <v>11</v>
      </c>
      <c r="B18" s="40" t="str">
        <f>IF(AND(ISNUMBER(Table2[[#This Row],[VenueID]]), Table2[[#This Row],[VenueID]] &gt; 100), "TRUE", "FALSE")</f>
        <v>FALSE</v>
      </c>
      <c r="C18" s="24">
        <v>117</v>
      </c>
      <c r="D18" s="5" t="s">
        <v>76</v>
      </c>
      <c r="E18" s="40" t="str">
        <f>IF(EXACT(Table2[[#This Row],[VenueName]], PROPER(Table2[[#This Row],[VenueName]])), "TRUE", "FALSE")</f>
        <v>TRUE</v>
      </c>
      <c r="F18" s="24" t="str">
        <f>PROPER(TRIM(SUBSTITUTE(Table2[[#This Row],[VenueName]], "Baba yaraArena", "Baba Yara Arena")))</f>
        <v>Banku Arena</v>
      </c>
      <c r="G18" s="4" t="s">
        <v>77</v>
      </c>
      <c r="H18" s="40" t="str">
        <f>IF(AND(Table2[[#This Row],[Location]]&lt;&gt;"", EXACT(Table2[[#This Row],[Location]], PROPER(Table2[[#This Row],[Location]]))), "TRUE", "FALSE")</f>
        <v>TRUE</v>
      </c>
      <c r="I18" s="23" t="str">
        <f>PROPER(TRIM(SUBSTITUTE(Table2[[#This Row],[Location]], "KansasCity", "Kansas City")))</f>
        <v>Tamale</v>
      </c>
      <c r="J18" s="10">
        <v>10000</v>
      </c>
      <c r="K18" s="42" t="b">
        <f>ISNUMBER(Table2[[#This Row],[Capacity]])</f>
        <v>1</v>
      </c>
      <c r="L18" s="4">
        <v>4.9000000000000004</v>
      </c>
      <c r="M18" s="42" t="b">
        <f>ISNUMBER(Table2[[#This Row],[VenueRating]])</f>
        <v>1</v>
      </c>
      <c r="N18" s="2">
        <v>22</v>
      </c>
      <c r="O18" s="40" t="b">
        <f>ISNUMBER(Table2[[#This Row],[NumEvents]])</f>
        <v>1</v>
      </c>
    </row>
    <row r="19" spans="1:15" ht="19.95" customHeight="1" thickTop="1" thickBot="1" x14ac:dyDescent="0.35">
      <c r="A19" s="6">
        <v>118</v>
      </c>
      <c r="B19" s="40" t="str">
        <f>IF(AND(ISNUMBER(Table2[[#This Row],[VenueID]]), Table2[[#This Row],[VenueID]] &gt; 100), "TRUE", "FALSE")</f>
        <v>TRUE</v>
      </c>
      <c r="C19" s="24">
        <f>VALUE(Table2[[#This Row],[VenueID]])</f>
        <v>118</v>
      </c>
      <c r="D19" s="5" t="s">
        <v>78</v>
      </c>
      <c r="E19" s="40" t="str">
        <f>IF(EXACT(Table2[[#This Row],[VenueName]], PROPER(Table2[[#This Row],[VenueName]])), "TRUE", "FALSE")</f>
        <v>TRUE</v>
      </c>
      <c r="F19" s="24" t="str">
        <f>PROPER(TRIM(SUBSTITUTE(Table2[[#This Row],[VenueName]], "Baba yaraArena", "Baba Yara Arena")))</f>
        <v>Kimchi Arena</v>
      </c>
      <c r="G19" s="4" t="s">
        <v>79</v>
      </c>
      <c r="H19" s="40" t="str">
        <f>IF(AND(Table2[[#This Row],[Location]]&lt;&gt;"", EXACT(Table2[[#This Row],[Location]], PROPER(Table2[[#This Row],[Location]]))), "TRUE", "FALSE")</f>
        <v>TRUE</v>
      </c>
      <c r="I19" s="23" t="str">
        <f>PROPER(TRIM(SUBSTITUTE(Table2[[#This Row],[Location]], "KansasCity", "Kansas City")))</f>
        <v>Guri</v>
      </c>
      <c r="J19" s="10">
        <v>10500</v>
      </c>
      <c r="K19" s="42" t="b">
        <f>ISNUMBER(Table2[[#This Row],[Capacity]])</f>
        <v>1</v>
      </c>
      <c r="L19" s="4">
        <v>4.8</v>
      </c>
      <c r="M19" s="42" t="b">
        <f>ISNUMBER(Table2[[#This Row],[VenueRating]])</f>
        <v>1</v>
      </c>
      <c r="N19" s="2">
        <v>23</v>
      </c>
      <c r="O19" s="40" t="b">
        <f>ISNUMBER(Table2[[#This Row],[NumEvents]])</f>
        <v>1</v>
      </c>
    </row>
    <row r="20" spans="1:15" ht="19.95" customHeight="1" thickTop="1" thickBot="1" x14ac:dyDescent="0.35">
      <c r="A20" s="6">
        <v>119</v>
      </c>
      <c r="B20" s="40" t="str">
        <f>IF(AND(ISNUMBER(Table2[[#This Row],[VenueID]]), Table2[[#This Row],[VenueID]] &gt; 100), "TRUE", "FALSE")</f>
        <v>TRUE</v>
      </c>
      <c r="C20" s="24">
        <f>VALUE(Table2[[#This Row],[VenueID]])</f>
        <v>119</v>
      </c>
      <c r="D20" s="5" t="s">
        <v>80</v>
      </c>
      <c r="E20" s="40" t="str">
        <f>IF(EXACT(Table2[[#This Row],[VenueName]], PROPER(Table2[[#This Row],[VenueName]])), "TRUE", "FALSE")</f>
        <v>TRUE</v>
      </c>
      <c r="F20" s="24" t="str">
        <f>PROPER(TRIM(SUBSTITUTE(Table2[[#This Row],[VenueName]], "Baba yaraArena", "Baba Yara Arena")))</f>
        <v>Potato Arena</v>
      </c>
      <c r="G20" s="4" t="s">
        <v>82</v>
      </c>
      <c r="H20" s="40" t="str">
        <f>IF(AND(Table2[[#This Row],[Location]]&lt;&gt;"", EXACT(Table2[[#This Row],[Location]], PROPER(Table2[[#This Row],[Location]]))), "TRUE", "FALSE")</f>
        <v>TRUE</v>
      </c>
      <c r="I20" s="23" t="str">
        <f>PROPER(TRIM(SUBSTITUTE(Table2[[#This Row],[Location]], "KansasCity", "Kansas City")))</f>
        <v>Tumba</v>
      </c>
      <c r="J20" s="10">
        <v>6000</v>
      </c>
      <c r="K20" s="42" t="b">
        <f>ISNUMBER(Table2[[#This Row],[Capacity]])</f>
        <v>1</v>
      </c>
      <c r="L20" s="4">
        <v>4.7</v>
      </c>
      <c r="M20" s="42" t="b">
        <f>ISNUMBER(Table2[[#This Row],[VenueRating]])</f>
        <v>1</v>
      </c>
      <c r="N20" s="2">
        <v>14</v>
      </c>
      <c r="O20" s="40" t="b">
        <f>ISNUMBER(Table2[[#This Row],[NumEvents]])</f>
        <v>1</v>
      </c>
    </row>
    <row r="21" spans="1:15" ht="19.95" customHeight="1" thickTop="1" thickBot="1" x14ac:dyDescent="0.35">
      <c r="A21" s="6">
        <v>120</v>
      </c>
      <c r="B21" s="40" t="str">
        <f>IF(AND(ISNUMBER(Table2[[#This Row],[VenueID]]), Table2[[#This Row],[VenueID]] &gt; 100), "TRUE", "FALSE")</f>
        <v>TRUE</v>
      </c>
      <c r="C21" s="24">
        <f>VALUE(Table2[[#This Row],[VenueID]])</f>
        <v>120</v>
      </c>
      <c r="D21" s="5" t="s">
        <v>81</v>
      </c>
      <c r="E21" s="40" t="str">
        <f>IF(EXACT(Table2[[#This Row],[VenueName]], PROPER(Table2[[#This Row],[VenueName]])), "TRUE", "FALSE")</f>
        <v>FALSE</v>
      </c>
      <c r="F21" s="24" t="str">
        <f>PROPER(TRIM(SUBSTITUTE(Table2[[#This Row],[VenueName]], "Baba yaraArena", "Baba Yara Arena")))</f>
        <v>Fried Chicken Arena</v>
      </c>
      <c r="G21" s="4" t="s">
        <v>83</v>
      </c>
      <c r="H21" s="40" t="str">
        <f>IF(AND(Table2[[#This Row],[Location]]&lt;&gt;"", EXACT(Table2[[#This Row],[Location]], PROPER(Table2[[#This Row],[Location]]))), "TRUE", "FALSE")</f>
        <v>TRUE</v>
      </c>
      <c r="I21" s="23" t="str">
        <f>PROPER(TRIM(SUBSTITUTE(Table2[[#This Row],[Location]], "KansasCity", "Kansas City")))</f>
        <v>Orleans</v>
      </c>
      <c r="J21" s="10">
        <v>4000</v>
      </c>
      <c r="K21" s="42" t="b">
        <f>ISNUMBER(Table2[[#This Row],[Capacity]])</f>
        <v>1</v>
      </c>
      <c r="L21" s="4">
        <v>4.7</v>
      </c>
      <c r="M21" s="42" t="b">
        <f>ISNUMBER(Table2[[#This Row],[VenueRating]])</f>
        <v>1</v>
      </c>
      <c r="N21" s="2">
        <v>5</v>
      </c>
      <c r="O21" s="40" t="b">
        <f>ISNUMBER(Table2[[#This Row],[NumEvents]])</f>
        <v>1</v>
      </c>
    </row>
  </sheetData>
  <phoneticPr fontId="2" type="noConversion"/>
  <conditionalFormatting sqref="B1:B21 E1:E21 H1:H21 K1:K21 M1:M21 O1:O21">
    <cfRule type="containsText" dxfId="13" priority="1" operator="containsText" text="FALSE">
      <formula>NOT(ISERROR(SEARCH("FALSE",B1)))</formula>
    </cfRule>
  </conditionalFormatting>
  <pageMargins left="0.7" right="0.7" top="0.75" bottom="0.75" header="0.3" footer="0.3"/>
  <ignoredErrors>
    <ignoredError sqref="C18" calculatedColumn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ADF7-53C2-45FB-9BF4-24E99678AE85}">
  <sheetPr>
    <tabColor theme="9" tint="-0.249977111117893"/>
  </sheetPr>
  <dimension ref="A1:G21"/>
  <sheetViews>
    <sheetView zoomScale="85" zoomScaleNormal="85" workbookViewId="0">
      <selection activeCell="F3" sqref="F3"/>
    </sheetView>
  </sheetViews>
  <sheetFormatPr defaultColWidth="20.77734375" defaultRowHeight="14.4" x14ac:dyDescent="0.3"/>
  <cols>
    <col min="1" max="1" width="15.109375" customWidth="1"/>
    <col min="2" max="2" width="25" customWidth="1"/>
    <col min="6" max="6" width="27.77734375" customWidth="1"/>
  </cols>
  <sheetData>
    <row r="1" spans="1:7" ht="19.95" customHeight="1" thickBot="1" x14ac:dyDescent="0.35">
      <c r="A1" s="12" t="s">
        <v>56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267</v>
      </c>
      <c r="G1" s="13" t="s">
        <v>49</v>
      </c>
    </row>
    <row r="2" spans="1:7" ht="19.95" customHeight="1" thickBot="1" x14ac:dyDescent="0.35">
      <c r="A2" s="6">
        <f>VALUE(Table2[[#This Row],[VenueID]])</f>
        <v>101</v>
      </c>
      <c r="B2" s="2" t="str">
        <f>PROPER(TRIM(SUBSTITUTE(Table2[[#This Row],[VenueName]], "Baba yaraArena", "Baba Yara Arena")))</f>
        <v>Main Stage Hall</v>
      </c>
      <c r="C2" s="2" t="str">
        <f>PROPER(TRIM(SUBSTITUTE(Table2[[#This Row],[Location]], "KansasCity", "Kansas City")))</f>
        <v>City Center</v>
      </c>
      <c r="D2" s="8">
        <v>5000</v>
      </c>
      <c r="E2" s="2">
        <v>4.7</v>
      </c>
      <c r="F2" s="4">
        <f>ROUND((Table212[[#This Row],[VenueRating]]-AVERAGE(Table212[VenueRating]))/_xlfn.STDEV.P(Table212[VenueRating]), 3)</f>
        <v>0.63</v>
      </c>
      <c r="G2" s="2">
        <v>10</v>
      </c>
    </row>
    <row r="3" spans="1:7" ht="19.95" customHeight="1" thickBot="1" x14ac:dyDescent="0.35">
      <c r="A3" s="6">
        <f>VALUE(Table2[[#This Row],[VenueID]])</f>
        <v>102</v>
      </c>
      <c r="B3" s="2" t="str">
        <f>PROPER(TRIM(SUBSTITUTE(Table2[[#This Row],[VenueName]], "Baba yaraArena", "Baba Yara Arena")))</f>
        <v>Jazz Lounge</v>
      </c>
      <c r="C3" s="2" t="str">
        <f>PROPER(TRIM(SUBSTITUTE(Table2[[#This Row],[Location]], "KansasCity", "Kansas City")))</f>
        <v>Downtown</v>
      </c>
      <c r="D3" s="8">
        <v>1000</v>
      </c>
      <c r="E3" s="2">
        <v>4.2</v>
      </c>
      <c r="F3" s="2">
        <f>ROUND((Table212[[#This Row],[VenueRating]]-AVERAGE(Table212[VenueRating]))/_xlfn.STDEV.P(Table212[VenueRating]), 3)</f>
        <v>-3.3000000000000002E-2</v>
      </c>
      <c r="G3" s="2">
        <v>8</v>
      </c>
    </row>
    <row r="4" spans="1:7" ht="19.95" customHeight="1" thickBot="1" x14ac:dyDescent="0.35">
      <c r="A4" s="6">
        <f>VALUE(Table2[[#This Row],[VenueID]])</f>
        <v>103</v>
      </c>
      <c r="B4" s="2" t="str">
        <f>PROPER(TRIM(SUBSTITUTE(Table2[[#This Row],[VenueName]], "Baba yaraArena", "Baba Yara Arena")))</f>
        <v>Open Air Arena</v>
      </c>
      <c r="C4" s="2" t="str">
        <f>PROPER(TRIM(SUBSTITUTE(Table2[[#This Row],[Location]], "KansasCity", "Kansas City")))</f>
        <v>Suburb</v>
      </c>
      <c r="D4" s="8">
        <v>8000</v>
      </c>
      <c r="E4" s="2">
        <v>4.9000000000000004</v>
      </c>
      <c r="F4" s="2">
        <f>ROUND((Table212[[#This Row],[VenueRating]]-AVERAGE(Table212[VenueRating]))/_xlfn.STDEV.P(Table212[VenueRating]), 3)</f>
        <v>0.89600000000000002</v>
      </c>
      <c r="G4" s="2">
        <v>15</v>
      </c>
    </row>
    <row r="5" spans="1:7" ht="19.95" customHeight="1" thickBot="1" x14ac:dyDescent="0.35">
      <c r="A5" s="6">
        <f>VALUE(Table2[[#This Row],[VenueID]])</f>
        <v>104</v>
      </c>
      <c r="B5" s="2" t="str">
        <f>PROPER(TRIM(SUBSTITUTE(Table2[[#This Row],[VenueName]], "Baba yaraArena", "Baba Yara Arena")))</f>
        <v>Main Stage</v>
      </c>
      <c r="C5" s="2" t="str">
        <f>PROPER(TRIM(SUBSTITUTE(Table2[[#This Row],[Location]], "KansasCity", "Kansas City")))</f>
        <v>City Park</v>
      </c>
      <c r="D5" s="8">
        <v>5000</v>
      </c>
      <c r="E5" s="2">
        <v>4.7</v>
      </c>
      <c r="F5" s="2">
        <f>ROUND((Table212[[#This Row],[VenueRating]]-AVERAGE(Table212[VenueRating]))/_xlfn.STDEV.P(Table212[VenueRating]), 3)</f>
        <v>0.63</v>
      </c>
      <c r="G5" s="2">
        <v>5</v>
      </c>
    </row>
    <row r="6" spans="1:7" ht="19.95" customHeight="1" thickBot="1" x14ac:dyDescent="0.35">
      <c r="A6" s="6">
        <f>VALUE(Table2[[#This Row],[VenueID]])</f>
        <v>105</v>
      </c>
      <c r="B6" s="2" t="str">
        <f>PROPER(TRIM(SUBSTITUTE(Table2[[#This Row],[VenueName]], "Baba yaraArena", "Baba Yara Arena")))</f>
        <v>Electro Dome</v>
      </c>
      <c r="C6" s="2" t="str">
        <f>PROPER(TRIM(SUBSTITUTE(Table2[[#This Row],[Location]], "KansasCity", "Kansas City")))</f>
        <v>Downtown</v>
      </c>
      <c r="D6" s="8">
        <v>3000</v>
      </c>
      <c r="E6" s="2">
        <v>4.2</v>
      </c>
      <c r="F6" s="2">
        <f>ROUND((Table212[[#This Row],[VenueRating]]-AVERAGE(Table212[VenueRating]))/_xlfn.STDEV.P(Table212[VenueRating]), 3)</f>
        <v>-3.3000000000000002E-2</v>
      </c>
      <c r="G6" s="2">
        <v>8</v>
      </c>
    </row>
    <row r="7" spans="1:7" ht="19.95" customHeight="1" thickBot="1" x14ac:dyDescent="0.35">
      <c r="A7" s="6">
        <f>VALUE(Table2[[#This Row],[VenueID]])</f>
        <v>106</v>
      </c>
      <c r="B7" s="2" t="str">
        <f>PROPER(TRIM(SUBSTITUTE(Table2[[#This Row],[VenueName]], "Baba yaraArena", "Baba Yara Arena")))</f>
        <v>Strawberry Friends Arena</v>
      </c>
      <c r="C7" s="2" t="str">
        <f>PROPER(TRIM(SUBSTITUTE(Table2[[#This Row],[Location]], "KansasCity", "Kansas City")))</f>
        <v>Stockholm</v>
      </c>
      <c r="D7" s="8">
        <v>7000</v>
      </c>
      <c r="E7" s="2">
        <v>4.9000000000000004</v>
      </c>
      <c r="F7" s="2">
        <f>ROUND((Table212[[#This Row],[VenueRating]]-AVERAGE(Table212[VenueRating]))/_xlfn.STDEV.P(Table212[VenueRating]), 3)</f>
        <v>0.89600000000000002</v>
      </c>
      <c r="G7" s="2">
        <v>20</v>
      </c>
    </row>
    <row r="8" spans="1:7" ht="19.95" customHeight="1" thickBot="1" x14ac:dyDescent="0.35">
      <c r="A8" s="6">
        <f>VALUE(Table2[[#This Row],[VenueID]])</f>
        <v>107</v>
      </c>
      <c r="B8" s="2" t="str">
        <f>PROPER(TRIM(SUBSTITUTE(Table2[[#This Row],[VenueName]], "Baba yaraArena", "Baba Yara Arena")))</f>
        <v>Jazz Lounge</v>
      </c>
      <c r="C8" s="2" t="str">
        <f>PROPER(TRIM(SUBSTITUTE(Table2[[#This Row],[Location]], "KansasCity", "Kansas City")))</f>
        <v>Waterfront</v>
      </c>
      <c r="D8" s="8">
        <v>800</v>
      </c>
      <c r="E8" s="2">
        <v>4.5</v>
      </c>
      <c r="F8" s="2">
        <f>ROUND((Table212[[#This Row],[VenueRating]]-AVERAGE(Table212[VenueRating]))/_xlfn.STDEV.P(Table212[VenueRating]), 3)</f>
        <v>0.36499999999999999</v>
      </c>
      <c r="G8" s="2">
        <v>12</v>
      </c>
    </row>
    <row r="9" spans="1:7" ht="19.95" customHeight="1" x14ac:dyDescent="0.3">
      <c r="A9" s="5">
        <f>VALUE(Table2[[#This Row],[VenueID]])</f>
        <v>108</v>
      </c>
      <c r="B9" s="3" t="str">
        <f>PROPER(TRIM(SUBSTITUTE(Table2[[#This Row],[VenueName]], "Baba yaraArena", "Baba Yara Arena")))</f>
        <v>Kotoka Arena</v>
      </c>
      <c r="C9" s="3" t="str">
        <f>PROPER(TRIM(SUBSTITUTE(Table2[[#This Row],[Location]], "KansasCity", "Kansas City")))</f>
        <v>Accra</v>
      </c>
      <c r="D9" s="9">
        <v>5000</v>
      </c>
      <c r="E9" s="3">
        <v>4</v>
      </c>
      <c r="F9" s="3">
        <f>ROUND((Table212[[#This Row],[VenueRating]]-AVERAGE(Table212[VenueRating]))/_xlfn.STDEV.P(Table212[VenueRating]), 3)</f>
        <v>-0.29899999999999999</v>
      </c>
      <c r="G9" s="3">
        <v>15</v>
      </c>
    </row>
    <row r="10" spans="1:7" ht="19.95" customHeight="1" thickBot="1" x14ac:dyDescent="0.35">
      <c r="A10" s="5">
        <f>VALUE(Table2[[#This Row],[VenueID]])</f>
        <v>109</v>
      </c>
      <c r="B10" s="3" t="str">
        <f>PROPER(TRIM(SUBSTITUTE(Table2[[#This Row],[VenueName]], "Baba yaraArena", "Baba Yara Arena")))</f>
        <v>Sajika Arena</v>
      </c>
      <c r="C10" s="3" t="str">
        <f>PROPER(TRIM(SUBSTITUTE(Table2[[#This Row],[Location]], "KansasCity", "Kansas City")))</f>
        <v>Incheon</v>
      </c>
      <c r="D10" s="9">
        <v>5000</v>
      </c>
      <c r="E10" s="3">
        <v>4.7</v>
      </c>
      <c r="F10" s="3">
        <f>ROUND((Table212[[#This Row],[VenueRating]]-AVERAGE(Table212[VenueRating]))/_xlfn.STDEV.P(Table212[VenueRating]), 3)</f>
        <v>0.63</v>
      </c>
      <c r="G10" s="2">
        <v>40</v>
      </c>
    </row>
    <row r="11" spans="1:7" ht="19.95" customHeight="1" thickBot="1" x14ac:dyDescent="0.35">
      <c r="A11" s="5">
        <f>VALUE(Table2[[#This Row],[VenueID]])</f>
        <v>110</v>
      </c>
      <c r="B11" s="3" t="str">
        <f>PROPER(TRIM(SUBSTITUTE(Table2[[#This Row],[VenueName]], "Baba yaraArena", "Baba Yara Arena")))</f>
        <v>Azadi Arena</v>
      </c>
      <c r="C11" s="3" t="str">
        <f>PROPER(TRIM(SUBSTITUTE(Table2[[#This Row],[Location]], "KansasCity", "Kansas City")))</f>
        <v>Tehran</v>
      </c>
      <c r="D11" s="9">
        <v>3000</v>
      </c>
      <c r="E11" s="3">
        <v>3.9</v>
      </c>
      <c r="F11" s="3">
        <f>ROUND((Table212[[#This Row],[VenueRating]]-AVERAGE(Table212[VenueRating]))/_xlfn.STDEV.P(Table212[VenueRating]), 3)</f>
        <v>-0.43099999999999999</v>
      </c>
      <c r="G11" s="2">
        <v>16</v>
      </c>
    </row>
    <row r="12" spans="1:7" ht="19.95" customHeight="1" thickBot="1" x14ac:dyDescent="0.35">
      <c r="A12" s="5">
        <f>VALUE(Table2[[#This Row],[VenueID]])</f>
        <v>111</v>
      </c>
      <c r="B12" s="3" t="str">
        <f>PROPER(TRIM(SUBSTITUTE(Table2[[#This Row],[VenueName]], "Baba yaraArena", "Baba Yara Arena")))</f>
        <v>Baba Yara Arena</v>
      </c>
      <c r="C12" s="3" t="str">
        <f>PROPER(TRIM(SUBSTITUTE(Table2[[#This Row],[Location]], "KansasCity", "Kansas City")))</f>
        <v>Kumasi</v>
      </c>
      <c r="D12" s="9">
        <v>5000</v>
      </c>
      <c r="E12" s="3">
        <v>4.0999999999999996</v>
      </c>
      <c r="F12" s="3">
        <f>ROUND((Table212[[#This Row],[VenueRating]]-AVERAGE(Table212[VenueRating]))/_xlfn.STDEV.P(Table212[VenueRating]), 3)</f>
        <v>-0.16600000000000001</v>
      </c>
      <c r="G12" s="2">
        <v>17</v>
      </c>
    </row>
    <row r="13" spans="1:7" ht="19.95" customHeight="1" thickBot="1" x14ac:dyDescent="0.35">
      <c r="A13" s="5">
        <f>VALUE(Table2[[#This Row],[VenueID]])</f>
        <v>112</v>
      </c>
      <c r="B13" s="3" t="str">
        <f>PROPER(TRIM(SUBSTITUTE(Table2[[#This Row],[VenueName]], "Baba yaraArena", "Baba Yara Arena")))</f>
        <v>Rizal Arena</v>
      </c>
      <c r="C13" s="5" t="str">
        <f>PROPER(TRIM(SUBSTITUTE(Table2[[#This Row],[Location]], "KansasCity", "Kansas City")))</f>
        <v>Alibaba</v>
      </c>
      <c r="D13" s="10">
        <v>3000</v>
      </c>
      <c r="E13" s="3">
        <v>3</v>
      </c>
      <c r="F13" s="3">
        <f>ROUND((Table212[[#This Row],[VenueRating]]-AVERAGE(Table212[VenueRating]))/_xlfn.STDEV.P(Table212[VenueRating]), 3)</f>
        <v>-1.6259999999999999</v>
      </c>
      <c r="G13" s="2">
        <v>18</v>
      </c>
    </row>
    <row r="14" spans="1:7" ht="19.95" customHeight="1" thickBot="1" x14ac:dyDescent="0.35">
      <c r="A14" s="5">
        <f>VALUE(Table2[[#This Row],[VenueID]])</f>
        <v>113</v>
      </c>
      <c r="B14" s="5" t="str">
        <f>PROPER(TRIM(SUBSTITUTE(Table2[[#This Row],[VenueName]], "Baba yaraArena", "Baba Yara Arena")))</f>
        <v>Emperador Arena</v>
      </c>
      <c r="C14" s="4" t="str">
        <f>PROPER(TRIM(SUBSTITUTE(Table2[[#This Row],[Location]], "KansasCity", "Kansas City")))</f>
        <v>Philippines</v>
      </c>
      <c r="D14" s="11">
        <v>1000</v>
      </c>
      <c r="E14" s="4">
        <v>3</v>
      </c>
      <c r="F14" s="4">
        <f>ROUND((Table212[[#This Row],[VenueRating]]-AVERAGE(Table212[VenueRating]))/_xlfn.STDEV.P(Table212[VenueRating]), 3)</f>
        <v>-1.6259999999999999</v>
      </c>
      <c r="G14" s="2">
        <v>19</v>
      </c>
    </row>
    <row r="15" spans="1:7" ht="19.95" customHeight="1" thickBot="1" x14ac:dyDescent="0.35">
      <c r="A15" s="5">
        <f>VALUE(Table2[[#This Row],[VenueID]])</f>
        <v>114</v>
      </c>
      <c r="B15" s="4" t="str">
        <f>PROPER(TRIM(SUBSTITUTE(Table2[[#This Row],[VenueName]], "Baba yaraArena", "Baba Yara Arena")))</f>
        <v>Gangneung Arena</v>
      </c>
      <c r="C15" s="4" t="str">
        <f>PROPER(TRIM(SUBSTITUTE(Table2[[#This Row],[Location]], "KansasCity", "Kansas City")))</f>
        <v>Busan</v>
      </c>
      <c r="D15" s="10">
        <v>3500</v>
      </c>
      <c r="E15" s="4">
        <v>3.9</v>
      </c>
      <c r="F15" s="4">
        <f>ROUND((Table212[[#This Row],[VenueRating]]-AVERAGE(Table212[VenueRating]))/_xlfn.STDEV.P(Table212[VenueRating]), 3)</f>
        <v>-0.43099999999999999</v>
      </c>
      <c r="G15" s="2">
        <v>11</v>
      </c>
    </row>
    <row r="16" spans="1:7" ht="19.95" customHeight="1" thickBot="1" x14ac:dyDescent="0.35">
      <c r="A16" s="5">
        <f>VALUE(Table2[[#This Row],[VenueID]])</f>
        <v>115</v>
      </c>
      <c r="B16" s="5" t="str">
        <f>PROPER(TRIM(SUBSTITUTE(Table2[[#This Row],[VenueName]], "Baba yaraArena", "Baba Yara Arena")))</f>
        <v>Kobe Green Arena</v>
      </c>
      <c r="C16" s="4" t="str">
        <f>PROPER(TRIM(SUBSTITUTE(Table2[[#This Row],[Location]], "KansasCity", "Kansas City")))</f>
        <v>Kansas City</v>
      </c>
      <c r="D16" s="10">
        <v>7500</v>
      </c>
      <c r="E16" s="4">
        <v>4.7</v>
      </c>
      <c r="F16" s="4">
        <f>ROUND((Table212[[#This Row],[VenueRating]]-AVERAGE(Table212[VenueRating]))/_xlfn.STDEV.P(Table212[VenueRating]), 3)</f>
        <v>0.63</v>
      </c>
      <c r="G16" s="2">
        <v>20</v>
      </c>
    </row>
    <row r="17" spans="1:7" ht="19.95" customHeight="1" x14ac:dyDescent="0.3">
      <c r="A17" s="5">
        <f>VALUE(Table2[[#This Row],[VenueID]])</f>
        <v>116</v>
      </c>
      <c r="B17" s="5" t="str">
        <f>PROPER(TRIM(SUBSTITUTE(Table2[[#This Row],[VenueName]], "Baba yaraArena", "Baba Yara Arena")))</f>
        <v>Domo Arena</v>
      </c>
      <c r="C17" s="4" t="str">
        <f>PROPER(TRIM(SUBSTITUTE(Table2[[#This Row],[Location]], "KansasCity", "Kansas City")))</f>
        <v>Muchi</v>
      </c>
      <c r="D17" s="10"/>
      <c r="E17" s="4">
        <v>2</v>
      </c>
      <c r="F17" s="4">
        <f>ROUND((Table212[[#This Row],[VenueRating]]-AVERAGE(Table212[VenueRating]))/_xlfn.STDEV.P(Table212[VenueRating]), 3)</f>
        <v>-2.9529999999999998</v>
      </c>
      <c r="G17" s="3">
        <v>1</v>
      </c>
    </row>
    <row r="18" spans="1:7" ht="19.95" customHeight="1" thickBot="1" x14ac:dyDescent="0.35">
      <c r="A18" s="5">
        <v>117</v>
      </c>
      <c r="B18" s="5" t="str">
        <f>PROPER(TRIM(SUBSTITUTE(Table2[[#This Row],[VenueName]], "Baba yaraArena", "Baba Yara Arena")))</f>
        <v>Banku Arena</v>
      </c>
      <c r="C18" s="4" t="str">
        <f>PROPER(TRIM(SUBSTITUTE(Table2[[#This Row],[Location]], "KansasCity", "Kansas City")))</f>
        <v>Tamale</v>
      </c>
      <c r="D18" s="10">
        <v>10000</v>
      </c>
      <c r="E18" s="4">
        <v>4.9000000000000004</v>
      </c>
      <c r="F18" s="4">
        <f>ROUND((Table212[[#This Row],[VenueRating]]-AVERAGE(Table212[VenueRating]))/_xlfn.STDEV.P(Table212[VenueRating]), 3)</f>
        <v>0.89600000000000002</v>
      </c>
      <c r="G18" s="2">
        <v>22</v>
      </c>
    </row>
    <row r="19" spans="1:7" ht="19.95" customHeight="1" thickBot="1" x14ac:dyDescent="0.35">
      <c r="A19" s="5">
        <f>VALUE(Table2[[#This Row],[VenueID]])</f>
        <v>118</v>
      </c>
      <c r="B19" s="5" t="str">
        <f>PROPER(TRIM(SUBSTITUTE(Table2[[#This Row],[VenueName]], "Baba yaraArena", "Baba Yara Arena")))</f>
        <v>Kimchi Arena</v>
      </c>
      <c r="C19" s="4" t="str">
        <f>PROPER(TRIM(SUBSTITUTE(Table2[[#This Row],[Location]], "KansasCity", "Kansas City")))</f>
        <v>Guri</v>
      </c>
      <c r="D19" s="10">
        <v>10500</v>
      </c>
      <c r="E19" s="4">
        <v>4.8</v>
      </c>
      <c r="F19" s="4">
        <f>ROUND((Table212[[#This Row],[VenueRating]]-AVERAGE(Table212[VenueRating]))/_xlfn.STDEV.P(Table212[VenueRating]), 3)</f>
        <v>0.76300000000000001</v>
      </c>
      <c r="G19" s="2">
        <v>23</v>
      </c>
    </row>
    <row r="20" spans="1:7" ht="19.95" customHeight="1" thickBot="1" x14ac:dyDescent="0.35">
      <c r="A20" s="5">
        <f>VALUE(Table2[[#This Row],[VenueID]])</f>
        <v>119</v>
      </c>
      <c r="B20" s="5" t="str">
        <f>PROPER(TRIM(SUBSTITUTE(Table2[[#This Row],[VenueName]], "Baba yaraArena", "Baba Yara Arena")))</f>
        <v>Potato Arena</v>
      </c>
      <c r="C20" s="4" t="str">
        <f>PROPER(TRIM(SUBSTITUTE(Table2[[#This Row],[Location]], "KansasCity", "Kansas City")))</f>
        <v>Tumba</v>
      </c>
      <c r="D20" s="10">
        <v>6000</v>
      </c>
      <c r="E20" s="4">
        <v>4.7</v>
      </c>
      <c r="F20" s="4">
        <f>ROUND((Table212[[#This Row],[VenueRating]]-AVERAGE(Table212[VenueRating]))/_xlfn.STDEV.P(Table212[VenueRating]), 3)</f>
        <v>0.63</v>
      </c>
      <c r="G20" s="2">
        <v>14</v>
      </c>
    </row>
    <row r="21" spans="1:7" ht="19.95" customHeight="1" thickBot="1" x14ac:dyDescent="0.35">
      <c r="A21" s="5">
        <f>VALUE(Table2[[#This Row],[VenueID]])</f>
        <v>120</v>
      </c>
      <c r="B21" s="5" t="str">
        <f>PROPER(TRIM(SUBSTITUTE(Table2[[#This Row],[VenueName]], "Baba yaraArena", "Baba Yara Arena")))</f>
        <v>Fried Chicken Arena</v>
      </c>
      <c r="C21" s="4" t="str">
        <f>PROPER(TRIM(SUBSTITUTE(Table2[[#This Row],[Location]], "KansasCity", "Kansas City")))</f>
        <v>Orleans</v>
      </c>
      <c r="D21" s="10">
        <v>4000</v>
      </c>
      <c r="E21" s="4">
        <v>4.7</v>
      </c>
      <c r="F21" s="4">
        <f>ROUND((Table212[[#This Row],[VenueRating]]-AVERAGE(Table212[VenueRating]))/_xlfn.STDEV.P(Table212[VenueRating]), 3)</f>
        <v>0.63</v>
      </c>
      <c r="G21" s="2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B49-C5D9-4C39-8EFC-E22892B4DA69}">
  <sheetPr>
    <tabColor rgb="FFFF0000"/>
  </sheetPr>
  <dimension ref="A1:E22"/>
  <sheetViews>
    <sheetView zoomScale="85" zoomScaleNormal="85" workbookViewId="0">
      <selection activeCell="C21" sqref="C21"/>
    </sheetView>
  </sheetViews>
  <sheetFormatPr defaultRowHeight="14.4" x14ac:dyDescent="0.3"/>
  <cols>
    <col min="1" max="1" width="17.44140625" customWidth="1"/>
    <col min="2" max="2" width="15.44140625" customWidth="1"/>
    <col min="3" max="3" width="16.6640625" customWidth="1"/>
    <col min="4" max="4" width="16.77734375" customWidth="1"/>
    <col min="5" max="5" width="21.5546875" customWidth="1"/>
  </cols>
  <sheetData>
    <row r="1" spans="1:5" ht="19.95" customHeight="1" thickBot="1" x14ac:dyDescent="0.35">
      <c r="A1" s="12" t="s">
        <v>85</v>
      </c>
      <c r="B1" s="13" t="s">
        <v>92</v>
      </c>
      <c r="C1" s="13" t="s">
        <v>86</v>
      </c>
      <c r="D1" s="13" t="s">
        <v>87</v>
      </c>
      <c r="E1" s="13" t="s">
        <v>88</v>
      </c>
    </row>
    <row r="2" spans="1:5" ht="19.95" customHeight="1" thickBot="1" x14ac:dyDescent="0.35">
      <c r="A2" s="6">
        <v>2201</v>
      </c>
      <c r="B2" s="2">
        <v>7778</v>
      </c>
      <c r="C2" s="2" t="s">
        <v>89</v>
      </c>
      <c r="D2" s="2">
        <v>100</v>
      </c>
      <c r="E2" s="2">
        <v>50</v>
      </c>
    </row>
    <row r="3" spans="1:5" ht="19.95" customHeight="1" thickBot="1" x14ac:dyDescent="0.35">
      <c r="A3" s="6">
        <v>2202</v>
      </c>
      <c r="B3" s="2">
        <v>7779</v>
      </c>
      <c r="C3" s="2" t="s">
        <v>196</v>
      </c>
      <c r="D3" s="2">
        <v>50</v>
      </c>
      <c r="E3" s="2">
        <v>100</v>
      </c>
    </row>
    <row r="4" spans="1:5" ht="19.95" customHeight="1" thickBot="1" x14ac:dyDescent="0.35">
      <c r="A4" s="6">
        <v>2203</v>
      </c>
      <c r="B4" s="2">
        <v>7780</v>
      </c>
      <c r="C4" s="2" t="s">
        <v>89</v>
      </c>
      <c r="D4" s="2">
        <v>120</v>
      </c>
      <c r="E4" s="2" t="s">
        <v>195</v>
      </c>
    </row>
    <row r="5" spans="1:5" ht="19.95" customHeight="1" thickBot="1" x14ac:dyDescent="0.35">
      <c r="A5" s="6">
        <v>2204</v>
      </c>
      <c r="B5" s="2">
        <v>7781</v>
      </c>
      <c r="C5" s="2" t="s">
        <v>90</v>
      </c>
      <c r="D5" s="2">
        <v>60</v>
      </c>
      <c r="E5" s="2">
        <v>80</v>
      </c>
    </row>
    <row r="6" spans="1:5" ht="19.95" customHeight="1" thickBot="1" x14ac:dyDescent="0.35">
      <c r="A6" s="6">
        <v>2205</v>
      </c>
      <c r="B6" s="2">
        <v>7782</v>
      </c>
      <c r="C6" s="2" t="s">
        <v>91</v>
      </c>
      <c r="D6" s="2">
        <v>75</v>
      </c>
      <c r="E6" s="2">
        <v>40</v>
      </c>
    </row>
    <row r="7" spans="1:5" ht="19.95" customHeight="1" thickBot="1" x14ac:dyDescent="0.35">
      <c r="A7" s="6">
        <v>2206</v>
      </c>
      <c r="B7" s="2">
        <v>7783</v>
      </c>
      <c r="C7" s="2" t="s">
        <v>90</v>
      </c>
      <c r="D7" s="2">
        <v>45</v>
      </c>
      <c r="E7" s="2">
        <v>90</v>
      </c>
    </row>
    <row r="8" spans="1:5" ht="19.95" customHeight="1" thickBot="1" x14ac:dyDescent="0.35">
      <c r="A8" s="6">
        <v>2207</v>
      </c>
      <c r="B8" s="2">
        <v>7784</v>
      </c>
      <c r="C8" s="2" t="s">
        <v>89</v>
      </c>
      <c r="D8" s="2">
        <v>110</v>
      </c>
      <c r="E8" s="2">
        <v>20</v>
      </c>
    </row>
    <row r="9" spans="1:5" ht="19.95" customHeight="1" thickBot="1" x14ac:dyDescent="0.35">
      <c r="A9" s="6">
        <v>2208</v>
      </c>
      <c r="B9" s="2">
        <v>7785</v>
      </c>
      <c r="C9" s="2" t="s">
        <v>90</v>
      </c>
      <c r="D9" s="2">
        <v>55</v>
      </c>
      <c r="E9" s="2">
        <v>110</v>
      </c>
    </row>
    <row r="10" spans="1:5" ht="19.95" customHeight="1" thickBot="1" x14ac:dyDescent="0.35">
      <c r="A10" s="6">
        <v>2209</v>
      </c>
      <c r="B10" s="2">
        <v>7786</v>
      </c>
      <c r="C10" s="2" t="s">
        <v>91</v>
      </c>
      <c r="D10" s="2">
        <v>80</v>
      </c>
      <c r="E10" s="2">
        <v>35</v>
      </c>
    </row>
    <row r="11" spans="1:5" ht="19.95" customHeight="1" thickBot="1" x14ac:dyDescent="0.35">
      <c r="A11" s="6">
        <v>2210</v>
      </c>
      <c r="B11" s="2">
        <v>7787</v>
      </c>
      <c r="C11" s="2" t="s">
        <v>90</v>
      </c>
      <c r="D11" s="2">
        <v>50</v>
      </c>
      <c r="E11" s="2">
        <v>95</v>
      </c>
    </row>
    <row r="12" spans="1:5" ht="19.95" customHeight="1" thickBot="1" x14ac:dyDescent="0.35">
      <c r="A12" s="6">
        <v>2211</v>
      </c>
      <c r="B12" s="2">
        <v>7788</v>
      </c>
      <c r="C12" s="2" t="s">
        <v>89</v>
      </c>
      <c r="D12" s="2">
        <v>95</v>
      </c>
      <c r="E12" s="2">
        <v>25</v>
      </c>
    </row>
    <row r="13" spans="1:5" ht="19.95" customHeight="1" thickBot="1" x14ac:dyDescent="0.35">
      <c r="A13" s="6">
        <v>2212</v>
      </c>
      <c r="B13" s="2">
        <v>7789</v>
      </c>
      <c r="C13" s="2" t="s">
        <v>90</v>
      </c>
      <c r="D13" s="2">
        <v>48</v>
      </c>
      <c r="E13" s="2">
        <v>105</v>
      </c>
    </row>
    <row r="14" spans="1:5" ht="19.95" customHeight="1" thickBot="1" x14ac:dyDescent="0.35">
      <c r="A14" s="6">
        <v>2213</v>
      </c>
      <c r="B14" s="2">
        <v>7790</v>
      </c>
      <c r="C14" s="2" t="s">
        <v>91</v>
      </c>
      <c r="D14" s="2">
        <v>70</v>
      </c>
      <c r="E14" s="2">
        <v>38</v>
      </c>
    </row>
    <row r="15" spans="1:5" ht="19.95" customHeight="1" thickBot="1" x14ac:dyDescent="0.35">
      <c r="A15" s="6">
        <v>2214</v>
      </c>
      <c r="B15" s="2">
        <v>7791</v>
      </c>
      <c r="C15" s="2" t="s">
        <v>90</v>
      </c>
      <c r="D15" s="2">
        <v>42</v>
      </c>
      <c r="E15" s="2">
        <v>88</v>
      </c>
    </row>
    <row r="16" spans="1:5" ht="19.95" customHeight="1" thickBot="1" x14ac:dyDescent="0.35">
      <c r="A16" s="6">
        <v>2215</v>
      </c>
      <c r="B16" s="2">
        <v>7792</v>
      </c>
      <c r="C16" s="2" t="s">
        <v>89</v>
      </c>
      <c r="D16" s="2">
        <v>105</v>
      </c>
      <c r="E16" s="2">
        <v>22</v>
      </c>
    </row>
    <row r="17" spans="1:5" ht="19.95" customHeight="1" thickBot="1" x14ac:dyDescent="0.35">
      <c r="A17" s="6">
        <v>2216</v>
      </c>
      <c r="B17" s="2">
        <v>7793</v>
      </c>
      <c r="C17" s="2" t="s">
        <v>90</v>
      </c>
      <c r="D17" s="2">
        <v>52</v>
      </c>
      <c r="E17" s="2">
        <v>98</v>
      </c>
    </row>
    <row r="18" spans="1:5" ht="19.95" customHeight="1" thickBot="1" x14ac:dyDescent="0.35">
      <c r="A18" s="6">
        <v>2217</v>
      </c>
      <c r="B18" s="2">
        <v>7794</v>
      </c>
      <c r="C18" s="2" t="s">
        <v>91</v>
      </c>
      <c r="D18" s="2">
        <v>85</v>
      </c>
      <c r="E18" s="2">
        <v>33</v>
      </c>
    </row>
    <row r="19" spans="1:5" ht="19.95" customHeight="1" thickBot="1" x14ac:dyDescent="0.35">
      <c r="A19" s="6">
        <v>2218</v>
      </c>
      <c r="B19" s="2">
        <v>7795</v>
      </c>
      <c r="C19" s="2" t="s">
        <v>90</v>
      </c>
      <c r="D19" s="2">
        <v>50</v>
      </c>
      <c r="E19" s="2">
        <v>100</v>
      </c>
    </row>
    <row r="20" spans="1:5" ht="19.95" customHeight="1" thickBot="1" x14ac:dyDescent="0.35">
      <c r="A20" s="6">
        <v>2219</v>
      </c>
      <c r="B20" s="2">
        <v>7796</v>
      </c>
      <c r="C20" s="2" t="s">
        <v>197</v>
      </c>
      <c r="D20" s="2">
        <v>100</v>
      </c>
      <c r="E20" s="2">
        <v>28</v>
      </c>
    </row>
    <row r="21" spans="1:5" ht="19.95" customHeight="1" x14ac:dyDescent="0.3">
      <c r="A21" s="5">
        <v>2220</v>
      </c>
      <c r="B21" s="3">
        <v>7797</v>
      </c>
      <c r="C21" s="3" t="s">
        <v>90</v>
      </c>
      <c r="D21" s="3">
        <v>55</v>
      </c>
      <c r="E21" s="3">
        <v>95</v>
      </c>
    </row>
    <row r="22" spans="1:5" ht="19.95" customHeight="1" x14ac:dyDescent="0.3">
      <c r="A22" s="5">
        <v>2208</v>
      </c>
      <c r="B22" s="3">
        <v>7785</v>
      </c>
      <c r="C22" s="3" t="s">
        <v>90</v>
      </c>
      <c r="D22" s="3">
        <v>55</v>
      </c>
      <c r="E22" s="3">
        <v>110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B4D5-4B1C-46F9-B9B3-C7DD4041D7D9}">
  <sheetPr>
    <tabColor theme="1" tint="0.34998626667073579"/>
  </sheetPr>
  <dimension ref="A1:L25"/>
  <sheetViews>
    <sheetView zoomScale="70" zoomScaleNormal="70" workbookViewId="0">
      <selection activeCell="N13" sqref="N13"/>
    </sheetView>
  </sheetViews>
  <sheetFormatPr defaultRowHeight="14.4" x14ac:dyDescent="0.3"/>
  <cols>
    <col min="1" max="1" width="13.88671875" customWidth="1"/>
    <col min="2" max="2" width="23.88671875" customWidth="1"/>
    <col min="3" max="3" width="13.88671875" customWidth="1"/>
    <col min="4" max="5" width="19.44140625" customWidth="1"/>
    <col min="6" max="6" width="21.77734375" customWidth="1"/>
    <col min="7" max="7" width="21.88671875" customWidth="1"/>
    <col min="8" max="8" width="26.44140625" customWidth="1"/>
    <col min="9" max="9" width="18.21875" customWidth="1"/>
    <col min="10" max="10" width="17.6640625" customWidth="1"/>
    <col min="11" max="11" width="26.33203125" customWidth="1"/>
    <col min="12" max="12" width="21.77734375" customWidth="1"/>
    <col min="13" max="13" width="18.33203125" customWidth="1"/>
    <col min="14" max="14" width="15.77734375" customWidth="1"/>
    <col min="15" max="15" width="17.33203125" customWidth="1"/>
  </cols>
  <sheetData>
    <row r="1" spans="1:12" ht="19.95" customHeight="1" thickTop="1" thickBot="1" x14ac:dyDescent="0.35">
      <c r="A1" s="12" t="s">
        <v>85</v>
      </c>
      <c r="B1" s="39" t="s">
        <v>229</v>
      </c>
      <c r="C1" s="13" t="s">
        <v>92</v>
      </c>
      <c r="D1" s="39" t="s">
        <v>233</v>
      </c>
      <c r="E1" s="13" t="s">
        <v>86</v>
      </c>
      <c r="F1" s="39" t="s">
        <v>232</v>
      </c>
      <c r="G1" s="18" t="s">
        <v>234</v>
      </c>
      <c r="H1" s="13" t="s">
        <v>87</v>
      </c>
      <c r="I1" s="39" t="s">
        <v>235</v>
      </c>
      <c r="J1" s="13" t="s">
        <v>88</v>
      </c>
      <c r="K1" s="39" t="s">
        <v>236</v>
      </c>
      <c r="L1" s="22" t="s">
        <v>237</v>
      </c>
    </row>
    <row r="2" spans="1:12" ht="19.95" customHeight="1" thickTop="1" thickBot="1" x14ac:dyDescent="0.35">
      <c r="A2" s="6">
        <v>2201</v>
      </c>
      <c r="B2" s="40" t="str">
        <f>IF(COUNTIF(Table3[TicketID],Table3[[#This Row],[TicketID]])&gt;1, "Duplicate", "Unique")</f>
        <v>Unique</v>
      </c>
      <c r="C2" s="2">
        <v>7778</v>
      </c>
      <c r="D2" s="40" t="b">
        <f>ISNUMBER(Table3[[#This Row],[ConcertID]])</f>
        <v>1</v>
      </c>
      <c r="E2" s="2" t="s">
        <v>89</v>
      </c>
      <c r="F2" s="40" t="str">
        <f>IF(OR(ISNUMBER(MATCH(Table3[[#This Row],[TicketType]], {"VIP","General","Premium"}, 0))), "TRUE", "FALSE")</f>
        <v>TRUE</v>
      </c>
      <c r="G2" s="19" t="str">
        <f>TRIM(SUBSTITUTE(Table3[[#This Row],[TicketType]], "Vip", "VIP"))</f>
        <v>VIP</v>
      </c>
      <c r="H2" s="2">
        <v>100</v>
      </c>
      <c r="I2" s="40" t="b">
        <f>ISNUMBER(Table3[[#This Row],[Price]])</f>
        <v>1</v>
      </c>
      <c r="J2" s="2">
        <v>50</v>
      </c>
      <c r="K2" s="40" t="b">
        <f>ISNUMBER(Table3[[#This Row],[Availability]])</f>
        <v>1</v>
      </c>
      <c r="L2" s="21">
        <f>VALUE(SUBSTITUTE(Table3[[#This Row],[Availability]], "thirty", 30))</f>
        <v>50</v>
      </c>
    </row>
    <row r="3" spans="1:12" ht="19.95" customHeight="1" thickTop="1" thickBot="1" x14ac:dyDescent="0.35">
      <c r="A3" s="6">
        <v>2202</v>
      </c>
      <c r="B3" s="40" t="str">
        <f>IF(COUNTIF(Table3[TicketID],Table3[[#This Row],[TicketID]])&gt;1, "Duplicate", "Unique")</f>
        <v>Unique</v>
      </c>
      <c r="C3" s="2">
        <v>7779</v>
      </c>
      <c r="D3" s="40" t="b">
        <f>ISNUMBER(Table3[[#This Row],[ConcertID]])</f>
        <v>1</v>
      </c>
      <c r="E3" s="2" t="s">
        <v>196</v>
      </c>
      <c r="F3" s="40" t="str">
        <f>IF(OR(ISNUMBER(MATCH(Table3[[#This Row],[TicketType]], {"VIP","General","Premium"}, 0))), "TRUE", "FALSE")</f>
        <v>FALSE</v>
      </c>
      <c r="G3" s="19" t="str">
        <f>TRIM(SUBSTITUTE(Table3[[#This Row],[TicketType]], "Vip", "VIP"))</f>
        <v>General</v>
      </c>
      <c r="H3" s="2">
        <v>50</v>
      </c>
      <c r="I3" s="40" t="b">
        <f>ISNUMBER(Table3[[#This Row],[Price]])</f>
        <v>1</v>
      </c>
      <c r="J3" s="2">
        <v>100</v>
      </c>
      <c r="K3" s="40" t="b">
        <f>ISNUMBER(Table3[[#This Row],[Availability]])</f>
        <v>1</v>
      </c>
      <c r="L3" s="21">
        <f>VALUE(SUBSTITUTE(Table3[[#This Row],[Availability]], "thirty", 30))</f>
        <v>100</v>
      </c>
    </row>
    <row r="4" spans="1:12" ht="19.95" customHeight="1" thickTop="1" thickBot="1" x14ac:dyDescent="0.35">
      <c r="A4" s="6">
        <v>2203</v>
      </c>
      <c r="B4" s="40" t="str">
        <f>IF(COUNTIF(Table3[TicketID],Table3[[#This Row],[TicketID]])&gt;1, "Duplicate", "Unique")</f>
        <v>Unique</v>
      </c>
      <c r="C4" s="2">
        <v>7780</v>
      </c>
      <c r="D4" s="40" t="b">
        <f>ISNUMBER(Table3[[#This Row],[ConcertID]])</f>
        <v>1</v>
      </c>
      <c r="E4" s="2" t="s">
        <v>89</v>
      </c>
      <c r="F4" s="40" t="str">
        <f>IF(OR(ISNUMBER(MATCH(Table3[[#This Row],[TicketType]], {"VIP","General","Premium"}, 0))), "TRUE", "FALSE")</f>
        <v>TRUE</v>
      </c>
      <c r="G4" s="19" t="str">
        <f>TRIM(SUBSTITUTE(Table3[[#This Row],[TicketType]], "Vip", "VIP"))</f>
        <v>VIP</v>
      </c>
      <c r="H4" s="2">
        <v>120</v>
      </c>
      <c r="I4" s="40" t="b">
        <f>ISNUMBER(Table3[[#This Row],[Price]])</f>
        <v>1</v>
      </c>
      <c r="J4" s="2" t="s">
        <v>195</v>
      </c>
      <c r="K4" s="40" t="b">
        <f>ISNUMBER(Table3[[#This Row],[Availability]])</f>
        <v>0</v>
      </c>
      <c r="L4" s="21">
        <f>VALUE(SUBSTITUTE(Table3[[#This Row],[Availability]], "thirty", 30))</f>
        <v>30</v>
      </c>
    </row>
    <row r="5" spans="1:12" ht="19.95" customHeight="1" thickTop="1" thickBot="1" x14ac:dyDescent="0.35">
      <c r="A5" s="6">
        <v>2204</v>
      </c>
      <c r="B5" s="40" t="str">
        <f>IF(COUNTIF(Table3[TicketID],Table3[[#This Row],[TicketID]])&gt;1, "Duplicate", "Unique")</f>
        <v>Unique</v>
      </c>
      <c r="C5" s="2">
        <v>7781</v>
      </c>
      <c r="D5" s="40" t="b">
        <f>ISNUMBER(Table3[[#This Row],[ConcertID]])</f>
        <v>1</v>
      </c>
      <c r="E5" s="2" t="s">
        <v>90</v>
      </c>
      <c r="F5" s="40" t="str">
        <f>IF(OR(ISNUMBER(MATCH(Table3[[#This Row],[TicketType]], {"VIP","General","Premium"}, 0))), "TRUE", "FALSE")</f>
        <v>TRUE</v>
      </c>
      <c r="G5" s="19" t="str">
        <f>TRIM(SUBSTITUTE(Table3[[#This Row],[TicketType]], "Vip", "VIP"))</f>
        <v>General</v>
      </c>
      <c r="H5" s="2">
        <v>60</v>
      </c>
      <c r="I5" s="40" t="b">
        <f>ISNUMBER(Table3[[#This Row],[Price]])</f>
        <v>1</v>
      </c>
      <c r="J5" s="2">
        <v>80</v>
      </c>
      <c r="K5" s="40" t="b">
        <f>ISNUMBER(Table3[[#This Row],[Availability]])</f>
        <v>1</v>
      </c>
      <c r="L5" s="21">
        <f>VALUE(SUBSTITUTE(Table3[[#This Row],[Availability]], "thirty", 30))</f>
        <v>80</v>
      </c>
    </row>
    <row r="6" spans="1:12" ht="19.95" customHeight="1" thickTop="1" thickBot="1" x14ac:dyDescent="0.35">
      <c r="A6" s="6">
        <v>2205</v>
      </c>
      <c r="B6" s="40" t="str">
        <f>IF(COUNTIF(Table3[TicketID],Table3[[#This Row],[TicketID]])&gt;1, "Duplicate", "Unique")</f>
        <v>Unique</v>
      </c>
      <c r="C6" s="2">
        <v>7782</v>
      </c>
      <c r="D6" s="40" t="b">
        <f>ISNUMBER(Table3[[#This Row],[ConcertID]])</f>
        <v>1</v>
      </c>
      <c r="E6" s="2" t="s">
        <v>91</v>
      </c>
      <c r="F6" s="40" t="str">
        <f>IF(OR(ISNUMBER(MATCH(Table3[[#This Row],[TicketType]], {"VIP","General","Premium"}, 0))), "TRUE", "FALSE")</f>
        <v>TRUE</v>
      </c>
      <c r="G6" s="19" t="str">
        <f>TRIM(SUBSTITUTE(Table3[[#This Row],[TicketType]], "Vip", "VIP"))</f>
        <v>Premium</v>
      </c>
      <c r="H6" s="2">
        <v>75</v>
      </c>
      <c r="I6" s="40" t="b">
        <f>ISNUMBER(Table3[[#This Row],[Price]])</f>
        <v>1</v>
      </c>
      <c r="J6" s="2">
        <v>40</v>
      </c>
      <c r="K6" s="40" t="b">
        <f>ISNUMBER(Table3[[#This Row],[Availability]])</f>
        <v>1</v>
      </c>
      <c r="L6" s="21">
        <f>VALUE(SUBSTITUTE(Table3[[#This Row],[Availability]], "thirty", 30))</f>
        <v>40</v>
      </c>
    </row>
    <row r="7" spans="1:12" ht="19.95" customHeight="1" thickTop="1" thickBot="1" x14ac:dyDescent="0.35">
      <c r="A7" s="6">
        <v>2206</v>
      </c>
      <c r="B7" s="40" t="str">
        <f>IF(COUNTIF(Table3[TicketID],Table3[[#This Row],[TicketID]])&gt;1, "Duplicate", "Unique")</f>
        <v>Unique</v>
      </c>
      <c r="C7" s="2">
        <v>7783</v>
      </c>
      <c r="D7" s="40" t="b">
        <f>ISNUMBER(Table3[[#This Row],[ConcertID]])</f>
        <v>1</v>
      </c>
      <c r="E7" s="2" t="s">
        <v>90</v>
      </c>
      <c r="F7" s="40" t="str">
        <f>IF(OR(ISNUMBER(MATCH(Table3[[#This Row],[TicketType]], {"VIP","General","Premium"}, 0))), "TRUE", "FALSE")</f>
        <v>TRUE</v>
      </c>
      <c r="G7" s="19" t="str">
        <f>TRIM(SUBSTITUTE(Table3[[#This Row],[TicketType]], "Vip", "VIP"))</f>
        <v>General</v>
      </c>
      <c r="H7" s="2">
        <v>45</v>
      </c>
      <c r="I7" s="40" t="b">
        <f>ISNUMBER(Table3[[#This Row],[Price]])</f>
        <v>1</v>
      </c>
      <c r="J7" s="2">
        <v>90</v>
      </c>
      <c r="K7" s="40" t="b">
        <f>ISNUMBER(Table3[[#This Row],[Availability]])</f>
        <v>1</v>
      </c>
      <c r="L7" s="21">
        <f>VALUE(SUBSTITUTE(Table3[[#This Row],[Availability]], "thirty", 30))</f>
        <v>90</v>
      </c>
    </row>
    <row r="8" spans="1:12" ht="19.95" customHeight="1" thickTop="1" thickBot="1" x14ac:dyDescent="0.35">
      <c r="A8" s="6">
        <v>2207</v>
      </c>
      <c r="B8" s="40" t="str">
        <f>IF(COUNTIF(Table3[TicketID],Table3[[#This Row],[TicketID]])&gt;1, "Duplicate", "Unique")</f>
        <v>Unique</v>
      </c>
      <c r="C8" s="2">
        <v>7784</v>
      </c>
      <c r="D8" s="40" t="b">
        <f>ISNUMBER(Table3[[#This Row],[ConcertID]])</f>
        <v>1</v>
      </c>
      <c r="E8" s="2" t="s">
        <v>89</v>
      </c>
      <c r="F8" s="40" t="str">
        <f>IF(OR(ISNUMBER(MATCH(Table3[[#This Row],[TicketType]], {"VIP","General","Premium"}, 0))), "TRUE", "FALSE")</f>
        <v>TRUE</v>
      </c>
      <c r="G8" s="19" t="str">
        <f>TRIM(SUBSTITUTE(Table3[[#This Row],[TicketType]], "Vip", "VIP"))</f>
        <v>VIP</v>
      </c>
      <c r="H8" s="2">
        <v>110</v>
      </c>
      <c r="I8" s="40" t="b">
        <f>ISNUMBER(Table3[[#This Row],[Price]])</f>
        <v>1</v>
      </c>
      <c r="J8" s="2">
        <v>20</v>
      </c>
      <c r="K8" s="40" t="b">
        <f>ISNUMBER(Table3[[#This Row],[Availability]])</f>
        <v>1</v>
      </c>
      <c r="L8" s="21">
        <f>VALUE(SUBSTITUTE(Table3[[#This Row],[Availability]], "thirty", 30))</f>
        <v>20</v>
      </c>
    </row>
    <row r="9" spans="1:12" ht="19.95" customHeight="1" thickTop="1" thickBot="1" x14ac:dyDescent="0.35">
      <c r="A9" s="6">
        <v>2208</v>
      </c>
      <c r="B9" s="40" t="str">
        <f>IF(COUNTIF(Table3[TicketID],Table3[[#This Row],[TicketID]])&gt;1, "Duplicate", "Unique")</f>
        <v>Unique</v>
      </c>
      <c r="C9" s="2">
        <v>7785</v>
      </c>
      <c r="D9" s="40" t="b">
        <f>ISNUMBER(Table3[[#This Row],[ConcertID]])</f>
        <v>1</v>
      </c>
      <c r="E9" s="2" t="s">
        <v>90</v>
      </c>
      <c r="F9" s="40" t="str">
        <f>IF(OR(ISNUMBER(MATCH(Table3[[#This Row],[TicketType]], {"VIP","General","Premium"}, 0))), "TRUE", "FALSE")</f>
        <v>TRUE</v>
      </c>
      <c r="G9" s="19" t="str">
        <f>TRIM(SUBSTITUTE(Table3[[#This Row],[TicketType]], "Vip", "VIP"))</f>
        <v>General</v>
      </c>
      <c r="H9" s="2">
        <v>55</v>
      </c>
      <c r="I9" s="40" t="b">
        <f>ISNUMBER(Table3[[#This Row],[Price]])</f>
        <v>1</v>
      </c>
      <c r="J9" s="2">
        <v>110</v>
      </c>
      <c r="K9" s="40" t="b">
        <f>ISNUMBER(Table3[[#This Row],[Availability]])</f>
        <v>1</v>
      </c>
      <c r="L9" s="21">
        <f>VALUE(SUBSTITUTE(Table3[[#This Row],[Availability]], "thirty", 30))</f>
        <v>110</v>
      </c>
    </row>
    <row r="10" spans="1:12" ht="19.95" customHeight="1" thickTop="1" thickBot="1" x14ac:dyDescent="0.35">
      <c r="A10" s="6">
        <v>2209</v>
      </c>
      <c r="B10" s="40" t="str">
        <f>IF(COUNTIF(Table3[TicketID],Table3[[#This Row],[TicketID]])&gt;1, "Duplicate", "Unique")</f>
        <v>Unique</v>
      </c>
      <c r="C10" s="2">
        <v>7786</v>
      </c>
      <c r="D10" s="40" t="b">
        <f>ISNUMBER(Table3[[#This Row],[ConcertID]])</f>
        <v>1</v>
      </c>
      <c r="E10" s="2" t="s">
        <v>91</v>
      </c>
      <c r="F10" s="40" t="str">
        <f>IF(OR(ISNUMBER(MATCH(Table3[[#This Row],[TicketType]], {"VIP","General","Premium"}, 0))), "TRUE", "FALSE")</f>
        <v>TRUE</v>
      </c>
      <c r="G10" s="19" t="str">
        <f>TRIM(SUBSTITUTE(Table3[[#This Row],[TicketType]], "Vip", "VIP"))</f>
        <v>Premium</v>
      </c>
      <c r="H10" s="2">
        <v>80</v>
      </c>
      <c r="I10" s="40" t="b">
        <f>ISNUMBER(Table3[[#This Row],[Price]])</f>
        <v>1</v>
      </c>
      <c r="J10" s="2">
        <v>35</v>
      </c>
      <c r="K10" s="40" t="b">
        <f>ISNUMBER(Table3[[#This Row],[Availability]])</f>
        <v>1</v>
      </c>
      <c r="L10" s="21">
        <f>VALUE(SUBSTITUTE(Table3[[#This Row],[Availability]], "thirty", 30))</f>
        <v>35</v>
      </c>
    </row>
    <row r="11" spans="1:12" ht="19.95" customHeight="1" thickTop="1" thickBot="1" x14ac:dyDescent="0.35">
      <c r="A11" s="6">
        <v>2210</v>
      </c>
      <c r="B11" s="40" t="str">
        <f>IF(COUNTIF(Table3[TicketID],Table3[[#This Row],[TicketID]])&gt;1, "Duplicate", "Unique")</f>
        <v>Unique</v>
      </c>
      <c r="C11" s="2">
        <v>7787</v>
      </c>
      <c r="D11" s="40" t="b">
        <f>ISNUMBER(Table3[[#This Row],[ConcertID]])</f>
        <v>1</v>
      </c>
      <c r="E11" s="2" t="s">
        <v>90</v>
      </c>
      <c r="F11" s="40" t="str">
        <f>IF(OR(ISNUMBER(MATCH(Table3[[#This Row],[TicketType]], {"VIP","General","Premium"}, 0))), "TRUE", "FALSE")</f>
        <v>TRUE</v>
      </c>
      <c r="G11" s="19" t="str">
        <f>TRIM(SUBSTITUTE(Table3[[#This Row],[TicketType]], "Vip", "VIP"))</f>
        <v>General</v>
      </c>
      <c r="H11" s="2">
        <v>50</v>
      </c>
      <c r="I11" s="40" t="b">
        <f>ISNUMBER(Table3[[#This Row],[Price]])</f>
        <v>1</v>
      </c>
      <c r="J11" s="2">
        <v>95</v>
      </c>
      <c r="K11" s="40" t="b">
        <f>ISNUMBER(Table3[[#This Row],[Availability]])</f>
        <v>1</v>
      </c>
      <c r="L11" s="21">
        <f>VALUE(SUBSTITUTE(Table3[[#This Row],[Availability]], "thirty", 30))</f>
        <v>95</v>
      </c>
    </row>
    <row r="12" spans="1:12" ht="19.95" customHeight="1" thickTop="1" thickBot="1" x14ac:dyDescent="0.35">
      <c r="A12" s="6">
        <v>2211</v>
      </c>
      <c r="B12" s="40" t="str">
        <f>IF(COUNTIF(Table3[TicketID],Table3[[#This Row],[TicketID]])&gt;1, "Duplicate", "Unique")</f>
        <v>Unique</v>
      </c>
      <c r="C12" s="2">
        <v>7788</v>
      </c>
      <c r="D12" s="40" t="b">
        <f>ISNUMBER(Table3[[#This Row],[ConcertID]])</f>
        <v>1</v>
      </c>
      <c r="E12" s="2" t="s">
        <v>89</v>
      </c>
      <c r="F12" s="40" t="str">
        <f>IF(OR(ISNUMBER(MATCH(Table3[[#This Row],[TicketType]], {"VIP","General","Premium"}, 0))), "TRUE", "FALSE")</f>
        <v>TRUE</v>
      </c>
      <c r="G12" s="19" t="str">
        <f>TRIM(SUBSTITUTE(Table3[[#This Row],[TicketType]], "Vip", "VIP"))</f>
        <v>VIP</v>
      </c>
      <c r="H12" s="2">
        <v>95</v>
      </c>
      <c r="I12" s="40" t="b">
        <f>ISNUMBER(Table3[[#This Row],[Price]])</f>
        <v>1</v>
      </c>
      <c r="J12" s="2">
        <v>25</v>
      </c>
      <c r="K12" s="40" t="b">
        <f>ISNUMBER(Table3[[#This Row],[Availability]])</f>
        <v>1</v>
      </c>
      <c r="L12" s="21">
        <f>VALUE(SUBSTITUTE(Table3[[#This Row],[Availability]], "thirty", 30))</f>
        <v>25</v>
      </c>
    </row>
    <row r="13" spans="1:12" ht="19.95" customHeight="1" thickTop="1" thickBot="1" x14ac:dyDescent="0.35">
      <c r="A13" s="6">
        <v>2212</v>
      </c>
      <c r="B13" s="40" t="str">
        <f>IF(COUNTIF(Table3[TicketID],Table3[[#This Row],[TicketID]])&gt;1, "Duplicate", "Unique")</f>
        <v>Unique</v>
      </c>
      <c r="C13" s="2">
        <v>7789</v>
      </c>
      <c r="D13" s="40" t="b">
        <f>ISNUMBER(Table3[[#This Row],[ConcertID]])</f>
        <v>1</v>
      </c>
      <c r="E13" s="2" t="s">
        <v>90</v>
      </c>
      <c r="F13" s="40" t="str">
        <f>IF(OR(ISNUMBER(MATCH(Table3[[#This Row],[TicketType]], {"VIP","General","Premium"}, 0))), "TRUE", "FALSE")</f>
        <v>TRUE</v>
      </c>
      <c r="G13" s="19" t="str">
        <f>TRIM(SUBSTITUTE(Table3[[#This Row],[TicketType]], "Vip", "VIP"))</f>
        <v>General</v>
      </c>
      <c r="H13" s="2">
        <v>48</v>
      </c>
      <c r="I13" s="40" t="b">
        <f>ISNUMBER(Table3[[#This Row],[Price]])</f>
        <v>1</v>
      </c>
      <c r="J13" s="2">
        <v>105</v>
      </c>
      <c r="K13" s="40" t="b">
        <f>ISNUMBER(Table3[[#This Row],[Availability]])</f>
        <v>1</v>
      </c>
      <c r="L13" s="21">
        <f>VALUE(SUBSTITUTE(Table3[[#This Row],[Availability]], "thirty", 30))</f>
        <v>105</v>
      </c>
    </row>
    <row r="14" spans="1:12" ht="19.95" customHeight="1" thickTop="1" thickBot="1" x14ac:dyDescent="0.35">
      <c r="A14" s="6">
        <v>2213</v>
      </c>
      <c r="B14" s="40" t="str">
        <f>IF(COUNTIF(Table3[TicketID],Table3[[#This Row],[TicketID]])&gt;1, "Duplicate", "Unique")</f>
        <v>Unique</v>
      </c>
      <c r="C14" s="2">
        <v>7790</v>
      </c>
      <c r="D14" s="40" t="b">
        <f>ISNUMBER(Table3[[#This Row],[ConcertID]])</f>
        <v>1</v>
      </c>
      <c r="E14" s="2" t="s">
        <v>91</v>
      </c>
      <c r="F14" s="40" t="str">
        <f>IF(OR(ISNUMBER(MATCH(Table3[[#This Row],[TicketType]], {"VIP","General","Premium"}, 0))), "TRUE", "FALSE")</f>
        <v>TRUE</v>
      </c>
      <c r="G14" s="19" t="str">
        <f>TRIM(SUBSTITUTE(Table3[[#This Row],[TicketType]], "Vip", "VIP"))</f>
        <v>Premium</v>
      </c>
      <c r="H14" s="2">
        <v>70</v>
      </c>
      <c r="I14" s="40" t="b">
        <f>ISNUMBER(Table3[[#This Row],[Price]])</f>
        <v>1</v>
      </c>
      <c r="J14" s="2">
        <v>38</v>
      </c>
      <c r="K14" s="40" t="b">
        <f>ISNUMBER(Table3[[#This Row],[Availability]])</f>
        <v>1</v>
      </c>
      <c r="L14" s="21">
        <f>VALUE(SUBSTITUTE(Table3[[#This Row],[Availability]], "thirty", 30))</f>
        <v>38</v>
      </c>
    </row>
    <row r="15" spans="1:12" ht="19.95" customHeight="1" thickTop="1" thickBot="1" x14ac:dyDescent="0.35">
      <c r="A15" s="6">
        <v>2214</v>
      </c>
      <c r="B15" s="40" t="str">
        <f>IF(COUNTIF(Table3[TicketID],Table3[[#This Row],[TicketID]])&gt;1, "Duplicate", "Unique")</f>
        <v>Unique</v>
      </c>
      <c r="C15" s="2">
        <v>7791</v>
      </c>
      <c r="D15" s="40" t="b">
        <f>ISNUMBER(Table3[[#This Row],[ConcertID]])</f>
        <v>1</v>
      </c>
      <c r="E15" s="2" t="s">
        <v>90</v>
      </c>
      <c r="F15" s="40" t="str">
        <f>IF(OR(ISNUMBER(MATCH(Table3[[#This Row],[TicketType]], {"VIP","General","Premium"}, 0))), "TRUE", "FALSE")</f>
        <v>TRUE</v>
      </c>
      <c r="G15" s="19" t="str">
        <f>TRIM(SUBSTITUTE(Table3[[#This Row],[TicketType]], "Vip", "VIP"))</f>
        <v>General</v>
      </c>
      <c r="H15" s="2">
        <v>42</v>
      </c>
      <c r="I15" s="40" t="b">
        <f>ISNUMBER(Table3[[#This Row],[Price]])</f>
        <v>1</v>
      </c>
      <c r="J15" s="2">
        <v>88</v>
      </c>
      <c r="K15" s="40" t="b">
        <f>ISNUMBER(Table3[[#This Row],[Availability]])</f>
        <v>1</v>
      </c>
      <c r="L15" s="21">
        <f>VALUE(SUBSTITUTE(Table3[[#This Row],[Availability]], "thirty", 30))</f>
        <v>88</v>
      </c>
    </row>
    <row r="16" spans="1:12" ht="19.95" customHeight="1" thickTop="1" thickBot="1" x14ac:dyDescent="0.35">
      <c r="A16" s="6">
        <v>2215</v>
      </c>
      <c r="B16" s="40" t="str">
        <f>IF(COUNTIF(Table3[TicketID],Table3[[#This Row],[TicketID]])&gt;1, "Duplicate", "Unique")</f>
        <v>Unique</v>
      </c>
      <c r="C16" s="2">
        <v>7792</v>
      </c>
      <c r="D16" s="40" t="b">
        <f>ISNUMBER(Table3[[#This Row],[ConcertID]])</f>
        <v>1</v>
      </c>
      <c r="E16" s="2" t="s">
        <v>89</v>
      </c>
      <c r="F16" s="40" t="str">
        <f>IF(OR(ISNUMBER(MATCH(Table3[[#This Row],[TicketType]], {"VIP","General","Premium"}, 0))), "TRUE", "FALSE")</f>
        <v>TRUE</v>
      </c>
      <c r="G16" s="19" t="str">
        <f>TRIM(SUBSTITUTE(Table3[[#This Row],[TicketType]], "Vip", "VIP"))</f>
        <v>VIP</v>
      </c>
      <c r="H16" s="2">
        <v>105</v>
      </c>
      <c r="I16" s="40" t="b">
        <f>ISNUMBER(Table3[[#This Row],[Price]])</f>
        <v>1</v>
      </c>
      <c r="J16" s="2">
        <v>22</v>
      </c>
      <c r="K16" s="40" t="b">
        <f>ISNUMBER(Table3[[#This Row],[Availability]])</f>
        <v>1</v>
      </c>
      <c r="L16" s="21">
        <f>VALUE(SUBSTITUTE(Table3[[#This Row],[Availability]], "thirty", 30))</f>
        <v>22</v>
      </c>
    </row>
    <row r="17" spans="1:12" ht="19.95" customHeight="1" thickTop="1" thickBot="1" x14ac:dyDescent="0.35">
      <c r="A17" s="6">
        <v>2216</v>
      </c>
      <c r="B17" s="40" t="str">
        <f>IF(COUNTIF(Table3[TicketID],Table3[[#This Row],[TicketID]])&gt;1, "Duplicate", "Unique")</f>
        <v>Unique</v>
      </c>
      <c r="C17" s="2">
        <v>7793</v>
      </c>
      <c r="D17" s="40" t="b">
        <f>ISNUMBER(Table3[[#This Row],[ConcertID]])</f>
        <v>1</v>
      </c>
      <c r="E17" s="2" t="s">
        <v>90</v>
      </c>
      <c r="F17" s="40" t="str">
        <f>IF(OR(ISNUMBER(MATCH(Table3[[#This Row],[TicketType]], {"VIP","General","Premium"}, 0))), "TRUE", "FALSE")</f>
        <v>TRUE</v>
      </c>
      <c r="G17" s="19" t="str">
        <f>TRIM(SUBSTITUTE(Table3[[#This Row],[TicketType]], "Vip", "VIP"))</f>
        <v>General</v>
      </c>
      <c r="H17" s="2">
        <v>52</v>
      </c>
      <c r="I17" s="40" t="b">
        <f>ISNUMBER(Table3[[#This Row],[Price]])</f>
        <v>1</v>
      </c>
      <c r="J17" s="2">
        <v>98</v>
      </c>
      <c r="K17" s="40" t="b">
        <f>ISNUMBER(Table3[[#This Row],[Availability]])</f>
        <v>1</v>
      </c>
      <c r="L17" s="21">
        <f>VALUE(SUBSTITUTE(Table3[[#This Row],[Availability]], "thirty", 30))</f>
        <v>98</v>
      </c>
    </row>
    <row r="18" spans="1:12" ht="19.95" customHeight="1" thickTop="1" thickBot="1" x14ac:dyDescent="0.35">
      <c r="A18" s="6">
        <v>2217</v>
      </c>
      <c r="B18" s="40" t="str">
        <f>IF(COUNTIF(Table3[TicketID],Table3[[#This Row],[TicketID]])&gt;1, "Duplicate", "Unique")</f>
        <v>Unique</v>
      </c>
      <c r="C18" s="2">
        <v>7794</v>
      </c>
      <c r="D18" s="40" t="b">
        <f>ISNUMBER(Table3[[#This Row],[ConcertID]])</f>
        <v>1</v>
      </c>
      <c r="E18" s="2" t="s">
        <v>91</v>
      </c>
      <c r="F18" s="40" t="str">
        <f>IF(OR(ISNUMBER(MATCH(Table3[[#This Row],[TicketType]], {"VIP","General","Premium"}, 0))), "TRUE", "FALSE")</f>
        <v>TRUE</v>
      </c>
      <c r="G18" s="19" t="str">
        <f>TRIM(SUBSTITUTE(Table3[[#This Row],[TicketType]], "Vip", "VIP"))</f>
        <v>Premium</v>
      </c>
      <c r="H18" s="2">
        <v>85</v>
      </c>
      <c r="I18" s="40" t="b">
        <f>ISNUMBER(Table3[[#This Row],[Price]])</f>
        <v>1</v>
      </c>
      <c r="J18" s="2">
        <v>33</v>
      </c>
      <c r="K18" s="40" t="b">
        <f>ISNUMBER(Table3[[#This Row],[Availability]])</f>
        <v>1</v>
      </c>
      <c r="L18" s="21">
        <f>VALUE(SUBSTITUTE(Table3[[#This Row],[Availability]], "thirty", 30))</f>
        <v>33</v>
      </c>
    </row>
    <row r="19" spans="1:12" ht="19.95" customHeight="1" thickTop="1" thickBot="1" x14ac:dyDescent="0.35">
      <c r="A19" s="6">
        <v>2218</v>
      </c>
      <c r="B19" s="40" t="str">
        <f>IF(COUNTIF(Table3[TicketID],Table3[[#This Row],[TicketID]])&gt;1, "Duplicate", "Unique")</f>
        <v>Unique</v>
      </c>
      <c r="C19" s="2">
        <v>7795</v>
      </c>
      <c r="D19" s="40" t="b">
        <f>ISNUMBER(Table3[[#This Row],[ConcertID]])</f>
        <v>1</v>
      </c>
      <c r="E19" s="2" t="s">
        <v>90</v>
      </c>
      <c r="F19" s="40" t="str">
        <f>IF(OR(ISNUMBER(MATCH(Table3[[#This Row],[TicketType]], {"VIP","General","Premium"}, 0))), "TRUE", "FALSE")</f>
        <v>TRUE</v>
      </c>
      <c r="G19" s="19" t="str">
        <f>TRIM(SUBSTITUTE(Table3[[#This Row],[TicketType]], "Vip", "VIP"))</f>
        <v>General</v>
      </c>
      <c r="H19" s="2">
        <v>50</v>
      </c>
      <c r="I19" s="40" t="b">
        <f>ISNUMBER(Table3[[#This Row],[Price]])</f>
        <v>1</v>
      </c>
      <c r="J19" s="2">
        <v>100</v>
      </c>
      <c r="K19" s="40" t="b">
        <f>ISNUMBER(Table3[[#This Row],[Availability]])</f>
        <v>1</v>
      </c>
      <c r="L19" s="21">
        <f>VALUE(SUBSTITUTE(Table3[[#This Row],[Availability]], "thirty", 30))</f>
        <v>100</v>
      </c>
    </row>
    <row r="20" spans="1:12" ht="19.95" customHeight="1" thickTop="1" thickBot="1" x14ac:dyDescent="0.35">
      <c r="A20" s="6">
        <v>2219</v>
      </c>
      <c r="B20" s="40" t="str">
        <f>IF(COUNTIF(Table3[TicketID],Table3[[#This Row],[TicketID]])&gt;1, "Duplicate", "Unique")</f>
        <v>Unique</v>
      </c>
      <c r="C20" s="2">
        <v>7796</v>
      </c>
      <c r="D20" s="40" t="b">
        <f>ISNUMBER(Table3[[#This Row],[ConcertID]])</f>
        <v>1</v>
      </c>
      <c r="E20" s="2" t="s">
        <v>197</v>
      </c>
      <c r="F20" s="40" t="str">
        <f>IF(OR(ISNUMBER(MATCH(Table3[[#This Row],[TicketType]], {"VIP","General","Premium"}, 0))), "TRUE", "FALSE")</f>
        <v>TRUE</v>
      </c>
      <c r="G20" s="19" t="str">
        <f>TRIM(SUBSTITUTE(Table3[[#This Row],[TicketType]], "Vip", "VIP"))</f>
        <v>VIP</v>
      </c>
      <c r="H20" s="2">
        <v>100</v>
      </c>
      <c r="I20" s="40" t="b">
        <f>ISNUMBER(Table3[[#This Row],[Price]])</f>
        <v>1</v>
      </c>
      <c r="J20" s="2">
        <v>28</v>
      </c>
      <c r="K20" s="40" t="b">
        <f>ISNUMBER(Table3[[#This Row],[Availability]])</f>
        <v>1</v>
      </c>
      <c r="L20" s="21">
        <f>VALUE(SUBSTITUTE(Table3[[#This Row],[Availability]], "thirty", 30))</f>
        <v>28</v>
      </c>
    </row>
    <row r="21" spans="1:12" ht="19.95" customHeight="1" thickTop="1" thickBot="1" x14ac:dyDescent="0.35">
      <c r="A21" s="5">
        <v>2220</v>
      </c>
      <c r="B21" s="40" t="str">
        <f>IF(COUNTIF(Table3[TicketID],Table3[[#This Row],[TicketID]])&gt;1, "Duplicate", "Unique")</f>
        <v>Unique</v>
      </c>
      <c r="C21" s="3">
        <v>7797</v>
      </c>
      <c r="D21" s="40" t="b">
        <f>ISNUMBER(Table3[[#This Row],[ConcertID]])</f>
        <v>1</v>
      </c>
      <c r="E21" s="3" t="s">
        <v>90</v>
      </c>
      <c r="F21" s="40" t="str">
        <f>IF(OR(ISNUMBER(MATCH(Table3[[#This Row],[TicketType]], {"VIP","General","Premium"}, 0))), "TRUE", "FALSE")</f>
        <v>TRUE</v>
      </c>
      <c r="G21" s="19" t="str">
        <f>TRIM(SUBSTITUTE(Table3[[#This Row],[TicketType]], "Vip", "VIP"))</f>
        <v>General</v>
      </c>
      <c r="H21" s="3">
        <v>55</v>
      </c>
      <c r="I21" s="40" t="b">
        <f>ISNUMBER(Table3[[#This Row],[Price]])</f>
        <v>1</v>
      </c>
      <c r="J21" s="3">
        <v>95</v>
      </c>
      <c r="K21" s="40" t="b">
        <f>ISNUMBER(Table3[[#This Row],[Availability]])</f>
        <v>1</v>
      </c>
      <c r="L21" s="21">
        <f>VALUE(SUBSTITUTE(Table3[[#This Row],[Availability]], "thirty", 30))</f>
        <v>95</v>
      </c>
    </row>
    <row r="22" spans="1:12" ht="19.95" customHeight="1" thickTop="1" x14ac:dyDescent="0.3"/>
    <row r="24" spans="1:12" x14ac:dyDescent="0.3">
      <c r="A24" t="s">
        <v>230</v>
      </c>
    </row>
    <row r="25" spans="1:12" ht="16.2" thickBot="1" x14ac:dyDescent="0.35">
      <c r="A25" s="27">
        <v>2208</v>
      </c>
      <c r="B25" s="28" t="s">
        <v>231</v>
      </c>
      <c r="C25" s="27">
        <v>7785</v>
      </c>
      <c r="D25" s="27" t="s">
        <v>90</v>
      </c>
      <c r="E25" s="27">
        <v>55</v>
      </c>
      <c r="F25" s="27">
        <v>110</v>
      </c>
    </row>
  </sheetData>
  <phoneticPr fontId="2" type="noConversion"/>
  <conditionalFormatting sqref="B1:B21 B25">
    <cfRule type="containsText" dxfId="12" priority="4" operator="containsText" text="Duplicate">
      <formula>NOT(ISERROR(SEARCH("Duplicate",B1)))</formula>
    </cfRule>
  </conditionalFormatting>
  <conditionalFormatting sqref="D1:D21 F1:F21 I1:I21 K1:K21">
    <cfRule type="containsText" dxfId="11" priority="1" operator="containsText" text="FALSE">
      <formula>NOT(ISERROR(SEARCH("FALSE",D1)))</formula>
    </cfRule>
  </conditionalFormatting>
  <conditionalFormatting sqref="K1:K21">
    <cfRule type="containsText" dxfId="10" priority="2" operator="containsText" text="False">
      <formula>NOT(ISERROR(SEARCH("False",K1)))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89F8-F54C-4FF7-B432-67A9CFAC6CD9}">
  <sheetPr>
    <tabColor theme="9" tint="-0.249977111117893"/>
  </sheetPr>
  <dimension ref="A1:E22"/>
  <sheetViews>
    <sheetView zoomScale="85" zoomScaleNormal="85" workbookViewId="0">
      <selection activeCell="F12" sqref="F12"/>
    </sheetView>
  </sheetViews>
  <sheetFormatPr defaultColWidth="20.77734375" defaultRowHeight="14.4" x14ac:dyDescent="0.3"/>
  <sheetData>
    <row r="1" spans="1:5" ht="19.95" customHeight="1" thickBot="1" x14ac:dyDescent="0.35">
      <c r="A1" s="12" t="s">
        <v>85</v>
      </c>
      <c r="B1" s="13" t="s">
        <v>92</v>
      </c>
      <c r="C1" s="13" t="s">
        <v>86</v>
      </c>
      <c r="D1" s="13" t="s">
        <v>87</v>
      </c>
      <c r="E1" s="13" t="s">
        <v>88</v>
      </c>
    </row>
    <row r="2" spans="1:5" ht="19.95" customHeight="1" thickBot="1" x14ac:dyDescent="0.35">
      <c r="A2" s="6">
        <v>2201</v>
      </c>
      <c r="B2" s="2">
        <v>7778</v>
      </c>
      <c r="C2" s="2" t="str">
        <f>TRIM(SUBSTITUTE(Table3[[#This Row],[TicketType]], "Vip", "VIP"))</f>
        <v>VIP</v>
      </c>
      <c r="D2" s="2">
        <v>100</v>
      </c>
      <c r="E2" s="3">
        <f>VALUE(SUBSTITUTE(Table3[[#This Row],[Availability]], "thirty", 30))</f>
        <v>50</v>
      </c>
    </row>
    <row r="3" spans="1:5" ht="19.95" customHeight="1" thickBot="1" x14ac:dyDescent="0.35">
      <c r="A3" s="6">
        <v>2202</v>
      </c>
      <c r="B3" s="2">
        <v>7779</v>
      </c>
      <c r="C3" s="2" t="str">
        <f>TRIM(SUBSTITUTE(Table3[[#This Row],[TicketType]], "Vip", "VIP"))</f>
        <v>General</v>
      </c>
      <c r="D3" s="2">
        <v>50</v>
      </c>
      <c r="E3" s="3">
        <f>VALUE(SUBSTITUTE(Table3[[#This Row],[Availability]], "thirty", 30))</f>
        <v>100</v>
      </c>
    </row>
    <row r="4" spans="1:5" ht="19.95" customHeight="1" thickBot="1" x14ac:dyDescent="0.35">
      <c r="A4" s="6">
        <v>2203</v>
      </c>
      <c r="B4" s="2">
        <v>7780</v>
      </c>
      <c r="C4" s="2" t="str">
        <f>TRIM(SUBSTITUTE(Table3[[#This Row],[TicketType]], "Vip", "VIP"))</f>
        <v>VIP</v>
      </c>
      <c r="D4" s="2">
        <v>120</v>
      </c>
      <c r="E4" s="3">
        <f>VALUE(SUBSTITUTE(Table3[[#This Row],[Availability]], "thirty", 30))</f>
        <v>30</v>
      </c>
    </row>
    <row r="5" spans="1:5" ht="19.95" customHeight="1" thickBot="1" x14ac:dyDescent="0.35">
      <c r="A5" s="6">
        <v>2204</v>
      </c>
      <c r="B5" s="2">
        <v>7781</v>
      </c>
      <c r="C5" s="2" t="str">
        <f>TRIM(SUBSTITUTE(Table3[[#This Row],[TicketType]], "Vip", "VIP"))</f>
        <v>General</v>
      </c>
      <c r="D5" s="2">
        <v>60</v>
      </c>
      <c r="E5" s="3">
        <f>VALUE(SUBSTITUTE(Table3[[#This Row],[Availability]], "thirty", 30))</f>
        <v>80</v>
      </c>
    </row>
    <row r="6" spans="1:5" ht="19.95" customHeight="1" thickBot="1" x14ac:dyDescent="0.35">
      <c r="A6" s="6">
        <v>2205</v>
      </c>
      <c r="B6" s="2">
        <v>7782</v>
      </c>
      <c r="C6" s="2" t="str">
        <f>TRIM(SUBSTITUTE(Table3[[#This Row],[TicketType]], "Vip", "VIP"))</f>
        <v>Premium</v>
      </c>
      <c r="D6" s="2">
        <v>75</v>
      </c>
      <c r="E6" s="3">
        <f>VALUE(SUBSTITUTE(Table3[[#This Row],[Availability]], "thirty", 30))</f>
        <v>40</v>
      </c>
    </row>
    <row r="7" spans="1:5" ht="19.95" customHeight="1" thickBot="1" x14ac:dyDescent="0.35">
      <c r="A7" s="6">
        <v>2206</v>
      </c>
      <c r="B7" s="2">
        <v>7783</v>
      </c>
      <c r="C7" s="2" t="str">
        <f>TRIM(SUBSTITUTE(Table3[[#This Row],[TicketType]], "Vip", "VIP"))</f>
        <v>General</v>
      </c>
      <c r="D7" s="2">
        <v>45</v>
      </c>
      <c r="E7" s="3">
        <f>VALUE(SUBSTITUTE(Table3[[#This Row],[Availability]], "thirty", 30))</f>
        <v>90</v>
      </c>
    </row>
    <row r="8" spans="1:5" ht="19.95" customHeight="1" thickBot="1" x14ac:dyDescent="0.35">
      <c r="A8" s="6">
        <v>2207</v>
      </c>
      <c r="B8" s="2">
        <v>7784</v>
      </c>
      <c r="C8" s="2" t="str">
        <f>TRIM(SUBSTITUTE(Table3[[#This Row],[TicketType]], "Vip", "VIP"))</f>
        <v>VIP</v>
      </c>
      <c r="D8" s="2">
        <v>110</v>
      </c>
      <c r="E8" s="3">
        <f>VALUE(SUBSTITUTE(Table3[[#This Row],[Availability]], "thirty", 30))</f>
        <v>20</v>
      </c>
    </row>
    <row r="9" spans="1:5" ht="19.95" customHeight="1" thickBot="1" x14ac:dyDescent="0.35">
      <c r="A9" s="6">
        <v>2208</v>
      </c>
      <c r="B9" s="2">
        <v>7785</v>
      </c>
      <c r="C9" s="2" t="str">
        <f>TRIM(SUBSTITUTE(Table3[[#This Row],[TicketType]], "Vip", "VIP"))</f>
        <v>General</v>
      </c>
      <c r="D9" s="2">
        <v>55</v>
      </c>
      <c r="E9" s="3">
        <f>VALUE(SUBSTITUTE(Table3[[#This Row],[Availability]], "thirty", 30))</f>
        <v>110</v>
      </c>
    </row>
    <row r="10" spans="1:5" ht="19.95" customHeight="1" thickBot="1" x14ac:dyDescent="0.35">
      <c r="A10" s="6">
        <v>2209</v>
      </c>
      <c r="B10" s="2">
        <v>7786</v>
      </c>
      <c r="C10" s="2" t="str">
        <f>TRIM(SUBSTITUTE(Table3[[#This Row],[TicketType]], "Vip", "VIP"))</f>
        <v>Premium</v>
      </c>
      <c r="D10" s="2">
        <v>80</v>
      </c>
      <c r="E10" s="3">
        <f>VALUE(SUBSTITUTE(Table3[[#This Row],[Availability]], "thirty", 30))</f>
        <v>35</v>
      </c>
    </row>
    <row r="11" spans="1:5" ht="19.95" customHeight="1" thickBot="1" x14ac:dyDescent="0.35">
      <c r="A11" s="6">
        <v>2210</v>
      </c>
      <c r="B11" s="2">
        <v>7787</v>
      </c>
      <c r="C11" s="2" t="str">
        <f>TRIM(SUBSTITUTE(Table3[[#This Row],[TicketType]], "Vip", "VIP"))</f>
        <v>General</v>
      </c>
      <c r="D11" s="2">
        <v>50</v>
      </c>
      <c r="E11" s="3">
        <f>VALUE(SUBSTITUTE(Table3[[#This Row],[Availability]], "thirty", 30))</f>
        <v>95</v>
      </c>
    </row>
    <row r="12" spans="1:5" ht="19.95" customHeight="1" thickBot="1" x14ac:dyDescent="0.35">
      <c r="A12" s="6">
        <v>2211</v>
      </c>
      <c r="B12" s="2">
        <v>7788</v>
      </c>
      <c r="C12" s="2" t="str">
        <f>TRIM(SUBSTITUTE(Table3[[#This Row],[TicketType]], "Vip", "VIP"))</f>
        <v>VIP</v>
      </c>
      <c r="D12" s="2">
        <v>95</v>
      </c>
      <c r="E12" s="3">
        <f>VALUE(SUBSTITUTE(Table3[[#This Row],[Availability]], "thirty", 30))</f>
        <v>25</v>
      </c>
    </row>
    <row r="13" spans="1:5" ht="19.95" customHeight="1" thickBot="1" x14ac:dyDescent="0.35">
      <c r="A13" s="6">
        <v>2212</v>
      </c>
      <c r="B13" s="2">
        <v>7789</v>
      </c>
      <c r="C13" s="2" t="str">
        <f>TRIM(SUBSTITUTE(Table3[[#This Row],[TicketType]], "Vip", "VIP"))</f>
        <v>General</v>
      </c>
      <c r="D13" s="2">
        <v>48</v>
      </c>
      <c r="E13" s="3">
        <f>VALUE(SUBSTITUTE(Table3[[#This Row],[Availability]], "thirty", 30))</f>
        <v>105</v>
      </c>
    </row>
    <row r="14" spans="1:5" ht="19.95" customHeight="1" thickBot="1" x14ac:dyDescent="0.35">
      <c r="A14" s="6">
        <v>2213</v>
      </c>
      <c r="B14" s="2">
        <v>7790</v>
      </c>
      <c r="C14" s="2" t="str">
        <f>TRIM(SUBSTITUTE(Table3[[#This Row],[TicketType]], "Vip", "VIP"))</f>
        <v>Premium</v>
      </c>
      <c r="D14" s="2">
        <v>70</v>
      </c>
      <c r="E14" s="3">
        <f>VALUE(SUBSTITUTE(Table3[[#This Row],[Availability]], "thirty", 30))</f>
        <v>38</v>
      </c>
    </row>
    <row r="15" spans="1:5" ht="19.95" customHeight="1" thickBot="1" x14ac:dyDescent="0.35">
      <c r="A15" s="6">
        <v>2214</v>
      </c>
      <c r="B15" s="2">
        <v>7791</v>
      </c>
      <c r="C15" s="2" t="str">
        <f>TRIM(SUBSTITUTE(Table3[[#This Row],[TicketType]], "Vip", "VIP"))</f>
        <v>General</v>
      </c>
      <c r="D15" s="2">
        <v>42</v>
      </c>
      <c r="E15" s="3">
        <f>VALUE(SUBSTITUTE(Table3[[#This Row],[Availability]], "thirty", 30))</f>
        <v>88</v>
      </c>
    </row>
    <row r="16" spans="1:5" ht="19.95" customHeight="1" thickBot="1" x14ac:dyDescent="0.35">
      <c r="A16" s="6">
        <v>2215</v>
      </c>
      <c r="B16" s="2">
        <v>7792</v>
      </c>
      <c r="C16" s="2" t="str">
        <f>TRIM(SUBSTITUTE(Table3[[#This Row],[TicketType]], "Vip", "VIP"))</f>
        <v>VIP</v>
      </c>
      <c r="D16" s="2">
        <v>105</v>
      </c>
      <c r="E16" s="3">
        <f>VALUE(SUBSTITUTE(Table3[[#This Row],[Availability]], "thirty", 30))</f>
        <v>22</v>
      </c>
    </row>
    <row r="17" spans="1:5" ht="19.95" customHeight="1" thickBot="1" x14ac:dyDescent="0.35">
      <c r="A17" s="6">
        <v>2216</v>
      </c>
      <c r="B17" s="2">
        <v>7793</v>
      </c>
      <c r="C17" s="2" t="str">
        <f>TRIM(SUBSTITUTE(Table3[[#This Row],[TicketType]], "Vip", "VIP"))</f>
        <v>General</v>
      </c>
      <c r="D17" s="2">
        <v>52</v>
      </c>
      <c r="E17" s="3">
        <f>VALUE(SUBSTITUTE(Table3[[#This Row],[Availability]], "thirty", 30))</f>
        <v>98</v>
      </c>
    </row>
    <row r="18" spans="1:5" ht="19.95" customHeight="1" thickBot="1" x14ac:dyDescent="0.35">
      <c r="A18" s="6">
        <v>2217</v>
      </c>
      <c r="B18" s="2">
        <v>7794</v>
      </c>
      <c r="C18" s="2" t="str">
        <f>TRIM(SUBSTITUTE(Table3[[#This Row],[TicketType]], "Vip", "VIP"))</f>
        <v>Premium</v>
      </c>
      <c r="D18" s="2">
        <v>85</v>
      </c>
      <c r="E18" s="3">
        <f>VALUE(SUBSTITUTE(Table3[[#This Row],[Availability]], "thirty", 30))</f>
        <v>33</v>
      </c>
    </row>
    <row r="19" spans="1:5" ht="19.95" customHeight="1" thickBot="1" x14ac:dyDescent="0.35">
      <c r="A19" s="6">
        <v>2218</v>
      </c>
      <c r="B19" s="2">
        <v>7795</v>
      </c>
      <c r="C19" s="2" t="str">
        <f>TRIM(SUBSTITUTE(Table3[[#This Row],[TicketType]], "Vip", "VIP"))</f>
        <v>General</v>
      </c>
      <c r="D19" s="2">
        <v>50</v>
      </c>
      <c r="E19" s="3">
        <f>VALUE(SUBSTITUTE(Table3[[#This Row],[Availability]], "thirty", 30))</f>
        <v>100</v>
      </c>
    </row>
    <row r="20" spans="1:5" ht="19.95" customHeight="1" thickBot="1" x14ac:dyDescent="0.35">
      <c r="A20" s="6">
        <v>2219</v>
      </c>
      <c r="B20" s="2">
        <v>7796</v>
      </c>
      <c r="C20" s="2" t="str">
        <f>TRIM(SUBSTITUTE(Table3[[#This Row],[TicketType]], "Vip", "VIP"))</f>
        <v>VIP</v>
      </c>
      <c r="D20" s="2">
        <v>100</v>
      </c>
      <c r="E20" s="3">
        <f>VALUE(SUBSTITUTE(Table3[[#This Row],[Availability]], "thirty", 30))</f>
        <v>28</v>
      </c>
    </row>
    <row r="21" spans="1:5" ht="19.95" customHeight="1" thickBot="1" x14ac:dyDescent="0.35">
      <c r="A21" s="5">
        <v>2220</v>
      </c>
      <c r="B21" s="3">
        <v>7797</v>
      </c>
      <c r="C21" s="2" t="str">
        <f>TRIM(SUBSTITUTE(Table3[[#This Row],[TicketType]], "Vip", "VIP"))</f>
        <v>General</v>
      </c>
      <c r="D21" s="3">
        <v>55</v>
      </c>
      <c r="E21" s="3">
        <f>VALUE(SUBSTITUTE(Table3[[#This Row],[Availability]], "thirty", 30))</f>
        <v>95</v>
      </c>
    </row>
    <row r="22" spans="1:5" ht="19.95" customHeight="1" x14ac:dyDescent="0.3"/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D1B-9D93-439F-AFEF-7B5ABABF8675}">
  <sheetPr>
    <tabColor rgb="FFFF0000"/>
  </sheetPr>
  <dimension ref="A1:E21"/>
  <sheetViews>
    <sheetView zoomScale="85" zoomScaleNormal="85" workbookViewId="0">
      <selection activeCell="H9" sqref="H9"/>
    </sheetView>
  </sheetViews>
  <sheetFormatPr defaultRowHeight="14.4" x14ac:dyDescent="0.3"/>
  <cols>
    <col min="1" max="1" width="21.109375" customWidth="1"/>
    <col min="2" max="3" width="22.44140625" customWidth="1"/>
    <col min="4" max="4" width="21.77734375" customWidth="1"/>
    <col min="5" max="5" width="18" customWidth="1"/>
  </cols>
  <sheetData>
    <row r="1" spans="1:5" ht="19.95" customHeight="1" thickBot="1" x14ac:dyDescent="0.35">
      <c r="A1" s="12" t="s">
        <v>92</v>
      </c>
      <c r="B1" s="13" t="s">
        <v>0</v>
      </c>
      <c r="C1" s="13" t="s">
        <v>56</v>
      </c>
      <c r="D1" s="13" t="s">
        <v>93</v>
      </c>
      <c r="E1" s="13" t="s">
        <v>94</v>
      </c>
    </row>
    <row r="2" spans="1:5" ht="19.95" customHeight="1" thickBot="1" x14ac:dyDescent="0.35">
      <c r="A2" s="6">
        <v>7797</v>
      </c>
      <c r="B2" s="2">
        <v>10001</v>
      </c>
      <c r="C2" s="2">
        <v>101</v>
      </c>
      <c r="D2" s="35">
        <v>45488</v>
      </c>
      <c r="E2" s="2">
        <v>1200</v>
      </c>
    </row>
    <row r="3" spans="1:5" ht="19.95" customHeight="1" thickBot="1" x14ac:dyDescent="0.35">
      <c r="A3" s="6">
        <v>7796</v>
      </c>
      <c r="B3" s="2">
        <v>10002</v>
      </c>
      <c r="C3" s="2">
        <v>102</v>
      </c>
      <c r="D3" s="35">
        <v>45505</v>
      </c>
      <c r="E3" s="2">
        <v>800</v>
      </c>
    </row>
    <row r="4" spans="1:5" ht="19.95" customHeight="1" thickBot="1" x14ac:dyDescent="0.35">
      <c r="A4" s="6">
        <v>7795</v>
      </c>
      <c r="B4" s="2">
        <v>10003</v>
      </c>
      <c r="C4" s="2">
        <v>103</v>
      </c>
      <c r="D4" s="35">
        <v>45524</v>
      </c>
      <c r="E4" s="2">
        <v>1500</v>
      </c>
    </row>
    <row r="5" spans="1:5" ht="19.95" customHeight="1" thickBot="1" x14ac:dyDescent="0.35">
      <c r="A5" s="6">
        <v>7794</v>
      </c>
      <c r="B5" s="2">
        <v>10004</v>
      </c>
      <c r="C5" s="2">
        <v>104</v>
      </c>
      <c r="D5" s="35">
        <v>45540</v>
      </c>
      <c r="E5" s="2">
        <v>1000</v>
      </c>
    </row>
    <row r="6" spans="1:5" ht="19.95" customHeight="1" thickBot="1" x14ac:dyDescent="0.35">
      <c r="A6" s="6">
        <v>7793</v>
      </c>
      <c r="B6" s="2">
        <v>10005</v>
      </c>
      <c r="C6" s="2">
        <v>105</v>
      </c>
      <c r="D6" s="35">
        <v>45557</v>
      </c>
      <c r="E6" s="2">
        <v>1300</v>
      </c>
    </row>
    <row r="7" spans="1:5" ht="19.95" customHeight="1" thickBot="1" x14ac:dyDescent="0.35">
      <c r="A7" s="6">
        <v>7792</v>
      </c>
      <c r="B7" s="2">
        <v>10006</v>
      </c>
      <c r="C7" s="2">
        <v>106</v>
      </c>
      <c r="D7" s="35">
        <v>45575</v>
      </c>
      <c r="E7" s="2">
        <v>900</v>
      </c>
    </row>
    <row r="8" spans="1:5" ht="19.95" customHeight="1" thickBot="1" x14ac:dyDescent="0.35">
      <c r="A8" s="6">
        <v>7791</v>
      </c>
      <c r="B8" s="2">
        <v>10007</v>
      </c>
      <c r="C8" s="2">
        <v>107</v>
      </c>
      <c r="D8" s="35">
        <v>45590</v>
      </c>
      <c r="E8" s="2">
        <v>1100</v>
      </c>
    </row>
    <row r="9" spans="1:5" ht="19.95" customHeight="1" thickBot="1" x14ac:dyDescent="0.35">
      <c r="A9" s="6">
        <v>7790</v>
      </c>
      <c r="B9" s="2">
        <v>10008</v>
      </c>
      <c r="C9" s="2">
        <v>108</v>
      </c>
      <c r="D9" s="35" t="s">
        <v>193</v>
      </c>
      <c r="E9" s="2">
        <v>1200</v>
      </c>
    </row>
    <row r="10" spans="1:5" ht="19.95" customHeight="1" thickBot="1" x14ac:dyDescent="0.35">
      <c r="A10" s="6">
        <v>7789</v>
      </c>
      <c r="B10" s="2">
        <v>10009</v>
      </c>
      <c r="C10" s="2">
        <v>109</v>
      </c>
      <c r="D10" s="35">
        <v>45627</v>
      </c>
      <c r="E10" s="2">
        <v>800</v>
      </c>
    </row>
    <row r="11" spans="1:5" ht="19.95" customHeight="1" thickBot="1" x14ac:dyDescent="0.35">
      <c r="A11" s="6">
        <v>7788</v>
      </c>
      <c r="B11" s="2">
        <v>10010</v>
      </c>
      <c r="C11" s="2">
        <v>110</v>
      </c>
      <c r="D11" s="35">
        <v>45644</v>
      </c>
      <c r="E11" s="2">
        <v>1400</v>
      </c>
    </row>
    <row r="12" spans="1:5" ht="19.95" customHeight="1" thickBot="1" x14ac:dyDescent="0.35">
      <c r="A12" s="6">
        <v>7787</v>
      </c>
      <c r="B12" s="2">
        <v>10011</v>
      </c>
      <c r="C12" s="2">
        <v>111</v>
      </c>
      <c r="D12" s="35">
        <v>45662</v>
      </c>
      <c r="E12" s="2">
        <v>950</v>
      </c>
    </row>
    <row r="13" spans="1:5" ht="19.95" customHeight="1" thickBot="1" x14ac:dyDescent="0.35">
      <c r="A13" s="6">
        <v>7786</v>
      </c>
      <c r="B13" s="2">
        <v>10012</v>
      </c>
      <c r="C13" s="2">
        <v>112</v>
      </c>
      <c r="D13" s="35">
        <v>45677</v>
      </c>
      <c r="E13" s="2">
        <v>1200</v>
      </c>
    </row>
    <row r="14" spans="1:5" ht="19.95" customHeight="1" thickBot="1" x14ac:dyDescent="0.35">
      <c r="A14" s="6">
        <v>7785</v>
      </c>
      <c r="B14" s="2">
        <v>10013</v>
      </c>
      <c r="C14" s="2">
        <v>113</v>
      </c>
      <c r="D14" s="35">
        <v>45694</v>
      </c>
      <c r="E14" s="2">
        <v>1100</v>
      </c>
    </row>
    <row r="15" spans="1:5" ht="19.95" customHeight="1" thickBot="1" x14ac:dyDescent="0.35">
      <c r="A15" s="6">
        <v>7784</v>
      </c>
      <c r="B15" s="2">
        <v>10014</v>
      </c>
      <c r="C15" s="2">
        <v>114</v>
      </c>
      <c r="D15" s="35">
        <v>45711</v>
      </c>
      <c r="E15" s="2">
        <v>1300</v>
      </c>
    </row>
    <row r="16" spans="1:5" ht="19.95" customHeight="1" thickBot="1" x14ac:dyDescent="0.35">
      <c r="A16" s="6">
        <v>7783</v>
      </c>
      <c r="B16" s="2">
        <v>10015</v>
      </c>
      <c r="C16" s="2">
        <v>115</v>
      </c>
      <c r="D16" s="35">
        <v>45726</v>
      </c>
      <c r="E16" s="2">
        <v>1000</v>
      </c>
    </row>
    <row r="17" spans="1:5" ht="19.95" customHeight="1" thickBot="1" x14ac:dyDescent="0.35">
      <c r="A17" s="6">
        <v>7782</v>
      </c>
      <c r="B17" s="2">
        <v>10016</v>
      </c>
      <c r="C17" s="2">
        <v>116</v>
      </c>
      <c r="D17" s="35">
        <v>45743</v>
      </c>
      <c r="E17" s="2">
        <v>900</v>
      </c>
    </row>
    <row r="18" spans="1:5" ht="19.95" customHeight="1" thickBot="1" x14ac:dyDescent="0.35">
      <c r="A18" s="6">
        <v>7781</v>
      </c>
      <c r="B18" s="2">
        <v>10017</v>
      </c>
      <c r="C18" s="2">
        <v>117</v>
      </c>
      <c r="D18" s="35">
        <v>45759</v>
      </c>
      <c r="E18" s="2">
        <v>1100</v>
      </c>
    </row>
    <row r="19" spans="1:5" ht="19.95" customHeight="1" thickBot="1" x14ac:dyDescent="0.35">
      <c r="A19" s="6">
        <v>7780</v>
      </c>
      <c r="B19" s="2">
        <v>10018</v>
      </c>
      <c r="C19" s="2">
        <v>118</v>
      </c>
      <c r="D19" s="35">
        <v>45776</v>
      </c>
      <c r="E19" s="2">
        <v>1200</v>
      </c>
    </row>
    <row r="20" spans="1:5" ht="19.95" customHeight="1" thickBot="1" x14ac:dyDescent="0.35">
      <c r="A20" s="6">
        <v>7779</v>
      </c>
      <c r="B20" s="2">
        <v>10019</v>
      </c>
      <c r="C20" s="2">
        <v>119</v>
      </c>
      <c r="D20" s="35">
        <v>45792</v>
      </c>
      <c r="E20" s="2">
        <v>950</v>
      </c>
    </row>
    <row r="21" spans="1:5" ht="19.95" customHeight="1" thickBot="1" x14ac:dyDescent="0.35">
      <c r="A21" s="6">
        <v>7778</v>
      </c>
      <c r="B21" s="2">
        <v>10013</v>
      </c>
      <c r="C21" s="3">
        <v>120</v>
      </c>
      <c r="D21" s="36">
        <v>45807</v>
      </c>
      <c r="E21" s="3">
        <v>1300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0298-4294-487A-BE75-645D8D112105}">
  <sheetPr>
    <tabColor theme="1" tint="0.34998626667073579"/>
  </sheetPr>
  <dimension ref="A1:K21"/>
  <sheetViews>
    <sheetView zoomScale="70" zoomScaleNormal="70" workbookViewId="0">
      <selection activeCell="I2" sqref="I2:I21"/>
    </sheetView>
  </sheetViews>
  <sheetFormatPr defaultRowHeight="14.4" x14ac:dyDescent="0.3"/>
  <cols>
    <col min="1" max="1" width="18.21875" customWidth="1"/>
    <col min="2" max="2" width="22.6640625" customWidth="1"/>
    <col min="3" max="3" width="13.77734375" customWidth="1"/>
    <col min="4" max="4" width="19.77734375" customWidth="1"/>
    <col min="5" max="6" width="16" customWidth="1"/>
    <col min="7" max="9" width="23.44140625" customWidth="1"/>
    <col min="10" max="10" width="15.88671875" customWidth="1"/>
    <col min="11" max="11" width="24" customWidth="1"/>
  </cols>
  <sheetData>
    <row r="1" spans="1:11" ht="19.95" customHeight="1" thickTop="1" thickBot="1" x14ac:dyDescent="0.35">
      <c r="A1" s="12" t="s">
        <v>92</v>
      </c>
      <c r="B1" s="39" t="s">
        <v>233</v>
      </c>
      <c r="C1" s="13" t="s">
        <v>0</v>
      </c>
      <c r="D1" s="39" t="s">
        <v>238</v>
      </c>
      <c r="E1" s="13" t="s">
        <v>56</v>
      </c>
      <c r="F1" s="39" t="s">
        <v>216</v>
      </c>
      <c r="G1" s="13" t="s">
        <v>93</v>
      </c>
      <c r="H1" s="39" t="s">
        <v>239</v>
      </c>
      <c r="I1" s="18" t="s">
        <v>240</v>
      </c>
      <c r="J1" s="13" t="s">
        <v>94</v>
      </c>
      <c r="K1" s="39" t="s">
        <v>241</v>
      </c>
    </row>
    <row r="2" spans="1:11" ht="19.95" customHeight="1" thickTop="1" thickBot="1" x14ac:dyDescent="0.35">
      <c r="A2" s="6">
        <v>7797</v>
      </c>
      <c r="B2" s="40" t="str">
        <f>IF(COUNTIF(Table4[ConcertID],Table4[[#This Row],[ConcertID]])&gt;1, "Duplicate", "Unique")</f>
        <v>Unique</v>
      </c>
      <c r="C2" s="2">
        <v>10001</v>
      </c>
      <c r="D2" s="40" t="b">
        <f>ISNUMBER(Table4[[#This Row],[ArtistID]])</f>
        <v>1</v>
      </c>
      <c r="E2" s="2">
        <v>101</v>
      </c>
      <c r="F2" s="40" t="b">
        <f>ISNUMBER(Table4[[#This Row],[VenueID]])</f>
        <v>1</v>
      </c>
      <c r="G2" s="35">
        <v>45488</v>
      </c>
      <c r="H2" s="44" t="b">
        <f>ISNUMBER(Table4[[#This Row],[Date]])</f>
        <v>1</v>
      </c>
      <c r="I2" s="33" t="str">
        <f>TEXT(SUBSTITUTE(Table4[[#This Row],[Date]], "11th December, 2024", "2024-12-11"), "yyyy-mm-dd")</f>
        <v>2024-07-15</v>
      </c>
      <c r="J2" s="29">
        <v>1200</v>
      </c>
      <c r="K2" s="40" t="b">
        <f>ISNUMBER(Table4[[#This Row],[TicketSales]])</f>
        <v>1</v>
      </c>
    </row>
    <row r="3" spans="1:11" ht="19.95" customHeight="1" thickTop="1" thickBot="1" x14ac:dyDescent="0.35">
      <c r="A3" s="6">
        <v>7796</v>
      </c>
      <c r="B3" s="40" t="str">
        <f>IF(COUNTIF(Table4[ConcertID],Table4[[#This Row],[ConcertID]])&gt;1, "Duplicate", "Unique")</f>
        <v>Unique</v>
      </c>
      <c r="C3" s="2">
        <v>10002</v>
      </c>
      <c r="D3" s="40" t="b">
        <f>ISNUMBER(Table4[[#This Row],[ArtistID]])</f>
        <v>1</v>
      </c>
      <c r="E3" s="2">
        <v>102</v>
      </c>
      <c r="F3" s="40" t="b">
        <f>ISNUMBER(Table4[[#This Row],[VenueID]])</f>
        <v>1</v>
      </c>
      <c r="G3" s="35">
        <v>45505</v>
      </c>
      <c r="H3" s="44" t="b">
        <f>ISNUMBER(Table4[[#This Row],[Date]])</f>
        <v>1</v>
      </c>
      <c r="I3" s="33" t="str">
        <f>TEXT(SUBSTITUTE(Table4[[#This Row],[Date]], "11th December, 2024", "2024-12-11"), "yyyy-mm-dd")</f>
        <v>2024-08-01</v>
      </c>
      <c r="J3" s="2">
        <v>800</v>
      </c>
      <c r="K3" s="40" t="b">
        <f>ISNUMBER(Table4[[#This Row],[TicketSales]])</f>
        <v>1</v>
      </c>
    </row>
    <row r="4" spans="1:11" ht="19.95" customHeight="1" thickTop="1" thickBot="1" x14ac:dyDescent="0.35">
      <c r="A4" s="6">
        <v>7795</v>
      </c>
      <c r="B4" s="40" t="str">
        <f>IF(COUNTIF(Table4[ConcertID],Table4[[#This Row],[ConcertID]])&gt;1, "Duplicate", "Unique")</f>
        <v>Unique</v>
      </c>
      <c r="C4" s="2">
        <v>10003</v>
      </c>
      <c r="D4" s="40" t="b">
        <f>ISNUMBER(Table4[[#This Row],[ArtistID]])</f>
        <v>1</v>
      </c>
      <c r="E4" s="2">
        <v>103</v>
      </c>
      <c r="F4" s="40" t="b">
        <f>ISNUMBER(Table4[[#This Row],[VenueID]])</f>
        <v>1</v>
      </c>
      <c r="G4" s="35">
        <v>45524</v>
      </c>
      <c r="H4" s="44" t="b">
        <f>ISNUMBER(Table4[[#This Row],[Date]])</f>
        <v>1</v>
      </c>
      <c r="I4" s="33" t="str">
        <f>TEXT(SUBSTITUTE(Table4[[#This Row],[Date]], "11th December, 2024", "2024-12-11"), "yyyy-mm-dd")</f>
        <v>2024-08-20</v>
      </c>
      <c r="J4" s="29">
        <v>1500</v>
      </c>
      <c r="K4" s="40" t="b">
        <f>ISNUMBER(Table4[[#This Row],[TicketSales]])</f>
        <v>1</v>
      </c>
    </row>
    <row r="5" spans="1:11" ht="19.95" customHeight="1" thickTop="1" thickBot="1" x14ac:dyDescent="0.35">
      <c r="A5" s="6">
        <v>7794</v>
      </c>
      <c r="B5" s="40" t="str">
        <f>IF(COUNTIF(Table4[ConcertID],Table4[[#This Row],[ConcertID]])&gt;1, "Duplicate", "Unique")</f>
        <v>Unique</v>
      </c>
      <c r="C5" s="2">
        <v>10004</v>
      </c>
      <c r="D5" s="40" t="b">
        <f>ISNUMBER(Table4[[#This Row],[ArtistID]])</f>
        <v>1</v>
      </c>
      <c r="E5" s="2">
        <v>104</v>
      </c>
      <c r="F5" s="40" t="b">
        <f>ISNUMBER(Table4[[#This Row],[VenueID]])</f>
        <v>1</v>
      </c>
      <c r="G5" s="35">
        <v>45540</v>
      </c>
      <c r="H5" s="44" t="b">
        <f>ISNUMBER(Table4[[#This Row],[Date]])</f>
        <v>1</v>
      </c>
      <c r="I5" s="33" t="str">
        <f>TEXT(SUBSTITUTE(Table4[[#This Row],[Date]], "11th December, 2024", "2024-12-11"), "yyyy-mm-dd")</f>
        <v>2024-09-05</v>
      </c>
      <c r="J5" s="29">
        <v>1000</v>
      </c>
      <c r="K5" s="40" t="b">
        <f>ISNUMBER(Table4[[#This Row],[TicketSales]])</f>
        <v>1</v>
      </c>
    </row>
    <row r="6" spans="1:11" ht="19.95" customHeight="1" thickTop="1" thickBot="1" x14ac:dyDescent="0.35">
      <c r="A6" s="6">
        <v>7793</v>
      </c>
      <c r="B6" s="40" t="str">
        <f>IF(COUNTIF(Table4[ConcertID],Table4[[#This Row],[ConcertID]])&gt;1, "Duplicate", "Unique")</f>
        <v>Unique</v>
      </c>
      <c r="C6" s="2">
        <v>10005</v>
      </c>
      <c r="D6" s="40" t="b">
        <f>ISNUMBER(Table4[[#This Row],[ArtistID]])</f>
        <v>1</v>
      </c>
      <c r="E6" s="2">
        <v>105</v>
      </c>
      <c r="F6" s="40" t="b">
        <f>ISNUMBER(Table4[[#This Row],[VenueID]])</f>
        <v>1</v>
      </c>
      <c r="G6" s="35">
        <v>45557</v>
      </c>
      <c r="H6" s="44" t="b">
        <f>ISNUMBER(Table4[[#This Row],[Date]])</f>
        <v>1</v>
      </c>
      <c r="I6" s="33" t="str">
        <f>TEXT(SUBSTITUTE(Table4[[#This Row],[Date]], "11th December, 2024", "2024-12-11"), "yyyy-mm-dd")</f>
        <v>2024-09-22</v>
      </c>
      <c r="J6" s="29">
        <v>1300</v>
      </c>
      <c r="K6" s="40" t="b">
        <f>ISNUMBER(Table4[[#This Row],[TicketSales]])</f>
        <v>1</v>
      </c>
    </row>
    <row r="7" spans="1:11" ht="19.95" customHeight="1" thickTop="1" thickBot="1" x14ac:dyDescent="0.35">
      <c r="A7" s="6">
        <v>7792</v>
      </c>
      <c r="B7" s="40" t="str">
        <f>IF(COUNTIF(Table4[ConcertID],Table4[[#This Row],[ConcertID]])&gt;1, "Duplicate", "Unique")</f>
        <v>Unique</v>
      </c>
      <c r="C7" s="2">
        <v>10006</v>
      </c>
      <c r="D7" s="40" t="b">
        <f>ISNUMBER(Table4[[#This Row],[ArtistID]])</f>
        <v>1</v>
      </c>
      <c r="E7" s="2">
        <v>106</v>
      </c>
      <c r="F7" s="40" t="b">
        <f>ISNUMBER(Table4[[#This Row],[VenueID]])</f>
        <v>1</v>
      </c>
      <c r="G7" s="35">
        <v>45575</v>
      </c>
      <c r="H7" s="44" t="b">
        <f>ISNUMBER(Table4[[#This Row],[Date]])</f>
        <v>1</v>
      </c>
      <c r="I7" s="33" t="str">
        <f>TEXT(SUBSTITUTE(Table4[[#This Row],[Date]], "11th December, 2024", "2024-12-11"), "yyyy-mm-dd")</f>
        <v>2024-10-10</v>
      </c>
      <c r="J7" s="29">
        <v>900</v>
      </c>
      <c r="K7" s="40" t="b">
        <f>ISNUMBER(Table4[[#This Row],[TicketSales]])</f>
        <v>1</v>
      </c>
    </row>
    <row r="8" spans="1:11" ht="19.95" customHeight="1" thickTop="1" thickBot="1" x14ac:dyDescent="0.35">
      <c r="A8" s="6">
        <v>7791</v>
      </c>
      <c r="B8" s="40" t="str">
        <f>IF(COUNTIF(Table4[ConcertID],Table4[[#This Row],[ConcertID]])&gt;1, "Duplicate", "Unique")</f>
        <v>Unique</v>
      </c>
      <c r="C8" s="2">
        <v>10007</v>
      </c>
      <c r="D8" s="40" t="b">
        <f>ISNUMBER(Table4[[#This Row],[ArtistID]])</f>
        <v>1</v>
      </c>
      <c r="E8" s="2">
        <v>107</v>
      </c>
      <c r="F8" s="40" t="b">
        <f>ISNUMBER(Table4[[#This Row],[VenueID]])</f>
        <v>1</v>
      </c>
      <c r="G8" s="35">
        <v>45590</v>
      </c>
      <c r="H8" s="44" t="b">
        <f>ISNUMBER(Table4[[#This Row],[Date]])</f>
        <v>1</v>
      </c>
      <c r="I8" s="33" t="str">
        <f>TEXT(SUBSTITUTE(Table4[[#This Row],[Date]], "11th December, 2024", "2024-12-11"), "yyyy-mm-dd")</f>
        <v>2024-10-25</v>
      </c>
      <c r="J8" s="29">
        <v>1100</v>
      </c>
      <c r="K8" s="40" t="b">
        <f>ISNUMBER(Table4[[#This Row],[TicketSales]])</f>
        <v>1</v>
      </c>
    </row>
    <row r="9" spans="1:11" ht="19.95" customHeight="1" thickTop="1" thickBot="1" x14ac:dyDescent="0.35">
      <c r="A9" s="6">
        <v>7790</v>
      </c>
      <c r="B9" s="40" t="str">
        <f>IF(COUNTIF(Table4[ConcertID],Table4[[#This Row],[ConcertID]])&gt;1, "Duplicate", "Unique")</f>
        <v>Unique</v>
      </c>
      <c r="C9" s="2">
        <v>10008</v>
      </c>
      <c r="D9" s="40" t="b">
        <f>ISNUMBER(Table4[[#This Row],[ArtistID]])</f>
        <v>1</v>
      </c>
      <c r="E9" s="2">
        <v>108</v>
      </c>
      <c r="F9" s="40" t="b">
        <f>ISNUMBER(Table4[[#This Row],[VenueID]])</f>
        <v>1</v>
      </c>
      <c r="G9" s="35" t="s">
        <v>193</v>
      </c>
      <c r="H9" s="44" t="b">
        <f>ISNUMBER(Table4[[#This Row],[Date]])</f>
        <v>0</v>
      </c>
      <c r="I9" s="33" t="str">
        <f>TEXT(SUBSTITUTE(Table4[[#This Row],[Date]], "11th December, 2024", "2024-12-11"), "yyyy-mm-dd")</f>
        <v>2024-12-11</v>
      </c>
      <c r="J9" s="29">
        <v>1200</v>
      </c>
      <c r="K9" s="40" t="b">
        <f>ISNUMBER(Table4[[#This Row],[TicketSales]])</f>
        <v>1</v>
      </c>
    </row>
    <row r="10" spans="1:11" ht="19.95" customHeight="1" thickTop="1" thickBot="1" x14ac:dyDescent="0.35">
      <c r="A10" s="6">
        <v>7789</v>
      </c>
      <c r="B10" s="40" t="str">
        <f>IF(COUNTIF(Table4[ConcertID],Table4[[#This Row],[ConcertID]])&gt;1, "Duplicate", "Unique")</f>
        <v>Unique</v>
      </c>
      <c r="C10" s="2">
        <v>10009</v>
      </c>
      <c r="D10" s="40" t="b">
        <f>ISNUMBER(Table4[[#This Row],[ArtistID]])</f>
        <v>1</v>
      </c>
      <c r="E10" s="2">
        <v>109</v>
      </c>
      <c r="F10" s="40" t="b">
        <f>ISNUMBER(Table4[[#This Row],[VenueID]])</f>
        <v>1</v>
      </c>
      <c r="G10" s="35">
        <v>45627</v>
      </c>
      <c r="H10" s="44" t="b">
        <f>ISNUMBER(Table4[[#This Row],[Date]])</f>
        <v>1</v>
      </c>
      <c r="I10" s="33" t="str">
        <f>TEXT(SUBSTITUTE(Table4[[#This Row],[Date]], "11th December, 2024", "2024-12-11"), "yyyy-mm-dd")</f>
        <v>2024-12-01</v>
      </c>
      <c r="J10" s="29">
        <v>800</v>
      </c>
      <c r="K10" s="40" t="b">
        <f>ISNUMBER(Table4[[#This Row],[TicketSales]])</f>
        <v>1</v>
      </c>
    </row>
    <row r="11" spans="1:11" ht="19.95" customHeight="1" thickTop="1" thickBot="1" x14ac:dyDescent="0.35">
      <c r="A11" s="6">
        <v>7788</v>
      </c>
      <c r="B11" s="40" t="str">
        <f>IF(COUNTIF(Table4[ConcertID],Table4[[#This Row],[ConcertID]])&gt;1, "Duplicate", "Unique")</f>
        <v>Unique</v>
      </c>
      <c r="C11" s="2">
        <v>10010</v>
      </c>
      <c r="D11" s="40" t="b">
        <f>ISNUMBER(Table4[[#This Row],[ArtistID]])</f>
        <v>1</v>
      </c>
      <c r="E11" s="2">
        <v>110</v>
      </c>
      <c r="F11" s="40" t="b">
        <f>ISNUMBER(Table4[[#This Row],[VenueID]])</f>
        <v>1</v>
      </c>
      <c r="G11" s="35">
        <v>45644</v>
      </c>
      <c r="H11" s="44" t="b">
        <f>ISNUMBER(Table4[[#This Row],[Date]])</f>
        <v>1</v>
      </c>
      <c r="I11" s="33" t="str">
        <f>TEXT(SUBSTITUTE(Table4[[#This Row],[Date]], "11th December, 2024", "2024-12-11"), "yyyy-mm-dd")</f>
        <v>2024-12-18</v>
      </c>
      <c r="J11" s="29">
        <v>1400</v>
      </c>
      <c r="K11" s="40" t="b">
        <f>ISNUMBER(Table4[[#This Row],[TicketSales]])</f>
        <v>1</v>
      </c>
    </row>
    <row r="12" spans="1:11" ht="19.95" customHeight="1" thickTop="1" thickBot="1" x14ac:dyDescent="0.35">
      <c r="A12" s="6">
        <v>7787</v>
      </c>
      <c r="B12" s="40" t="str">
        <f>IF(COUNTIF(Table4[ConcertID],Table4[[#This Row],[ConcertID]])&gt;1, "Duplicate", "Unique")</f>
        <v>Unique</v>
      </c>
      <c r="C12" s="2">
        <v>10011</v>
      </c>
      <c r="D12" s="40" t="b">
        <f>ISNUMBER(Table4[[#This Row],[ArtistID]])</f>
        <v>1</v>
      </c>
      <c r="E12" s="2">
        <v>111</v>
      </c>
      <c r="F12" s="40" t="b">
        <f>ISNUMBER(Table4[[#This Row],[VenueID]])</f>
        <v>1</v>
      </c>
      <c r="G12" s="35">
        <v>45662</v>
      </c>
      <c r="H12" s="44" t="b">
        <f>ISNUMBER(Table4[[#This Row],[Date]])</f>
        <v>1</v>
      </c>
      <c r="I12" s="33" t="str">
        <f>TEXT(SUBSTITUTE(Table4[[#This Row],[Date]], "11th December, 2024", "2024-12-11"), "yyyy-mm-dd")</f>
        <v>2025-01-05</v>
      </c>
      <c r="J12" s="29">
        <v>950</v>
      </c>
      <c r="K12" s="40" t="b">
        <f>ISNUMBER(Table4[[#This Row],[TicketSales]])</f>
        <v>1</v>
      </c>
    </row>
    <row r="13" spans="1:11" ht="19.95" customHeight="1" thickTop="1" thickBot="1" x14ac:dyDescent="0.35">
      <c r="A13" s="6">
        <v>7786</v>
      </c>
      <c r="B13" s="40" t="str">
        <f>IF(COUNTIF(Table4[ConcertID],Table4[[#This Row],[ConcertID]])&gt;1, "Duplicate", "Unique")</f>
        <v>Unique</v>
      </c>
      <c r="C13" s="2">
        <v>10012</v>
      </c>
      <c r="D13" s="40" t="b">
        <f>ISNUMBER(Table4[[#This Row],[ArtistID]])</f>
        <v>1</v>
      </c>
      <c r="E13" s="2">
        <v>112</v>
      </c>
      <c r="F13" s="40" t="b">
        <f>ISNUMBER(Table4[[#This Row],[VenueID]])</f>
        <v>1</v>
      </c>
      <c r="G13" s="35">
        <v>45677</v>
      </c>
      <c r="H13" s="44" t="b">
        <f>ISNUMBER(Table4[[#This Row],[Date]])</f>
        <v>1</v>
      </c>
      <c r="I13" s="33" t="str">
        <f>TEXT(SUBSTITUTE(Table4[[#This Row],[Date]], "11th December, 2024", "2024-12-11"), "yyyy-mm-dd")</f>
        <v>2025-01-20</v>
      </c>
      <c r="J13" s="29">
        <v>1200</v>
      </c>
      <c r="K13" s="40" t="b">
        <f>ISNUMBER(Table4[[#This Row],[TicketSales]])</f>
        <v>1</v>
      </c>
    </row>
    <row r="14" spans="1:11" ht="19.95" customHeight="1" thickTop="1" thickBot="1" x14ac:dyDescent="0.35">
      <c r="A14" s="6">
        <v>7785</v>
      </c>
      <c r="B14" s="40" t="str">
        <f>IF(COUNTIF(Table4[ConcertID],Table4[[#This Row],[ConcertID]])&gt;1, "Duplicate", "Unique")</f>
        <v>Unique</v>
      </c>
      <c r="C14" s="2">
        <v>10013</v>
      </c>
      <c r="D14" s="40" t="b">
        <f>ISNUMBER(Table4[[#This Row],[ArtistID]])</f>
        <v>1</v>
      </c>
      <c r="E14" s="2">
        <v>113</v>
      </c>
      <c r="F14" s="40" t="b">
        <f>ISNUMBER(Table4[[#This Row],[VenueID]])</f>
        <v>1</v>
      </c>
      <c r="G14" s="35">
        <v>45694</v>
      </c>
      <c r="H14" s="44" t="b">
        <f>ISNUMBER(Table4[[#This Row],[Date]])</f>
        <v>1</v>
      </c>
      <c r="I14" s="33" t="str">
        <f>TEXT(SUBSTITUTE(Table4[[#This Row],[Date]], "11th December, 2024", "2024-12-11"), "yyyy-mm-dd")</f>
        <v>2025-02-06</v>
      </c>
      <c r="J14" s="29">
        <v>1100</v>
      </c>
      <c r="K14" s="40" t="b">
        <f>ISNUMBER(Table4[[#This Row],[TicketSales]])</f>
        <v>1</v>
      </c>
    </row>
    <row r="15" spans="1:11" ht="19.95" customHeight="1" thickTop="1" thickBot="1" x14ac:dyDescent="0.35">
      <c r="A15" s="6">
        <v>7784</v>
      </c>
      <c r="B15" s="40" t="str">
        <f>IF(COUNTIF(Table4[ConcertID],Table4[[#This Row],[ConcertID]])&gt;1, "Duplicate", "Unique")</f>
        <v>Unique</v>
      </c>
      <c r="C15" s="2">
        <v>10014</v>
      </c>
      <c r="D15" s="40" t="b">
        <f>ISNUMBER(Table4[[#This Row],[ArtistID]])</f>
        <v>1</v>
      </c>
      <c r="E15" s="2">
        <v>114</v>
      </c>
      <c r="F15" s="40" t="b">
        <f>ISNUMBER(Table4[[#This Row],[VenueID]])</f>
        <v>1</v>
      </c>
      <c r="G15" s="35">
        <v>45711</v>
      </c>
      <c r="H15" s="44" t="b">
        <f>ISNUMBER(Table4[[#This Row],[Date]])</f>
        <v>1</v>
      </c>
      <c r="I15" s="33" t="str">
        <f>TEXT(SUBSTITUTE(Table4[[#This Row],[Date]], "11th December, 2024", "2024-12-11"), "yyyy-mm-dd")</f>
        <v>2025-02-23</v>
      </c>
      <c r="J15" s="29">
        <v>1300</v>
      </c>
      <c r="K15" s="40" t="b">
        <f>ISNUMBER(Table4[[#This Row],[TicketSales]])</f>
        <v>1</v>
      </c>
    </row>
    <row r="16" spans="1:11" ht="19.95" customHeight="1" thickTop="1" thickBot="1" x14ac:dyDescent="0.35">
      <c r="A16" s="6">
        <v>7783</v>
      </c>
      <c r="B16" s="40" t="str">
        <f>IF(COUNTIF(Table4[ConcertID],Table4[[#This Row],[ConcertID]])&gt;1, "Duplicate", "Unique")</f>
        <v>Unique</v>
      </c>
      <c r="C16" s="2">
        <v>10015</v>
      </c>
      <c r="D16" s="40" t="b">
        <f>ISNUMBER(Table4[[#This Row],[ArtistID]])</f>
        <v>1</v>
      </c>
      <c r="E16" s="2">
        <v>115</v>
      </c>
      <c r="F16" s="40" t="b">
        <f>ISNUMBER(Table4[[#This Row],[VenueID]])</f>
        <v>1</v>
      </c>
      <c r="G16" s="35">
        <v>45726</v>
      </c>
      <c r="H16" s="44" t="b">
        <f>ISNUMBER(Table4[[#This Row],[Date]])</f>
        <v>1</v>
      </c>
      <c r="I16" s="33" t="str">
        <f>TEXT(SUBSTITUTE(Table4[[#This Row],[Date]], "11th December, 2024", "2024-12-11"), "yyyy-mm-dd")</f>
        <v>2025-03-10</v>
      </c>
      <c r="J16" s="29">
        <v>1000</v>
      </c>
      <c r="K16" s="40" t="b">
        <f>ISNUMBER(Table4[[#This Row],[TicketSales]])</f>
        <v>1</v>
      </c>
    </row>
    <row r="17" spans="1:11" ht="19.95" customHeight="1" thickTop="1" thickBot="1" x14ac:dyDescent="0.35">
      <c r="A17" s="6">
        <v>7782</v>
      </c>
      <c r="B17" s="40" t="str">
        <f>IF(COUNTIF(Table4[ConcertID],Table4[[#This Row],[ConcertID]])&gt;1, "Duplicate", "Unique")</f>
        <v>Unique</v>
      </c>
      <c r="C17" s="2">
        <v>10016</v>
      </c>
      <c r="D17" s="40" t="b">
        <f>ISNUMBER(Table4[[#This Row],[ArtistID]])</f>
        <v>1</v>
      </c>
      <c r="E17" s="2">
        <v>116</v>
      </c>
      <c r="F17" s="40" t="b">
        <f>ISNUMBER(Table4[[#This Row],[VenueID]])</f>
        <v>1</v>
      </c>
      <c r="G17" s="35">
        <v>45743</v>
      </c>
      <c r="H17" s="44" t="b">
        <f>ISNUMBER(Table4[[#This Row],[Date]])</f>
        <v>1</v>
      </c>
      <c r="I17" s="33" t="str">
        <f>TEXT(SUBSTITUTE(Table4[[#This Row],[Date]], "11th December, 2024", "2024-12-11"), "yyyy-mm-dd")</f>
        <v>2025-03-27</v>
      </c>
      <c r="J17" s="29">
        <v>900</v>
      </c>
      <c r="K17" s="40" t="b">
        <f>ISNUMBER(Table4[[#This Row],[TicketSales]])</f>
        <v>1</v>
      </c>
    </row>
    <row r="18" spans="1:11" ht="19.95" customHeight="1" thickTop="1" thickBot="1" x14ac:dyDescent="0.35">
      <c r="A18" s="6">
        <v>7781</v>
      </c>
      <c r="B18" s="40" t="str">
        <f>IF(COUNTIF(Table4[ConcertID],Table4[[#This Row],[ConcertID]])&gt;1, "Duplicate", "Unique")</f>
        <v>Unique</v>
      </c>
      <c r="C18" s="2">
        <v>10017</v>
      </c>
      <c r="D18" s="40" t="b">
        <f>ISNUMBER(Table4[[#This Row],[ArtistID]])</f>
        <v>1</v>
      </c>
      <c r="E18" s="2">
        <v>117</v>
      </c>
      <c r="F18" s="40" t="b">
        <f>ISNUMBER(Table4[[#This Row],[VenueID]])</f>
        <v>1</v>
      </c>
      <c r="G18" s="35">
        <v>45759</v>
      </c>
      <c r="H18" s="44" t="b">
        <f>ISNUMBER(Table4[[#This Row],[Date]])</f>
        <v>1</v>
      </c>
      <c r="I18" s="33" t="str">
        <f>TEXT(SUBSTITUTE(Table4[[#This Row],[Date]], "11th December, 2024", "2024-12-11"), "yyyy-mm-dd")</f>
        <v>2025-04-12</v>
      </c>
      <c r="J18" s="29">
        <v>1100</v>
      </c>
      <c r="K18" s="40" t="b">
        <f>ISNUMBER(Table4[[#This Row],[TicketSales]])</f>
        <v>1</v>
      </c>
    </row>
    <row r="19" spans="1:11" ht="19.95" customHeight="1" thickTop="1" thickBot="1" x14ac:dyDescent="0.35">
      <c r="A19" s="6">
        <v>7780</v>
      </c>
      <c r="B19" s="40" t="str">
        <f>IF(COUNTIF(Table4[ConcertID],Table4[[#This Row],[ConcertID]])&gt;1, "Duplicate", "Unique")</f>
        <v>Unique</v>
      </c>
      <c r="C19" s="2">
        <v>10018</v>
      </c>
      <c r="D19" s="40" t="b">
        <f>ISNUMBER(Table4[[#This Row],[ArtistID]])</f>
        <v>1</v>
      </c>
      <c r="E19" s="2">
        <v>118</v>
      </c>
      <c r="F19" s="40" t="b">
        <f>ISNUMBER(Table4[[#This Row],[VenueID]])</f>
        <v>1</v>
      </c>
      <c r="G19" s="35">
        <v>45776</v>
      </c>
      <c r="H19" s="44" t="b">
        <f>ISNUMBER(Table4[[#This Row],[Date]])</f>
        <v>1</v>
      </c>
      <c r="I19" s="33" t="str">
        <f>TEXT(SUBSTITUTE(Table4[[#This Row],[Date]], "11th December, 2024", "2024-12-11"), "yyyy-mm-dd")</f>
        <v>2025-04-29</v>
      </c>
      <c r="J19" s="29">
        <v>1200</v>
      </c>
      <c r="K19" s="40" t="b">
        <f>ISNUMBER(Table4[[#This Row],[TicketSales]])</f>
        <v>1</v>
      </c>
    </row>
    <row r="20" spans="1:11" ht="19.95" customHeight="1" thickTop="1" thickBot="1" x14ac:dyDescent="0.35">
      <c r="A20" s="6">
        <v>7779</v>
      </c>
      <c r="B20" s="40" t="str">
        <f>IF(COUNTIF(Table4[ConcertID],Table4[[#This Row],[ConcertID]])&gt;1, "Duplicate", "Unique")</f>
        <v>Unique</v>
      </c>
      <c r="C20" s="2">
        <v>10019</v>
      </c>
      <c r="D20" s="40" t="b">
        <f>ISNUMBER(Table4[[#This Row],[ArtistID]])</f>
        <v>1</v>
      </c>
      <c r="E20" s="2">
        <v>119</v>
      </c>
      <c r="F20" s="40" t="b">
        <f>ISNUMBER(Table4[[#This Row],[VenueID]])</f>
        <v>1</v>
      </c>
      <c r="G20" s="35">
        <v>45792</v>
      </c>
      <c r="H20" s="44" t="b">
        <f>ISNUMBER(Table4[[#This Row],[Date]])</f>
        <v>1</v>
      </c>
      <c r="I20" s="33" t="str">
        <f>TEXT(SUBSTITUTE(Table4[[#This Row],[Date]], "11th December, 2024", "2024-12-11"), "yyyy-mm-dd")</f>
        <v>2025-05-15</v>
      </c>
      <c r="J20" s="29">
        <v>950</v>
      </c>
      <c r="K20" s="40" t="b">
        <f>ISNUMBER(Table4[[#This Row],[TicketSales]])</f>
        <v>1</v>
      </c>
    </row>
    <row r="21" spans="1:11" ht="19.95" customHeight="1" thickTop="1" thickBot="1" x14ac:dyDescent="0.35">
      <c r="A21" s="6">
        <v>7778</v>
      </c>
      <c r="B21" s="40" t="str">
        <f>IF(COUNTIF(Table4[ConcertID],Table4[[#This Row],[ConcertID]])&gt;1, "Duplicate", "Unique")</f>
        <v>Unique</v>
      </c>
      <c r="C21" s="2">
        <v>10013</v>
      </c>
      <c r="D21" s="40" t="b">
        <f>ISNUMBER(Table4[[#This Row],[ArtistID]])</f>
        <v>1</v>
      </c>
      <c r="E21" s="3">
        <v>120</v>
      </c>
      <c r="F21" s="40" t="b">
        <f>ISNUMBER(Table4[[#This Row],[VenueID]])</f>
        <v>1</v>
      </c>
      <c r="G21" s="36">
        <v>45807</v>
      </c>
      <c r="H21" s="44" t="b">
        <f>ISNUMBER(Table4[[#This Row],[Date]])</f>
        <v>1</v>
      </c>
      <c r="I21" s="34" t="str">
        <f>TEXT(SUBSTITUTE(Table4[[#This Row],[Date]], "11th December, 2024", "2024-12-11"), "yyyy-mm-dd")</f>
        <v>2025-05-30</v>
      </c>
      <c r="J21" s="30">
        <v>1300</v>
      </c>
      <c r="K21" s="40" t="b">
        <f>ISNUMBER(Table4[[#This Row],[TicketSales]])</f>
        <v>1</v>
      </c>
    </row>
  </sheetData>
  <conditionalFormatting sqref="B1:B21">
    <cfRule type="containsText" dxfId="9" priority="2" operator="containsText" text="Duplicate">
      <formula>NOT(ISERROR(SEARCH("Duplicate",B1)))</formula>
    </cfRule>
  </conditionalFormatting>
  <conditionalFormatting sqref="D1:D21 F1:F21 H1:H21 K1:K21">
    <cfRule type="containsText" dxfId="8" priority="1" operator="containsText" text="FALSE">
      <formula>NOT(ISERROR(SEARCH("FALSE",D1)))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38C6-72BB-445C-98D3-16C1E8BF20F0}">
  <sheetPr>
    <tabColor theme="9" tint="-0.249977111117893"/>
  </sheetPr>
  <dimension ref="A1:E21"/>
  <sheetViews>
    <sheetView zoomScale="85" zoomScaleNormal="85" workbookViewId="0">
      <selection activeCell="D7" sqref="D7"/>
    </sheetView>
  </sheetViews>
  <sheetFormatPr defaultColWidth="20.77734375" defaultRowHeight="14.4" x14ac:dyDescent="0.3"/>
  <sheetData>
    <row r="1" spans="1:5" ht="19.95" customHeight="1" thickBot="1" x14ac:dyDescent="0.35">
      <c r="A1" s="12" t="s">
        <v>92</v>
      </c>
      <c r="B1" s="13" t="s">
        <v>0</v>
      </c>
      <c r="C1" s="13" t="s">
        <v>56</v>
      </c>
      <c r="D1" s="13" t="s">
        <v>93</v>
      </c>
      <c r="E1" s="13" t="s">
        <v>94</v>
      </c>
    </row>
    <row r="2" spans="1:5" ht="19.95" customHeight="1" thickBot="1" x14ac:dyDescent="0.35">
      <c r="A2" s="6">
        <v>7797</v>
      </c>
      <c r="B2" s="2">
        <v>10001</v>
      </c>
      <c r="C2" s="2">
        <v>101</v>
      </c>
      <c r="D2" s="35" t="str">
        <f>TEXT(SUBSTITUTE(Table4[[#This Row],[Date]], "11th December, 2024", "2024-12-11"), "yyyy-mm-dd")</f>
        <v>2024-07-15</v>
      </c>
      <c r="E2" s="29">
        <v>1200</v>
      </c>
    </row>
    <row r="3" spans="1:5" ht="19.95" customHeight="1" thickBot="1" x14ac:dyDescent="0.35">
      <c r="A3" s="6">
        <v>7796</v>
      </c>
      <c r="B3" s="2">
        <v>10002</v>
      </c>
      <c r="C3" s="2">
        <v>102</v>
      </c>
      <c r="D3" s="35" t="str">
        <f>TEXT(SUBSTITUTE(Table4[[#This Row],[Date]], "11th December, 2024", "2024-12-11"), "yyyy-mm-dd")</f>
        <v>2024-08-01</v>
      </c>
      <c r="E3" s="2">
        <v>800</v>
      </c>
    </row>
    <row r="4" spans="1:5" ht="19.95" customHeight="1" thickBot="1" x14ac:dyDescent="0.35">
      <c r="A4" s="6">
        <v>7795</v>
      </c>
      <c r="B4" s="2">
        <v>10003</v>
      </c>
      <c r="C4" s="2">
        <v>103</v>
      </c>
      <c r="D4" s="35" t="str">
        <f>TEXT(SUBSTITUTE(Table4[[#This Row],[Date]], "11th December, 2024", "2024-12-11"), "yyyy-mm-dd")</f>
        <v>2024-08-20</v>
      </c>
      <c r="E4" s="29">
        <v>1500</v>
      </c>
    </row>
    <row r="5" spans="1:5" ht="19.95" customHeight="1" thickBot="1" x14ac:dyDescent="0.35">
      <c r="A5" s="6">
        <v>7794</v>
      </c>
      <c r="B5" s="2">
        <v>10004</v>
      </c>
      <c r="C5" s="2">
        <v>104</v>
      </c>
      <c r="D5" s="35" t="str">
        <f>TEXT(SUBSTITUTE(Table4[[#This Row],[Date]], "11th December, 2024", "2024-12-11"), "yyyy-mm-dd")</f>
        <v>2024-09-05</v>
      </c>
      <c r="E5" s="29">
        <v>1000</v>
      </c>
    </row>
    <row r="6" spans="1:5" ht="19.95" customHeight="1" thickBot="1" x14ac:dyDescent="0.35">
      <c r="A6" s="6">
        <v>7793</v>
      </c>
      <c r="B6" s="2">
        <v>10005</v>
      </c>
      <c r="C6" s="2">
        <v>105</v>
      </c>
      <c r="D6" s="35" t="str">
        <f>TEXT(SUBSTITUTE(Table4[[#This Row],[Date]], "11th December, 2024", "2024-12-11"), "yyyy-mm-dd")</f>
        <v>2024-09-22</v>
      </c>
      <c r="E6" s="29">
        <v>1300</v>
      </c>
    </row>
    <row r="7" spans="1:5" ht="19.95" customHeight="1" thickBot="1" x14ac:dyDescent="0.35">
      <c r="A7" s="6">
        <v>7792</v>
      </c>
      <c r="B7" s="2">
        <v>10006</v>
      </c>
      <c r="C7" s="2">
        <v>106</v>
      </c>
      <c r="D7" s="35" t="str">
        <f>TEXT(SUBSTITUTE(Table4[[#This Row],[Date]], "11th December, 2024", "2024-12-11"), "yyyy-mm-dd")</f>
        <v>2024-10-10</v>
      </c>
      <c r="E7" s="29">
        <v>900</v>
      </c>
    </row>
    <row r="8" spans="1:5" ht="19.95" customHeight="1" thickBot="1" x14ac:dyDescent="0.35">
      <c r="A8" s="6">
        <v>7791</v>
      </c>
      <c r="B8" s="2">
        <v>10007</v>
      </c>
      <c r="C8" s="2">
        <v>107</v>
      </c>
      <c r="D8" s="35" t="str">
        <f>TEXT(SUBSTITUTE(Table4[[#This Row],[Date]], "11th December, 2024", "2024-12-11"), "yyyy-mm-dd")</f>
        <v>2024-10-25</v>
      </c>
      <c r="E8" s="29">
        <v>1100</v>
      </c>
    </row>
    <row r="9" spans="1:5" ht="19.95" customHeight="1" thickBot="1" x14ac:dyDescent="0.35">
      <c r="A9" s="6">
        <v>7790</v>
      </c>
      <c r="B9" s="2">
        <v>10008</v>
      </c>
      <c r="C9" s="2">
        <v>108</v>
      </c>
      <c r="D9" s="35" t="str">
        <f>TEXT(SUBSTITUTE(Table4[[#This Row],[Date]], "11th December, 2024", "2024-12-11"), "yyyy-mm-dd")</f>
        <v>2024-12-11</v>
      </c>
      <c r="E9" s="29">
        <v>1200</v>
      </c>
    </row>
    <row r="10" spans="1:5" ht="19.95" customHeight="1" thickBot="1" x14ac:dyDescent="0.35">
      <c r="A10" s="6">
        <v>7789</v>
      </c>
      <c r="B10" s="2">
        <v>10009</v>
      </c>
      <c r="C10" s="2">
        <v>109</v>
      </c>
      <c r="D10" s="35" t="str">
        <f>TEXT(SUBSTITUTE(Table4[[#This Row],[Date]], "11th December, 2024", "2024-12-11"), "yyyy-mm-dd")</f>
        <v>2024-12-01</v>
      </c>
      <c r="E10" s="29">
        <v>800</v>
      </c>
    </row>
    <row r="11" spans="1:5" ht="19.95" customHeight="1" thickBot="1" x14ac:dyDescent="0.35">
      <c r="A11" s="6">
        <v>7788</v>
      </c>
      <c r="B11" s="2">
        <v>10010</v>
      </c>
      <c r="C11" s="2">
        <v>110</v>
      </c>
      <c r="D11" s="35" t="str">
        <f>TEXT(SUBSTITUTE(Table4[[#This Row],[Date]], "11th December, 2024", "2024-12-11"), "yyyy-mm-dd")</f>
        <v>2024-12-18</v>
      </c>
      <c r="E11" s="29">
        <v>1400</v>
      </c>
    </row>
    <row r="12" spans="1:5" ht="19.95" customHeight="1" thickBot="1" x14ac:dyDescent="0.35">
      <c r="A12" s="6">
        <v>7787</v>
      </c>
      <c r="B12" s="2">
        <v>10011</v>
      </c>
      <c r="C12" s="2">
        <v>111</v>
      </c>
      <c r="D12" s="35" t="str">
        <f>TEXT(SUBSTITUTE(Table4[[#This Row],[Date]], "11th December, 2024", "2024-12-11"), "yyyy-mm-dd")</f>
        <v>2025-01-05</v>
      </c>
      <c r="E12" s="29">
        <v>950</v>
      </c>
    </row>
    <row r="13" spans="1:5" ht="19.95" customHeight="1" thickBot="1" x14ac:dyDescent="0.35">
      <c r="A13" s="6">
        <v>7786</v>
      </c>
      <c r="B13" s="2">
        <v>10012</v>
      </c>
      <c r="C13" s="2">
        <v>112</v>
      </c>
      <c r="D13" s="35" t="str">
        <f>TEXT(SUBSTITUTE(Table4[[#This Row],[Date]], "11th December, 2024", "2024-12-11"), "yyyy-mm-dd")</f>
        <v>2025-01-20</v>
      </c>
      <c r="E13" s="29">
        <v>1200</v>
      </c>
    </row>
    <row r="14" spans="1:5" ht="19.95" customHeight="1" thickBot="1" x14ac:dyDescent="0.35">
      <c r="A14" s="6">
        <v>7785</v>
      </c>
      <c r="B14" s="2">
        <v>10013</v>
      </c>
      <c r="C14" s="2">
        <v>113</v>
      </c>
      <c r="D14" s="35" t="str">
        <f>TEXT(SUBSTITUTE(Table4[[#This Row],[Date]], "11th December, 2024", "2024-12-11"), "yyyy-mm-dd")</f>
        <v>2025-02-06</v>
      </c>
      <c r="E14" s="29">
        <v>1100</v>
      </c>
    </row>
    <row r="15" spans="1:5" ht="19.95" customHeight="1" thickBot="1" x14ac:dyDescent="0.35">
      <c r="A15" s="6">
        <v>7784</v>
      </c>
      <c r="B15" s="2">
        <v>10014</v>
      </c>
      <c r="C15" s="2">
        <v>114</v>
      </c>
      <c r="D15" s="35" t="str">
        <f>TEXT(SUBSTITUTE(Table4[[#This Row],[Date]], "11th December, 2024", "2024-12-11"), "yyyy-mm-dd")</f>
        <v>2025-02-23</v>
      </c>
      <c r="E15" s="29">
        <v>1300</v>
      </c>
    </row>
    <row r="16" spans="1:5" ht="19.95" customHeight="1" thickBot="1" x14ac:dyDescent="0.35">
      <c r="A16" s="6">
        <v>7783</v>
      </c>
      <c r="B16" s="2">
        <v>10015</v>
      </c>
      <c r="C16" s="2">
        <v>115</v>
      </c>
      <c r="D16" s="35" t="str">
        <f>TEXT(SUBSTITUTE(Table4[[#This Row],[Date]], "11th December, 2024", "2024-12-11"), "yyyy-mm-dd")</f>
        <v>2025-03-10</v>
      </c>
      <c r="E16" s="29">
        <v>1000</v>
      </c>
    </row>
    <row r="17" spans="1:5" ht="19.95" customHeight="1" thickBot="1" x14ac:dyDescent="0.35">
      <c r="A17" s="6">
        <v>7782</v>
      </c>
      <c r="B17" s="2">
        <v>10016</v>
      </c>
      <c r="C17" s="2">
        <v>116</v>
      </c>
      <c r="D17" s="35" t="str">
        <f>TEXT(SUBSTITUTE(Table4[[#This Row],[Date]], "11th December, 2024", "2024-12-11"), "yyyy-mm-dd")</f>
        <v>2025-03-27</v>
      </c>
      <c r="E17" s="29">
        <v>900</v>
      </c>
    </row>
    <row r="18" spans="1:5" ht="19.95" customHeight="1" thickBot="1" x14ac:dyDescent="0.35">
      <c r="A18" s="6">
        <v>7781</v>
      </c>
      <c r="B18" s="2">
        <v>10017</v>
      </c>
      <c r="C18" s="2">
        <v>117</v>
      </c>
      <c r="D18" s="35" t="str">
        <f>TEXT(SUBSTITUTE(Table4[[#This Row],[Date]], "11th December, 2024", "2024-12-11"), "yyyy-mm-dd")</f>
        <v>2025-04-12</v>
      </c>
      <c r="E18" s="29">
        <v>1100</v>
      </c>
    </row>
    <row r="19" spans="1:5" ht="19.95" customHeight="1" thickBot="1" x14ac:dyDescent="0.35">
      <c r="A19" s="6">
        <v>7780</v>
      </c>
      <c r="B19" s="2">
        <v>10018</v>
      </c>
      <c r="C19" s="2">
        <v>118</v>
      </c>
      <c r="D19" s="35" t="str">
        <f>TEXT(SUBSTITUTE(Table4[[#This Row],[Date]], "11th December, 2024", "2024-12-11"), "yyyy-mm-dd")</f>
        <v>2025-04-29</v>
      </c>
      <c r="E19" s="29">
        <v>1200</v>
      </c>
    </row>
    <row r="20" spans="1:5" ht="19.95" customHeight="1" thickBot="1" x14ac:dyDescent="0.35">
      <c r="A20" s="6">
        <v>7779</v>
      </c>
      <c r="B20" s="2">
        <v>10019</v>
      </c>
      <c r="C20" s="2">
        <v>119</v>
      </c>
      <c r="D20" s="35" t="str">
        <f>TEXT(SUBSTITUTE(Table4[[#This Row],[Date]], "11th December, 2024", "2024-12-11"), "yyyy-mm-dd")</f>
        <v>2025-05-15</v>
      </c>
      <c r="E20" s="29">
        <v>950</v>
      </c>
    </row>
    <row r="21" spans="1:5" ht="19.95" customHeight="1" thickBot="1" x14ac:dyDescent="0.35">
      <c r="A21" s="6">
        <v>7778</v>
      </c>
      <c r="B21" s="2">
        <v>10013</v>
      </c>
      <c r="C21" s="3">
        <v>120</v>
      </c>
      <c r="D21" s="36" t="str">
        <f>TEXT(SUBSTITUTE(Table4[[#This Row],[Date]], "11th December, 2024", "2024-12-11"), "yyyy-mm-dd")</f>
        <v>2025-05-30</v>
      </c>
      <c r="E21" s="30">
        <v>1300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21F0-3705-4090-8042-1450CF604D9B}">
  <sheetPr>
    <tabColor rgb="FFFF0000"/>
  </sheetPr>
  <dimension ref="A1:F21"/>
  <sheetViews>
    <sheetView zoomScale="85" zoomScaleNormal="85" workbookViewId="0">
      <selection activeCell="C16" sqref="C16"/>
    </sheetView>
  </sheetViews>
  <sheetFormatPr defaultRowHeight="14.4" x14ac:dyDescent="0.3"/>
  <cols>
    <col min="1" max="1" width="17.6640625" customWidth="1"/>
    <col min="2" max="2" width="22.6640625" customWidth="1"/>
    <col min="3" max="3" width="25.88671875" customWidth="1"/>
    <col min="4" max="4" width="22.77734375" customWidth="1"/>
    <col min="5" max="5" width="26.77734375" customWidth="1"/>
    <col min="6" max="6" width="25.5546875" customWidth="1"/>
  </cols>
  <sheetData>
    <row r="1" spans="1:6" ht="19.95" customHeight="1" thickBot="1" x14ac:dyDescent="0.35">
      <c r="A1" s="12" t="s">
        <v>95</v>
      </c>
      <c r="B1" s="12" t="s">
        <v>92</v>
      </c>
      <c r="C1" s="13" t="s">
        <v>96</v>
      </c>
      <c r="D1" s="13" t="s">
        <v>97</v>
      </c>
      <c r="E1" s="13" t="s">
        <v>98</v>
      </c>
      <c r="F1" s="13" t="s">
        <v>99</v>
      </c>
    </row>
    <row r="2" spans="1:6" ht="19.95" customHeight="1" thickBot="1" x14ac:dyDescent="0.35">
      <c r="A2" s="6">
        <v>301</v>
      </c>
      <c r="B2" s="6">
        <v>7797</v>
      </c>
      <c r="C2" s="2" t="s">
        <v>100</v>
      </c>
      <c r="D2" s="2" t="s">
        <v>101</v>
      </c>
      <c r="E2" s="2">
        <v>50000</v>
      </c>
      <c r="F2" s="2">
        <v>5</v>
      </c>
    </row>
    <row r="3" spans="1:6" ht="19.95" customHeight="1" thickBot="1" x14ac:dyDescent="0.35">
      <c r="A3" s="6">
        <v>302</v>
      </c>
      <c r="B3" s="6">
        <v>7796</v>
      </c>
      <c r="C3" s="2" t="s">
        <v>102</v>
      </c>
      <c r="D3" s="2" t="s">
        <v>198</v>
      </c>
      <c r="E3" s="2">
        <v>30000</v>
      </c>
      <c r="F3" s="2">
        <v>3</v>
      </c>
    </row>
    <row r="4" spans="1:6" ht="19.95" customHeight="1" thickBot="1" x14ac:dyDescent="0.35">
      <c r="A4" s="6">
        <v>303</v>
      </c>
      <c r="B4" s="6">
        <v>7795</v>
      </c>
      <c r="C4" s="2" t="s">
        <v>104</v>
      </c>
      <c r="D4" s="2" t="s">
        <v>105</v>
      </c>
      <c r="E4" s="2">
        <v>15000</v>
      </c>
      <c r="F4" s="2">
        <v>2</v>
      </c>
    </row>
    <row r="5" spans="1:6" ht="19.95" customHeight="1" thickBot="1" x14ac:dyDescent="0.35">
      <c r="A5" s="6">
        <v>304</v>
      </c>
      <c r="B5" s="6">
        <v>7794</v>
      </c>
      <c r="C5" s="2" t="s">
        <v>106</v>
      </c>
      <c r="D5" s="2" t="s">
        <v>107</v>
      </c>
      <c r="E5" s="2">
        <v>10000</v>
      </c>
      <c r="F5" s="2">
        <v>1</v>
      </c>
    </row>
    <row r="6" spans="1:6" ht="19.95" customHeight="1" thickBot="1" x14ac:dyDescent="0.35">
      <c r="A6" s="6">
        <v>305</v>
      </c>
      <c r="B6" s="6">
        <v>7793</v>
      </c>
      <c r="C6" s="2" t="s">
        <v>108</v>
      </c>
      <c r="D6" s="2" t="s">
        <v>101</v>
      </c>
      <c r="E6" s="2">
        <v>55000</v>
      </c>
      <c r="F6" s="2">
        <v>6</v>
      </c>
    </row>
    <row r="7" spans="1:6" ht="19.95" customHeight="1" thickBot="1" x14ac:dyDescent="0.35">
      <c r="A7" s="6">
        <v>306</v>
      </c>
      <c r="B7" s="6">
        <v>7792</v>
      </c>
      <c r="C7" s="2" t="s">
        <v>199</v>
      </c>
      <c r="D7" s="2" t="s">
        <v>103</v>
      </c>
      <c r="E7" s="2">
        <v>32000</v>
      </c>
      <c r="F7" s="2">
        <v>4</v>
      </c>
    </row>
    <row r="8" spans="1:6" ht="19.95" customHeight="1" thickBot="1" x14ac:dyDescent="0.35">
      <c r="A8" s="6">
        <v>307</v>
      </c>
      <c r="B8" s="6">
        <v>7791</v>
      </c>
      <c r="C8" s="2" t="s">
        <v>109</v>
      </c>
      <c r="D8" s="2" t="s">
        <v>105</v>
      </c>
      <c r="E8" s="2">
        <v>18000</v>
      </c>
      <c r="F8" s="2">
        <v>3</v>
      </c>
    </row>
    <row r="9" spans="1:6" ht="19.95" customHeight="1" thickBot="1" x14ac:dyDescent="0.35">
      <c r="A9" s="6">
        <v>308</v>
      </c>
      <c r="B9" s="6">
        <v>7790</v>
      </c>
      <c r="C9" s="2" t="s">
        <v>110</v>
      </c>
      <c r="D9" s="2" t="s">
        <v>107</v>
      </c>
      <c r="E9" s="2">
        <v>12000</v>
      </c>
      <c r="F9" s="2">
        <v>2</v>
      </c>
    </row>
    <row r="10" spans="1:6" ht="19.95" customHeight="1" thickBot="1" x14ac:dyDescent="0.35">
      <c r="A10" s="6">
        <v>309</v>
      </c>
      <c r="B10" s="6">
        <v>7789</v>
      </c>
      <c r="C10" s="2" t="s">
        <v>111</v>
      </c>
      <c r="D10" s="2" t="s">
        <v>101</v>
      </c>
      <c r="E10" s="2">
        <v>60000</v>
      </c>
      <c r="F10" s="2">
        <v>7</v>
      </c>
    </row>
    <row r="11" spans="1:6" ht="19.95" customHeight="1" thickBot="1" x14ac:dyDescent="0.35">
      <c r="A11" s="6">
        <v>310</v>
      </c>
      <c r="B11" s="6">
        <v>7788</v>
      </c>
      <c r="C11" s="2" t="s">
        <v>112</v>
      </c>
      <c r="D11" s="2" t="s">
        <v>103</v>
      </c>
      <c r="E11" s="2">
        <v>35000</v>
      </c>
      <c r="F11" s="2">
        <v>5</v>
      </c>
    </row>
    <row r="12" spans="1:6" ht="19.95" customHeight="1" thickBot="1" x14ac:dyDescent="0.35">
      <c r="A12" s="6">
        <v>311</v>
      </c>
      <c r="B12" s="6">
        <v>7787</v>
      </c>
      <c r="C12" s="2" t="s">
        <v>113</v>
      </c>
      <c r="D12" s="2" t="s">
        <v>105</v>
      </c>
      <c r="E12" s="2">
        <v>20000</v>
      </c>
      <c r="F12" s="2">
        <v>4</v>
      </c>
    </row>
    <row r="13" spans="1:6" ht="19.95" customHeight="1" thickBot="1" x14ac:dyDescent="0.35">
      <c r="A13" s="6">
        <v>312</v>
      </c>
      <c r="B13" s="6">
        <v>7786</v>
      </c>
      <c r="C13" s="2" t="s">
        <v>114</v>
      </c>
      <c r="D13" s="2" t="s">
        <v>107</v>
      </c>
      <c r="E13" s="2">
        <v>13000</v>
      </c>
      <c r="F13" s="2">
        <v>2</v>
      </c>
    </row>
    <row r="14" spans="1:6" ht="19.95" customHeight="1" thickBot="1" x14ac:dyDescent="0.35">
      <c r="A14" s="6">
        <v>313</v>
      </c>
      <c r="B14" s="6">
        <v>7785</v>
      </c>
      <c r="C14" s="2" t="s">
        <v>115</v>
      </c>
      <c r="D14" s="2" t="s">
        <v>101</v>
      </c>
      <c r="E14" s="2">
        <v>58000</v>
      </c>
      <c r="F14" s="2">
        <v>6</v>
      </c>
    </row>
    <row r="15" spans="1:6" ht="19.95" customHeight="1" thickBot="1" x14ac:dyDescent="0.35">
      <c r="A15" s="6">
        <v>314</v>
      </c>
      <c r="B15" s="6">
        <v>7784</v>
      </c>
      <c r="C15" s="2" t="s">
        <v>242</v>
      </c>
      <c r="D15" s="2" t="s">
        <v>103</v>
      </c>
      <c r="E15" s="2">
        <v>33000</v>
      </c>
      <c r="F15" s="2">
        <v>4</v>
      </c>
    </row>
    <row r="16" spans="1:6" ht="19.95" customHeight="1" thickBot="1" x14ac:dyDescent="0.35">
      <c r="A16" s="6">
        <v>315</v>
      </c>
      <c r="B16" s="6">
        <v>7783</v>
      </c>
      <c r="C16" s="2" t="s">
        <v>116</v>
      </c>
      <c r="D16" s="2" t="s">
        <v>105</v>
      </c>
      <c r="E16" s="2">
        <v>16000</v>
      </c>
      <c r="F16" s="2">
        <v>2</v>
      </c>
    </row>
    <row r="17" spans="1:6" ht="19.95" customHeight="1" thickBot="1" x14ac:dyDescent="0.35">
      <c r="A17" s="6">
        <v>316</v>
      </c>
      <c r="B17" s="6">
        <v>7782</v>
      </c>
      <c r="C17" s="2" t="s">
        <v>117</v>
      </c>
      <c r="D17" s="2" t="s">
        <v>107</v>
      </c>
      <c r="E17" s="2">
        <v>11000</v>
      </c>
      <c r="F17" s="2">
        <v>1</v>
      </c>
    </row>
    <row r="18" spans="1:6" ht="19.95" customHeight="1" thickBot="1" x14ac:dyDescent="0.35">
      <c r="A18" s="6">
        <v>317</v>
      </c>
      <c r="B18" s="6">
        <v>7781</v>
      </c>
      <c r="C18" s="2" t="s">
        <v>118</v>
      </c>
      <c r="D18" s="2" t="s">
        <v>101</v>
      </c>
      <c r="E18" s="2">
        <v>52000</v>
      </c>
      <c r="F18" s="2">
        <v>5</v>
      </c>
    </row>
    <row r="19" spans="1:6" ht="19.95" customHeight="1" thickBot="1" x14ac:dyDescent="0.35">
      <c r="A19" s="6">
        <v>318</v>
      </c>
      <c r="B19" s="6">
        <v>7780</v>
      </c>
      <c r="C19" s="2" t="s">
        <v>119</v>
      </c>
      <c r="D19" s="2" t="s">
        <v>103</v>
      </c>
      <c r="E19" s="2">
        <v>28000</v>
      </c>
      <c r="F19" s="2">
        <v>3</v>
      </c>
    </row>
    <row r="20" spans="1:6" ht="19.95" customHeight="1" thickBot="1" x14ac:dyDescent="0.35">
      <c r="A20" s="6">
        <v>319</v>
      </c>
      <c r="B20" s="6">
        <v>7779</v>
      </c>
      <c r="C20" s="2" t="s">
        <v>120</v>
      </c>
      <c r="D20" s="2" t="s">
        <v>105</v>
      </c>
      <c r="E20" s="2">
        <v>14000</v>
      </c>
      <c r="F20" s="2" t="s">
        <v>200</v>
      </c>
    </row>
    <row r="21" spans="1:6" ht="19.95" customHeight="1" thickBot="1" x14ac:dyDescent="0.35">
      <c r="A21" s="5">
        <v>320</v>
      </c>
      <c r="B21" s="6">
        <v>7778</v>
      </c>
      <c r="C21" s="3" t="s">
        <v>121</v>
      </c>
      <c r="D21" s="3" t="s">
        <v>107</v>
      </c>
      <c r="E21" s="3">
        <v>9000</v>
      </c>
      <c r="F21" s="3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30A-A43A-4DED-8109-469B268AEDE1}">
  <sheetPr>
    <tabColor theme="1" tint="0.34998626667073579"/>
  </sheetPr>
  <dimension ref="A1:O22"/>
  <sheetViews>
    <sheetView zoomScale="70" zoomScaleNormal="70" workbookViewId="0">
      <selection activeCell="L2" sqref="L2"/>
    </sheetView>
  </sheetViews>
  <sheetFormatPr defaultRowHeight="14.4" x14ac:dyDescent="0.3"/>
  <cols>
    <col min="1" max="2" width="21.77734375" customWidth="1"/>
    <col min="3" max="4" width="24.44140625" customWidth="1"/>
    <col min="5" max="6" width="22.21875" customWidth="1"/>
    <col min="7" max="7" width="27.88671875" customWidth="1"/>
    <col min="8" max="10" width="25.88671875" customWidth="1"/>
    <col min="11" max="12" width="26.6640625" customWidth="1"/>
    <col min="13" max="13" width="30.33203125" customWidth="1"/>
    <col min="14" max="14" width="27.33203125" customWidth="1"/>
    <col min="15" max="15" width="27.5546875" customWidth="1"/>
  </cols>
  <sheetData>
    <row r="1" spans="1:15" ht="19.95" customHeight="1" thickTop="1" thickBot="1" x14ac:dyDescent="0.35">
      <c r="A1" s="12" t="s">
        <v>95</v>
      </c>
      <c r="B1" s="39" t="s">
        <v>243</v>
      </c>
      <c r="C1" s="12" t="s">
        <v>92</v>
      </c>
      <c r="D1" s="39" t="s">
        <v>233</v>
      </c>
      <c r="E1" s="13" t="s">
        <v>96</v>
      </c>
      <c r="F1" s="39" t="s">
        <v>244</v>
      </c>
      <c r="G1" s="18" t="s">
        <v>247</v>
      </c>
      <c r="H1" s="13" t="s">
        <v>97</v>
      </c>
      <c r="I1" s="39" t="s">
        <v>245</v>
      </c>
      <c r="J1" s="18" t="s">
        <v>246</v>
      </c>
      <c r="K1" s="13" t="s">
        <v>98</v>
      </c>
      <c r="L1" s="39" t="s">
        <v>270</v>
      </c>
      <c r="M1" s="13" t="s">
        <v>99</v>
      </c>
      <c r="N1" s="39" t="s">
        <v>248</v>
      </c>
      <c r="O1" s="22" t="s">
        <v>249</v>
      </c>
    </row>
    <row r="2" spans="1:15" ht="19.95" customHeight="1" thickTop="1" thickBot="1" x14ac:dyDescent="0.35">
      <c r="A2" s="6">
        <v>301</v>
      </c>
      <c r="B2" s="40" t="str">
        <f>IF(COUNTIF(Table5[SponsorID], Table5[[#This Row],[SponsorID]])&gt;1, "Duplicate", "Unique")</f>
        <v>Unique</v>
      </c>
      <c r="C2" s="6">
        <v>7797</v>
      </c>
      <c r="D2" s="40" t="b">
        <f>ISNUMBER(Table5[[#This Row],[ConcertID]])</f>
        <v>1</v>
      </c>
      <c r="E2" s="2" t="s">
        <v>100</v>
      </c>
      <c r="F2" s="40" t="b">
        <f>ISTEXT(Table5[[#This Row],[SponsorName]])</f>
        <v>1</v>
      </c>
      <c r="G2" s="19" t="str">
        <f>TRIM(PROPER(Table5[[#This Row],[SponsorName]]))</f>
        <v>Mega Corp</v>
      </c>
      <c r="H2" s="2" t="s">
        <v>101</v>
      </c>
      <c r="I2" s="40" t="b">
        <f>ISTEXT(Table5[[#This Row],[SponsorLevel]])</f>
        <v>1</v>
      </c>
      <c r="J2" s="19" t="str">
        <f>TRIM(PROPER(Table5[[#This Row],[SponsorLevel]]))</f>
        <v>Platinum</v>
      </c>
      <c r="K2" s="2">
        <v>50000</v>
      </c>
      <c r="L2" s="40" t="b">
        <f>ISNUMBER(Table5[[#This Row],[ContributionAmount]])</f>
        <v>1</v>
      </c>
      <c r="M2" s="2">
        <v>5</v>
      </c>
      <c r="N2" s="40" t="b">
        <f>ISNUMBER(Table5[[#This Row],[NumEventsSponsored]])</f>
        <v>1</v>
      </c>
      <c r="O2" s="21">
        <f>VALUE(SUBSTITUTE(Table5[[#This Row],[NumEventsSponsored]], "two", 2))</f>
        <v>5</v>
      </c>
    </row>
    <row r="3" spans="1:15" ht="19.95" customHeight="1" thickTop="1" thickBot="1" x14ac:dyDescent="0.35">
      <c r="A3" s="6">
        <v>302</v>
      </c>
      <c r="B3" s="40" t="str">
        <f>IF(COUNTIF(Table5[SponsorID], Table5[[#This Row],[SponsorID]])&gt;1, "Duplicate", "Unique")</f>
        <v>Unique</v>
      </c>
      <c r="C3" s="6">
        <v>7796</v>
      </c>
      <c r="D3" s="40" t="b">
        <f>ISNUMBER(Table5[[#This Row],[ConcertID]])</f>
        <v>1</v>
      </c>
      <c r="E3" s="2" t="s">
        <v>102</v>
      </c>
      <c r="F3" s="40" t="b">
        <f>ISTEXT(Table5[[#This Row],[SponsorName]])</f>
        <v>1</v>
      </c>
      <c r="G3" s="19" t="str">
        <f>TRIM(PROPER(Table5[[#This Row],[SponsorName]]))</f>
        <v>Music Gear Co.</v>
      </c>
      <c r="H3" s="2" t="s">
        <v>198</v>
      </c>
      <c r="I3" s="40" t="b">
        <f>ISTEXT(Table5[[#This Row],[SponsorLevel]])</f>
        <v>1</v>
      </c>
      <c r="J3" s="19" t="str">
        <f>TRIM(PROPER(Table5[[#This Row],[SponsorLevel]]))</f>
        <v>Gold</v>
      </c>
      <c r="K3" s="2">
        <v>30000</v>
      </c>
      <c r="L3" s="40" t="b">
        <f>ISNUMBER(Table5[[#This Row],[ContributionAmount]])</f>
        <v>1</v>
      </c>
      <c r="M3" s="2">
        <v>3</v>
      </c>
      <c r="N3" s="40" t="b">
        <f>ISNUMBER(Table5[[#This Row],[NumEventsSponsored]])</f>
        <v>1</v>
      </c>
      <c r="O3" s="21">
        <f>VALUE(SUBSTITUTE(Table5[[#This Row],[NumEventsSponsored]], "two", 2))</f>
        <v>3</v>
      </c>
    </row>
    <row r="4" spans="1:15" ht="19.95" customHeight="1" thickTop="1" thickBot="1" x14ac:dyDescent="0.35">
      <c r="A4" s="6">
        <v>303</v>
      </c>
      <c r="B4" s="40" t="str">
        <f>IF(COUNTIF(Table5[SponsorID], Table5[[#This Row],[SponsorID]])&gt;1, "Duplicate", "Unique")</f>
        <v>Unique</v>
      </c>
      <c r="C4" s="6">
        <v>7795</v>
      </c>
      <c r="D4" s="40" t="b">
        <f>ISNUMBER(Table5[[#This Row],[ConcertID]])</f>
        <v>1</v>
      </c>
      <c r="E4" s="2" t="s">
        <v>104</v>
      </c>
      <c r="F4" s="40" t="b">
        <f>ISTEXT(Table5[[#This Row],[SponsorName]])</f>
        <v>1</v>
      </c>
      <c r="G4" s="19" t="str">
        <f>TRIM(PROPER(Table5[[#This Row],[SponsorName]]))</f>
        <v>Local Radio Station</v>
      </c>
      <c r="H4" s="2" t="s">
        <v>105</v>
      </c>
      <c r="I4" s="40" t="b">
        <f>ISTEXT(Table5[[#This Row],[SponsorLevel]])</f>
        <v>1</v>
      </c>
      <c r="J4" s="19" t="str">
        <f>TRIM(PROPER(Table5[[#This Row],[SponsorLevel]]))</f>
        <v>Silver</v>
      </c>
      <c r="K4" s="2">
        <v>15000</v>
      </c>
      <c r="L4" s="40" t="b">
        <f>ISNUMBER(Table5[[#This Row],[ContributionAmount]])</f>
        <v>1</v>
      </c>
      <c r="M4" s="2">
        <v>2</v>
      </c>
      <c r="N4" s="40" t="b">
        <f>ISNUMBER(Table5[[#This Row],[NumEventsSponsored]])</f>
        <v>1</v>
      </c>
      <c r="O4" s="21">
        <f>VALUE(SUBSTITUTE(Table5[[#This Row],[NumEventsSponsored]], "two", 2))</f>
        <v>2</v>
      </c>
    </row>
    <row r="5" spans="1:15" ht="19.95" customHeight="1" thickTop="1" thickBot="1" x14ac:dyDescent="0.35">
      <c r="A5" s="6">
        <v>304</v>
      </c>
      <c r="B5" s="40" t="str">
        <f>IF(COUNTIF(Table5[SponsorID], Table5[[#This Row],[SponsorID]])&gt;1, "Duplicate", "Unique")</f>
        <v>Unique</v>
      </c>
      <c r="C5" s="6">
        <v>7794</v>
      </c>
      <c r="D5" s="40" t="b">
        <f>ISNUMBER(Table5[[#This Row],[ConcertID]])</f>
        <v>1</v>
      </c>
      <c r="E5" s="2" t="s">
        <v>106</v>
      </c>
      <c r="F5" s="40" t="b">
        <f>ISTEXT(Table5[[#This Row],[SponsorName]])</f>
        <v>1</v>
      </c>
      <c r="G5" s="19" t="str">
        <f>TRIM(PROPER(Table5[[#This Row],[SponsorName]]))</f>
        <v>Foodie Delights Inc.</v>
      </c>
      <c r="H5" s="2" t="s">
        <v>107</v>
      </c>
      <c r="I5" s="40" t="b">
        <f>ISTEXT(Table5[[#This Row],[SponsorLevel]])</f>
        <v>1</v>
      </c>
      <c r="J5" s="19" t="str">
        <f>TRIM(PROPER(Table5[[#This Row],[SponsorLevel]]))</f>
        <v>Bronze</v>
      </c>
      <c r="K5" s="2">
        <v>10000</v>
      </c>
      <c r="L5" s="40" t="b">
        <f>ISNUMBER(Table5[[#This Row],[ContributionAmount]])</f>
        <v>1</v>
      </c>
      <c r="M5" s="2">
        <v>1</v>
      </c>
      <c r="N5" s="40" t="b">
        <f>ISNUMBER(Table5[[#This Row],[NumEventsSponsored]])</f>
        <v>1</v>
      </c>
      <c r="O5" s="21">
        <f>VALUE(SUBSTITUTE(Table5[[#This Row],[NumEventsSponsored]], "two", 2))</f>
        <v>1</v>
      </c>
    </row>
    <row r="6" spans="1:15" ht="19.95" customHeight="1" thickTop="1" thickBot="1" x14ac:dyDescent="0.35">
      <c r="A6" s="6">
        <v>305</v>
      </c>
      <c r="B6" s="40" t="str">
        <f>IF(COUNTIF(Table5[SponsorID], Table5[[#This Row],[SponsorID]])&gt;1, "Duplicate", "Unique")</f>
        <v>Unique</v>
      </c>
      <c r="C6" s="6">
        <v>7793</v>
      </c>
      <c r="D6" s="40" t="b">
        <f>ISNUMBER(Table5[[#This Row],[ConcertID]])</f>
        <v>1</v>
      </c>
      <c r="E6" s="2" t="s">
        <v>108</v>
      </c>
      <c r="F6" s="40" t="b">
        <f>ISTEXT(Table5[[#This Row],[SponsorName]])</f>
        <v>1</v>
      </c>
      <c r="G6" s="19" t="str">
        <f>TRIM(PROPER(Table5[[#This Row],[SponsorName]]))</f>
        <v>Tech Innovators Ltd.</v>
      </c>
      <c r="H6" s="2" t="s">
        <v>101</v>
      </c>
      <c r="I6" s="40" t="b">
        <f>ISTEXT(Table5[[#This Row],[SponsorLevel]])</f>
        <v>1</v>
      </c>
      <c r="J6" s="19" t="str">
        <f>TRIM(PROPER(Table5[[#This Row],[SponsorLevel]]))</f>
        <v>Platinum</v>
      </c>
      <c r="K6" s="2">
        <v>55000</v>
      </c>
      <c r="L6" s="40" t="b">
        <f>ISNUMBER(Table5[[#This Row],[ContributionAmount]])</f>
        <v>1</v>
      </c>
      <c r="M6" s="2">
        <v>6</v>
      </c>
      <c r="N6" s="40" t="b">
        <f>ISNUMBER(Table5[[#This Row],[NumEventsSponsored]])</f>
        <v>1</v>
      </c>
      <c r="O6" s="21">
        <f>VALUE(SUBSTITUTE(Table5[[#This Row],[NumEventsSponsored]], "two", 2))</f>
        <v>6</v>
      </c>
    </row>
    <row r="7" spans="1:15" ht="19.95" customHeight="1" thickTop="1" thickBot="1" x14ac:dyDescent="0.35">
      <c r="A7" s="6">
        <v>306</v>
      </c>
      <c r="B7" s="40" t="str">
        <f>IF(COUNTIF(Table5[SponsorID], Table5[[#This Row],[SponsorID]])&gt;1, "Duplicate", "Unique")</f>
        <v>Unique</v>
      </c>
      <c r="C7" s="6">
        <v>7792</v>
      </c>
      <c r="D7" s="40" t="b">
        <f>ISNUMBER(Table5[[#This Row],[ConcertID]])</f>
        <v>1</v>
      </c>
      <c r="E7" s="2" t="s">
        <v>199</v>
      </c>
      <c r="F7" s="40" t="b">
        <f>ISTEXT(Table5[[#This Row],[SponsorName]])</f>
        <v>1</v>
      </c>
      <c r="G7" s="19" t="str">
        <f>TRIM(PROPER(Table5[[#This Row],[SponsorName]]))</f>
        <v>Travel Explorers</v>
      </c>
      <c r="H7" s="2" t="s">
        <v>103</v>
      </c>
      <c r="I7" s="40" t="b">
        <f>ISTEXT(Table5[[#This Row],[SponsorLevel]])</f>
        <v>1</v>
      </c>
      <c r="J7" s="19" t="str">
        <f>TRIM(PROPER(Table5[[#This Row],[SponsorLevel]]))</f>
        <v>Gold</v>
      </c>
      <c r="K7" s="2">
        <v>32000</v>
      </c>
      <c r="L7" s="40" t="b">
        <f>ISNUMBER(Table5[[#This Row],[ContributionAmount]])</f>
        <v>1</v>
      </c>
      <c r="M7" s="2">
        <v>4</v>
      </c>
      <c r="N7" s="40" t="b">
        <f>ISNUMBER(Table5[[#This Row],[NumEventsSponsored]])</f>
        <v>1</v>
      </c>
      <c r="O7" s="21">
        <f>VALUE(SUBSTITUTE(Table5[[#This Row],[NumEventsSponsored]], "two", 2))</f>
        <v>4</v>
      </c>
    </row>
    <row r="8" spans="1:15" ht="19.95" customHeight="1" thickTop="1" thickBot="1" x14ac:dyDescent="0.35">
      <c r="A8" s="6">
        <v>307</v>
      </c>
      <c r="B8" s="40" t="str">
        <f>IF(COUNTIF(Table5[SponsorID], Table5[[#This Row],[SponsorID]])&gt;1, "Duplicate", "Unique")</f>
        <v>Unique</v>
      </c>
      <c r="C8" s="6">
        <v>7791</v>
      </c>
      <c r="D8" s="40" t="b">
        <f>ISNUMBER(Table5[[#This Row],[ConcertID]])</f>
        <v>1</v>
      </c>
      <c r="E8" s="2" t="s">
        <v>109</v>
      </c>
      <c r="F8" s="40" t="b">
        <f>ISTEXT(Table5[[#This Row],[SponsorName]])</f>
        <v>1</v>
      </c>
      <c r="G8" s="19" t="str">
        <f>TRIM(PROPER(Table5[[#This Row],[SponsorName]]))</f>
        <v>Healthfirst</v>
      </c>
      <c r="H8" s="2" t="s">
        <v>105</v>
      </c>
      <c r="I8" s="40" t="b">
        <f>ISTEXT(Table5[[#This Row],[SponsorLevel]])</f>
        <v>1</v>
      </c>
      <c r="J8" s="19" t="str">
        <f>TRIM(PROPER(Table5[[#This Row],[SponsorLevel]]))</f>
        <v>Silver</v>
      </c>
      <c r="K8" s="2">
        <v>18000</v>
      </c>
      <c r="L8" s="40" t="b">
        <f>ISNUMBER(Table5[[#This Row],[ContributionAmount]])</f>
        <v>1</v>
      </c>
      <c r="M8" s="2">
        <v>3</v>
      </c>
      <c r="N8" s="40" t="b">
        <f>ISNUMBER(Table5[[#This Row],[NumEventsSponsored]])</f>
        <v>1</v>
      </c>
      <c r="O8" s="21">
        <f>VALUE(SUBSTITUTE(Table5[[#This Row],[NumEventsSponsored]], "two", 2))</f>
        <v>3</v>
      </c>
    </row>
    <row r="9" spans="1:15" ht="19.95" customHeight="1" thickTop="1" thickBot="1" x14ac:dyDescent="0.35">
      <c r="A9" s="6">
        <v>308</v>
      </c>
      <c r="B9" s="40" t="str">
        <f>IF(COUNTIF(Table5[SponsorID], Table5[[#This Row],[SponsorID]])&gt;1, "Duplicate", "Unique")</f>
        <v>Unique</v>
      </c>
      <c r="C9" s="6">
        <v>7790</v>
      </c>
      <c r="D9" s="40" t="b">
        <f>ISNUMBER(Table5[[#This Row],[ConcertID]])</f>
        <v>1</v>
      </c>
      <c r="E9" s="2" t="s">
        <v>110</v>
      </c>
      <c r="F9" s="40" t="b">
        <f>ISTEXT(Table5[[#This Row],[SponsorName]])</f>
        <v>1</v>
      </c>
      <c r="G9" s="19" t="str">
        <f>TRIM(PROPER(Table5[[#This Row],[SponsorName]]))</f>
        <v>Fashion Trends Co.</v>
      </c>
      <c r="H9" s="2" t="s">
        <v>107</v>
      </c>
      <c r="I9" s="40" t="b">
        <f>ISTEXT(Table5[[#This Row],[SponsorLevel]])</f>
        <v>1</v>
      </c>
      <c r="J9" s="19" t="str">
        <f>TRIM(PROPER(Table5[[#This Row],[SponsorLevel]]))</f>
        <v>Bronze</v>
      </c>
      <c r="K9" s="2">
        <v>12000</v>
      </c>
      <c r="L9" s="40" t="b">
        <f>ISNUMBER(Table5[[#This Row],[ContributionAmount]])</f>
        <v>1</v>
      </c>
      <c r="M9" s="2">
        <v>2</v>
      </c>
      <c r="N9" s="40" t="b">
        <f>ISNUMBER(Table5[[#This Row],[NumEventsSponsored]])</f>
        <v>1</v>
      </c>
      <c r="O9" s="21">
        <f>VALUE(SUBSTITUTE(Table5[[#This Row],[NumEventsSponsored]], "two", 2))</f>
        <v>2</v>
      </c>
    </row>
    <row r="10" spans="1:15" ht="19.95" customHeight="1" thickTop="1" thickBot="1" x14ac:dyDescent="0.35">
      <c r="A10" s="6">
        <v>309</v>
      </c>
      <c r="B10" s="40" t="str">
        <f>IF(COUNTIF(Table5[SponsorID], Table5[[#This Row],[SponsorID]])&gt;1, "Duplicate", "Unique")</f>
        <v>Unique</v>
      </c>
      <c r="C10" s="6">
        <v>7789</v>
      </c>
      <c r="D10" s="40" t="b">
        <f>ISNUMBER(Table5[[#This Row],[ConcertID]])</f>
        <v>1</v>
      </c>
      <c r="E10" s="2" t="s">
        <v>111</v>
      </c>
      <c r="F10" s="40" t="b">
        <f>ISTEXT(Table5[[#This Row],[SponsorName]])</f>
        <v>1</v>
      </c>
      <c r="G10" s="19" t="str">
        <f>TRIM(PROPER(Table5[[#This Row],[SponsorName]]))</f>
        <v>Green Energy Solutions</v>
      </c>
      <c r="H10" s="2" t="s">
        <v>101</v>
      </c>
      <c r="I10" s="40" t="b">
        <f>ISTEXT(Table5[[#This Row],[SponsorLevel]])</f>
        <v>1</v>
      </c>
      <c r="J10" s="19" t="str">
        <f>TRIM(PROPER(Table5[[#This Row],[SponsorLevel]]))</f>
        <v>Platinum</v>
      </c>
      <c r="K10" s="2">
        <v>60000</v>
      </c>
      <c r="L10" s="40" t="b">
        <f>ISNUMBER(Table5[[#This Row],[ContributionAmount]])</f>
        <v>1</v>
      </c>
      <c r="M10" s="2">
        <v>7</v>
      </c>
      <c r="N10" s="40" t="b">
        <f>ISNUMBER(Table5[[#This Row],[NumEventsSponsored]])</f>
        <v>1</v>
      </c>
      <c r="O10" s="21">
        <f>VALUE(SUBSTITUTE(Table5[[#This Row],[NumEventsSponsored]], "two", 2))</f>
        <v>7</v>
      </c>
    </row>
    <row r="11" spans="1:15" ht="19.95" customHeight="1" thickTop="1" thickBot="1" x14ac:dyDescent="0.35">
      <c r="A11" s="6">
        <v>310</v>
      </c>
      <c r="B11" s="40" t="str">
        <f>IF(COUNTIF(Table5[SponsorID], Table5[[#This Row],[SponsorID]])&gt;1, "Duplicate", "Unique")</f>
        <v>Unique</v>
      </c>
      <c r="C11" s="6">
        <v>7788</v>
      </c>
      <c r="D11" s="40" t="b">
        <f>ISNUMBER(Table5[[#This Row],[ConcertID]])</f>
        <v>1</v>
      </c>
      <c r="E11" s="2" t="s">
        <v>112</v>
      </c>
      <c r="F11" s="40" t="b">
        <f>ISTEXT(Table5[[#This Row],[SponsorName]])</f>
        <v>1</v>
      </c>
      <c r="G11" s="19" t="str">
        <f>TRIM(PROPER(Table5[[#This Row],[SponsorName]]))</f>
        <v>Adventure Seekers</v>
      </c>
      <c r="H11" s="2" t="s">
        <v>103</v>
      </c>
      <c r="I11" s="40" t="b">
        <f>ISTEXT(Table5[[#This Row],[SponsorLevel]])</f>
        <v>1</v>
      </c>
      <c r="J11" s="19" t="str">
        <f>TRIM(PROPER(Table5[[#This Row],[SponsorLevel]]))</f>
        <v>Gold</v>
      </c>
      <c r="K11" s="2">
        <v>35000</v>
      </c>
      <c r="L11" s="40" t="b">
        <f>ISNUMBER(Table5[[#This Row],[ContributionAmount]])</f>
        <v>1</v>
      </c>
      <c r="M11" s="2">
        <v>5</v>
      </c>
      <c r="N11" s="40" t="b">
        <f>ISNUMBER(Table5[[#This Row],[NumEventsSponsored]])</f>
        <v>1</v>
      </c>
      <c r="O11" s="21">
        <f>VALUE(SUBSTITUTE(Table5[[#This Row],[NumEventsSponsored]], "two", 2))</f>
        <v>5</v>
      </c>
    </row>
    <row r="12" spans="1:15" ht="19.95" customHeight="1" thickTop="1" thickBot="1" x14ac:dyDescent="0.35">
      <c r="A12" s="6">
        <v>311</v>
      </c>
      <c r="B12" s="40" t="str">
        <f>IF(COUNTIF(Table5[SponsorID], Table5[[#This Row],[SponsorID]])&gt;1, "Duplicate", "Unique")</f>
        <v>Unique</v>
      </c>
      <c r="C12" s="6">
        <v>7787</v>
      </c>
      <c r="D12" s="40" t="b">
        <f>ISNUMBER(Table5[[#This Row],[ConcertID]])</f>
        <v>1</v>
      </c>
      <c r="E12" s="2" t="s">
        <v>113</v>
      </c>
      <c r="F12" s="40" t="b">
        <f>ISTEXT(Table5[[#This Row],[SponsorName]])</f>
        <v>1</v>
      </c>
      <c r="G12" s="19" t="str">
        <f>TRIM(PROPER(Table5[[#This Row],[SponsorName]]))</f>
        <v>Wellness Essentials</v>
      </c>
      <c r="H12" s="2" t="s">
        <v>105</v>
      </c>
      <c r="I12" s="40" t="b">
        <f>ISTEXT(Table5[[#This Row],[SponsorLevel]])</f>
        <v>1</v>
      </c>
      <c r="J12" s="19" t="str">
        <f>TRIM(PROPER(Table5[[#This Row],[SponsorLevel]]))</f>
        <v>Silver</v>
      </c>
      <c r="K12" s="2">
        <v>20000</v>
      </c>
      <c r="L12" s="40" t="b">
        <f>ISNUMBER(Table5[[#This Row],[ContributionAmount]])</f>
        <v>1</v>
      </c>
      <c r="M12" s="2">
        <v>4</v>
      </c>
      <c r="N12" s="40" t="b">
        <f>ISNUMBER(Table5[[#This Row],[NumEventsSponsored]])</f>
        <v>1</v>
      </c>
      <c r="O12" s="21">
        <f>VALUE(SUBSTITUTE(Table5[[#This Row],[NumEventsSponsored]], "two", 2))</f>
        <v>4</v>
      </c>
    </row>
    <row r="13" spans="1:15" ht="19.95" customHeight="1" thickTop="1" thickBot="1" x14ac:dyDescent="0.35">
      <c r="A13" s="6">
        <v>312</v>
      </c>
      <c r="B13" s="40" t="str">
        <f>IF(COUNTIF(Table5[SponsorID], Table5[[#This Row],[SponsorID]])&gt;1, "Duplicate", "Unique")</f>
        <v>Unique</v>
      </c>
      <c r="C13" s="6">
        <v>7786</v>
      </c>
      <c r="D13" s="40" t="b">
        <f>ISNUMBER(Table5[[#This Row],[ConcertID]])</f>
        <v>1</v>
      </c>
      <c r="E13" s="2" t="s">
        <v>114</v>
      </c>
      <c r="F13" s="40" t="b">
        <f>ISTEXT(Table5[[#This Row],[SponsorName]])</f>
        <v>1</v>
      </c>
      <c r="G13" s="19" t="str">
        <f>TRIM(PROPER(Table5[[#This Row],[SponsorName]]))</f>
        <v>Home Decor Creations</v>
      </c>
      <c r="H13" s="2" t="s">
        <v>107</v>
      </c>
      <c r="I13" s="40" t="b">
        <f>ISTEXT(Table5[[#This Row],[SponsorLevel]])</f>
        <v>1</v>
      </c>
      <c r="J13" s="19" t="str">
        <f>TRIM(PROPER(Table5[[#This Row],[SponsorLevel]]))</f>
        <v>Bronze</v>
      </c>
      <c r="K13" s="2">
        <v>13000</v>
      </c>
      <c r="L13" s="40" t="b">
        <f>ISNUMBER(Table5[[#This Row],[ContributionAmount]])</f>
        <v>1</v>
      </c>
      <c r="M13" s="2">
        <v>2</v>
      </c>
      <c r="N13" s="40" t="b">
        <f>ISNUMBER(Table5[[#This Row],[NumEventsSponsored]])</f>
        <v>1</v>
      </c>
      <c r="O13" s="21">
        <f>VALUE(SUBSTITUTE(Table5[[#This Row],[NumEventsSponsored]], "two", 2))</f>
        <v>2</v>
      </c>
    </row>
    <row r="14" spans="1:15" ht="19.95" customHeight="1" thickTop="1" thickBot="1" x14ac:dyDescent="0.35">
      <c r="A14" s="6">
        <v>313</v>
      </c>
      <c r="B14" s="40" t="str">
        <f>IF(COUNTIF(Table5[SponsorID], Table5[[#This Row],[SponsorID]])&gt;1, "Duplicate", "Unique")</f>
        <v>Unique</v>
      </c>
      <c r="C14" s="6">
        <v>7785</v>
      </c>
      <c r="D14" s="40" t="b">
        <f>ISNUMBER(Table5[[#This Row],[ConcertID]])</f>
        <v>1</v>
      </c>
      <c r="E14" s="2" t="s">
        <v>115</v>
      </c>
      <c r="F14" s="40" t="b">
        <f>ISTEXT(Table5[[#This Row],[SponsorName]])</f>
        <v>1</v>
      </c>
      <c r="G14" s="19" t="str">
        <f>TRIM(PROPER(Table5[[#This Row],[SponsorName]]))</f>
        <v>Global Outreach Org.</v>
      </c>
      <c r="H14" s="2" t="s">
        <v>101</v>
      </c>
      <c r="I14" s="40" t="b">
        <f>ISTEXT(Table5[[#This Row],[SponsorLevel]])</f>
        <v>1</v>
      </c>
      <c r="J14" s="19" t="str">
        <f>TRIM(PROPER(Table5[[#This Row],[SponsorLevel]]))</f>
        <v>Platinum</v>
      </c>
      <c r="K14" s="2">
        <v>58000</v>
      </c>
      <c r="L14" s="40" t="b">
        <f>ISNUMBER(Table5[[#This Row],[ContributionAmount]])</f>
        <v>1</v>
      </c>
      <c r="M14" s="2">
        <v>6</v>
      </c>
      <c r="N14" s="40" t="b">
        <f>ISNUMBER(Table5[[#This Row],[NumEventsSponsored]])</f>
        <v>1</v>
      </c>
      <c r="O14" s="21">
        <f>VALUE(SUBSTITUTE(Table5[[#This Row],[NumEventsSponsored]], "two", 2))</f>
        <v>6</v>
      </c>
    </row>
    <row r="15" spans="1:15" ht="19.95" customHeight="1" thickTop="1" thickBot="1" x14ac:dyDescent="0.35">
      <c r="A15" s="6">
        <v>314</v>
      </c>
      <c r="B15" s="40" t="str">
        <f>IF(COUNTIF(Table5[SponsorID], Table5[[#This Row],[SponsorID]])&gt;1, "Duplicate", "Unique")</f>
        <v>Unique</v>
      </c>
      <c r="C15" s="6">
        <v>7784</v>
      </c>
      <c r="D15" s="40" t="b">
        <f>ISNUMBER(Table5[[#This Row],[ConcertID]])</f>
        <v>1</v>
      </c>
      <c r="E15" s="2" t="s">
        <v>242</v>
      </c>
      <c r="F15" s="40" t="b">
        <f>ISTEXT(Table5[[#This Row],[SponsorName]])</f>
        <v>1</v>
      </c>
      <c r="G15" s="19" t="str">
        <f>TRIM(PROPER(Table5[[#This Row],[SponsorName]]))</f>
        <v>Innovation Hub</v>
      </c>
      <c r="H15" s="2" t="s">
        <v>103</v>
      </c>
      <c r="I15" s="40" t="b">
        <f>ISTEXT(Table5[[#This Row],[SponsorLevel]])</f>
        <v>1</v>
      </c>
      <c r="J15" s="19" t="str">
        <f>TRIM(PROPER(Table5[[#This Row],[SponsorLevel]]))</f>
        <v>Gold</v>
      </c>
      <c r="K15" s="2">
        <v>33000</v>
      </c>
      <c r="L15" s="40" t="b">
        <f>ISNUMBER(Table5[[#This Row],[ContributionAmount]])</f>
        <v>1</v>
      </c>
      <c r="M15" s="2">
        <v>4</v>
      </c>
      <c r="N15" s="40" t="b">
        <f>ISNUMBER(Table5[[#This Row],[NumEventsSponsored]])</f>
        <v>1</v>
      </c>
      <c r="O15" s="21">
        <f>VALUE(SUBSTITUTE(Table5[[#This Row],[NumEventsSponsored]], "two", 2))</f>
        <v>4</v>
      </c>
    </row>
    <row r="16" spans="1:15" ht="19.95" customHeight="1" thickTop="1" thickBot="1" x14ac:dyDescent="0.35">
      <c r="A16" s="6">
        <v>315</v>
      </c>
      <c r="B16" s="40" t="str">
        <f>IF(COUNTIF(Table5[SponsorID], Table5[[#This Row],[SponsorID]])&gt;1, "Duplicate", "Unique")</f>
        <v>Unique</v>
      </c>
      <c r="C16" s="6">
        <v>7783</v>
      </c>
      <c r="D16" s="40" t="b">
        <f>ISNUMBER(Table5[[#This Row],[ConcertID]])</f>
        <v>1</v>
      </c>
      <c r="E16" s="2" t="s">
        <v>116</v>
      </c>
      <c r="F16" s="40" t="b">
        <f>ISTEXT(Table5[[#This Row],[SponsorName]])</f>
        <v>1</v>
      </c>
      <c r="G16" s="19" t="str">
        <f>TRIM(PROPER(Table5[[#This Row],[SponsorName]]))</f>
        <v>Community Builders</v>
      </c>
      <c r="H16" s="2" t="s">
        <v>105</v>
      </c>
      <c r="I16" s="40" t="b">
        <f>ISTEXT(Table5[[#This Row],[SponsorLevel]])</f>
        <v>1</v>
      </c>
      <c r="J16" s="19" t="str">
        <f>TRIM(PROPER(Table5[[#This Row],[SponsorLevel]]))</f>
        <v>Silver</v>
      </c>
      <c r="K16" s="2">
        <v>16000</v>
      </c>
      <c r="L16" s="40" t="b">
        <f>ISNUMBER(Table5[[#This Row],[ContributionAmount]])</f>
        <v>1</v>
      </c>
      <c r="M16" s="2">
        <v>2</v>
      </c>
      <c r="N16" s="40" t="b">
        <f>ISNUMBER(Table5[[#This Row],[NumEventsSponsored]])</f>
        <v>1</v>
      </c>
      <c r="O16" s="21">
        <f>VALUE(SUBSTITUTE(Table5[[#This Row],[NumEventsSponsored]], "two", 2))</f>
        <v>2</v>
      </c>
    </row>
    <row r="17" spans="1:15" ht="19.95" customHeight="1" thickTop="1" thickBot="1" x14ac:dyDescent="0.35">
      <c r="A17" s="6">
        <v>316</v>
      </c>
      <c r="B17" s="40" t="str">
        <f>IF(COUNTIF(Table5[SponsorID], Table5[[#This Row],[SponsorID]])&gt;1, "Duplicate", "Unique")</f>
        <v>Unique</v>
      </c>
      <c r="C17" s="6">
        <v>7782</v>
      </c>
      <c r="D17" s="40" t="b">
        <f>ISNUMBER(Table5[[#This Row],[ConcertID]])</f>
        <v>1</v>
      </c>
      <c r="E17" s="2" t="s">
        <v>117</v>
      </c>
      <c r="F17" s="40" t="b">
        <f>ISTEXT(Table5[[#This Row],[SponsorName]])</f>
        <v>1</v>
      </c>
      <c r="G17" s="19" t="str">
        <f>TRIM(PROPER(Table5[[#This Row],[SponsorName]]))</f>
        <v>Digital Solutions Inc.</v>
      </c>
      <c r="H17" s="2" t="s">
        <v>107</v>
      </c>
      <c r="I17" s="40" t="b">
        <f>ISTEXT(Table5[[#This Row],[SponsorLevel]])</f>
        <v>1</v>
      </c>
      <c r="J17" s="19" t="str">
        <f>TRIM(PROPER(Table5[[#This Row],[SponsorLevel]]))</f>
        <v>Bronze</v>
      </c>
      <c r="K17" s="2">
        <v>11000</v>
      </c>
      <c r="L17" s="40" t="b">
        <f>ISNUMBER(Table5[[#This Row],[ContributionAmount]])</f>
        <v>1</v>
      </c>
      <c r="M17" s="2">
        <v>1</v>
      </c>
      <c r="N17" s="40" t="b">
        <f>ISNUMBER(Table5[[#This Row],[NumEventsSponsored]])</f>
        <v>1</v>
      </c>
      <c r="O17" s="21">
        <f>VALUE(SUBSTITUTE(Table5[[#This Row],[NumEventsSponsored]], "two", 2))</f>
        <v>1</v>
      </c>
    </row>
    <row r="18" spans="1:15" ht="19.95" customHeight="1" thickTop="1" thickBot="1" x14ac:dyDescent="0.35">
      <c r="A18" s="6">
        <v>317</v>
      </c>
      <c r="B18" s="40" t="str">
        <f>IF(COUNTIF(Table5[SponsorID], Table5[[#This Row],[SponsorID]])&gt;1, "Duplicate", "Unique")</f>
        <v>Unique</v>
      </c>
      <c r="C18" s="6">
        <v>7781</v>
      </c>
      <c r="D18" s="40" t="b">
        <f>ISNUMBER(Table5[[#This Row],[ConcertID]])</f>
        <v>1</v>
      </c>
      <c r="E18" s="2" t="s">
        <v>118</v>
      </c>
      <c r="F18" s="40" t="b">
        <f>ISTEXT(Table5[[#This Row],[SponsorName]])</f>
        <v>1</v>
      </c>
      <c r="G18" s="19" t="str">
        <f>TRIM(PROPER(Table5[[#This Row],[SponsorName]]))</f>
        <v>Sports Enthusiasts</v>
      </c>
      <c r="H18" s="2" t="s">
        <v>101</v>
      </c>
      <c r="I18" s="40" t="b">
        <f>ISTEXT(Table5[[#This Row],[SponsorLevel]])</f>
        <v>1</v>
      </c>
      <c r="J18" s="19" t="str">
        <f>TRIM(PROPER(Table5[[#This Row],[SponsorLevel]]))</f>
        <v>Platinum</v>
      </c>
      <c r="K18" s="2">
        <v>52000</v>
      </c>
      <c r="L18" s="40" t="b">
        <f>ISNUMBER(Table5[[#This Row],[ContributionAmount]])</f>
        <v>1</v>
      </c>
      <c r="M18" s="2">
        <v>5</v>
      </c>
      <c r="N18" s="40" t="b">
        <f>ISNUMBER(Table5[[#This Row],[NumEventsSponsored]])</f>
        <v>1</v>
      </c>
      <c r="O18" s="21">
        <f>VALUE(SUBSTITUTE(Table5[[#This Row],[NumEventsSponsored]], "two", 2))</f>
        <v>5</v>
      </c>
    </row>
    <row r="19" spans="1:15" ht="19.95" customHeight="1" thickTop="1" thickBot="1" x14ac:dyDescent="0.35">
      <c r="A19" s="6">
        <v>318</v>
      </c>
      <c r="B19" s="40" t="str">
        <f>IF(COUNTIF(Table5[SponsorID], Table5[[#This Row],[SponsorID]])&gt;1, "Duplicate", "Unique")</f>
        <v>Unique</v>
      </c>
      <c r="C19" s="6">
        <v>7780</v>
      </c>
      <c r="D19" s="40" t="b">
        <f>ISNUMBER(Table5[[#This Row],[ConcertID]])</f>
        <v>1</v>
      </c>
      <c r="E19" s="2" t="s">
        <v>119</v>
      </c>
      <c r="F19" s="40" t="b">
        <f>ISTEXT(Table5[[#This Row],[SponsorName]])</f>
        <v>1</v>
      </c>
      <c r="G19" s="19" t="str">
        <f>TRIM(PROPER(Table5[[#This Row],[SponsorName]]))</f>
        <v>Artistic Expressions</v>
      </c>
      <c r="H19" s="2" t="s">
        <v>103</v>
      </c>
      <c r="I19" s="40" t="b">
        <f>ISTEXT(Table5[[#This Row],[SponsorLevel]])</f>
        <v>1</v>
      </c>
      <c r="J19" s="19" t="str">
        <f>TRIM(PROPER(Table5[[#This Row],[SponsorLevel]]))</f>
        <v>Gold</v>
      </c>
      <c r="K19" s="2">
        <v>28000</v>
      </c>
      <c r="L19" s="40" t="b">
        <f>ISNUMBER(Table5[[#This Row],[ContributionAmount]])</f>
        <v>1</v>
      </c>
      <c r="M19" s="2">
        <v>3</v>
      </c>
      <c r="N19" s="40" t="b">
        <f>ISNUMBER(Table5[[#This Row],[NumEventsSponsored]])</f>
        <v>1</v>
      </c>
      <c r="O19" s="21">
        <f>VALUE(SUBSTITUTE(Table5[[#This Row],[NumEventsSponsored]], "two", 2))</f>
        <v>3</v>
      </c>
    </row>
    <row r="20" spans="1:15" ht="19.95" customHeight="1" thickTop="1" thickBot="1" x14ac:dyDescent="0.35">
      <c r="A20" s="6">
        <v>319</v>
      </c>
      <c r="B20" s="40" t="str">
        <f>IF(COUNTIF(Table5[SponsorID], Table5[[#This Row],[SponsorID]])&gt;1, "Duplicate", "Unique")</f>
        <v>Unique</v>
      </c>
      <c r="C20" s="6">
        <v>7779</v>
      </c>
      <c r="D20" s="40" t="b">
        <f>ISNUMBER(Table5[[#This Row],[ConcertID]])</f>
        <v>1</v>
      </c>
      <c r="E20" s="2" t="s">
        <v>120</v>
      </c>
      <c r="F20" s="40" t="b">
        <f>ISTEXT(Table5[[#This Row],[SponsorName]])</f>
        <v>1</v>
      </c>
      <c r="G20" s="19" t="str">
        <f>TRIM(PROPER(Table5[[#This Row],[SponsorName]]))</f>
        <v>Educational Visionaries</v>
      </c>
      <c r="H20" s="2" t="s">
        <v>105</v>
      </c>
      <c r="I20" s="40" t="b">
        <f>ISTEXT(Table5[[#This Row],[SponsorLevel]])</f>
        <v>1</v>
      </c>
      <c r="J20" s="19" t="str">
        <f>TRIM(PROPER(Table5[[#This Row],[SponsorLevel]]))</f>
        <v>Silver</v>
      </c>
      <c r="K20" s="2">
        <v>14000</v>
      </c>
      <c r="L20" s="40" t="b">
        <f>ISNUMBER(Table5[[#This Row],[ContributionAmount]])</f>
        <v>1</v>
      </c>
      <c r="M20" s="2" t="s">
        <v>200</v>
      </c>
      <c r="N20" s="40" t="b">
        <f>ISNUMBER(Table5[[#This Row],[NumEventsSponsored]])</f>
        <v>0</v>
      </c>
      <c r="O20" s="21">
        <f>VALUE(SUBSTITUTE(Table5[[#This Row],[NumEventsSponsored]], "two", 2))</f>
        <v>2</v>
      </c>
    </row>
    <row r="21" spans="1:15" ht="19.95" customHeight="1" thickTop="1" thickBot="1" x14ac:dyDescent="0.35">
      <c r="A21" s="5">
        <v>320</v>
      </c>
      <c r="B21" s="40" t="str">
        <f>IF(COUNTIF(Table5[SponsorID], Table5[[#This Row],[SponsorID]])&gt;1, "Duplicate", "Unique")</f>
        <v>Unique</v>
      </c>
      <c r="C21" s="6">
        <v>7778</v>
      </c>
      <c r="D21" s="40" t="b">
        <f>ISNUMBER(Table5[[#This Row],[ConcertID]])</f>
        <v>1</v>
      </c>
      <c r="E21" s="3" t="s">
        <v>121</v>
      </c>
      <c r="F21" s="40" t="b">
        <f>ISTEXT(Table5[[#This Row],[SponsorName]])</f>
        <v>1</v>
      </c>
      <c r="G21" s="21" t="str">
        <f>TRIM(PROPER(Table5[[#This Row],[SponsorName]]))</f>
        <v>Culinary Delights</v>
      </c>
      <c r="H21" s="3" t="s">
        <v>107</v>
      </c>
      <c r="I21" s="40" t="b">
        <f>ISTEXT(Table5[[#This Row],[SponsorLevel]])</f>
        <v>1</v>
      </c>
      <c r="J21" s="21" t="str">
        <f>TRIM(PROPER(Table5[[#This Row],[SponsorLevel]]))</f>
        <v>Bronze</v>
      </c>
      <c r="K21" s="3">
        <v>9000</v>
      </c>
      <c r="L21" s="40" t="b">
        <f>ISNUMBER(Table5[[#This Row],[ContributionAmount]])</f>
        <v>1</v>
      </c>
      <c r="M21" s="3">
        <v>1</v>
      </c>
      <c r="N21" s="40" t="b">
        <f>ISNUMBER(Table5[[#This Row],[NumEventsSponsored]])</f>
        <v>1</v>
      </c>
      <c r="O21" s="21">
        <f>VALUE(SUBSTITUTE(Table5[[#This Row],[NumEventsSponsored]], "two", 2))</f>
        <v>1</v>
      </c>
    </row>
    <row r="22" spans="1:15" ht="15" thickTop="1" x14ac:dyDescent="0.3"/>
  </sheetData>
  <phoneticPr fontId="2" type="noConversion"/>
  <conditionalFormatting sqref="B1:B21">
    <cfRule type="containsText" dxfId="7" priority="2" operator="containsText" text="Duplicate">
      <formula>NOT(ISERROR(SEARCH("Duplicate",B1)))</formula>
    </cfRule>
  </conditionalFormatting>
  <conditionalFormatting sqref="D1:D21 F1:F21 I1:I21 L1:L21 N1:N21">
    <cfRule type="containsText" dxfId="6" priority="1" operator="containsText" text="FALSE">
      <formula>NOT(ISERROR(SEARCH("FALSE",D1)))</formula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0BC0-F7FF-4512-8FC0-952723E3FFF4}">
  <sheetPr>
    <tabColor theme="9" tint="-0.249977111117893"/>
  </sheetPr>
  <dimension ref="A1:F21"/>
  <sheetViews>
    <sheetView zoomScale="85" zoomScaleNormal="85" workbookViewId="0">
      <selection activeCell="H17" sqref="H17"/>
    </sheetView>
  </sheetViews>
  <sheetFormatPr defaultColWidth="20.77734375" defaultRowHeight="14.4" x14ac:dyDescent="0.3"/>
  <cols>
    <col min="3" max="3" width="27.33203125" customWidth="1"/>
    <col min="5" max="5" width="30.21875" customWidth="1"/>
    <col min="6" max="6" width="24.33203125" customWidth="1"/>
  </cols>
  <sheetData>
    <row r="1" spans="1:6" ht="19.95" customHeight="1" thickBot="1" x14ac:dyDescent="0.35">
      <c r="A1" s="12" t="s">
        <v>95</v>
      </c>
      <c r="B1" s="12" t="s">
        <v>92</v>
      </c>
      <c r="C1" s="13" t="s">
        <v>96</v>
      </c>
      <c r="D1" s="13" t="s">
        <v>97</v>
      </c>
      <c r="E1" s="13" t="s">
        <v>98</v>
      </c>
      <c r="F1" s="13" t="s">
        <v>99</v>
      </c>
    </row>
    <row r="2" spans="1:6" ht="19.95" customHeight="1" thickBot="1" x14ac:dyDescent="0.35">
      <c r="A2" s="6">
        <v>301</v>
      </c>
      <c r="B2" s="6">
        <v>7797</v>
      </c>
      <c r="C2" s="2" t="str">
        <f>TRIM(PROPER(Table5[[#This Row],[SponsorName]]))</f>
        <v>Mega Corp</v>
      </c>
      <c r="D2" s="2" t="str">
        <f>TRIM(PROPER(Table5[[#This Row],[SponsorLevel]]))</f>
        <v>Platinum</v>
      </c>
      <c r="E2" s="2">
        <v>50000</v>
      </c>
      <c r="F2" s="3">
        <f>VALUE(SUBSTITUTE(Table5[[#This Row],[NumEventsSponsored]], "two", 2))</f>
        <v>5</v>
      </c>
    </row>
    <row r="3" spans="1:6" ht="19.95" customHeight="1" thickBot="1" x14ac:dyDescent="0.35">
      <c r="A3" s="6">
        <v>302</v>
      </c>
      <c r="B3" s="6">
        <v>7796</v>
      </c>
      <c r="C3" s="2" t="str">
        <f>TRIM(PROPER(Table5[[#This Row],[SponsorName]]))</f>
        <v>Music Gear Co.</v>
      </c>
      <c r="D3" s="2" t="str">
        <f>TRIM(PROPER(Table5[[#This Row],[SponsorLevel]]))</f>
        <v>Gold</v>
      </c>
      <c r="E3" s="2">
        <v>30000</v>
      </c>
      <c r="F3" s="3">
        <f>VALUE(SUBSTITUTE(Table5[[#This Row],[NumEventsSponsored]], "two", 2))</f>
        <v>3</v>
      </c>
    </row>
    <row r="4" spans="1:6" ht="19.95" customHeight="1" thickBot="1" x14ac:dyDescent="0.35">
      <c r="A4" s="6">
        <v>303</v>
      </c>
      <c r="B4" s="6">
        <v>7795</v>
      </c>
      <c r="C4" s="2" t="str">
        <f>TRIM(PROPER(Table5[[#This Row],[SponsorName]]))</f>
        <v>Local Radio Station</v>
      </c>
      <c r="D4" s="2" t="str">
        <f>TRIM(PROPER(Table5[[#This Row],[SponsorLevel]]))</f>
        <v>Silver</v>
      </c>
      <c r="E4" s="2">
        <v>15000</v>
      </c>
      <c r="F4" s="3">
        <f>VALUE(SUBSTITUTE(Table5[[#This Row],[NumEventsSponsored]], "two", 2))</f>
        <v>2</v>
      </c>
    </row>
    <row r="5" spans="1:6" ht="19.95" customHeight="1" thickBot="1" x14ac:dyDescent="0.35">
      <c r="A5" s="6">
        <v>304</v>
      </c>
      <c r="B5" s="6">
        <v>7794</v>
      </c>
      <c r="C5" s="2" t="str">
        <f>TRIM(PROPER(Table5[[#This Row],[SponsorName]]))</f>
        <v>Foodie Delights Inc.</v>
      </c>
      <c r="D5" s="2" t="str">
        <f>TRIM(PROPER(Table5[[#This Row],[SponsorLevel]]))</f>
        <v>Bronze</v>
      </c>
      <c r="E5" s="2">
        <v>10000</v>
      </c>
      <c r="F5" s="3">
        <f>VALUE(SUBSTITUTE(Table5[[#This Row],[NumEventsSponsored]], "two", 2))</f>
        <v>1</v>
      </c>
    </row>
    <row r="6" spans="1:6" ht="19.95" customHeight="1" thickBot="1" x14ac:dyDescent="0.35">
      <c r="A6" s="6">
        <v>305</v>
      </c>
      <c r="B6" s="6">
        <v>7793</v>
      </c>
      <c r="C6" s="2" t="str">
        <f>TRIM(PROPER(Table5[[#This Row],[SponsorName]]))</f>
        <v>Tech Innovators Ltd.</v>
      </c>
      <c r="D6" s="2" t="str">
        <f>TRIM(PROPER(Table5[[#This Row],[SponsorLevel]]))</f>
        <v>Platinum</v>
      </c>
      <c r="E6" s="2">
        <v>55000</v>
      </c>
      <c r="F6" s="3">
        <f>VALUE(SUBSTITUTE(Table5[[#This Row],[NumEventsSponsored]], "two", 2))</f>
        <v>6</v>
      </c>
    </row>
    <row r="7" spans="1:6" ht="19.95" customHeight="1" thickBot="1" x14ac:dyDescent="0.35">
      <c r="A7" s="6">
        <v>306</v>
      </c>
      <c r="B7" s="6">
        <v>7792</v>
      </c>
      <c r="C7" s="2" t="str">
        <f>TRIM(PROPER(Table5[[#This Row],[SponsorName]]))</f>
        <v>Travel Explorers</v>
      </c>
      <c r="D7" s="2" t="str">
        <f>TRIM(PROPER(Table5[[#This Row],[SponsorLevel]]))</f>
        <v>Gold</v>
      </c>
      <c r="E7" s="2">
        <v>32000</v>
      </c>
      <c r="F7" s="3">
        <f>VALUE(SUBSTITUTE(Table5[[#This Row],[NumEventsSponsored]], "two", 2))</f>
        <v>4</v>
      </c>
    </row>
    <row r="8" spans="1:6" ht="19.95" customHeight="1" thickBot="1" x14ac:dyDescent="0.35">
      <c r="A8" s="6">
        <v>307</v>
      </c>
      <c r="B8" s="6">
        <v>7791</v>
      </c>
      <c r="C8" s="2" t="str">
        <f>TRIM(PROPER(Table5[[#This Row],[SponsorName]]))</f>
        <v>Healthfirst</v>
      </c>
      <c r="D8" s="2" t="str">
        <f>TRIM(PROPER(Table5[[#This Row],[SponsorLevel]]))</f>
        <v>Silver</v>
      </c>
      <c r="E8" s="2">
        <v>18000</v>
      </c>
      <c r="F8" s="3">
        <f>VALUE(SUBSTITUTE(Table5[[#This Row],[NumEventsSponsored]], "two", 2))</f>
        <v>3</v>
      </c>
    </row>
    <row r="9" spans="1:6" ht="19.95" customHeight="1" thickBot="1" x14ac:dyDescent="0.35">
      <c r="A9" s="6">
        <v>308</v>
      </c>
      <c r="B9" s="6">
        <v>7790</v>
      </c>
      <c r="C9" s="2" t="str">
        <f>TRIM(PROPER(Table5[[#This Row],[SponsorName]]))</f>
        <v>Fashion Trends Co.</v>
      </c>
      <c r="D9" s="2" t="str">
        <f>TRIM(PROPER(Table5[[#This Row],[SponsorLevel]]))</f>
        <v>Bronze</v>
      </c>
      <c r="E9" s="2">
        <v>12000</v>
      </c>
      <c r="F9" s="3">
        <f>VALUE(SUBSTITUTE(Table5[[#This Row],[NumEventsSponsored]], "two", 2))</f>
        <v>2</v>
      </c>
    </row>
    <row r="10" spans="1:6" ht="19.95" customHeight="1" thickBot="1" x14ac:dyDescent="0.35">
      <c r="A10" s="6">
        <v>309</v>
      </c>
      <c r="B10" s="6">
        <v>7789</v>
      </c>
      <c r="C10" s="2" t="str">
        <f>TRIM(PROPER(Table5[[#This Row],[SponsorName]]))</f>
        <v>Green Energy Solutions</v>
      </c>
      <c r="D10" s="2" t="str">
        <f>TRIM(PROPER(Table5[[#This Row],[SponsorLevel]]))</f>
        <v>Platinum</v>
      </c>
      <c r="E10" s="2">
        <v>60000</v>
      </c>
      <c r="F10" s="3">
        <f>VALUE(SUBSTITUTE(Table5[[#This Row],[NumEventsSponsored]], "two", 2))</f>
        <v>7</v>
      </c>
    </row>
    <row r="11" spans="1:6" ht="19.95" customHeight="1" thickBot="1" x14ac:dyDescent="0.35">
      <c r="A11" s="6">
        <v>310</v>
      </c>
      <c r="B11" s="6">
        <v>7788</v>
      </c>
      <c r="C11" s="2" t="str">
        <f>TRIM(PROPER(Table5[[#This Row],[SponsorName]]))</f>
        <v>Adventure Seekers</v>
      </c>
      <c r="D11" s="2" t="str">
        <f>TRIM(PROPER(Table5[[#This Row],[SponsorLevel]]))</f>
        <v>Gold</v>
      </c>
      <c r="E11" s="2">
        <v>35000</v>
      </c>
      <c r="F11" s="3">
        <f>VALUE(SUBSTITUTE(Table5[[#This Row],[NumEventsSponsored]], "two", 2))</f>
        <v>5</v>
      </c>
    </row>
    <row r="12" spans="1:6" ht="19.95" customHeight="1" thickBot="1" x14ac:dyDescent="0.35">
      <c r="A12" s="6">
        <v>311</v>
      </c>
      <c r="B12" s="6">
        <v>7787</v>
      </c>
      <c r="C12" s="2" t="str">
        <f>TRIM(PROPER(Table5[[#This Row],[SponsorName]]))</f>
        <v>Wellness Essentials</v>
      </c>
      <c r="D12" s="2" t="str">
        <f>TRIM(PROPER(Table5[[#This Row],[SponsorLevel]]))</f>
        <v>Silver</v>
      </c>
      <c r="E12" s="2">
        <v>20000</v>
      </c>
      <c r="F12" s="3">
        <f>VALUE(SUBSTITUTE(Table5[[#This Row],[NumEventsSponsored]], "two", 2))</f>
        <v>4</v>
      </c>
    </row>
    <row r="13" spans="1:6" ht="19.95" customHeight="1" thickBot="1" x14ac:dyDescent="0.35">
      <c r="A13" s="6">
        <v>312</v>
      </c>
      <c r="B13" s="6">
        <v>7786</v>
      </c>
      <c r="C13" s="2" t="str">
        <f>TRIM(PROPER(Table5[[#This Row],[SponsorName]]))</f>
        <v>Home Decor Creations</v>
      </c>
      <c r="D13" s="2" t="str">
        <f>TRIM(PROPER(Table5[[#This Row],[SponsorLevel]]))</f>
        <v>Bronze</v>
      </c>
      <c r="E13" s="2">
        <v>13000</v>
      </c>
      <c r="F13" s="3">
        <f>VALUE(SUBSTITUTE(Table5[[#This Row],[NumEventsSponsored]], "two", 2))</f>
        <v>2</v>
      </c>
    </row>
    <row r="14" spans="1:6" ht="19.95" customHeight="1" thickBot="1" x14ac:dyDescent="0.35">
      <c r="A14" s="6">
        <v>313</v>
      </c>
      <c r="B14" s="6">
        <v>7785</v>
      </c>
      <c r="C14" s="2" t="str">
        <f>TRIM(PROPER(Table5[[#This Row],[SponsorName]]))</f>
        <v>Global Outreach Org.</v>
      </c>
      <c r="D14" s="2" t="str">
        <f>TRIM(PROPER(Table5[[#This Row],[SponsorLevel]]))</f>
        <v>Platinum</v>
      </c>
      <c r="E14" s="2">
        <v>58000</v>
      </c>
      <c r="F14" s="3">
        <f>VALUE(SUBSTITUTE(Table5[[#This Row],[NumEventsSponsored]], "two", 2))</f>
        <v>6</v>
      </c>
    </row>
    <row r="15" spans="1:6" ht="19.95" customHeight="1" thickBot="1" x14ac:dyDescent="0.35">
      <c r="A15" s="6">
        <v>314</v>
      </c>
      <c r="B15" s="6">
        <v>7784</v>
      </c>
      <c r="C15" s="2" t="str">
        <f>TRIM(PROPER(Table5[[#This Row],[SponsorName]]))</f>
        <v>Innovation Hub</v>
      </c>
      <c r="D15" s="2" t="str">
        <f>TRIM(PROPER(Table5[[#This Row],[SponsorLevel]]))</f>
        <v>Gold</v>
      </c>
      <c r="E15" s="2">
        <v>33000</v>
      </c>
      <c r="F15" s="3">
        <f>VALUE(SUBSTITUTE(Table5[[#This Row],[NumEventsSponsored]], "two", 2))</f>
        <v>4</v>
      </c>
    </row>
    <row r="16" spans="1:6" ht="19.95" customHeight="1" thickBot="1" x14ac:dyDescent="0.35">
      <c r="A16" s="6">
        <v>315</v>
      </c>
      <c r="B16" s="6">
        <v>7783</v>
      </c>
      <c r="C16" s="2" t="str">
        <f>TRIM(PROPER(Table5[[#This Row],[SponsorName]]))</f>
        <v>Community Builders</v>
      </c>
      <c r="D16" s="2" t="str">
        <f>TRIM(PROPER(Table5[[#This Row],[SponsorLevel]]))</f>
        <v>Silver</v>
      </c>
      <c r="E16" s="2">
        <v>16000</v>
      </c>
      <c r="F16" s="3">
        <f>VALUE(SUBSTITUTE(Table5[[#This Row],[NumEventsSponsored]], "two", 2))</f>
        <v>2</v>
      </c>
    </row>
    <row r="17" spans="1:6" ht="19.95" customHeight="1" thickBot="1" x14ac:dyDescent="0.35">
      <c r="A17" s="6">
        <v>316</v>
      </c>
      <c r="B17" s="6">
        <v>7782</v>
      </c>
      <c r="C17" s="2" t="str">
        <f>TRIM(PROPER(Table5[[#This Row],[SponsorName]]))</f>
        <v>Digital Solutions Inc.</v>
      </c>
      <c r="D17" s="2" t="str">
        <f>TRIM(PROPER(Table5[[#This Row],[SponsorLevel]]))</f>
        <v>Bronze</v>
      </c>
      <c r="E17" s="2">
        <v>11000</v>
      </c>
      <c r="F17" s="3">
        <f>VALUE(SUBSTITUTE(Table5[[#This Row],[NumEventsSponsored]], "two", 2))</f>
        <v>1</v>
      </c>
    </row>
    <row r="18" spans="1:6" ht="19.95" customHeight="1" thickBot="1" x14ac:dyDescent="0.35">
      <c r="A18" s="6">
        <v>317</v>
      </c>
      <c r="B18" s="6">
        <v>7781</v>
      </c>
      <c r="C18" s="2" t="str">
        <f>TRIM(PROPER(Table5[[#This Row],[SponsorName]]))</f>
        <v>Sports Enthusiasts</v>
      </c>
      <c r="D18" s="2" t="str">
        <f>TRIM(PROPER(Table5[[#This Row],[SponsorLevel]]))</f>
        <v>Platinum</v>
      </c>
      <c r="E18" s="2">
        <v>52000</v>
      </c>
      <c r="F18" s="3">
        <f>VALUE(SUBSTITUTE(Table5[[#This Row],[NumEventsSponsored]], "two", 2))</f>
        <v>5</v>
      </c>
    </row>
    <row r="19" spans="1:6" ht="19.95" customHeight="1" thickBot="1" x14ac:dyDescent="0.35">
      <c r="A19" s="6">
        <v>318</v>
      </c>
      <c r="B19" s="6">
        <v>7780</v>
      </c>
      <c r="C19" s="2" t="str">
        <f>TRIM(PROPER(Table5[[#This Row],[SponsorName]]))</f>
        <v>Artistic Expressions</v>
      </c>
      <c r="D19" s="2" t="str">
        <f>TRIM(PROPER(Table5[[#This Row],[SponsorLevel]]))</f>
        <v>Gold</v>
      </c>
      <c r="E19" s="2">
        <v>28000</v>
      </c>
      <c r="F19" s="3">
        <f>VALUE(SUBSTITUTE(Table5[[#This Row],[NumEventsSponsored]], "two", 2))</f>
        <v>3</v>
      </c>
    </row>
    <row r="20" spans="1:6" ht="19.95" customHeight="1" thickBot="1" x14ac:dyDescent="0.35">
      <c r="A20" s="6">
        <v>319</v>
      </c>
      <c r="B20" s="6">
        <v>7779</v>
      </c>
      <c r="C20" s="2" t="str">
        <f>TRIM(PROPER(Table5[[#This Row],[SponsorName]]))</f>
        <v>Educational Visionaries</v>
      </c>
      <c r="D20" s="2" t="str">
        <f>TRIM(PROPER(Table5[[#This Row],[SponsorLevel]]))</f>
        <v>Silver</v>
      </c>
      <c r="E20" s="2">
        <v>14000</v>
      </c>
      <c r="F20" s="3">
        <f>VALUE(SUBSTITUTE(Table5[[#This Row],[NumEventsSponsored]], "two", 2))</f>
        <v>2</v>
      </c>
    </row>
    <row r="21" spans="1:6" ht="19.95" customHeight="1" thickBot="1" x14ac:dyDescent="0.35">
      <c r="A21" s="5">
        <v>320</v>
      </c>
      <c r="B21" s="6">
        <v>7778</v>
      </c>
      <c r="C21" s="3" t="str">
        <f>TRIM(PROPER(Table5[[#This Row],[SponsorName]]))</f>
        <v>Culinary Delights</v>
      </c>
      <c r="D21" s="3" t="str">
        <f>TRIM(PROPER(Table5[[#This Row],[SponsorLevel]]))</f>
        <v>Bronze</v>
      </c>
      <c r="E21" s="3">
        <v>9000</v>
      </c>
      <c r="F21" s="3">
        <f>VALUE(SUBSTITUTE(Table5[[#This Row],[NumEventsSponsored]], "two", 2))</f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B834-B2F8-4ADE-92AB-3A8030687BE1}">
  <sheetPr>
    <tabColor rgb="FFFF0000"/>
  </sheetPr>
  <dimension ref="A1:E21"/>
  <sheetViews>
    <sheetView zoomScale="85" zoomScaleNormal="85" workbookViewId="0">
      <selection activeCell="D21" sqref="D21"/>
    </sheetView>
  </sheetViews>
  <sheetFormatPr defaultRowHeight="14.4" x14ac:dyDescent="0.3"/>
  <cols>
    <col min="1" max="1" width="19.88671875" customWidth="1"/>
    <col min="2" max="2" width="23" customWidth="1"/>
    <col min="3" max="3" width="21.33203125" customWidth="1"/>
    <col min="4" max="4" width="28.44140625" customWidth="1"/>
    <col min="5" max="5" width="24" customWidth="1"/>
  </cols>
  <sheetData>
    <row r="1" spans="1:5" ht="19.95" customHeight="1" thickBot="1" x14ac:dyDescent="0.35">
      <c r="A1" s="12" t="s">
        <v>123</v>
      </c>
      <c r="B1" s="13" t="s">
        <v>85</v>
      </c>
      <c r="C1" s="13" t="s">
        <v>124</v>
      </c>
      <c r="D1" s="13" t="s">
        <v>125</v>
      </c>
      <c r="E1" s="13" t="s">
        <v>126</v>
      </c>
    </row>
    <row r="2" spans="1:5" ht="19.95" customHeight="1" thickBot="1" x14ac:dyDescent="0.35">
      <c r="A2" s="6">
        <v>501</v>
      </c>
      <c r="B2" s="2">
        <v>2201</v>
      </c>
      <c r="C2" s="2" t="s">
        <v>127</v>
      </c>
      <c r="D2" s="2" t="s">
        <v>128</v>
      </c>
      <c r="E2" s="2" t="s">
        <v>129</v>
      </c>
    </row>
    <row r="3" spans="1:5" ht="19.95" customHeight="1" thickBot="1" x14ac:dyDescent="0.35">
      <c r="A3" s="6">
        <v>502</v>
      </c>
      <c r="B3" s="2">
        <v>2202</v>
      </c>
      <c r="C3" s="2" t="s">
        <v>130</v>
      </c>
      <c r="D3" s="2" t="s">
        <v>131</v>
      </c>
      <c r="E3" s="2" t="s">
        <v>129</v>
      </c>
    </row>
    <row r="4" spans="1:5" ht="19.95" customHeight="1" thickBot="1" x14ac:dyDescent="0.35">
      <c r="A4" s="6">
        <v>503</v>
      </c>
      <c r="B4" s="2">
        <v>2203</v>
      </c>
      <c r="C4" s="2" t="s">
        <v>132</v>
      </c>
      <c r="D4" s="2" t="s">
        <v>133</v>
      </c>
      <c r="E4" s="2" t="s">
        <v>134</v>
      </c>
    </row>
    <row r="5" spans="1:5" ht="19.95" customHeight="1" thickBot="1" x14ac:dyDescent="0.35">
      <c r="A5" s="6">
        <v>504</v>
      </c>
      <c r="B5" s="2">
        <v>2204</v>
      </c>
      <c r="C5" s="2" t="s">
        <v>202</v>
      </c>
      <c r="D5" s="2" t="s">
        <v>135</v>
      </c>
      <c r="E5" s="2" t="s">
        <v>129</v>
      </c>
    </row>
    <row r="6" spans="1:5" ht="19.95" customHeight="1" thickBot="1" x14ac:dyDescent="0.35">
      <c r="A6" s="6">
        <v>505</v>
      </c>
      <c r="B6" s="2">
        <v>2205</v>
      </c>
      <c r="C6" s="2" t="s">
        <v>136</v>
      </c>
      <c r="D6" s="2" t="s">
        <v>137</v>
      </c>
      <c r="E6" s="2" t="s">
        <v>129</v>
      </c>
    </row>
    <row r="7" spans="1:5" ht="19.95" customHeight="1" thickBot="1" x14ac:dyDescent="0.35">
      <c r="A7" s="6">
        <v>506</v>
      </c>
      <c r="B7" s="2">
        <v>2206</v>
      </c>
      <c r="C7" s="2" t="s">
        <v>138</v>
      </c>
      <c r="D7" s="2" t="s">
        <v>139</v>
      </c>
      <c r="E7" s="2" t="s">
        <v>134</v>
      </c>
    </row>
    <row r="8" spans="1:5" ht="19.95" customHeight="1" thickBot="1" x14ac:dyDescent="0.35">
      <c r="A8" s="6">
        <v>507</v>
      </c>
      <c r="B8" s="2">
        <v>2207</v>
      </c>
      <c r="C8" s="2" t="s">
        <v>140</v>
      </c>
      <c r="D8" s="15" t="s">
        <v>201</v>
      </c>
      <c r="E8" s="2" t="s">
        <v>129</v>
      </c>
    </row>
    <row r="9" spans="1:5" ht="19.95" customHeight="1" thickBot="1" x14ac:dyDescent="0.35">
      <c r="A9" s="6">
        <v>508</v>
      </c>
      <c r="B9" s="2">
        <v>2208</v>
      </c>
      <c r="C9" s="2" t="s">
        <v>141</v>
      </c>
      <c r="D9" s="2" t="s">
        <v>142</v>
      </c>
      <c r="E9" s="2" t="s">
        <v>129</v>
      </c>
    </row>
    <row r="10" spans="1:5" ht="19.95" customHeight="1" thickBot="1" x14ac:dyDescent="0.35">
      <c r="A10" s="6">
        <v>509</v>
      </c>
      <c r="B10" s="2">
        <v>2209</v>
      </c>
      <c r="C10" s="2" t="s">
        <v>143</v>
      </c>
      <c r="D10" s="2" t="s">
        <v>144</v>
      </c>
      <c r="E10" s="2" t="s">
        <v>134</v>
      </c>
    </row>
    <row r="11" spans="1:5" ht="19.95" customHeight="1" thickBot="1" x14ac:dyDescent="0.35">
      <c r="A11" s="6">
        <v>510</v>
      </c>
      <c r="B11" s="2">
        <v>2210</v>
      </c>
      <c r="C11" s="2" t="s">
        <v>145</v>
      </c>
      <c r="D11" s="2" t="s">
        <v>146</v>
      </c>
      <c r="E11" s="2" t="s">
        <v>129</v>
      </c>
    </row>
    <row r="12" spans="1:5" ht="19.95" customHeight="1" thickBot="1" x14ac:dyDescent="0.35">
      <c r="A12" s="6">
        <v>511</v>
      </c>
      <c r="B12" s="2">
        <v>2211</v>
      </c>
      <c r="C12" s="2" t="s">
        <v>147</v>
      </c>
      <c r="D12" s="2" t="s">
        <v>148</v>
      </c>
      <c r="E12" s="2" t="s">
        <v>129</v>
      </c>
    </row>
    <row r="13" spans="1:5" ht="19.95" customHeight="1" thickBot="1" x14ac:dyDescent="0.35">
      <c r="A13" s="6">
        <v>512</v>
      </c>
      <c r="B13" s="2">
        <v>2212</v>
      </c>
      <c r="C13" s="2" t="s">
        <v>149</v>
      </c>
      <c r="D13" s="2" t="s">
        <v>150</v>
      </c>
      <c r="E13" s="2" t="s">
        <v>134</v>
      </c>
    </row>
    <row r="14" spans="1:5" ht="19.95" customHeight="1" thickBot="1" x14ac:dyDescent="0.35">
      <c r="A14" s="6">
        <v>513</v>
      </c>
      <c r="B14" s="2">
        <v>2213</v>
      </c>
      <c r="C14" s="2" t="s">
        <v>151</v>
      </c>
      <c r="D14" s="2" t="s">
        <v>152</v>
      </c>
      <c r="E14" s="2" t="s">
        <v>129</v>
      </c>
    </row>
    <row r="15" spans="1:5" ht="19.95" customHeight="1" thickBot="1" x14ac:dyDescent="0.35">
      <c r="A15" s="6">
        <v>514</v>
      </c>
      <c r="B15" s="2">
        <v>2214</v>
      </c>
      <c r="C15" s="2" t="s">
        <v>153</v>
      </c>
      <c r="D15" s="2" t="s">
        <v>154</v>
      </c>
      <c r="E15" s="2" t="s">
        <v>129</v>
      </c>
    </row>
    <row r="16" spans="1:5" ht="19.95" customHeight="1" thickBot="1" x14ac:dyDescent="0.35">
      <c r="A16" s="6">
        <v>515</v>
      </c>
      <c r="B16" s="2">
        <v>2215</v>
      </c>
      <c r="C16" s="2" t="s">
        <v>155</v>
      </c>
      <c r="D16" s="2" t="s">
        <v>156</v>
      </c>
      <c r="E16" s="2" t="s">
        <v>134</v>
      </c>
    </row>
    <row r="17" spans="1:5" ht="19.95" customHeight="1" thickBot="1" x14ac:dyDescent="0.35">
      <c r="A17" s="6">
        <v>516</v>
      </c>
      <c r="B17" s="2">
        <v>2216</v>
      </c>
      <c r="C17" s="2" t="s">
        <v>205</v>
      </c>
      <c r="D17" s="2" t="s">
        <v>157</v>
      </c>
      <c r="E17" s="2" t="s">
        <v>129</v>
      </c>
    </row>
    <row r="18" spans="1:5" ht="19.95" customHeight="1" thickBot="1" x14ac:dyDescent="0.35">
      <c r="A18" s="6">
        <v>517</v>
      </c>
      <c r="B18" s="2">
        <v>2217</v>
      </c>
      <c r="C18" s="2" t="s">
        <v>158</v>
      </c>
      <c r="D18" s="2" t="s">
        <v>159</v>
      </c>
      <c r="E18" s="2" t="s">
        <v>129</v>
      </c>
    </row>
    <row r="19" spans="1:5" ht="19.95" customHeight="1" thickBot="1" x14ac:dyDescent="0.35">
      <c r="A19" s="6">
        <v>518</v>
      </c>
      <c r="B19" s="2">
        <v>2218</v>
      </c>
      <c r="C19" s="2" t="s">
        <v>160</v>
      </c>
      <c r="D19" s="2" t="s">
        <v>161</v>
      </c>
      <c r="E19" s="2" t="s">
        <v>134</v>
      </c>
    </row>
    <row r="20" spans="1:5" ht="19.95" customHeight="1" thickBot="1" x14ac:dyDescent="0.35">
      <c r="A20" s="6">
        <v>519</v>
      </c>
      <c r="B20" s="2">
        <v>2219</v>
      </c>
      <c r="C20" s="2" t="s">
        <v>162</v>
      </c>
      <c r="D20" s="45" t="s">
        <v>271</v>
      </c>
      <c r="E20" s="2" t="s">
        <v>129</v>
      </c>
    </row>
    <row r="21" spans="1:5" ht="19.95" customHeight="1" thickBot="1" x14ac:dyDescent="0.35">
      <c r="A21" s="5">
        <v>520</v>
      </c>
      <c r="B21" s="2">
        <v>2220</v>
      </c>
      <c r="C21" s="3" t="s">
        <v>163</v>
      </c>
      <c r="D21" s="3" t="s">
        <v>164</v>
      </c>
      <c r="E21" s="3" t="s">
        <v>204</v>
      </c>
    </row>
  </sheetData>
  <hyperlinks>
    <hyperlink ref="D8" r:id="rId1" xr:uid="{7FF45800-13BF-47FA-9BA1-6626A1BE0238}"/>
    <hyperlink ref="D20" r:id="rId2" xr:uid="{F01DAFC9-09FF-4125-BC2A-2A84C65D428F}"/>
  </hyperlinks>
  <pageMargins left="0.7" right="0.7" top="0.75" bottom="0.75" header="0.3" footer="0.3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18C8-6527-4671-AFC5-501A4FC690D8}">
  <sheetPr>
    <tabColor theme="1" tint="0.34998626667073579"/>
  </sheetPr>
  <dimension ref="A1:M22"/>
  <sheetViews>
    <sheetView topLeftCell="C1" zoomScale="70" zoomScaleNormal="70" workbookViewId="0">
      <selection activeCell="L26" sqref="L26"/>
    </sheetView>
  </sheetViews>
  <sheetFormatPr defaultRowHeight="14.4" x14ac:dyDescent="0.3"/>
  <cols>
    <col min="1" max="1" width="17.77734375" customWidth="1"/>
    <col min="2" max="2" width="20.77734375" customWidth="1"/>
    <col min="3" max="4" width="17.88671875" customWidth="1"/>
    <col min="5" max="7" width="23" customWidth="1"/>
    <col min="8" max="10" width="28.6640625" customWidth="1"/>
    <col min="11" max="12" width="26.88671875" customWidth="1"/>
    <col min="13" max="13" width="24.6640625" customWidth="1"/>
  </cols>
  <sheetData>
    <row r="1" spans="1:13" ht="19.95" customHeight="1" thickTop="1" thickBot="1" x14ac:dyDescent="0.35">
      <c r="A1" s="12" t="s">
        <v>123</v>
      </c>
      <c r="B1" s="39" t="s">
        <v>252</v>
      </c>
      <c r="C1" s="13" t="s">
        <v>85</v>
      </c>
      <c r="D1" s="39" t="s">
        <v>229</v>
      </c>
      <c r="E1" s="13" t="s">
        <v>124</v>
      </c>
      <c r="F1" s="39" t="s">
        <v>253</v>
      </c>
      <c r="G1" s="18" t="s">
        <v>254</v>
      </c>
      <c r="H1" s="13" t="s">
        <v>125</v>
      </c>
      <c r="I1" s="39" t="s">
        <v>250</v>
      </c>
      <c r="J1" s="18" t="s">
        <v>251</v>
      </c>
      <c r="K1" s="13" t="s">
        <v>126</v>
      </c>
      <c r="L1" s="39" t="s">
        <v>255</v>
      </c>
      <c r="M1" s="22" t="s">
        <v>256</v>
      </c>
    </row>
    <row r="2" spans="1:13" ht="19.95" customHeight="1" thickTop="1" thickBot="1" x14ac:dyDescent="0.35">
      <c r="A2" s="6">
        <v>501</v>
      </c>
      <c r="B2" s="40" t="str">
        <f>IF(COUNTIF(Table7[AttendeeID], Table7[[#This Row],[AttendeeID]])&gt;1, "Duplicate", "Unique")</f>
        <v>Unique</v>
      </c>
      <c r="C2" s="2">
        <v>2201</v>
      </c>
      <c r="D2" s="40" t="b">
        <f>ISNUMBER(Table7[[#This Row],[TicketID]])</f>
        <v>1</v>
      </c>
      <c r="E2" s="2" t="s">
        <v>127</v>
      </c>
      <c r="F2" s="40" t="b">
        <f>ISTEXT(Table7[[#This Row],[FullName]])</f>
        <v>1</v>
      </c>
      <c r="G2" s="19" t="str">
        <f>TRIM(PROPER(Table7[[#This Row],[FullName]]))</f>
        <v>John Smith</v>
      </c>
      <c r="H2" s="2" t="s">
        <v>128</v>
      </c>
      <c r="I2" s="40" t="str" cm="1">
        <f t="array" ref="I2">IF(SUM(COUNTIF(Table7[[#This Row],[Email]], "*" &amp; {"/","#","&amp;"} &amp; "*")), "Contains characters", "Does not contain")</f>
        <v>Does not contain</v>
      </c>
      <c r="J2" s="19" t="str">
        <f>SUBSTITUTE(SUBSTITUTE(Table7[[#This Row],[Email]], "#", ""), "/", "")</f>
        <v>john.smith@email.com</v>
      </c>
      <c r="K2" s="2" t="s">
        <v>129</v>
      </c>
      <c r="L2" s="40" t="str">
        <f>IF(OR(ISNUMBER(MATCH(Table7[[#This Row],[CheckInStatus]], {"Checked In","Not Checked In"}, 0))), "TRUE", "FALSE")</f>
        <v>TRUE</v>
      </c>
      <c r="M2" s="24" t="str">
        <f>SUBSTITUTE(Table7[[#This Row],[CheckInStatus]], "Not Yet", "Not Checked In")</f>
        <v>Checked In</v>
      </c>
    </row>
    <row r="3" spans="1:13" ht="19.95" customHeight="1" thickTop="1" thickBot="1" x14ac:dyDescent="0.35">
      <c r="A3" s="6">
        <v>502</v>
      </c>
      <c r="B3" s="40" t="str">
        <f>IF(COUNTIF(Table7[AttendeeID], Table7[[#This Row],[AttendeeID]])&gt;1, "Duplicate", "Unique")</f>
        <v>Unique</v>
      </c>
      <c r="C3" s="2">
        <v>2202</v>
      </c>
      <c r="D3" s="40" t="b">
        <f>ISNUMBER(Table7[[#This Row],[TicketID]])</f>
        <v>1</v>
      </c>
      <c r="E3" s="2" t="s">
        <v>130</v>
      </c>
      <c r="F3" s="40" t="b">
        <f>ISTEXT(Table7[[#This Row],[FullName]])</f>
        <v>1</v>
      </c>
      <c r="G3" s="19" t="str">
        <f>TRIM(PROPER(Table7[[#This Row],[FullName]]))</f>
        <v>Emily Johnson</v>
      </c>
      <c r="H3" s="2" t="s">
        <v>131</v>
      </c>
      <c r="I3" s="40" t="str" cm="1">
        <f t="array" ref="I3">IF(SUM(COUNTIF(Table7[[#This Row],[Email]], "*" &amp; {"/","#","&amp;"} &amp; "*")), "Contains characters", "Does not contain")</f>
        <v>Does not contain</v>
      </c>
      <c r="J3" s="19" t="str">
        <f>SUBSTITUTE(SUBSTITUTE(Table7[[#This Row],[Email]], "#", ""), "/", "")</f>
        <v>emily.johnson@email.com</v>
      </c>
      <c r="K3" s="2" t="s">
        <v>129</v>
      </c>
      <c r="L3" s="40" t="str">
        <f>IF(OR(ISNUMBER(MATCH(Table7[[#This Row],[CheckInStatus]], {"Checked In","Not Checked In"}, 0))), "TRUE", "FALSE")</f>
        <v>TRUE</v>
      </c>
      <c r="M3" s="24" t="str">
        <f>SUBSTITUTE(Table7[[#This Row],[CheckInStatus]], "Not Yet", "Not Checked In")</f>
        <v>Checked In</v>
      </c>
    </row>
    <row r="4" spans="1:13" ht="19.95" customHeight="1" thickTop="1" thickBot="1" x14ac:dyDescent="0.35">
      <c r="A4" s="6">
        <v>503</v>
      </c>
      <c r="B4" s="40" t="str">
        <f>IF(COUNTIF(Table7[AttendeeID], Table7[[#This Row],[AttendeeID]])&gt;1, "Duplicate", "Unique")</f>
        <v>Unique</v>
      </c>
      <c r="C4" s="2">
        <v>2203</v>
      </c>
      <c r="D4" s="40" t="b">
        <f>ISNUMBER(Table7[[#This Row],[TicketID]])</f>
        <v>1</v>
      </c>
      <c r="E4" s="2" t="s">
        <v>132</v>
      </c>
      <c r="F4" s="40" t="b">
        <f>ISTEXT(Table7[[#This Row],[FullName]])</f>
        <v>1</v>
      </c>
      <c r="G4" s="19" t="str">
        <f>TRIM(PROPER(Table7[[#This Row],[FullName]]))</f>
        <v>Michael Davis</v>
      </c>
      <c r="H4" s="2" t="s">
        <v>133</v>
      </c>
      <c r="I4" s="40" t="str" cm="1">
        <f t="array" ref="I4">IF(SUM(COUNTIF(Table7[[#This Row],[Email]], "*" &amp; {"/","#","&amp;"} &amp; "*")), "Contains characters", "Does not contain")</f>
        <v>Does not contain</v>
      </c>
      <c r="J4" s="19" t="str">
        <f>SUBSTITUTE(SUBSTITUTE(Table7[[#This Row],[Email]], "#", ""), "/", "")</f>
        <v>michael.davis@email.com</v>
      </c>
      <c r="K4" s="2" t="s">
        <v>134</v>
      </c>
      <c r="L4" s="40" t="str">
        <f>IF(OR(ISNUMBER(MATCH(Table7[[#This Row],[CheckInStatus]], {"Checked In","Not Checked In"}, 0))), "TRUE", "FALSE")</f>
        <v>TRUE</v>
      </c>
      <c r="M4" s="24" t="str">
        <f>SUBSTITUTE(Table7[[#This Row],[CheckInStatus]], "Not Yet", "Not Checked In")</f>
        <v>Not Checked In</v>
      </c>
    </row>
    <row r="5" spans="1:13" ht="19.95" customHeight="1" thickTop="1" thickBot="1" x14ac:dyDescent="0.35">
      <c r="A5" s="6">
        <v>504</v>
      </c>
      <c r="B5" s="40" t="str">
        <f>IF(COUNTIF(Table7[AttendeeID], Table7[[#This Row],[AttendeeID]])&gt;1, "Duplicate", "Unique")</f>
        <v>Unique</v>
      </c>
      <c r="C5" s="2">
        <v>2204</v>
      </c>
      <c r="D5" s="40" t="b">
        <f>ISNUMBER(Table7[[#This Row],[TicketID]])</f>
        <v>1</v>
      </c>
      <c r="E5" s="2" t="s">
        <v>202</v>
      </c>
      <c r="F5" s="40" t="b">
        <f>ISTEXT(Table7[[#This Row],[FullName]])</f>
        <v>1</v>
      </c>
      <c r="G5" s="19" t="str">
        <f>TRIM(PROPER(Table7[[#This Row],[FullName]]))</f>
        <v>Sarah Brown</v>
      </c>
      <c r="H5" s="2" t="s">
        <v>135</v>
      </c>
      <c r="I5" s="40" t="str" cm="1">
        <f t="array" ref="I5">IF(SUM(COUNTIF(Table7[[#This Row],[Email]], "*" &amp; {"/","#","&amp;"} &amp; "*")), "Contains characters", "Does not contain")</f>
        <v>Does not contain</v>
      </c>
      <c r="J5" s="19" t="str">
        <f>SUBSTITUTE(SUBSTITUTE(Table7[[#This Row],[Email]], "#", ""), "/", "")</f>
        <v>sarah.brown@email.com</v>
      </c>
      <c r="K5" s="2" t="s">
        <v>129</v>
      </c>
      <c r="L5" s="40" t="str">
        <f>IF(OR(ISNUMBER(MATCH(Table7[[#This Row],[CheckInStatus]], {"Checked In","Not Checked In"}, 0))), "TRUE", "FALSE")</f>
        <v>TRUE</v>
      </c>
      <c r="M5" s="24" t="str">
        <f>SUBSTITUTE(Table7[[#This Row],[CheckInStatus]], "Not Yet", "Not Checked In")</f>
        <v>Checked In</v>
      </c>
    </row>
    <row r="6" spans="1:13" ht="19.95" customHeight="1" thickTop="1" thickBot="1" x14ac:dyDescent="0.35">
      <c r="A6" s="6">
        <v>505</v>
      </c>
      <c r="B6" s="40" t="str">
        <f>IF(COUNTIF(Table7[AttendeeID], Table7[[#This Row],[AttendeeID]])&gt;1, "Duplicate", "Unique")</f>
        <v>Unique</v>
      </c>
      <c r="C6" s="2">
        <v>2205</v>
      </c>
      <c r="D6" s="40" t="b">
        <f>ISNUMBER(Table7[[#This Row],[TicketID]])</f>
        <v>1</v>
      </c>
      <c r="E6" s="2" t="s">
        <v>136</v>
      </c>
      <c r="F6" s="40" t="b">
        <f>ISTEXT(Table7[[#This Row],[FullName]])</f>
        <v>1</v>
      </c>
      <c r="G6" s="19" t="str">
        <f>TRIM(PROPER(Table7[[#This Row],[FullName]]))</f>
        <v>Brian Wilson</v>
      </c>
      <c r="H6" s="2" t="s">
        <v>137</v>
      </c>
      <c r="I6" s="40" t="str" cm="1">
        <f t="array" ref="I6">IF(SUM(COUNTIF(Table7[[#This Row],[Email]], "*" &amp; {"/","#","&amp;"} &amp; "*")), "Contains characters", "Does not contain")</f>
        <v>Does not contain</v>
      </c>
      <c r="J6" s="19" t="str">
        <f>SUBSTITUTE(SUBSTITUTE(Table7[[#This Row],[Email]], "#", ""), "/", "")</f>
        <v>brian.wilson@email.com</v>
      </c>
      <c r="K6" s="2" t="s">
        <v>129</v>
      </c>
      <c r="L6" s="40" t="str">
        <f>IF(OR(ISNUMBER(MATCH(Table7[[#This Row],[CheckInStatus]], {"Checked In","Not Checked In"}, 0))), "TRUE", "FALSE")</f>
        <v>TRUE</v>
      </c>
      <c r="M6" s="24" t="str">
        <f>SUBSTITUTE(Table7[[#This Row],[CheckInStatus]], "Not Yet", "Not Checked In")</f>
        <v>Checked In</v>
      </c>
    </row>
    <row r="7" spans="1:13" ht="19.95" customHeight="1" thickTop="1" thickBot="1" x14ac:dyDescent="0.35">
      <c r="A7" s="6">
        <v>506</v>
      </c>
      <c r="B7" s="40" t="str">
        <f>IF(COUNTIF(Table7[AttendeeID], Table7[[#This Row],[AttendeeID]])&gt;1, "Duplicate", "Unique")</f>
        <v>Unique</v>
      </c>
      <c r="C7" s="2">
        <v>2206</v>
      </c>
      <c r="D7" s="40" t="b">
        <f>ISNUMBER(Table7[[#This Row],[TicketID]])</f>
        <v>1</v>
      </c>
      <c r="E7" s="2" t="s">
        <v>138</v>
      </c>
      <c r="F7" s="40" t="b">
        <f>ISTEXT(Table7[[#This Row],[FullName]])</f>
        <v>1</v>
      </c>
      <c r="G7" s="19" t="str">
        <f>TRIM(PROPER(Table7[[#This Row],[FullName]]))</f>
        <v>Emma Miller</v>
      </c>
      <c r="H7" s="2" t="s">
        <v>139</v>
      </c>
      <c r="I7" s="40" t="str" cm="1">
        <f t="array" ref="I7">IF(SUM(COUNTIF(Table7[[#This Row],[Email]], "*" &amp; {"/","#","&amp;"} &amp; "*")), "Contains characters", "Does not contain")</f>
        <v>Does not contain</v>
      </c>
      <c r="J7" s="19" t="str">
        <f>SUBSTITUTE(SUBSTITUTE(Table7[[#This Row],[Email]], "#", ""), "/", "")</f>
        <v>emma.miller@email.com</v>
      </c>
      <c r="K7" s="2" t="s">
        <v>134</v>
      </c>
      <c r="L7" s="40" t="str">
        <f>IF(OR(ISNUMBER(MATCH(Table7[[#This Row],[CheckInStatus]], {"Checked In","Not Checked In"}, 0))), "TRUE", "FALSE")</f>
        <v>TRUE</v>
      </c>
      <c r="M7" s="24" t="str">
        <f>SUBSTITUTE(Table7[[#This Row],[CheckInStatus]], "Not Yet", "Not Checked In")</f>
        <v>Not Checked In</v>
      </c>
    </row>
    <row r="8" spans="1:13" ht="19.95" customHeight="1" thickTop="1" thickBot="1" x14ac:dyDescent="0.35">
      <c r="A8" s="6">
        <v>507</v>
      </c>
      <c r="B8" s="40" t="str">
        <f>IF(COUNTIF(Table7[AttendeeID], Table7[[#This Row],[AttendeeID]])&gt;1, "Duplicate", "Unique")</f>
        <v>Unique</v>
      </c>
      <c r="C8" s="2">
        <v>2207</v>
      </c>
      <c r="D8" s="40" t="b">
        <f>ISNUMBER(Table7[[#This Row],[TicketID]])</f>
        <v>1</v>
      </c>
      <c r="E8" s="2" t="s">
        <v>140</v>
      </c>
      <c r="F8" s="40" t="b">
        <f>ISTEXT(Table7[[#This Row],[FullName]])</f>
        <v>1</v>
      </c>
      <c r="G8" s="19" t="str">
        <f>TRIM(PROPER(Table7[[#This Row],[FullName]]))</f>
        <v>David Clark</v>
      </c>
      <c r="H8" s="15" t="s">
        <v>201</v>
      </c>
      <c r="I8" s="40" t="str" cm="1">
        <f t="array" ref="I8">IF(SUM(COUNTIF(Table7[[#This Row],[Email]], "*" &amp; {"/","#","&amp;"} &amp; "*")), "Contains characters", "Does not contain")</f>
        <v>Contains characters</v>
      </c>
      <c r="J8" s="20" t="str">
        <f>SUBSTITUTE(SUBSTITUTE(Table7[[#This Row],[Email]], "#", ""), "/", "")</f>
        <v>david.clark@email.com</v>
      </c>
      <c r="K8" s="2" t="s">
        <v>129</v>
      </c>
      <c r="L8" s="40" t="str">
        <f>IF(OR(ISNUMBER(MATCH(Table7[[#This Row],[CheckInStatus]], {"Checked In","Not Checked In"}, 0))), "TRUE", "FALSE")</f>
        <v>TRUE</v>
      </c>
      <c r="M8" s="24" t="str">
        <f>SUBSTITUTE(Table7[[#This Row],[CheckInStatus]], "Not Yet", "Not Checked In")</f>
        <v>Checked In</v>
      </c>
    </row>
    <row r="9" spans="1:13" ht="19.95" customHeight="1" thickTop="1" thickBot="1" x14ac:dyDescent="0.35">
      <c r="A9" s="6">
        <v>508</v>
      </c>
      <c r="B9" s="40" t="str">
        <f>IF(COUNTIF(Table7[AttendeeID], Table7[[#This Row],[AttendeeID]])&gt;1, "Duplicate", "Unique")</f>
        <v>Unique</v>
      </c>
      <c r="C9" s="2">
        <v>2208</v>
      </c>
      <c r="D9" s="40" t="b">
        <f>ISNUMBER(Table7[[#This Row],[TicketID]])</f>
        <v>1</v>
      </c>
      <c r="E9" s="2" t="s">
        <v>141</v>
      </c>
      <c r="F9" s="40" t="b">
        <f>ISTEXT(Table7[[#This Row],[FullName]])</f>
        <v>1</v>
      </c>
      <c r="G9" s="19" t="str">
        <f>TRIM(PROPER(Table7[[#This Row],[FullName]]))</f>
        <v>Jessica Adams</v>
      </c>
      <c r="H9" s="2" t="s">
        <v>142</v>
      </c>
      <c r="I9" s="40" t="str" cm="1">
        <f t="array" ref="I9">IF(SUM(COUNTIF(Table7[[#This Row],[Email]], "*" &amp; {"/","#","&amp;"} &amp; "*")), "Contains characters", "Does not contain")</f>
        <v>Does not contain</v>
      </c>
      <c r="J9" s="19" t="str">
        <f>SUBSTITUTE(SUBSTITUTE(Table7[[#This Row],[Email]], "#", ""), "/", "")</f>
        <v>jessica.adams@email.com</v>
      </c>
      <c r="K9" s="2" t="s">
        <v>129</v>
      </c>
      <c r="L9" s="40" t="str">
        <f>IF(OR(ISNUMBER(MATCH(Table7[[#This Row],[CheckInStatus]], {"Checked In","Not Checked In"}, 0))), "TRUE", "FALSE")</f>
        <v>TRUE</v>
      </c>
      <c r="M9" s="24" t="str">
        <f>SUBSTITUTE(Table7[[#This Row],[CheckInStatus]], "Not Yet", "Not Checked In")</f>
        <v>Checked In</v>
      </c>
    </row>
    <row r="10" spans="1:13" ht="19.95" customHeight="1" thickTop="1" thickBot="1" x14ac:dyDescent="0.35">
      <c r="A10" s="6">
        <v>509</v>
      </c>
      <c r="B10" s="40" t="str">
        <f>IF(COUNTIF(Table7[AttendeeID], Table7[[#This Row],[AttendeeID]])&gt;1, "Duplicate", "Unique")</f>
        <v>Unique</v>
      </c>
      <c r="C10" s="2">
        <v>2209</v>
      </c>
      <c r="D10" s="40" t="b">
        <f>ISNUMBER(Table7[[#This Row],[TicketID]])</f>
        <v>1</v>
      </c>
      <c r="E10" s="2" t="s">
        <v>143</v>
      </c>
      <c r="F10" s="40" t="b">
        <f>ISTEXT(Table7[[#This Row],[FullName]])</f>
        <v>1</v>
      </c>
      <c r="G10" s="19" t="str">
        <f>TRIM(PROPER(Table7[[#This Row],[FullName]]))</f>
        <v>Andrew Turner</v>
      </c>
      <c r="H10" s="2" t="s">
        <v>144</v>
      </c>
      <c r="I10" s="40" t="str" cm="1">
        <f t="array" ref="I10">IF(SUM(COUNTIF(Table7[[#This Row],[Email]], "*" &amp; {"/","#","&amp;"} &amp; "*")), "Contains characters", "Does not contain")</f>
        <v>Does not contain</v>
      </c>
      <c r="J10" s="19" t="str">
        <f>SUBSTITUTE(SUBSTITUTE(Table7[[#This Row],[Email]], "#", ""), "/", "")</f>
        <v>andrew.turner@email.com</v>
      </c>
      <c r="K10" s="2" t="s">
        <v>134</v>
      </c>
      <c r="L10" s="40" t="str">
        <f>IF(OR(ISNUMBER(MATCH(Table7[[#This Row],[CheckInStatus]], {"Checked In","Not Checked In"}, 0))), "TRUE", "FALSE")</f>
        <v>TRUE</v>
      </c>
      <c r="M10" s="24" t="str">
        <f>SUBSTITUTE(Table7[[#This Row],[CheckInStatus]], "Not Yet", "Not Checked In")</f>
        <v>Not Checked In</v>
      </c>
    </row>
    <row r="11" spans="1:13" ht="19.95" customHeight="1" thickTop="1" thickBot="1" x14ac:dyDescent="0.35">
      <c r="A11" s="6">
        <v>510</v>
      </c>
      <c r="B11" s="40" t="str">
        <f>IF(COUNTIF(Table7[AttendeeID], Table7[[#This Row],[AttendeeID]])&gt;1, "Duplicate", "Unique")</f>
        <v>Unique</v>
      </c>
      <c r="C11" s="2">
        <v>2210</v>
      </c>
      <c r="D11" s="40" t="b">
        <f>ISNUMBER(Table7[[#This Row],[TicketID]])</f>
        <v>1</v>
      </c>
      <c r="E11" s="2" t="s">
        <v>145</v>
      </c>
      <c r="F11" s="40" t="b">
        <f>ISTEXT(Table7[[#This Row],[FullName]])</f>
        <v>1</v>
      </c>
      <c r="G11" s="19" t="str">
        <f>TRIM(PROPER(Table7[[#This Row],[FullName]]))</f>
        <v>Olivia Roberts</v>
      </c>
      <c r="H11" s="2" t="s">
        <v>146</v>
      </c>
      <c r="I11" s="40" t="str" cm="1">
        <f t="array" ref="I11">IF(SUM(COUNTIF(Table7[[#This Row],[Email]], "*" &amp; {"/","#","&amp;"} &amp; "*")), "Contains characters", "Does not contain")</f>
        <v>Does not contain</v>
      </c>
      <c r="J11" s="19" t="str">
        <f>SUBSTITUTE(SUBSTITUTE(Table7[[#This Row],[Email]], "#", ""), "/", "")</f>
        <v>olivia.roberts@email.com</v>
      </c>
      <c r="K11" s="2" t="s">
        <v>129</v>
      </c>
      <c r="L11" s="40" t="str">
        <f>IF(OR(ISNUMBER(MATCH(Table7[[#This Row],[CheckInStatus]], {"Checked In","Not Checked In"}, 0))), "TRUE", "FALSE")</f>
        <v>TRUE</v>
      </c>
      <c r="M11" s="24" t="str">
        <f>SUBSTITUTE(Table7[[#This Row],[CheckInStatus]], "Not Yet", "Not Checked In")</f>
        <v>Checked In</v>
      </c>
    </row>
    <row r="12" spans="1:13" ht="19.95" customHeight="1" thickTop="1" thickBot="1" x14ac:dyDescent="0.35">
      <c r="A12" s="6">
        <v>511</v>
      </c>
      <c r="B12" s="40" t="str">
        <f>IF(COUNTIF(Table7[AttendeeID], Table7[[#This Row],[AttendeeID]])&gt;1, "Duplicate", "Unique")</f>
        <v>Unique</v>
      </c>
      <c r="C12" s="2">
        <v>2211</v>
      </c>
      <c r="D12" s="40" t="b">
        <f>ISNUMBER(Table7[[#This Row],[TicketID]])</f>
        <v>1</v>
      </c>
      <c r="E12" s="2" t="s">
        <v>147</v>
      </c>
      <c r="F12" s="40" t="b">
        <f>ISTEXT(Table7[[#This Row],[FullName]])</f>
        <v>1</v>
      </c>
      <c r="G12" s="19" t="str">
        <f>TRIM(PROPER(Table7[[#This Row],[FullName]]))</f>
        <v>William Johnson</v>
      </c>
      <c r="H12" s="2" t="s">
        <v>148</v>
      </c>
      <c r="I12" s="40" t="str" cm="1">
        <f t="array" ref="I12">IF(SUM(COUNTIF(Table7[[#This Row],[Email]], "*" &amp; {"/","#","&amp;"} &amp; "*")), "Contains characters", "Does not contain")</f>
        <v>Does not contain</v>
      </c>
      <c r="J12" s="19" t="str">
        <f>SUBSTITUTE(SUBSTITUTE(Table7[[#This Row],[Email]], "#", ""), "/", "")</f>
        <v>william.johnson@email.com</v>
      </c>
      <c r="K12" s="2" t="s">
        <v>129</v>
      </c>
      <c r="L12" s="40" t="str">
        <f>IF(OR(ISNUMBER(MATCH(Table7[[#This Row],[CheckInStatus]], {"Checked In","Not Checked In"}, 0))), "TRUE", "FALSE")</f>
        <v>TRUE</v>
      </c>
      <c r="M12" s="24" t="str">
        <f>SUBSTITUTE(Table7[[#This Row],[CheckInStatus]], "Not Yet", "Not Checked In")</f>
        <v>Checked In</v>
      </c>
    </row>
    <row r="13" spans="1:13" ht="19.95" customHeight="1" thickTop="1" thickBot="1" x14ac:dyDescent="0.35">
      <c r="A13" s="6">
        <v>512</v>
      </c>
      <c r="B13" s="40" t="str">
        <f>IF(COUNTIF(Table7[AttendeeID], Table7[[#This Row],[AttendeeID]])&gt;1, "Duplicate", "Unique")</f>
        <v>Unique</v>
      </c>
      <c r="C13" s="2">
        <v>2212</v>
      </c>
      <c r="D13" s="40" t="b">
        <f>ISNUMBER(Table7[[#This Row],[TicketID]])</f>
        <v>1</v>
      </c>
      <c r="E13" s="2" t="s">
        <v>149</v>
      </c>
      <c r="F13" s="40" t="b">
        <f>ISTEXT(Table7[[#This Row],[FullName]])</f>
        <v>1</v>
      </c>
      <c r="G13" s="19" t="str">
        <f>TRIM(PROPER(Table7[[#This Row],[FullName]]))</f>
        <v>Sophia Brown</v>
      </c>
      <c r="H13" s="2" t="s">
        <v>150</v>
      </c>
      <c r="I13" s="40" t="str" cm="1">
        <f t="array" ref="I13">IF(SUM(COUNTIF(Table7[[#This Row],[Email]], "*" &amp; {"/","#","&amp;"} &amp; "*")), "Contains characters", "Does not contain")</f>
        <v>Does not contain</v>
      </c>
      <c r="J13" s="19" t="str">
        <f>SUBSTITUTE(SUBSTITUTE(Table7[[#This Row],[Email]], "#", ""), "/", "")</f>
        <v>sophia.brown@email.com</v>
      </c>
      <c r="K13" s="2" t="s">
        <v>134</v>
      </c>
      <c r="L13" s="40" t="str">
        <f>IF(OR(ISNUMBER(MATCH(Table7[[#This Row],[CheckInStatus]], {"Checked In","Not Checked In"}, 0))), "TRUE", "FALSE")</f>
        <v>TRUE</v>
      </c>
      <c r="M13" s="24" t="str">
        <f>SUBSTITUTE(Table7[[#This Row],[CheckInStatus]], "Not Yet", "Not Checked In")</f>
        <v>Not Checked In</v>
      </c>
    </row>
    <row r="14" spans="1:13" ht="19.95" customHeight="1" thickTop="1" thickBot="1" x14ac:dyDescent="0.35">
      <c r="A14" s="6">
        <v>513</v>
      </c>
      <c r="B14" s="40" t="str">
        <f>IF(COUNTIF(Table7[AttendeeID], Table7[[#This Row],[AttendeeID]])&gt;1, "Duplicate", "Unique")</f>
        <v>Unique</v>
      </c>
      <c r="C14" s="2">
        <v>2213</v>
      </c>
      <c r="D14" s="40" t="b">
        <f>ISNUMBER(Table7[[#This Row],[TicketID]])</f>
        <v>1</v>
      </c>
      <c r="E14" s="2" t="s">
        <v>151</v>
      </c>
      <c r="F14" s="40" t="b">
        <f>ISTEXT(Table7[[#This Row],[FullName]])</f>
        <v>1</v>
      </c>
      <c r="G14" s="19" t="str">
        <f>TRIM(PROPER(Table7[[#This Row],[FullName]]))</f>
        <v>Ethan Davis</v>
      </c>
      <c r="H14" s="2" t="s">
        <v>152</v>
      </c>
      <c r="I14" s="40" t="str" cm="1">
        <f t="array" ref="I14">IF(SUM(COUNTIF(Table7[[#This Row],[Email]], "*" &amp; {"/","#","&amp;"} &amp; "*")), "Contains characters", "Does not contain")</f>
        <v>Does not contain</v>
      </c>
      <c r="J14" s="19" t="str">
        <f>SUBSTITUTE(SUBSTITUTE(Table7[[#This Row],[Email]], "#", ""), "/", "")</f>
        <v>ethan.davis@email.com</v>
      </c>
      <c r="K14" s="2" t="s">
        <v>129</v>
      </c>
      <c r="L14" s="40" t="str">
        <f>IF(OR(ISNUMBER(MATCH(Table7[[#This Row],[CheckInStatus]], {"Checked In","Not Checked In"}, 0))), "TRUE", "FALSE")</f>
        <v>TRUE</v>
      </c>
      <c r="M14" s="24" t="str">
        <f>SUBSTITUTE(Table7[[#This Row],[CheckInStatus]], "Not Yet", "Not Checked In")</f>
        <v>Checked In</v>
      </c>
    </row>
    <row r="15" spans="1:13" ht="19.95" customHeight="1" thickTop="1" thickBot="1" x14ac:dyDescent="0.35">
      <c r="A15" s="6">
        <v>514</v>
      </c>
      <c r="B15" s="40" t="str">
        <f>IF(COUNTIF(Table7[AttendeeID], Table7[[#This Row],[AttendeeID]])&gt;1, "Duplicate", "Unique")</f>
        <v>Unique</v>
      </c>
      <c r="C15" s="2">
        <v>2214</v>
      </c>
      <c r="D15" s="40" t="b">
        <f>ISNUMBER(Table7[[#This Row],[TicketID]])</f>
        <v>1</v>
      </c>
      <c r="E15" s="2" t="s">
        <v>153</v>
      </c>
      <c r="F15" s="40" t="b">
        <f>ISTEXT(Table7[[#This Row],[FullName]])</f>
        <v>1</v>
      </c>
      <c r="G15" s="19" t="str">
        <f>TRIM(PROPER(Table7[[#This Row],[FullName]]))</f>
        <v>Aria Thompson</v>
      </c>
      <c r="H15" s="2" t="s">
        <v>154</v>
      </c>
      <c r="I15" s="40" t="str" cm="1">
        <f t="array" ref="I15">IF(SUM(COUNTIF(Table7[[#This Row],[Email]], "*" &amp; {"/","#","&amp;"} &amp; "*")), "Contains characters", "Does not contain")</f>
        <v>Does not contain</v>
      </c>
      <c r="J15" s="19" t="str">
        <f>SUBSTITUTE(SUBSTITUTE(Table7[[#This Row],[Email]], "#", ""), "/", "")</f>
        <v>aria.thompson@email.com</v>
      </c>
      <c r="K15" s="2" t="s">
        <v>129</v>
      </c>
      <c r="L15" s="40" t="str">
        <f>IF(OR(ISNUMBER(MATCH(Table7[[#This Row],[CheckInStatus]], {"Checked In","Not Checked In"}, 0))), "TRUE", "FALSE")</f>
        <v>TRUE</v>
      </c>
      <c r="M15" s="24" t="str">
        <f>SUBSTITUTE(Table7[[#This Row],[CheckInStatus]], "Not Yet", "Not Checked In")</f>
        <v>Checked In</v>
      </c>
    </row>
    <row r="16" spans="1:13" ht="19.95" customHeight="1" thickTop="1" thickBot="1" x14ac:dyDescent="0.35">
      <c r="A16" s="6">
        <v>515</v>
      </c>
      <c r="B16" s="40" t="str">
        <f>IF(COUNTIF(Table7[AttendeeID], Table7[[#This Row],[AttendeeID]])&gt;1, "Duplicate", "Unique")</f>
        <v>Unique</v>
      </c>
      <c r="C16" s="2">
        <v>2215</v>
      </c>
      <c r="D16" s="40" t="b">
        <f>ISNUMBER(Table7[[#This Row],[TicketID]])</f>
        <v>1</v>
      </c>
      <c r="E16" s="2" t="s">
        <v>155</v>
      </c>
      <c r="F16" s="40" t="b">
        <f>ISTEXT(Table7[[#This Row],[FullName]])</f>
        <v>1</v>
      </c>
      <c r="G16" s="19" t="str">
        <f>TRIM(PROPER(Table7[[#This Row],[FullName]]))</f>
        <v>Jackson White</v>
      </c>
      <c r="H16" s="2" t="s">
        <v>156</v>
      </c>
      <c r="I16" s="40" t="str" cm="1">
        <f t="array" ref="I16">IF(SUM(COUNTIF(Table7[[#This Row],[Email]], "*" &amp; {"/","#","&amp;"} &amp; "*")), "Contains characters", "Does not contain")</f>
        <v>Does not contain</v>
      </c>
      <c r="J16" s="19" t="str">
        <f>SUBSTITUTE(SUBSTITUTE(Table7[[#This Row],[Email]], "#", ""), "/", "")</f>
        <v>jackson.white@email.com</v>
      </c>
      <c r="K16" s="2" t="s">
        <v>134</v>
      </c>
      <c r="L16" s="40" t="str">
        <f>IF(OR(ISNUMBER(MATCH(Table7[[#This Row],[CheckInStatus]], {"Checked In","Not Checked In"}, 0))), "TRUE", "FALSE")</f>
        <v>TRUE</v>
      </c>
      <c r="M16" s="24" t="str">
        <f>SUBSTITUTE(Table7[[#This Row],[CheckInStatus]], "Not Yet", "Not Checked In")</f>
        <v>Not Checked In</v>
      </c>
    </row>
    <row r="17" spans="1:13" ht="19.95" customHeight="1" thickTop="1" thickBot="1" x14ac:dyDescent="0.35">
      <c r="A17" s="6">
        <v>516</v>
      </c>
      <c r="B17" s="40" t="str">
        <f>IF(COUNTIF(Table7[AttendeeID], Table7[[#This Row],[AttendeeID]])&gt;1, "Duplicate", "Unique")</f>
        <v>Unique</v>
      </c>
      <c r="C17" s="2">
        <v>2216</v>
      </c>
      <c r="D17" s="40" t="b">
        <f>ISNUMBER(Table7[[#This Row],[TicketID]])</f>
        <v>1</v>
      </c>
      <c r="E17" s="2" t="s">
        <v>205</v>
      </c>
      <c r="F17" s="40" t="b">
        <f>ISTEXT(Table7[[#This Row],[FullName]])</f>
        <v>1</v>
      </c>
      <c r="G17" s="19" t="str">
        <f>TRIM(PROPER(Table7[[#This Row],[FullName]]))</f>
        <v>Lily Turner</v>
      </c>
      <c r="H17" s="2" t="s">
        <v>157</v>
      </c>
      <c r="I17" s="40" t="str" cm="1">
        <f t="array" ref="I17">IF(SUM(COUNTIF(Table7[[#This Row],[Email]], "*" &amp; {"/","#","&amp;"} &amp; "*")), "Contains characters", "Does not contain")</f>
        <v>Does not contain</v>
      </c>
      <c r="J17" s="19" t="str">
        <f>SUBSTITUTE(SUBSTITUTE(Table7[[#This Row],[Email]], "#", ""), "/", "")</f>
        <v>lily.turner@email.com</v>
      </c>
      <c r="K17" s="2" t="s">
        <v>129</v>
      </c>
      <c r="L17" s="40" t="str">
        <f>IF(OR(ISNUMBER(MATCH(Table7[[#This Row],[CheckInStatus]], {"Checked In","Not Checked In"}, 0))), "TRUE", "FALSE")</f>
        <v>TRUE</v>
      </c>
      <c r="M17" s="24" t="str">
        <f>SUBSTITUTE(Table7[[#This Row],[CheckInStatus]], "Not Yet", "Not Checked In")</f>
        <v>Checked In</v>
      </c>
    </row>
    <row r="18" spans="1:13" ht="19.95" customHeight="1" thickTop="1" thickBot="1" x14ac:dyDescent="0.35">
      <c r="A18" s="6">
        <v>517</v>
      </c>
      <c r="B18" s="40" t="str">
        <f>IF(COUNTIF(Table7[AttendeeID], Table7[[#This Row],[AttendeeID]])&gt;1, "Duplicate", "Unique")</f>
        <v>Unique</v>
      </c>
      <c r="C18" s="2">
        <v>2217</v>
      </c>
      <c r="D18" s="40" t="b">
        <f>ISNUMBER(Table7[[#This Row],[TicketID]])</f>
        <v>1</v>
      </c>
      <c r="E18" s="2" t="s">
        <v>158</v>
      </c>
      <c r="F18" s="40" t="b">
        <f>ISTEXT(Table7[[#This Row],[FullName]])</f>
        <v>1</v>
      </c>
      <c r="G18" s="19" t="str">
        <f>TRIM(PROPER(Table7[[#This Row],[FullName]]))</f>
        <v>Caleb Adams</v>
      </c>
      <c r="H18" s="2" t="s">
        <v>159</v>
      </c>
      <c r="I18" s="40" t="str" cm="1">
        <f t="array" ref="I18">IF(SUM(COUNTIF(Table7[[#This Row],[Email]], "*" &amp; {"/","#","&amp;"} &amp; "*")), "Contains characters", "Does not contain")</f>
        <v>Does not contain</v>
      </c>
      <c r="J18" s="19" t="str">
        <f>SUBSTITUTE(SUBSTITUTE(Table7[[#This Row],[Email]], "#", ""), "/", "")</f>
        <v>caleb.adams@email.com</v>
      </c>
      <c r="K18" s="2" t="s">
        <v>129</v>
      </c>
      <c r="L18" s="40" t="str">
        <f>IF(OR(ISNUMBER(MATCH(Table7[[#This Row],[CheckInStatus]], {"Checked In","Not Checked In"}, 0))), "TRUE", "FALSE")</f>
        <v>TRUE</v>
      </c>
      <c r="M18" s="24" t="str">
        <f>SUBSTITUTE(Table7[[#This Row],[CheckInStatus]], "Not Yet", "Not Checked In")</f>
        <v>Checked In</v>
      </c>
    </row>
    <row r="19" spans="1:13" ht="19.95" customHeight="1" thickTop="1" thickBot="1" x14ac:dyDescent="0.35">
      <c r="A19" s="6">
        <v>518</v>
      </c>
      <c r="B19" s="40" t="str">
        <f>IF(COUNTIF(Table7[AttendeeID], Table7[[#This Row],[AttendeeID]])&gt;1, "Duplicate", "Unique")</f>
        <v>Unique</v>
      </c>
      <c r="C19" s="2">
        <v>2218</v>
      </c>
      <c r="D19" s="40" t="b">
        <f>ISNUMBER(Table7[[#This Row],[TicketID]])</f>
        <v>1</v>
      </c>
      <c r="E19" s="2" t="s">
        <v>160</v>
      </c>
      <c r="F19" s="40" t="b">
        <f>ISTEXT(Table7[[#This Row],[FullName]])</f>
        <v>1</v>
      </c>
      <c r="G19" s="19" t="str">
        <f>TRIM(PROPER(Table7[[#This Row],[FullName]]))</f>
        <v>Grace Wilson</v>
      </c>
      <c r="H19" s="2" t="s">
        <v>161</v>
      </c>
      <c r="I19" s="40" t="str" cm="1">
        <f t="array" ref="I19">IF(SUM(COUNTIF(Table7[[#This Row],[Email]], "*" &amp; {"/","#","&amp;"} &amp; "*")), "Contains characters", "Does not contain")</f>
        <v>Does not contain</v>
      </c>
      <c r="J19" s="19" t="str">
        <f>SUBSTITUTE(SUBSTITUTE(Table7[[#This Row],[Email]], "#", ""), "/", "")</f>
        <v>grace.wilson@email.com</v>
      </c>
      <c r="K19" s="2" t="s">
        <v>134</v>
      </c>
      <c r="L19" s="40" t="str">
        <f>IF(OR(ISNUMBER(MATCH(Table7[[#This Row],[CheckInStatus]], {"Checked In","Not Checked In"}, 0))), "TRUE", "FALSE")</f>
        <v>TRUE</v>
      </c>
      <c r="M19" s="24" t="str">
        <f>SUBSTITUTE(Table7[[#This Row],[CheckInStatus]], "Not Yet", "Not Checked In")</f>
        <v>Not Checked In</v>
      </c>
    </row>
    <row r="20" spans="1:13" ht="19.95" customHeight="1" thickTop="1" thickBot="1" x14ac:dyDescent="0.35">
      <c r="A20" s="6">
        <v>519</v>
      </c>
      <c r="B20" s="40" t="str">
        <f>IF(COUNTIF(Table7[AttendeeID], Table7[[#This Row],[AttendeeID]])&gt;1, "Duplicate", "Unique")</f>
        <v>Unique</v>
      </c>
      <c r="C20" s="2">
        <v>2219</v>
      </c>
      <c r="D20" s="40" t="b">
        <f>ISNUMBER(Table7[[#This Row],[TicketID]])</f>
        <v>1</v>
      </c>
      <c r="E20" s="2" t="s">
        <v>162</v>
      </c>
      <c r="F20" s="40" t="b">
        <f>ISTEXT(Table7[[#This Row],[FullName]])</f>
        <v>1</v>
      </c>
      <c r="G20" s="19" t="str">
        <f>TRIM(PROPER(Table7[[#This Row],[FullName]]))</f>
        <v>Noah Miller</v>
      </c>
      <c r="H20" s="45" t="s">
        <v>271</v>
      </c>
      <c r="I20" s="40" t="str" cm="1">
        <f t="array" ref="I20">IF(SUM(COUNTIF(Table7[[#This Row],[Email]], "*" &amp; {"/","#","&amp;"} &amp; "*")), "Contains characters", "Does not contain")</f>
        <v>Contains characters</v>
      </c>
      <c r="J20" s="20" t="str">
        <f>SUBSTITUTE(SUBSTITUTE(Table7[[#This Row],[Email]], "#", ""), "/", "")</f>
        <v>noah.miller@email.com</v>
      </c>
      <c r="K20" s="2" t="s">
        <v>129</v>
      </c>
      <c r="L20" s="40" t="str">
        <f>IF(OR(ISNUMBER(MATCH(Table7[[#This Row],[CheckInStatus]], {"Checked In","Not Checked In"}, 0))), "TRUE", "FALSE")</f>
        <v>TRUE</v>
      </c>
      <c r="M20" s="24" t="str">
        <f>SUBSTITUTE(Table7[[#This Row],[CheckInStatus]], "Not Yet", "Not Checked In")</f>
        <v>Checked In</v>
      </c>
    </row>
    <row r="21" spans="1:13" ht="19.95" customHeight="1" thickTop="1" thickBot="1" x14ac:dyDescent="0.35">
      <c r="A21" s="5">
        <v>520</v>
      </c>
      <c r="B21" s="40" t="str">
        <f>IF(COUNTIF(Table7[AttendeeID], Table7[[#This Row],[AttendeeID]])&gt;1, "Duplicate", "Unique")</f>
        <v>Unique</v>
      </c>
      <c r="C21" s="2">
        <v>2220</v>
      </c>
      <c r="D21" s="40" t="b">
        <f>ISNUMBER(Table7[[#This Row],[TicketID]])</f>
        <v>1</v>
      </c>
      <c r="E21" s="3" t="s">
        <v>163</v>
      </c>
      <c r="F21" s="40" t="b">
        <f>ISTEXT(Table7[[#This Row],[FullName]])</f>
        <v>1</v>
      </c>
      <c r="G21" s="21" t="str">
        <f>TRIM(PROPER(Table7[[#This Row],[FullName]]))</f>
        <v>Mia Clark</v>
      </c>
      <c r="H21" s="3" t="s">
        <v>164</v>
      </c>
      <c r="I21" s="40" t="str" cm="1">
        <f t="array" ref="I21">IF(SUM(COUNTIF(Table7[[#This Row],[Email]], "*" &amp; {"/","#","&amp;"} &amp; "*")), "Contains characters", "Does not contain")</f>
        <v>Does not contain</v>
      </c>
      <c r="J21" s="21" t="str">
        <f>SUBSTITUTE(SUBSTITUTE(Table7[[#This Row],[Email]], "#", ""), "/", "")</f>
        <v>mia.clark@email.com</v>
      </c>
      <c r="K21" s="3" t="s">
        <v>204</v>
      </c>
      <c r="L21" s="40" t="str">
        <f>IF(OR(ISNUMBER(MATCH(Table7[[#This Row],[CheckInStatus]], {"Checked In","Not Checked In"}, 0))), "TRUE", "FALSE")</f>
        <v>FALSE</v>
      </c>
      <c r="M21" s="24" t="str">
        <f>SUBSTITUTE(Table7[[#This Row],[CheckInStatus]], "Not Yet", "Not Checked In")</f>
        <v>Not Checked In</v>
      </c>
    </row>
    <row r="22" spans="1:13" ht="15" thickTop="1" x14ac:dyDescent="0.3"/>
  </sheetData>
  <phoneticPr fontId="2" type="noConversion"/>
  <conditionalFormatting sqref="B1:B21">
    <cfRule type="containsText" dxfId="5" priority="1" operator="containsText" text="Duplicate">
      <formula>NOT(ISERROR(SEARCH("Duplicate",B1)))</formula>
    </cfRule>
  </conditionalFormatting>
  <conditionalFormatting sqref="D1:D21 F1:F21 L1:L21">
    <cfRule type="containsText" dxfId="4" priority="2" operator="containsText" text="FALSE">
      <formula>NOT(ISERROR(SEARCH("FALSE",D1)))</formula>
    </cfRule>
  </conditionalFormatting>
  <conditionalFormatting sqref="I2:I21">
    <cfRule type="containsText" dxfId="3" priority="3" operator="containsText" text="Contains characters">
      <formula>NOT(ISERROR(SEARCH("Contains characters",I2)))</formula>
    </cfRule>
  </conditionalFormatting>
  <hyperlinks>
    <hyperlink ref="H8" r:id="rId1" xr:uid="{4F817E96-55BE-4D36-8E61-AB90678A3D79}"/>
    <hyperlink ref="H20" r:id="rId2" xr:uid="{801AE7EF-AC0F-47F0-B144-3FC40CB0C971}"/>
  </hyperlinks>
  <pageMargins left="0.7" right="0.7" top="0.75" bottom="0.75" header="0.3" footer="0.3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5D60-19EA-4C97-A311-207E28181AF0}">
  <sheetPr>
    <tabColor theme="9" tint="-0.249977111117893"/>
  </sheetPr>
  <dimension ref="A1:E21"/>
  <sheetViews>
    <sheetView zoomScale="85" zoomScaleNormal="85" workbookViewId="0">
      <selection activeCell="F9" sqref="F9"/>
    </sheetView>
  </sheetViews>
  <sheetFormatPr defaultColWidth="20.77734375" defaultRowHeight="14.4" x14ac:dyDescent="0.3"/>
  <cols>
    <col min="4" max="4" width="32.77734375" customWidth="1"/>
  </cols>
  <sheetData>
    <row r="1" spans="1:5" ht="19.95" customHeight="1" thickBot="1" x14ac:dyDescent="0.35">
      <c r="A1" s="12" t="s">
        <v>123</v>
      </c>
      <c r="B1" s="13" t="s">
        <v>85</v>
      </c>
      <c r="C1" s="13" t="s">
        <v>124</v>
      </c>
      <c r="D1" s="13" t="s">
        <v>125</v>
      </c>
      <c r="E1" s="13" t="s">
        <v>126</v>
      </c>
    </row>
    <row r="2" spans="1:5" ht="19.95" customHeight="1" thickBot="1" x14ac:dyDescent="0.35">
      <c r="A2" s="6">
        <v>501</v>
      </c>
      <c r="B2" s="2">
        <v>2201</v>
      </c>
      <c r="C2" s="2" t="str">
        <f>TRIM(PROPER(Table7[[#This Row],[FullName]]))</f>
        <v>John Smith</v>
      </c>
      <c r="D2" s="2" t="str">
        <f>SUBSTITUTE(SUBSTITUTE(Table7[[#This Row],[Email]], "#", ""), "/", "")</f>
        <v>john.smith@email.com</v>
      </c>
      <c r="E2" s="5" t="str">
        <f>SUBSTITUTE(Table7[[#This Row],[CheckInStatus]], "Not Yet", "Not Checked In")</f>
        <v>Checked In</v>
      </c>
    </row>
    <row r="3" spans="1:5" ht="19.95" customHeight="1" thickBot="1" x14ac:dyDescent="0.35">
      <c r="A3" s="6">
        <v>502</v>
      </c>
      <c r="B3" s="2">
        <v>2202</v>
      </c>
      <c r="C3" s="2" t="str">
        <f>TRIM(PROPER(Table7[[#This Row],[FullName]]))</f>
        <v>Emily Johnson</v>
      </c>
      <c r="D3" s="2" t="str">
        <f>SUBSTITUTE(SUBSTITUTE(Table7[[#This Row],[Email]], "#", ""), "/", "")</f>
        <v>emily.johnson@email.com</v>
      </c>
      <c r="E3" s="5" t="str">
        <f>SUBSTITUTE(Table7[[#This Row],[CheckInStatus]], "Not Yet", "Not Checked In")</f>
        <v>Checked In</v>
      </c>
    </row>
    <row r="4" spans="1:5" ht="19.95" customHeight="1" thickBot="1" x14ac:dyDescent="0.35">
      <c r="A4" s="6">
        <v>503</v>
      </c>
      <c r="B4" s="2">
        <v>2203</v>
      </c>
      <c r="C4" s="2" t="str">
        <f>TRIM(PROPER(Table7[[#This Row],[FullName]]))</f>
        <v>Michael Davis</v>
      </c>
      <c r="D4" s="2" t="str">
        <f>SUBSTITUTE(SUBSTITUTE(Table7[[#This Row],[Email]], "#", ""), "/", "")</f>
        <v>michael.davis@email.com</v>
      </c>
      <c r="E4" s="5" t="str">
        <f>SUBSTITUTE(Table7[[#This Row],[CheckInStatus]], "Not Yet", "Not Checked In")</f>
        <v>Not Checked In</v>
      </c>
    </row>
    <row r="5" spans="1:5" ht="19.95" customHeight="1" thickBot="1" x14ac:dyDescent="0.35">
      <c r="A5" s="6">
        <v>504</v>
      </c>
      <c r="B5" s="2">
        <v>2204</v>
      </c>
      <c r="C5" s="2" t="str">
        <f>TRIM(PROPER(Table7[[#This Row],[FullName]]))</f>
        <v>Sarah Brown</v>
      </c>
      <c r="D5" s="2" t="str">
        <f>SUBSTITUTE(SUBSTITUTE(Table7[[#This Row],[Email]], "#", ""), "/", "")</f>
        <v>sarah.brown@email.com</v>
      </c>
      <c r="E5" s="5" t="str">
        <f>SUBSTITUTE(Table7[[#This Row],[CheckInStatus]], "Not Yet", "Not Checked In")</f>
        <v>Checked In</v>
      </c>
    </row>
    <row r="6" spans="1:5" ht="19.95" customHeight="1" thickBot="1" x14ac:dyDescent="0.35">
      <c r="A6" s="6">
        <v>505</v>
      </c>
      <c r="B6" s="2">
        <v>2205</v>
      </c>
      <c r="C6" s="2" t="str">
        <f>TRIM(PROPER(Table7[[#This Row],[FullName]]))</f>
        <v>Brian Wilson</v>
      </c>
      <c r="D6" s="2" t="str">
        <f>SUBSTITUTE(SUBSTITUTE(Table7[[#This Row],[Email]], "#", ""), "/", "")</f>
        <v>brian.wilson@email.com</v>
      </c>
      <c r="E6" s="5" t="str">
        <f>SUBSTITUTE(Table7[[#This Row],[CheckInStatus]], "Not Yet", "Not Checked In")</f>
        <v>Checked In</v>
      </c>
    </row>
    <row r="7" spans="1:5" ht="19.95" customHeight="1" thickBot="1" x14ac:dyDescent="0.35">
      <c r="A7" s="6">
        <v>506</v>
      </c>
      <c r="B7" s="2">
        <v>2206</v>
      </c>
      <c r="C7" s="2" t="str">
        <f>TRIM(PROPER(Table7[[#This Row],[FullName]]))</f>
        <v>Emma Miller</v>
      </c>
      <c r="D7" s="2" t="str">
        <f>SUBSTITUTE(SUBSTITUTE(Table7[[#This Row],[Email]], "#", ""), "/", "")</f>
        <v>emma.miller@email.com</v>
      </c>
      <c r="E7" s="5" t="str">
        <f>SUBSTITUTE(Table7[[#This Row],[CheckInStatus]], "Not Yet", "Not Checked In")</f>
        <v>Not Checked In</v>
      </c>
    </row>
    <row r="8" spans="1:5" ht="19.95" customHeight="1" thickBot="1" x14ac:dyDescent="0.35">
      <c r="A8" s="6">
        <v>507</v>
      </c>
      <c r="B8" s="2">
        <v>2207</v>
      </c>
      <c r="C8" s="2" t="str">
        <f>TRIM(PROPER(Table7[[#This Row],[FullName]]))</f>
        <v>David Clark</v>
      </c>
      <c r="D8" s="15" t="str">
        <f>SUBSTITUTE(SUBSTITUTE(Table7[[#This Row],[Email]], "#", ""), "/", "")</f>
        <v>david.clark@email.com</v>
      </c>
      <c r="E8" s="5" t="str">
        <f>SUBSTITUTE(Table7[[#This Row],[CheckInStatus]], "Not Yet", "Not Checked In")</f>
        <v>Checked In</v>
      </c>
    </row>
    <row r="9" spans="1:5" ht="19.95" customHeight="1" thickBot="1" x14ac:dyDescent="0.35">
      <c r="A9" s="6">
        <v>508</v>
      </c>
      <c r="B9" s="2">
        <v>2208</v>
      </c>
      <c r="C9" s="2" t="str">
        <f>TRIM(PROPER(Table7[[#This Row],[FullName]]))</f>
        <v>Jessica Adams</v>
      </c>
      <c r="D9" s="2" t="str">
        <f>SUBSTITUTE(SUBSTITUTE(Table7[[#This Row],[Email]], "#", ""), "/", "")</f>
        <v>jessica.adams@email.com</v>
      </c>
      <c r="E9" s="5" t="str">
        <f>SUBSTITUTE(Table7[[#This Row],[CheckInStatus]], "Not Yet", "Not Checked In")</f>
        <v>Checked In</v>
      </c>
    </row>
    <row r="10" spans="1:5" ht="19.95" customHeight="1" thickBot="1" x14ac:dyDescent="0.35">
      <c r="A10" s="6">
        <v>509</v>
      </c>
      <c r="B10" s="2">
        <v>2209</v>
      </c>
      <c r="C10" s="2" t="str">
        <f>TRIM(PROPER(Table7[[#This Row],[FullName]]))</f>
        <v>Andrew Turner</v>
      </c>
      <c r="D10" s="2" t="str">
        <f>SUBSTITUTE(SUBSTITUTE(Table7[[#This Row],[Email]], "#", ""), "/", "")</f>
        <v>andrew.turner@email.com</v>
      </c>
      <c r="E10" s="5" t="str">
        <f>SUBSTITUTE(Table7[[#This Row],[CheckInStatus]], "Not Yet", "Not Checked In")</f>
        <v>Not Checked In</v>
      </c>
    </row>
    <row r="11" spans="1:5" ht="19.95" customHeight="1" thickBot="1" x14ac:dyDescent="0.35">
      <c r="A11" s="6">
        <v>510</v>
      </c>
      <c r="B11" s="2">
        <v>2210</v>
      </c>
      <c r="C11" s="2" t="str">
        <f>TRIM(PROPER(Table7[[#This Row],[FullName]]))</f>
        <v>Olivia Roberts</v>
      </c>
      <c r="D11" s="2" t="str">
        <f>SUBSTITUTE(SUBSTITUTE(Table7[[#This Row],[Email]], "#", ""), "/", "")</f>
        <v>olivia.roberts@email.com</v>
      </c>
      <c r="E11" s="5" t="str">
        <f>SUBSTITUTE(Table7[[#This Row],[CheckInStatus]], "Not Yet", "Not Checked In")</f>
        <v>Checked In</v>
      </c>
    </row>
    <row r="12" spans="1:5" ht="19.95" customHeight="1" thickBot="1" x14ac:dyDescent="0.35">
      <c r="A12" s="6">
        <v>511</v>
      </c>
      <c r="B12" s="2">
        <v>2211</v>
      </c>
      <c r="C12" s="2" t="str">
        <f>TRIM(PROPER(Table7[[#This Row],[FullName]]))</f>
        <v>William Johnson</v>
      </c>
      <c r="D12" s="2" t="str">
        <f>SUBSTITUTE(SUBSTITUTE(Table7[[#This Row],[Email]], "#", ""), "/", "")</f>
        <v>william.johnson@email.com</v>
      </c>
      <c r="E12" s="5" t="str">
        <f>SUBSTITUTE(Table7[[#This Row],[CheckInStatus]], "Not Yet", "Not Checked In")</f>
        <v>Checked In</v>
      </c>
    </row>
    <row r="13" spans="1:5" ht="19.95" customHeight="1" thickBot="1" x14ac:dyDescent="0.35">
      <c r="A13" s="6">
        <v>512</v>
      </c>
      <c r="B13" s="2">
        <v>2212</v>
      </c>
      <c r="C13" s="2" t="str">
        <f>TRIM(PROPER(Table7[[#This Row],[FullName]]))</f>
        <v>Sophia Brown</v>
      </c>
      <c r="D13" s="2" t="str">
        <f>SUBSTITUTE(SUBSTITUTE(Table7[[#This Row],[Email]], "#", ""), "/", "")</f>
        <v>sophia.brown@email.com</v>
      </c>
      <c r="E13" s="5" t="str">
        <f>SUBSTITUTE(Table7[[#This Row],[CheckInStatus]], "Not Yet", "Not Checked In")</f>
        <v>Not Checked In</v>
      </c>
    </row>
    <row r="14" spans="1:5" ht="19.95" customHeight="1" thickBot="1" x14ac:dyDescent="0.35">
      <c r="A14" s="6">
        <v>513</v>
      </c>
      <c r="B14" s="2">
        <v>2213</v>
      </c>
      <c r="C14" s="2" t="str">
        <f>TRIM(PROPER(Table7[[#This Row],[FullName]]))</f>
        <v>Ethan Davis</v>
      </c>
      <c r="D14" s="2" t="str">
        <f>SUBSTITUTE(SUBSTITUTE(Table7[[#This Row],[Email]], "#", ""), "/", "")</f>
        <v>ethan.davis@email.com</v>
      </c>
      <c r="E14" s="5" t="str">
        <f>SUBSTITUTE(Table7[[#This Row],[CheckInStatus]], "Not Yet", "Not Checked In")</f>
        <v>Checked In</v>
      </c>
    </row>
    <row r="15" spans="1:5" ht="19.95" customHeight="1" thickBot="1" x14ac:dyDescent="0.35">
      <c r="A15" s="6">
        <v>514</v>
      </c>
      <c r="B15" s="2">
        <v>2214</v>
      </c>
      <c r="C15" s="2" t="str">
        <f>TRIM(PROPER(Table7[[#This Row],[FullName]]))</f>
        <v>Aria Thompson</v>
      </c>
      <c r="D15" s="2" t="str">
        <f>SUBSTITUTE(SUBSTITUTE(Table7[[#This Row],[Email]], "#", ""), "/", "")</f>
        <v>aria.thompson@email.com</v>
      </c>
      <c r="E15" s="5" t="str">
        <f>SUBSTITUTE(Table7[[#This Row],[CheckInStatus]], "Not Yet", "Not Checked In")</f>
        <v>Checked In</v>
      </c>
    </row>
    <row r="16" spans="1:5" ht="19.95" customHeight="1" thickBot="1" x14ac:dyDescent="0.35">
      <c r="A16" s="6">
        <v>515</v>
      </c>
      <c r="B16" s="2">
        <v>2215</v>
      </c>
      <c r="C16" s="2" t="str">
        <f>TRIM(PROPER(Table7[[#This Row],[FullName]]))</f>
        <v>Jackson White</v>
      </c>
      <c r="D16" s="2" t="str">
        <f>SUBSTITUTE(SUBSTITUTE(Table7[[#This Row],[Email]], "#", ""), "/", "")</f>
        <v>jackson.white@email.com</v>
      </c>
      <c r="E16" s="5" t="str">
        <f>SUBSTITUTE(Table7[[#This Row],[CheckInStatus]], "Not Yet", "Not Checked In")</f>
        <v>Not Checked In</v>
      </c>
    </row>
    <row r="17" spans="1:5" ht="19.95" customHeight="1" thickBot="1" x14ac:dyDescent="0.35">
      <c r="A17" s="6">
        <v>516</v>
      </c>
      <c r="B17" s="2">
        <v>2216</v>
      </c>
      <c r="C17" s="2" t="str">
        <f>TRIM(PROPER(Table7[[#This Row],[FullName]]))</f>
        <v>Lily Turner</v>
      </c>
      <c r="D17" s="2" t="str">
        <f>SUBSTITUTE(SUBSTITUTE(Table7[[#This Row],[Email]], "#", ""), "/", "")</f>
        <v>lily.turner@email.com</v>
      </c>
      <c r="E17" s="5" t="str">
        <f>SUBSTITUTE(Table7[[#This Row],[CheckInStatus]], "Not Yet", "Not Checked In")</f>
        <v>Checked In</v>
      </c>
    </row>
    <row r="18" spans="1:5" ht="19.95" customHeight="1" thickBot="1" x14ac:dyDescent="0.35">
      <c r="A18" s="6">
        <v>517</v>
      </c>
      <c r="B18" s="2">
        <v>2217</v>
      </c>
      <c r="C18" s="2" t="str">
        <f>TRIM(PROPER(Table7[[#This Row],[FullName]]))</f>
        <v>Caleb Adams</v>
      </c>
      <c r="D18" s="2" t="str">
        <f>SUBSTITUTE(SUBSTITUTE(Table7[[#This Row],[Email]], "#", ""), "/", "")</f>
        <v>caleb.adams@email.com</v>
      </c>
      <c r="E18" s="5" t="str">
        <f>SUBSTITUTE(Table7[[#This Row],[CheckInStatus]], "Not Yet", "Not Checked In")</f>
        <v>Checked In</v>
      </c>
    </row>
    <row r="19" spans="1:5" ht="19.95" customHeight="1" thickBot="1" x14ac:dyDescent="0.35">
      <c r="A19" s="6">
        <v>518</v>
      </c>
      <c r="B19" s="2">
        <v>2218</v>
      </c>
      <c r="C19" s="2" t="str">
        <f>TRIM(PROPER(Table7[[#This Row],[FullName]]))</f>
        <v>Grace Wilson</v>
      </c>
      <c r="D19" s="2" t="str">
        <f>SUBSTITUTE(SUBSTITUTE(Table7[[#This Row],[Email]], "#", ""), "/", "")</f>
        <v>grace.wilson@email.com</v>
      </c>
      <c r="E19" s="5" t="str">
        <f>SUBSTITUTE(Table7[[#This Row],[CheckInStatus]], "Not Yet", "Not Checked In")</f>
        <v>Not Checked In</v>
      </c>
    </row>
    <row r="20" spans="1:5" ht="19.95" customHeight="1" thickBot="1" x14ac:dyDescent="0.35">
      <c r="A20" s="6">
        <v>519</v>
      </c>
      <c r="B20" s="2">
        <v>2219</v>
      </c>
      <c r="C20" s="2" t="str">
        <f>TRIM(PROPER(Table7[[#This Row],[FullName]]))</f>
        <v>Noah Miller</v>
      </c>
      <c r="D20" s="15" t="str">
        <f>SUBSTITUTE(SUBSTITUTE(Table7[[#This Row],[Email]], "#", ""), "/", "")</f>
        <v>noah.miller@email.com</v>
      </c>
      <c r="E20" s="5" t="str">
        <f>SUBSTITUTE(Table7[[#This Row],[CheckInStatus]], "Not Yet", "Not Checked In")</f>
        <v>Checked In</v>
      </c>
    </row>
    <row r="21" spans="1:5" ht="19.95" customHeight="1" thickBot="1" x14ac:dyDescent="0.35">
      <c r="A21" s="5">
        <v>520</v>
      </c>
      <c r="B21" s="2">
        <v>2220</v>
      </c>
      <c r="C21" s="3" t="str">
        <f>TRIM(PROPER(Table7[[#This Row],[FullName]]))</f>
        <v>Mia Clark</v>
      </c>
      <c r="D21" s="3" t="str">
        <f>SUBSTITUTE(SUBSTITUTE(Table7[[#This Row],[Email]], "#", ""), "/", "")</f>
        <v>mia.clark@email.com</v>
      </c>
      <c r="E21" s="5" t="str">
        <f>SUBSTITUTE(Table7[[#This Row],[CheckInStatus]], "Not Yet", "Not Checked In")</f>
        <v>Not Checked In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7952-42E6-4A2D-91FC-2E023DD5207C}">
  <sheetPr>
    <tabColor rgb="FFFF0000"/>
  </sheetPr>
  <dimension ref="A1:E21"/>
  <sheetViews>
    <sheetView workbookViewId="0">
      <selection activeCell="C1" sqref="C1:C1048576"/>
    </sheetView>
  </sheetViews>
  <sheetFormatPr defaultRowHeight="14.4" x14ac:dyDescent="0.3"/>
  <cols>
    <col min="1" max="1" width="20" bestFit="1" customWidth="1"/>
    <col min="2" max="2" width="15.33203125" bestFit="1" customWidth="1"/>
    <col min="3" max="4" width="17" bestFit="1" customWidth="1"/>
    <col min="5" max="5" width="13.6640625" bestFit="1" customWidth="1"/>
  </cols>
  <sheetData>
    <row r="1" spans="1:5" ht="19.95" customHeight="1" thickBot="1" x14ac:dyDescent="0.35">
      <c r="A1" s="12" t="s">
        <v>165</v>
      </c>
      <c r="B1" s="13" t="s">
        <v>92</v>
      </c>
      <c r="C1" s="13" t="s">
        <v>166</v>
      </c>
      <c r="D1" s="13" t="s">
        <v>167</v>
      </c>
      <c r="E1" s="13" t="s">
        <v>168</v>
      </c>
    </row>
    <row r="2" spans="1:5" ht="19.95" customHeight="1" thickBot="1" x14ac:dyDescent="0.35">
      <c r="A2" s="6">
        <v>601</v>
      </c>
      <c r="B2" s="2">
        <v>7797</v>
      </c>
      <c r="C2" s="16">
        <v>45488.833333333336</v>
      </c>
      <c r="D2" s="16">
        <v>45488.9375</v>
      </c>
      <c r="E2" s="2">
        <v>2.5</v>
      </c>
    </row>
    <row r="3" spans="1:5" ht="19.95" customHeight="1" thickBot="1" x14ac:dyDescent="0.35">
      <c r="A3" s="6">
        <v>602</v>
      </c>
      <c r="B3" s="2" t="s">
        <v>203</v>
      </c>
      <c r="C3" s="16">
        <v>45505.770833333336</v>
      </c>
      <c r="D3" s="16">
        <v>45505.875</v>
      </c>
      <c r="E3" s="2">
        <v>2.5</v>
      </c>
    </row>
    <row r="4" spans="1:5" ht="19.95" customHeight="1" thickBot="1" x14ac:dyDescent="0.35">
      <c r="A4" s="6">
        <v>603</v>
      </c>
      <c r="B4" s="2">
        <v>7795</v>
      </c>
      <c r="C4" s="16">
        <v>45524.875</v>
      </c>
      <c r="D4" s="16">
        <v>45525</v>
      </c>
      <c r="E4" s="2">
        <v>3</v>
      </c>
    </row>
    <row r="5" spans="1:5" ht="19.95" customHeight="1" thickBot="1" x14ac:dyDescent="0.35">
      <c r="A5" s="6">
        <v>604</v>
      </c>
      <c r="B5" s="2">
        <v>7794</v>
      </c>
      <c r="C5" s="16">
        <v>45540.802083333336</v>
      </c>
      <c r="D5" s="16">
        <v>45540.90625</v>
      </c>
      <c r="E5" s="2">
        <v>2.5</v>
      </c>
    </row>
    <row r="6" spans="1:5" ht="19.95" customHeight="1" thickBot="1" x14ac:dyDescent="0.35">
      <c r="A6" s="6">
        <v>605</v>
      </c>
      <c r="B6" s="2">
        <v>7793</v>
      </c>
      <c r="C6" s="16">
        <v>45557.9375</v>
      </c>
      <c r="D6" s="16">
        <v>45558.041666666664</v>
      </c>
      <c r="E6" s="2">
        <v>2.5</v>
      </c>
    </row>
    <row r="7" spans="1:5" ht="19.95" customHeight="1" thickBot="1" x14ac:dyDescent="0.35">
      <c r="A7" s="6">
        <v>606</v>
      </c>
      <c r="B7" s="2">
        <v>7792</v>
      </c>
      <c r="C7" s="16">
        <v>45575.739583333336</v>
      </c>
      <c r="D7" s="16">
        <v>45575.84375</v>
      </c>
      <c r="E7" s="2">
        <v>2.5</v>
      </c>
    </row>
    <row r="8" spans="1:5" ht="19.95" customHeight="1" thickBot="1" x14ac:dyDescent="0.35">
      <c r="A8" s="6">
        <v>607</v>
      </c>
      <c r="B8" s="2">
        <v>7791</v>
      </c>
      <c r="C8" s="16">
        <v>45590.854166666664</v>
      </c>
      <c r="D8" s="16">
        <v>45590.958333333336</v>
      </c>
      <c r="E8" s="2">
        <v>2.5</v>
      </c>
    </row>
    <row r="9" spans="1:5" ht="19.95" customHeight="1" thickBot="1" x14ac:dyDescent="0.35">
      <c r="A9" s="6">
        <v>608</v>
      </c>
      <c r="B9" s="2">
        <v>7790</v>
      </c>
      <c r="C9" s="16">
        <v>45608.791666666664</v>
      </c>
      <c r="D9" s="16">
        <v>45608.895833333336</v>
      </c>
      <c r="E9" s="2">
        <v>2.5</v>
      </c>
    </row>
    <row r="10" spans="1:5" ht="19.95" customHeight="1" thickBot="1" x14ac:dyDescent="0.35">
      <c r="A10" s="6">
        <v>609</v>
      </c>
      <c r="B10" s="2">
        <v>7789</v>
      </c>
      <c r="C10" s="16">
        <v>45627.90625</v>
      </c>
      <c r="D10" s="16">
        <v>45627.989583333336</v>
      </c>
      <c r="E10" s="2">
        <v>2</v>
      </c>
    </row>
    <row r="11" spans="1:5" ht="19.95" customHeight="1" thickBot="1" x14ac:dyDescent="0.35">
      <c r="A11" s="6">
        <v>610</v>
      </c>
      <c r="B11" s="2">
        <v>7788</v>
      </c>
      <c r="C11" s="16">
        <v>45644.760416666664</v>
      </c>
      <c r="D11" s="16">
        <v>45644.875</v>
      </c>
      <c r="E11" s="2">
        <v>2.75</v>
      </c>
    </row>
    <row r="12" spans="1:5" ht="19.95" customHeight="1" thickBot="1" x14ac:dyDescent="0.35">
      <c r="A12" s="6">
        <v>611</v>
      </c>
      <c r="B12" s="2">
        <v>7787</v>
      </c>
      <c r="C12" s="16">
        <v>45662.854166666664</v>
      </c>
      <c r="D12" s="16">
        <v>45662.958333333336</v>
      </c>
      <c r="E12" s="2">
        <v>2.5</v>
      </c>
    </row>
    <row r="13" spans="1:5" ht="19.95" customHeight="1" thickBot="1" x14ac:dyDescent="0.35">
      <c r="A13" s="6">
        <v>612</v>
      </c>
      <c r="B13" s="2">
        <v>7786</v>
      </c>
      <c r="C13" s="16">
        <v>45677.791666666664</v>
      </c>
      <c r="D13" s="16">
        <v>45677.895833333336</v>
      </c>
      <c r="E13" s="2">
        <v>2.5</v>
      </c>
    </row>
    <row r="14" spans="1:5" ht="19.95" customHeight="1" thickBot="1" x14ac:dyDescent="0.35">
      <c r="A14" s="6">
        <v>613</v>
      </c>
      <c r="B14" s="2">
        <v>7785</v>
      </c>
      <c r="C14" s="16">
        <v>45694.885416666664</v>
      </c>
      <c r="D14" s="16">
        <v>45695</v>
      </c>
      <c r="E14" s="2">
        <v>2.75</v>
      </c>
    </row>
    <row r="15" spans="1:5" ht="19.95" customHeight="1" thickBot="1" x14ac:dyDescent="0.35">
      <c r="A15" s="6">
        <v>614</v>
      </c>
      <c r="B15" s="2">
        <v>7784</v>
      </c>
      <c r="C15" s="16">
        <v>45711.78125</v>
      </c>
      <c r="D15" s="16">
        <v>45711.885416666664</v>
      </c>
      <c r="E15" s="2">
        <v>2.5</v>
      </c>
    </row>
    <row r="16" spans="1:5" ht="19.95" customHeight="1" thickBot="1" x14ac:dyDescent="0.35">
      <c r="A16" s="6">
        <v>615</v>
      </c>
      <c r="B16" s="2">
        <v>7783</v>
      </c>
      <c r="C16" s="16">
        <v>45726.833333333336</v>
      </c>
      <c r="D16" s="16">
        <v>45726.9375</v>
      </c>
      <c r="E16" s="2">
        <v>2.5</v>
      </c>
    </row>
    <row r="17" spans="1:5" ht="19.95" customHeight="1" thickBot="1" x14ac:dyDescent="0.35">
      <c r="A17" s="6">
        <v>616</v>
      </c>
      <c r="B17" s="2">
        <v>7782</v>
      </c>
      <c r="C17" s="16">
        <v>45743.9375</v>
      </c>
      <c r="D17" s="16">
        <v>45744.041666666664</v>
      </c>
      <c r="E17" s="2">
        <v>2.5</v>
      </c>
    </row>
    <row r="18" spans="1:5" ht="19.95" customHeight="1" thickBot="1" x14ac:dyDescent="0.35">
      <c r="A18" s="6">
        <v>617</v>
      </c>
      <c r="B18" s="2">
        <v>7781</v>
      </c>
      <c r="C18" s="16">
        <v>45759.739583333336</v>
      </c>
      <c r="D18" s="16">
        <v>45759.84375</v>
      </c>
      <c r="E18" s="2">
        <v>2.5</v>
      </c>
    </row>
    <row r="19" spans="1:5" ht="19.95" customHeight="1" thickBot="1" x14ac:dyDescent="0.35">
      <c r="A19" s="6">
        <v>618</v>
      </c>
      <c r="B19" s="2">
        <v>7780</v>
      </c>
      <c r="C19" s="16">
        <v>45776.854166666664</v>
      </c>
      <c r="D19" s="16">
        <v>45776.958333333336</v>
      </c>
      <c r="E19" s="2">
        <v>2.5</v>
      </c>
    </row>
    <row r="20" spans="1:5" ht="19.95" customHeight="1" thickBot="1" x14ac:dyDescent="0.35">
      <c r="A20" s="6">
        <v>619</v>
      </c>
      <c r="B20" s="2">
        <v>7779</v>
      </c>
      <c r="C20" s="16">
        <v>45792.791666666664</v>
      </c>
      <c r="D20" s="16">
        <v>45792.895833333336</v>
      </c>
      <c r="E20" s="2">
        <v>2.5</v>
      </c>
    </row>
    <row r="21" spans="1:5" ht="19.95" customHeight="1" thickBot="1" x14ac:dyDescent="0.35">
      <c r="A21" s="5">
        <v>620</v>
      </c>
      <c r="B21" s="2">
        <v>7778</v>
      </c>
      <c r="C21" s="17">
        <v>45807.885416666664</v>
      </c>
      <c r="D21" s="17">
        <v>45807.989583333336</v>
      </c>
      <c r="E21" s="3">
        <v>2.5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74E1-9B5E-480A-A039-5AE213028C53}">
  <sheetPr>
    <tabColor theme="1" tint="0.34998626667073579"/>
  </sheetPr>
  <dimension ref="A1:M22"/>
  <sheetViews>
    <sheetView zoomScale="85" zoomScaleNormal="85" workbookViewId="0">
      <selection activeCell="P7" sqref="P7"/>
    </sheetView>
  </sheetViews>
  <sheetFormatPr defaultRowHeight="14.4" x14ac:dyDescent="0.3"/>
  <cols>
    <col min="1" max="2" width="21.5546875" customWidth="1"/>
    <col min="3" max="5" width="18.44140625" customWidth="1"/>
    <col min="6" max="8" width="20.33203125" customWidth="1"/>
    <col min="9" max="9" width="20.5546875" customWidth="1"/>
    <col min="10" max="10" width="27" customWidth="1"/>
    <col min="11" max="11" width="20.5546875" customWidth="1"/>
    <col min="12" max="12" width="20.109375" customWidth="1"/>
    <col min="13" max="13" width="20.5546875" customWidth="1"/>
  </cols>
  <sheetData>
    <row r="1" spans="1:13" ht="19.95" customHeight="1" thickTop="1" thickBot="1" x14ac:dyDescent="0.35">
      <c r="A1" s="12" t="s">
        <v>165</v>
      </c>
      <c r="B1" s="39" t="s">
        <v>257</v>
      </c>
      <c r="C1" s="13" t="s">
        <v>92</v>
      </c>
      <c r="D1" s="39" t="s">
        <v>233</v>
      </c>
      <c r="E1" s="18" t="s">
        <v>269</v>
      </c>
      <c r="F1" s="13" t="s">
        <v>166</v>
      </c>
      <c r="G1" s="39" t="s">
        <v>258</v>
      </c>
      <c r="H1" s="37" t="s">
        <v>259</v>
      </c>
      <c r="I1" s="13" t="s">
        <v>167</v>
      </c>
      <c r="J1" s="39" t="s">
        <v>261</v>
      </c>
      <c r="K1" s="37" t="s">
        <v>262</v>
      </c>
      <c r="L1" s="13" t="s">
        <v>168</v>
      </c>
      <c r="M1" s="39" t="s">
        <v>260</v>
      </c>
    </row>
    <row r="2" spans="1:13" ht="19.95" customHeight="1" thickTop="1" thickBot="1" x14ac:dyDescent="0.35">
      <c r="A2" s="6">
        <v>601</v>
      </c>
      <c r="B2" s="40" t="b">
        <f>ISNUMBER(Table8[[#This Row],[PerformanceID]])</f>
        <v>1</v>
      </c>
      <c r="C2" s="2">
        <v>7797</v>
      </c>
      <c r="D2" s="40" t="b">
        <f>ISNUMBER(Table8[[#This Row],[ConcertID]])</f>
        <v>1</v>
      </c>
      <c r="E2" s="19">
        <f>VALUE(SUBSTITUTE(Table8[[#This Row],[ConcertID]], "7796p", 7796))</f>
        <v>7797</v>
      </c>
      <c r="F2" s="16">
        <v>45488.833333333336</v>
      </c>
      <c r="G2" s="41" t="str">
        <f>IF(ISTEXT(Table8[[#This Row],[StartTime]]), IF(ISNUMBER(TIMEVALUE(Table8[[#This Row],[StartTime]])), "TRUE", "FALSE"), "FALSE")</f>
        <v>FALSE</v>
      </c>
      <c r="H2" s="31" t="str">
        <f>TEXT(Table8[[#This Row],[StartTime]], "hh:mm")</f>
        <v>20:00</v>
      </c>
      <c r="I2" s="16">
        <v>45488.9375</v>
      </c>
      <c r="J2" s="41" t="str">
        <f>IF(ISTEXT(Table8[[#This Row],[EndTime]]), IF(ISNUMBER(TIMEVALUE(Table8[[#This Row],[EndTime]])), "TRUE", "FALSE"), "FALSE")</f>
        <v>FALSE</v>
      </c>
      <c r="K2" s="31" t="str">
        <f>TEXT(Table8[[#This Row],[EndTime]], "hh:mm")</f>
        <v>22:30</v>
      </c>
      <c r="L2" s="2">
        <v>2.5</v>
      </c>
      <c r="M2" s="41" t="b">
        <f>ISNUMBER(Table8[[#This Row],[Duration]])</f>
        <v>1</v>
      </c>
    </row>
    <row r="3" spans="1:13" ht="19.95" customHeight="1" thickTop="1" thickBot="1" x14ac:dyDescent="0.35">
      <c r="A3" s="6">
        <v>602</v>
      </c>
      <c r="B3" s="40" t="b">
        <f>ISNUMBER(Table8[[#This Row],[PerformanceID]])</f>
        <v>1</v>
      </c>
      <c r="C3" s="2" t="s">
        <v>203</v>
      </c>
      <c r="D3" s="40" t="b">
        <f>ISNUMBER(Table8[[#This Row],[ConcertID]])</f>
        <v>0</v>
      </c>
      <c r="E3" s="19">
        <f>VALUE(SUBSTITUTE(Table8[[#This Row],[ConcertID]], "7796p", 7796))</f>
        <v>7796</v>
      </c>
      <c r="F3" s="16">
        <v>45505.770833333336</v>
      </c>
      <c r="G3" s="41" t="str">
        <f>IF(ISTEXT(Table8[[#This Row],[StartTime]]), IF(ISNUMBER(TIMEVALUE(Table8[[#This Row],[StartTime]])), "TRUE", "FALSE"), "FALSE")</f>
        <v>FALSE</v>
      </c>
      <c r="H3" s="31" t="str">
        <f>TEXT(Table8[[#This Row],[StartTime]], "hh:mm")</f>
        <v>18:30</v>
      </c>
      <c r="I3" s="16">
        <v>45505.875</v>
      </c>
      <c r="J3" s="41" t="str">
        <f>IF(ISTEXT(Table8[[#This Row],[EndTime]]), IF(ISNUMBER(TIMEVALUE(Table8[[#This Row],[EndTime]])), "TRUE", "FALSE"), "FALSE")</f>
        <v>FALSE</v>
      </c>
      <c r="K3" s="31" t="str">
        <f>TEXT(Table8[[#This Row],[EndTime]], "hh:mm")</f>
        <v>21:00</v>
      </c>
      <c r="L3" s="2">
        <v>2.5</v>
      </c>
      <c r="M3" s="41" t="b">
        <f>ISNUMBER(Table8[[#This Row],[Duration]])</f>
        <v>1</v>
      </c>
    </row>
    <row r="4" spans="1:13" ht="19.95" customHeight="1" thickTop="1" thickBot="1" x14ac:dyDescent="0.35">
      <c r="A4" s="6">
        <v>603</v>
      </c>
      <c r="B4" s="40" t="b">
        <f>ISNUMBER(Table8[[#This Row],[PerformanceID]])</f>
        <v>1</v>
      </c>
      <c r="C4" s="2">
        <v>7795</v>
      </c>
      <c r="D4" s="40" t="b">
        <f>ISNUMBER(Table8[[#This Row],[ConcertID]])</f>
        <v>1</v>
      </c>
      <c r="E4" s="19">
        <f>VALUE(SUBSTITUTE(Table8[[#This Row],[ConcertID]], "7796p", 7796))</f>
        <v>7795</v>
      </c>
      <c r="F4" s="16">
        <v>45524.875</v>
      </c>
      <c r="G4" s="41" t="str">
        <f>IF(ISTEXT(Table8[[#This Row],[StartTime]]), IF(ISNUMBER(TIMEVALUE(Table8[[#This Row],[StartTime]])), "TRUE", "FALSE"), "FALSE")</f>
        <v>FALSE</v>
      </c>
      <c r="H4" s="31" t="str">
        <f>TEXT(Table8[[#This Row],[StartTime]], "hh:mm")</f>
        <v>21:00</v>
      </c>
      <c r="I4" s="16">
        <v>45525</v>
      </c>
      <c r="J4" s="41" t="str">
        <f>IF(ISTEXT(Table8[[#This Row],[EndTime]]), IF(ISNUMBER(TIMEVALUE(Table8[[#This Row],[EndTime]])), "TRUE", "FALSE"), "FALSE")</f>
        <v>FALSE</v>
      </c>
      <c r="K4" s="31" t="str">
        <f>TEXT(Table8[[#This Row],[EndTime]], "hh:mm")</f>
        <v>00:00</v>
      </c>
      <c r="L4" s="2">
        <v>3</v>
      </c>
      <c r="M4" s="41" t="b">
        <f>ISNUMBER(Table8[[#This Row],[Duration]])</f>
        <v>1</v>
      </c>
    </row>
    <row r="5" spans="1:13" ht="19.95" customHeight="1" thickTop="1" thickBot="1" x14ac:dyDescent="0.35">
      <c r="A5" s="6">
        <v>604</v>
      </c>
      <c r="B5" s="40" t="b">
        <f>ISNUMBER(Table8[[#This Row],[PerformanceID]])</f>
        <v>1</v>
      </c>
      <c r="C5" s="2">
        <v>7794</v>
      </c>
      <c r="D5" s="40" t="b">
        <f>ISNUMBER(Table8[[#This Row],[ConcertID]])</f>
        <v>1</v>
      </c>
      <c r="E5" s="19">
        <f>VALUE(SUBSTITUTE(Table8[[#This Row],[ConcertID]], "7796p", 7796))</f>
        <v>7794</v>
      </c>
      <c r="F5" s="16">
        <v>45540.802083333336</v>
      </c>
      <c r="G5" s="41" t="str">
        <f>IF(ISTEXT(Table8[[#This Row],[StartTime]]), IF(ISNUMBER(TIMEVALUE(Table8[[#This Row],[StartTime]])), "TRUE", "FALSE"), "FALSE")</f>
        <v>FALSE</v>
      </c>
      <c r="H5" s="31" t="str">
        <f>TEXT(Table8[[#This Row],[StartTime]], "hh:mm")</f>
        <v>19:15</v>
      </c>
      <c r="I5" s="16">
        <v>45540.90625</v>
      </c>
      <c r="J5" s="41" t="str">
        <f>IF(ISTEXT(Table8[[#This Row],[EndTime]]), IF(ISNUMBER(TIMEVALUE(Table8[[#This Row],[EndTime]])), "TRUE", "FALSE"), "FALSE")</f>
        <v>FALSE</v>
      </c>
      <c r="K5" s="31" t="str">
        <f>TEXT(Table8[[#This Row],[EndTime]], "hh:mm")</f>
        <v>21:45</v>
      </c>
      <c r="L5" s="2">
        <v>2.5</v>
      </c>
      <c r="M5" s="41" t="b">
        <f>ISNUMBER(Table8[[#This Row],[Duration]])</f>
        <v>1</v>
      </c>
    </row>
    <row r="6" spans="1:13" ht="19.95" customHeight="1" thickTop="1" thickBot="1" x14ac:dyDescent="0.35">
      <c r="A6" s="6">
        <v>605</v>
      </c>
      <c r="B6" s="40" t="b">
        <f>ISNUMBER(Table8[[#This Row],[PerformanceID]])</f>
        <v>1</v>
      </c>
      <c r="C6" s="2">
        <v>7793</v>
      </c>
      <c r="D6" s="40" t="b">
        <f>ISNUMBER(Table8[[#This Row],[ConcertID]])</f>
        <v>1</v>
      </c>
      <c r="E6" s="19">
        <f>VALUE(SUBSTITUTE(Table8[[#This Row],[ConcertID]], "7796p", 7796))</f>
        <v>7793</v>
      </c>
      <c r="F6" s="16">
        <v>45557.9375</v>
      </c>
      <c r="G6" s="41" t="str">
        <f>IF(ISTEXT(Table8[[#This Row],[StartTime]]), IF(ISNUMBER(TIMEVALUE(Table8[[#This Row],[StartTime]])), "TRUE", "FALSE"), "FALSE")</f>
        <v>FALSE</v>
      </c>
      <c r="H6" s="31" t="str">
        <f>TEXT(Table8[[#This Row],[StartTime]], "hh:mm")</f>
        <v>22:30</v>
      </c>
      <c r="I6" s="16">
        <v>45558.041666666664</v>
      </c>
      <c r="J6" s="41" t="str">
        <f>IF(ISTEXT(Table8[[#This Row],[EndTime]]), IF(ISNUMBER(TIMEVALUE(Table8[[#This Row],[EndTime]])), "TRUE", "FALSE"), "FALSE")</f>
        <v>FALSE</v>
      </c>
      <c r="K6" s="31" t="str">
        <f>TEXT(Table8[[#This Row],[EndTime]], "hh:mm")</f>
        <v>01:00</v>
      </c>
      <c r="L6" s="2">
        <v>2.5</v>
      </c>
      <c r="M6" s="41" t="b">
        <f>ISNUMBER(Table8[[#This Row],[Duration]])</f>
        <v>1</v>
      </c>
    </row>
    <row r="7" spans="1:13" ht="19.95" customHeight="1" thickTop="1" thickBot="1" x14ac:dyDescent="0.35">
      <c r="A7" s="6">
        <v>606</v>
      </c>
      <c r="B7" s="40" t="b">
        <f>ISNUMBER(Table8[[#This Row],[PerformanceID]])</f>
        <v>1</v>
      </c>
      <c r="C7" s="2">
        <v>7792</v>
      </c>
      <c r="D7" s="40" t="b">
        <f>ISNUMBER(Table8[[#This Row],[ConcertID]])</f>
        <v>1</v>
      </c>
      <c r="E7" s="19">
        <f>VALUE(SUBSTITUTE(Table8[[#This Row],[ConcertID]], "7796p", 7796))</f>
        <v>7792</v>
      </c>
      <c r="F7" s="16">
        <v>45575.739583333336</v>
      </c>
      <c r="G7" s="41" t="str">
        <f>IF(ISTEXT(Table8[[#This Row],[StartTime]]), IF(ISNUMBER(TIMEVALUE(Table8[[#This Row],[StartTime]])), "TRUE", "FALSE"), "FALSE")</f>
        <v>FALSE</v>
      </c>
      <c r="H7" s="31" t="str">
        <f>TEXT(Table8[[#This Row],[StartTime]], "hh:mm")</f>
        <v>17:45</v>
      </c>
      <c r="I7" s="16">
        <v>45575.84375</v>
      </c>
      <c r="J7" s="41" t="str">
        <f>IF(ISTEXT(Table8[[#This Row],[EndTime]]), IF(ISNUMBER(TIMEVALUE(Table8[[#This Row],[EndTime]])), "TRUE", "FALSE"), "FALSE")</f>
        <v>FALSE</v>
      </c>
      <c r="K7" s="31" t="str">
        <f>TEXT(Table8[[#This Row],[EndTime]], "hh:mm")</f>
        <v>20:15</v>
      </c>
      <c r="L7" s="2">
        <v>2.5</v>
      </c>
      <c r="M7" s="41" t="b">
        <f>ISNUMBER(Table8[[#This Row],[Duration]])</f>
        <v>1</v>
      </c>
    </row>
    <row r="8" spans="1:13" ht="19.95" customHeight="1" thickTop="1" thickBot="1" x14ac:dyDescent="0.35">
      <c r="A8" s="6">
        <v>607</v>
      </c>
      <c r="B8" s="40" t="b">
        <f>ISNUMBER(Table8[[#This Row],[PerformanceID]])</f>
        <v>1</v>
      </c>
      <c r="C8" s="2">
        <v>7791</v>
      </c>
      <c r="D8" s="40" t="b">
        <f>ISNUMBER(Table8[[#This Row],[ConcertID]])</f>
        <v>1</v>
      </c>
      <c r="E8" s="19">
        <f>VALUE(SUBSTITUTE(Table8[[#This Row],[ConcertID]], "7796p", 7796))</f>
        <v>7791</v>
      </c>
      <c r="F8" s="16">
        <v>45590.854166666664</v>
      </c>
      <c r="G8" s="41" t="str">
        <f>IF(ISTEXT(Table8[[#This Row],[StartTime]]), IF(ISNUMBER(TIMEVALUE(Table8[[#This Row],[StartTime]])), "TRUE", "FALSE"), "FALSE")</f>
        <v>FALSE</v>
      </c>
      <c r="H8" s="31" t="str">
        <f>TEXT(Table8[[#This Row],[StartTime]], "hh:mm")</f>
        <v>20:30</v>
      </c>
      <c r="I8" s="16">
        <v>45590.958333333336</v>
      </c>
      <c r="J8" s="41" t="str">
        <f>IF(ISTEXT(Table8[[#This Row],[EndTime]]), IF(ISNUMBER(TIMEVALUE(Table8[[#This Row],[EndTime]])), "TRUE", "FALSE"), "FALSE")</f>
        <v>FALSE</v>
      </c>
      <c r="K8" s="31" t="str">
        <f>TEXT(Table8[[#This Row],[EndTime]], "hh:mm")</f>
        <v>23:00</v>
      </c>
      <c r="L8" s="2">
        <v>2.5</v>
      </c>
      <c r="M8" s="41" t="b">
        <f>ISNUMBER(Table8[[#This Row],[Duration]])</f>
        <v>1</v>
      </c>
    </row>
    <row r="9" spans="1:13" ht="19.95" customHeight="1" thickTop="1" thickBot="1" x14ac:dyDescent="0.35">
      <c r="A9" s="6">
        <v>608</v>
      </c>
      <c r="B9" s="40" t="b">
        <f>ISNUMBER(Table8[[#This Row],[PerformanceID]])</f>
        <v>1</v>
      </c>
      <c r="C9" s="2">
        <v>7790</v>
      </c>
      <c r="D9" s="40" t="b">
        <f>ISNUMBER(Table8[[#This Row],[ConcertID]])</f>
        <v>1</v>
      </c>
      <c r="E9" s="19">
        <f>VALUE(SUBSTITUTE(Table8[[#This Row],[ConcertID]], "7796p", 7796))</f>
        <v>7790</v>
      </c>
      <c r="F9" s="16">
        <v>45608.791666666664</v>
      </c>
      <c r="G9" s="41" t="str">
        <f>IF(ISTEXT(Table8[[#This Row],[StartTime]]), IF(ISNUMBER(TIMEVALUE(Table8[[#This Row],[StartTime]])), "TRUE", "FALSE"), "FALSE")</f>
        <v>FALSE</v>
      </c>
      <c r="H9" s="31" t="str">
        <f>TEXT(Table8[[#This Row],[StartTime]], "hh:mm")</f>
        <v>19:00</v>
      </c>
      <c r="I9" s="16">
        <v>45608.895833333336</v>
      </c>
      <c r="J9" s="41" t="str">
        <f>IF(ISTEXT(Table8[[#This Row],[EndTime]]), IF(ISNUMBER(TIMEVALUE(Table8[[#This Row],[EndTime]])), "TRUE", "FALSE"), "FALSE")</f>
        <v>FALSE</v>
      </c>
      <c r="K9" s="31" t="str">
        <f>TEXT(Table8[[#This Row],[EndTime]], "hh:mm")</f>
        <v>21:30</v>
      </c>
      <c r="L9" s="2">
        <v>2.5</v>
      </c>
      <c r="M9" s="41" t="b">
        <f>ISNUMBER(Table8[[#This Row],[Duration]])</f>
        <v>1</v>
      </c>
    </row>
    <row r="10" spans="1:13" ht="19.95" customHeight="1" thickTop="1" thickBot="1" x14ac:dyDescent="0.35">
      <c r="A10" s="6">
        <v>609</v>
      </c>
      <c r="B10" s="40" t="b">
        <f>ISNUMBER(Table8[[#This Row],[PerformanceID]])</f>
        <v>1</v>
      </c>
      <c r="C10" s="2">
        <v>7789</v>
      </c>
      <c r="D10" s="40" t="b">
        <f>ISNUMBER(Table8[[#This Row],[ConcertID]])</f>
        <v>1</v>
      </c>
      <c r="E10" s="19">
        <f>VALUE(SUBSTITUTE(Table8[[#This Row],[ConcertID]], "7796p", 7796))</f>
        <v>7789</v>
      </c>
      <c r="F10" s="16">
        <v>45627.90625</v>
      </c>
      <c r="G10" s="41" t="str">
        <f>IF(ISTEXT(Table8[[#This Row],[StartTime]]), IF(ISNUMBER(TIMEVALUE(Table8[[#This Row],[StartTime]])), "TRUE", "FALSE"), "FALSE")</f>
        <v>FALSE</v>
      </c>
      <c r="H10" s="31" t="str">
        <f>TEXT(Table8[[#This Row],[StartTime]], "hh:mm")</f>
        <v>21:45</v>
      </c>
      <c r="I10" s="16">
        <v>45627.989583333336</v>
      </c>
      <c r="J10" s="41" t="str">
        <f>IF(ISTEXT(Table8[[#This Row],[EndTime]]), IF(ISNUMBER(TIMEVALUE(Table8[[#This Row],[EndTime]])), "TRUE", "FALSE"), "FALSE")</f>
        <v>FALSE</v>
      </c>
      <c r="K10" s="31" t="str">
        <f>TEXT(Table8[[#This Row],[EndTime]], "hh:mm")</f>
        <v>23:45</v>
      </c>
      <c r="L10" s="2">
        <v>2</v>
      </c>
      <c r="M10" s="41" t="b">
        <f>ISNUMBER(Table8[[#This Row],[Duration]])</f>
        <v>1</v>
      </c>
    </row>
    <row r="11" spans="1:13" ht="19.95" customHeight="1" thickTop="1" thickBot="1" x14ac:dyDescent="0.35">
      <c r="A11" s="6">
        <v>610</v>
      </c>
      <c r="B11" s="40" t="b">
        <f>ISNUMBER(Table8[[#This Row],[PerformanceID]])</f>
        <v>1</v>
      </c>
      <c r="C11" s="2">
        <v>7788</v>
      </c>
      <c r="D11" s="40" t="b">
        <f>ISNUMBER(Table8[[#This Row],[ConcertID]])</f>
        <v>1</v>
      </c>
      <c r="E11" s="19">
        <f>VALUE(SUBSTITUTE(Table8[[#This Row],[ConcertID]], "7796p", 7796))</f>
        <v>7788</v>
      </c>
      <c r="F11" s="16">
        <v>45644.760416666664</v>
      </c>
      <c r="G11" s="41" t="str">
        <f>IF(ISTEXT(Table8[[#This Row],[StartTime]]), IF(ISNUMBER(TIMEVALUE(Table8[[#This Row],[StartTime]])), "TRUE", "FALSE"), "FALSE")</f>
        <v>FALSE</v>
      </c>
      <c r="H11" s="31" t="str">
        <f>TEXT(Table8[[#This Row],[StartTime]], "hh:mm")</f>
        <v>18:15</v>
      </c>
      <c r="I11" s="16">
        <v>45644.875</v>
      </c>
      <c r="J11" s="41" t="str">
        <f>IF(ISTEXT(Table8[[#This Row],[EndTime]]), IF(ISNUMBER(TIMEVALUE(Table8[[#This Row],[EndTime]])), "TRUE", "FALSE"), "FALSE")</f>
        <v>FALSE</v>
      </c>
      <c r="K11" s="31" t="str">
        <f>TEXT(Table8[[#This Row],[EndTime]], "hh:mm")</f>
        <v>21:00</v>
      </c>
      <c r="L11" s="2">
        <v>2.75</v>
      </c>
      <c r="M11" s="41" t="b">
        <f>ISNUMBER(Table8[[#This Row],[Duration]])</f>
        <v>1</v>
      </c>
    </row>
    <row r="12" spans="1:13" ht="19.95" customHeight="1" thickTop="1" thickBot="1" x14ac:dyDescent="0.35">
      <c r="A12" s="6">
        <v>611</v>
      </c>
      <c r="B12" s="40" t="b">
        <f>ISNUMBER(Table8[[#This Row],[PerformanceID]])</f>
        <v>1</v>
      </c>
      <c r="C12" s="2">
        <v>7787</v>
      </c>
      <c r="D12" s="40" t="b">
        <f>ISNUMBER(Table8[[#This Row],[ConcertID]])</f>
        <v>1</v>
      </c>
      <c r="E12" s="19">
        <f>VALUE(SUBSTITUTE(Table8[[#This Row],[ConcertID]], "7796p", 7796))</f>
        <v>7787</v>
      </c>
      <c r="F12" s="16">
        <v>45662.854166666664</v>
      </c>
      <c r="G12" s="41" t="str">
        <f>IF(ISTEXT(Table8[[#This Row],[StartTime]]), IF(ISNUMBER(TIMEVALUE(Table8[[#This Row],[StartTime]])), "TRUE", "FALSE"), "FALSE")</f>
        <v>FALSE</v>
      </c>
      <c r="H12" s="31" t="str">
        <f>TEXT(Table8[[#This Row],[StartTime]], "hh:mm")</f>
        <v>20:30</v>
      </c>
      <c r="I12" s="16">
        <v>45662.958333333336</v>
      </c>
      <c r="J12" s="41" t="str">
        <f>IF(ISTEXT(Table8[[#This Row],[EndTime]]), IF(ISNUMBER(TIMEVALUE(Table8[[#This Row],[EndTime]])), "TRUE", "FALSE"), "FALSE")</f>
        <v>FALSE</v>
      </c>
      <c r="K12" s="31" t="str">
        <f>TEXT(Table8[[#This Row],[EndTime]], "hh:mm")</f>
        <v>23:00</v>
      </c>
      <c r="L12" s="2">
        <v>2.5</v>
      </c>
      <c r="M12" s="41" t="b">
        <f>ISNUMBER(Table8[[#This Row],[Duration]])</f>
        <v>1</v>
      </c>
    </row>
    <row r="13" spans="1:13" ht="19.95" customHeight="1" thickTop="1" thickBot="1" x14ac:dyDescent="0.35">
      <c r="A13" s="6">
        <v>612</v>
      </c>
      <c r="B13" s="40" t="b">
        <f>ISNUMBER(Table8[[#This Row],[PerformanceID]])</f>
        <v>1</v>
      </c>
      <c r="C13" s="2">
        <v>7786</v>
      </c>
      <c r="D13" s="40" t="b">
        <f>ISNUMBER(Table8[[#This Row],[ConcertID]])</f>
        <v>1</v>
      </c>
      <c r="E13" s="19">
        <f>VALUE(SUBSTITUTE(Table8[[#This Row],[ConcertID]], "7796p", 7796))</f>
        <v>7786</v>
      </c>
      <c r="F13" s="16">
        <v>45677.791666666664</v>
      </c>
      <c r="G13" s="41" t="str">
        <f>IF(ISTEXT(Table8[[#This Row],[StartTime]]), IF(ISNUMBER(TIMEVALUE(Table8[[#This Row],[StartTime]])), "TRUE", "FALSE"), "FALSE")</f>
        <v>FALSE</v>
      </c>
      <c r="H13" s="31" t="str">
        <f>TEXT(Table8[[#This Row],[StartTime]], "hh:mm")</f>
        <v>19:00</v>
      </c>
      <c r="I13" s="16">
        <v>45677.895833333336</v>
      </c>
      <c r="J13" s="41" t="str">
        <f>IF(ISTEXT(Table8[[#This Row],[EndTime]]), IF(ISNUMBER(TIMEVALUE(Table8[[#This Row],[EndTime]])), "TRUE", "FALSE"), "FALSE")</f>
        <v>FALSE</v>
      </c>
      <c r="K13" s="31" t="str">
        <f>TEXT(Table8[[#This Row],[EndTime]], "hh:mm")</f>
        <v>21:30</v>
      </c>
      <c r="L13" s="2">
        <v>2.5</v>
      </c>
      <c r="M13" s="41" t="b">
        <f>ISNUMBER(Table8[[#This Row],[Duration]])</f>
        <v>1</v>
      </c>
    </row>
    <row r="14" spans="1:13" ht="19.95" customHeight="1" thickTop="1" thickBot="1" x14ac:dyDescent="0.35">
      <c r="A14" s="6">
        <v>613</v>
      </c>
      <c r="B14" s="40" t="b">
        <f>ISNUMBER(Table8[[#This Row],[PerformanceID]])</f>
        <v>1</v>
      </c>
      <c r="C14" s="2">
        <v>7785</v>
      </c>
      <c r="D14" s="40" t="b">
        <f>ISNUMBER(Table8[[#This Row],[ConcertID]])</f>
        <v>1</v>
      </c>
      <c r="E14" s="19">
        <f>VALUE(SUBSTITUTE(Table8[[#This Row],[ConcertID]], "7796p", 7796))</f>
        <v>7785</v>
      </c>
      <c r="F14" s="16">
        <v>45694.885416666664</v>
      </c>
      <c r="G14" s="41" t="str">
        <f>IF(ISTEXT(Table8[[#This Row],[StartTime]]), IF(ISNUMBER(TIMEVALUE(Table8[[#This Row],[StartTime]])), "TRUE", "FALSE"), "FALSE")</f>
        <v>FALSE</v>
      </c>
      <c r="H14" s="31" t="str">
        <f>TEXT(Table8[[#This Row],[StartTime]], "hh:mm")</f>
        <v>21:15</v>
      </c>
      <c r="I14" s="16">
        <v>45695</v>
      </c>
      <c r="J14" s="41" t="str">
        <f>IF(ISTEXT(Table8[[#This Row],[EndTime]]), IF(ISNUMBER(TIMEVALUE(Table8[[#This Row],[EndTime]])), "TRUE", "FALSE"), "FALSE")</f>
        <v>FALSE</v>
      </c>
      <c r="K14" s="31" t="str">
        <f>TEXT(Table8[[#This Row],[EndTime]], "hh:mm")</f>
        <v>00:00</v>
      </c>
      <c r="L14" s="2">
        <v>2.75</v>
      </c>
      <c r="M14" s="41" t="b">
        <f>ISNUMBER(Table8[[#This Row],[Duration]])</f>
        <v>1</v>
      </c>
    </row>
    <row r="15" spans="1:13" ht="19.95" customHeight="1" thickTop="1" thickBot="1" x14ac:dyDescent="0.35">
      <c r="A15" s="6">
        <v>614</v>
      </c>
      <c r="B15" s="40" t="b">
        <f>ISNUMBER(Table8[[#This Row],[PerformanceID]])</f>
        <v>1</v>
      </c>
      <c r="C15" s="2">
        <v>7784</v>
      </c>
      <c r="D15" s="40" t="b">
        <f>ISNUMBER(Table8[[#This Row],[ConcertID]])</f>
        <v>1</v>
      </c>
      <c r="E15" s="19">
        <f>VALUE(SUBSTITUTE(Table8[[#This Row],[ConcertID]], "7796p", 7796))</f>
        <v>7784</v>
      </c>
      <c r="F15" s="16">
        <v>45711.78125</v>
      </c>
      <c r="G15" s="41" t="str">
        <f>IF(ISTEXT(Table8[[#This Row],[StartTime]]), IF(ISNUMBER(TIMEVALUE(Table8[[#This Row],[StartTime]])), "TRUE", "FALSE"), "FALSE")</f>
        <v>FALSE</v>
      </c>
      <c r="H15" s="31" t="str">
        <f>TEXT(Table8[[#This Row],[StartTime]], "hh:mm")</f>
        <v>18:45</v>
      </c>
      <c r="I15" s="16">
        <v>45711.885416666664</v>
      </c>
      <c r="J15" s="41" t="str">
        <f>IF(ISTEXT(Table8[[#This Row],[EndTime]]), IF(ISNUMBER(TIMEVALUE(Table8[[#This Row],[EndTime]])), "TRUE", "FALSE"), "FALSE")</f>
        <v>FALSE</v>
      </c>
      <c r="K15" s="31" t="str">
        <f>TEXT(Table8[[#This Row],[EndTime]], "hh:mm")</f>
        <v>21:15</v>
      </c>
      <c r="L15" s="2">
        <v>2.5</v>
      </c>
      <c r="M15" s="41" t="b">
        <f>ISNUMBER(Table8[[#This Row],[Duration]])</f>
        <v>1</v>
      </c>
    </row>
    <row r="16" spans="1:13" ht="19.95" customHeight="1" thickTop="1" thickBot="1" x14ac:dyDescent="0.35">
      <c r="A16" s="6">
        <v>615</v>
      </c>
      <c r="B16" s="40" t="b">
        <f>ISNUMBER(Table8[[#This Row],[PerformanceID]])</f>
        <v>1</v>
      </c>
      <c r="C16" s="2">
        <v>7783</v>
      </c>
      <c r="D16" s="40" t="b">
        <f>ISNUMBER(Table8[[#This Row],[ConcertID]])</f>
        <v>1</v>
      </c>
      <c r="E16" s="19">
        <f>VALUE(SUBSTITUTE(Table8[[#This Row],[ConcertID]], "7796p", 7796))</f>
        <v>7783</v>
      </c>
      <c r="F16" s="16">
        <v>45726.833333333336</v>
      </c>
      <c r="G16" s="41" t="str">
        <f>IF(ISTEXT(Table8[[#This Row],[StartTime]]), IF(ISNUMBER(TIMEVALUE(Table8[[#This Row],[StartTime]])), "TRUE", "FALSE"), "FALSE")</f>
        <v>FALSE</v>
      </c>
      <c r="H16" s="31" t="str">
        <f>TEXT(Table8[[#This Row],[StartTime]], "hh:mm")</f>
        <v>20:00</v>
      </c>
      <c r="I16" s="16">
        <v>45726.9375</v>
      </c>
      <c r="J16" s="41" t="str">
        <f>IF(ISTEXT(Table8[[#This Row],[EndTime]]), IF(ISNUMBER(TIMEVALUE(Table8[[#This Row],[EndTime]])), "TRUE", "FALSE"), "FALSE")</f>
        <v>FALSE</v>
      </c>
      <c r="K16" s="31" t="str">
        <f>TEXT(Table8[[#This Row],[EndTime]], "hh:mm")</f>
        <v>22:30</v>
      </c>
      <c r="L16" s="2">
        <v>2.5</v>
      </c>
      <c r="M16" s="41" t="b">
        <f>ISNUMBER(Table8[[#This Row],[Duration]])</f>
        <v>1</v>
      </c>
    </row>
    <row r="17" spans="1:13" ht="19.95" customHeight="1" thickTop="1" thickBot="1" x14ac:dyDescent="0.35">
      <c r="A17" s="6">
        <v>616</v>
      </c>
      <c r="B17" s="40" t="b">
        <f>ISNUMBER(Table8[[#This Row],[PerformanceID]])</f>
        <v>1</v>
      </c>
      <c r="C17" s="2">
        <v>7782</v>
      </c>
      <c r="D17" s="40" t="b">
        <f>ISNUMBER(Table8[[#This Row],[ConcertID]])</f>
        <v>1</v>
      </c>
      <c r="E17" s="19">
        <f>VALUE(SUBSTITUTE(Table8[[#This Row],[ConcertID]], "7796p", 7796))</f>
        <v>7782</v>
      </c>
      <c r="F17" s="16">
        <v>45743.9375</v>
      </c>
      <c r="G17" s="41" t="str">
        <f>IF(ISTEXT(Table8[[#This Row],[StartTime]]), IF(ISNUMBER(TIMEVALUE(Table8[[#This Row],[StartTime]])), "TRUE", "FALSE"), "FALSE")</f>
        <v>FALSE</v>
      </c>
      <c r="H17" s="31" t="str">
        <f>TEXT(Table8[[#This Row],[StartTime]], "hh:mm")</f>
        <v>22:30</v>
      </c>
      <c r="I17" s="16">
        <v>45744.041666666664</v>
      </c>
      <c r="J17" s="41" t="str">
        <f>IF(ISTEXT(Table8[[#This Row],[EndTime]]), IF(ISNUMBER(TIMEVALUE(Table8[[#This Row],[EndTime]])), "TRUE", "FALSE"), "FALSE")</f>
        <v>FALSE</v>
      </c>
      <c r="K17" s="31" t="str">
        <f>TEXT(Table8[[#This Row],[EndTime]], "hh:mm")</f>
        <v>01:00</v>
      </c>
      <c r="L17" s="2">
        <v>2.5</v>
      </c>
      <c r="M17" s="41" t="b">
        <f>ISNUMBER(Table8[[#This Row],[Duration]])</f>
        <v>1</v>
      </c>
    </row>
    <row r="18" spans="1:13" ht="19.95" customHeight="1" thickTop="1" thickBot="1" x14ac:dyDescent="0.35">
      <c r="A18" s="6">
        <v>617</v>
      </c>
      <c r="B18" s="40" t="b">
        <f>ISNUMBER(Table8[[#This Row],[PerformanceID]])</f>
        <v>1</v>
      </c>
      <c r="C18" s="2">
        <v>7781</v>
      </c>
      <c r="D18" s="40" t="b">
        <f>ISNUMBER(Table8[[#This Row],[ConcertID]])</f>
        <v>1</v>
      </c>
      <c r="E18" s="19">
        <f>VALUE(SUBSTITUTE(Table8[[#This Row],[ConcertID]], "7796p", 7796))</f>
        <v>7781</v>
      </c>
      <c r="F18" s="16">
        <v>45759.739583333336</v>
      </c>
      <c r="G18" s="41" t="str">
        <f>IF(ISTEXT(Table8[[#This Row],[StartTime]]), IF(ISNUMBER(TIMEVALUE(Table8[[#This Row],[StartTime]])), "TRUE", "FALSE"), "FALSE")</f>
        <v>FALSE</v>
      </c>
      <c r="H18" s="31" t="str">
        <f>TEXT(Table8[[#This Row],[StartTime]], "hh:mm")</f>
        <v>17:45</v>
      </c>
      <c r="I18" s="16">
        <v>45759.84375</v>
      </c>
      <c r="J18" s="41" t="str">
        <f>IF(ISTEXT(Table8[[#This Row],[EndTime]]), IF(ISNUMBER(TIMEVALUE(Table8[[#This Row],[EndTime]])), "TRUE", "FALSE"), "FALSE")</f>
        <v>FALSE</v>
      </c>
      <c r="K18" s="31" t="str">
        <f>TEXT(Table8[[#This Row],[EndTime]], "hh:mm")</f>
        <v>20:15</v>
      </c>
      <c r="L18" s="2">
        <v>2.5</v>
      </c>
      <c r="M18" s="41" t="b">
        <f>ISNUMBER(Table8[[#This Row],[Duration]])</f>
        <v>1</v>
      </c>
    </row>
    <row r="19" spans="1:13" ht="19.95" customHeight="1" thickTop="1" thickBot="1" x14ac:dyDescent="0.35">
      <c r="A19" s="6">
        <v>618</v>
      </c>
      <c r="B19" s="40" t="b">
        <f>ISNUMBER(Table8[[#This Row],[PerformanceID]])</f>
        <v>1</v>
      </c>
      <c r="C19" s="2">
        <v>7780</v>
      </c>
      <c r="D19" s="40" t="b">
        <f>ISNUMBER(Table8[[#This Row],[ConcertID]])</f>
        <v>1</v>
      </c>
      <c r="E19" s="19">
        <f>VALUE(SUBSTITUTE(Table8[[#This Row],[ConcertID]], "7796p", 7796))</f>
        <v>7780</v>
      </c>
      <c r="F19" s="16">
        <v>45776.854166666664</v>
      </c>
      <c r="G19" s="41" t="str">
        <f>IF(ISTEXT(Table8[[#This Row],[StartTime]]), IF(ISNUMBER(TIMEVALUE(Table8[[#This Row],[StartTime]])), "TRUE", "FALSE"), "FALSE")</f>
        <v>FALSE</v>
      </c>
      <c r="H19" s="31" t="str">
        <f>TEXT(Table8[[#This Row],[StartTime]], "hh:mm")</f>
        <v>20:30</v>
      </c>
      <c r="I19" s="16">
        <v>45776.958333333336</v>
      </c>
      <c r="J19" s="41" t="str">
        <f>IF(ISTEXT(Table8[[#This Row],[EndTime]]), IF(ISNUMBER(TIMEVALUE(Table8[[#This Row],[EndTime]])), "TRUE", "FALSE"), "FALSE")</f>
        <v>FALSE</v>
      </c>
      <c r="K19" s="31" t="str">
        <f>TEXT(Table8[[#This Row],[EndTime]], "hh:mm")</f>
        <v>23:00</v>
      </c>
      <c r="L19" s="2">
        <v>2.5</v>
      </c>
      <c r="M19" s="41" t="b">
        <f>ISNUMBER(Table8[[#This Row],[Duration]])</f>
        <v>1</v>
      </c>
    </row>
    <row r="20" spans="1:13" ht="19.95" customHeight="1" thickTop="1" thickBot="1" x14ac:dyDescent="0.35">
      <c r="A20" s="6">
        <v>619</v>
      </c>
      <c r="B20" s="40" t="b">
        <f>ISNUMBER(Table8[[#This Row],[PerformanceID]])</f>
        <v>1</v>
      </c>
      <c r="C20" s="2">
        <v>7779</v>
      </c>
      <c r="D20" s="40" t="b">
        <f>ISNUMBER(Table8[[#This Row],[ConcertID]])</f>
        <v>1</v>
      </c>
      <c r="E20" s="19">
        <f>VALUE(SUBSTITUTE(Table8[[#This Row],[ConcertID]], "7796p", 7796))</f>
        <v>7779</v>
      </c>
      <c r="F20" s="16">
        <v>45792.791666666664</v>
      </c>
      <c r="G20" s="41" t="str">
        <f>IF(ISTEXT(Table8[[#This Row],[StartTime]]), IF(ISNUMBER(TIMEVALUE(Table8[[#This Row],[StartTime]])), "TRUE", "FALSE"), "FALSE")</f>
        <v>FALSE</v>
      </c>
      <c r="H20" s="31" t="str">
        <f>TEXT(Table8[[#This Row],[StartTime]], "hh:mm")</f>
        <v>19:00</v>
      </c>
      <c r="I20" s="16">
        <v>45792.895833333336</v>
      </c>
      <c r="J20" s="41" t="str">
        <f>IF(ISTEXT(Table8[[#This Row],[EndTime]]), IF(ISNUMBER(TIMEVALUE(Table8[[#This Row],[EndTime]])), "TRUE", "FALSE"), "FALSE")</f>
        <v>FALSE</v>
      </c>
      <c r="K20" s="31" t="str">
        <f>TEXT(Table8[[#This Row],[EndTime]], "hh:mm")</f>
        <v>21:30</v>
      </c>
      <c r="L20" s="2">
        <v>2.5</v>
      </c>
      <c r="M20" s="41" t="b">
        <f>ISNUMBER(Table8[[#This Row],[Duration]])</f>
        <v>1</v>
      </c>
    </row>
    <row r="21" spans="1:13" ht="19.95" customHeight="1" thickTop="1" thickBot="1" x14ac:dyDescent="0.35">
      <c r="A21" s="5">
        <v>620</v>
      </c>
      <c r="B21" s="40" t="b">
        <f>ISNUMBER(Table8[[#This Row],[PerformanceID]])</f>
        <v>1</v>
      </c>
      <c r="C21" s="2">
        <v>7778</v>
      </c>
      <c r="D21" s="40" t="b">
        <f>ISNUMBER(Table8[[#This Row],[ConcertID]])</f>
        <v>1</v>
      </c>
      <c r="E21" s="21">
        <f>VALUE(SUBSTITUTE(Table8[[#This Row],[ConcertID]], "7796p", 7796))</f>
        <v>7778</v>
      </c>
      <c r="F21" s="17">
        <v>45807.885416666664</v>
      </c>
      <c r="G21" s="41" t="str">
        <f>IF(ISTEXT(Table8[[#This Row],[StartTime]]), IF(ISNUMBER(TIMEVALUE(Table8[[#This Row],[StartTime]])), "TRUE", "FALSE"), "FALSE")</f>
        <v>FALSE</v>
      </c>
      <c r="H21" s="32" t="str">
        <f>TEXT(Table8[[#This Row],[StartTime]], "hh:mm")</f>
        <v>21:15</v>
      </c>
      <c r="I21" s="17">
        <v>45807.989583333336</v>
      </c>
      <c r="J21" s="41" t="str">
        <f>IF(ISTEXT(Table8[[#This Row],[EndTime]]), IF(ISNUMBER(TIMEVALUE(Table8[[#This Row],[EndTime]])), "TRUE", "FALSE"), "FALSE")</f>
        <v>FALSE</v>
      </c>
      <c r="K21" s="32" t="str">
        <f>TEXT(Table8[[#This Row],[EndTime]], "hh:mm")</f>
        <v>23:45</v>
      </c>
      <c r="L21" s="3">
        <v>2.5</v>
      </c>
      <c r="M21" s="41" t="b">
        <f>ISNUMBER(Table8[[#This Row],[Duration]])</f>
        <v>1</v>
      </c>
    </row>
    <row r="22" spans="1:13" ht="15" thickTop="1" x14ac:dyDescent="0.3"/>
  </sheetData>
  <phoneticPr fontId="2" type="noConversion"/>
  <conditionalFormatting sqref="B1:B21 D1:D21 G1:G21 J1:J21 M1:M21">
    <cfRule type="containsText" dxfId="2" priority="1" operator="containsText" text="FALSE">
      <formula>NOT(ISERROR(SEARCH("FALSE",B1)))</formula>
    </cfRule>
  </conditionalFormatting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623C-4AC7-499D-B12B-4A9DB9D23637}">
  <sheetPr>
    <tabColor theme="9" tint="-0.249977111117893"/>
  </sheetPr>
  <dimension ref="A1:E21"/>
  <sheetViews>
    <sheetView tabSelected="1" workbookViewId="0">
      <selection activeCell="F9" sqref="F9"/>
    </sheetView>
  </sheetViews>
  <sheetFormatPr defaultColWidth="20.77734375" defaultRowHeight="14.4" x14ac:dyDescent="0.3"/>
  <sheetData>
    <row r="1" spans="1:5" ht="19.95" customHeight="1" thickBot="1" x14ac:dyDescent="0.35">
      <c r="A1" s="12" t="s">
        <v>165</v>
      </c>
      <c r="B1" s="13" t="s">
        <v>92</v>
      </c>
      <c r="C1" s="38" t="s">
        <v>166</v>
      </c>
      <c r="D1" s="38" t="s">
        <v>167</v>
      </c>
      <c r="E1" s="13" t="s">
        <v>168</v>
      </c>
    </row>
    <row r="2" spans="1:5" ht="19.95" customHeight="1" thickBot="1" x14ac:dyDescent="0.35">
      <c r="A2" s="6">
        <v>601</v>
      </c>
      <c r="B2" s="2">
        <f>VALUE(SUBSTITUTE(Table8[[#This Row],[ConcertID]], "7796p", 7796))</f>
        <v>7797</v>
      </c>
      <c r="C2" s="46" t="str">
        <f>TEXT(Table8[[#This Row],[StartTime]], "hh:mm")</f>
        <v>20:00</v>
      </c>
      <c r="D2" s="46" t="str">
        <f>TEXT(Table8[[#This Row],[EndTime]], "hh:mm")</f>
        <v>22:30</v>
      </c>
      <c r="E2" s="2">
        <v>2.5</v>
      </c>
    </row>
    <row r="3" spans="1:5" ht="19.95" customHeight="1" thickBot="1" x14ac:dyDescent="0.35">
      <c r="A3" s="6">
        <v>602</v>
      </c>
      <c r="B3" s="2">
        <f>VALUE(SUBSTITUTE(Table8[[#This Row],[ConcertID]], "7796p", 7796))</f>
        <v>7796</v>
      </c>
      <c r="C3" s="46" t="str">
        <f>TEXT(Table8[[#This Row],[StartTime]], "hh:mm")</f>
        <v>18:30</v>
      </c>
      <c r="D3" s="46" t="str">
        <f>TEXT(Table8[[#This Row],[EndTime]], "hh:mm")</f>
        <v>21:00</v>
      </c>
      <c r="E3" s="2">
        <v>2.5</v>
      </c>
    </row>
    <row r="4" spans="1:5" ht="19.95" customHeight="1" thickBot="1" x14ac:dyDescent="0.35">
      <c r="A4" s="6">
        <v>603</v>
      </c>
      <c r="B4" s="2">
        <f>VALUE(SUBSTITUTE(Table8[[#This Row],[ConcertID]], "7796p", 7796))</f>
        <v>7795</v>
      </c>
      <c r="C4" s="46" t="str">
        <f>TEXT(Table8[[#This Row],[StartTime]], "hh:mm")</f>
        <v>21:00</v>
      </c>
      <c r="D4" s="46" t="str">
        <f>TEXT(Table8[[#This Row],[EndTime]], "hh:mm")</f>
        <v>00:00</v>
      </c>
      <c r="E4" s="2">
        <v>3</v>
      </c>
    </row>
    <row r="5" spans="1:5" ht="19.95" customHeight="1" thickBot="1" x14ac:dyDescent="0.35">
      <c r="A5" s="6">
        <v>604</v>
      </c>
      <c r="B5" s="2">
        <f>VALUE(SUBSTITUTE(Table8[[#This Row],[ConcertID]], "7796p", 7796))</f>
        <v>7794</v>
      </c>
      <c r="C5" s="46" t="str">
        <f>TEXT(Table8[[#This Row],[StartTime]], "hh:mm")</f>
        <v>19:15</v>
      </c>
      <c r="D5" s="46" t="str">
        <f>TEXT(Table8[[#This Row],[EndTime]], "hh:mm")</f>
        <v>21:45</v>
      </c>
      <c r="E5" s="2">
        <v>2.5</v>
      </c>
    </row>
    <row r="6" spans="1:5" ht="19.95" customHeight="1" thickBot="1" x14ac:dyDescent="0.35">
      <c r="A6" s="6">
        <v>605</v>
      </c>
      <c r="B6" s="2">
        <f>VALUE(SUBSTITUTE(Table8[[#This Row],[ConcertID]], "7796p", 7796))</f>
        <v>7793</v>
      </c>
      <c r="C6" s="46" t="str">
        <f>TEXT(Table8[[#This Row],[StartTime]], "hh:mm")</f>
        <v>22:30</v>
      </c>
      <c r="D6" s="46" t="str">
        <f>TEXT(Table8[[#This Row],[EndTime]], "hh:mm")</f>
        <v>01:00</v>
      </c>
      <c r="E6" s="2">
        <v>2.5</v>
      </c>
    </row>
    <row r="7" spans="1:5" ht="19.95" customHeight="1" thickBot="1" x14ac:dyDescent="0.35">
      <c r="A7" s="6">
        <v>606</v>
      </c>
      <c r="B7" s="2">
        <f>VALUE(SUBSTITUTE(Table8[[#This Row],[ConcertID]], "7796p", 7796))</f>
        <v>7792</v>
      </c>
      <c r="C7" s="46" t="str">
        <f>TEXT(Table8[[#This Row],[StartTime]], "hh:mm")</f>
        <v>17:45</v>
      </c>
      <c r="D7" s="46" t="str">
        <f>TEXT(Table8[[#This Row],[EndTime]], "hh:mm")</f>
        <v>20:15</v>
      </c>
      <c r="E7" s="2">
        <v>2.5</v>
      </c>
    </row>
    <row r="8" spans="1:5" ht="19.95" customHeight="1" thickBot="1" x14ac:dyDescent="0.35">
      <c r="A8" s="6">
        <v>607</v>
      </c>
      <c r="B8" s="2">
        <f>VALUE(SUBSTITUTE(Table8[[#This Row],[ConcertID]], "7796p", 7796))</f>
        <v>7791</v>
      </c>
      <c r="C8" s="46" t="str">
        <f>TEXT(Table8[[#This Row],[StartTime]], "hh:mm")</f>
        <v>20:30</v>
      </c>
      <c r="D8" s="46" t="str">
        <f>TEXT(Table8[[#This Row],[EndTime]], "hh:mm")</f>
        <v>23:00</v>
      </c>
      <c r="E8" s="2">
        <v>2.5</v>
      </c>
    </row>
    <row r="9" spans="1:5" ht="19.95" customHeight="1" thickBot="1" x14ac:dyDescent="0.35">
      <c r="A9" s="6">
        <v>608</v>
      </c>
      <c r="B9" s="2">
        <f>VALUE(SUBSTITUTE(Table8[[#This Row],[ConcertID]], "7796p", 7796))</f>
        <v>7790</v>
      </c>
      <c r="C9" s="46" t="str">
        <f>TEXT(Table8[[#This Row],[StartTime]], "hh:mm")</f>
        <v>19:00</v>
      </c>
      <c r="D9" s="46" t="str">
        <f>TEXT(Table8[[#This Row],[EndTime]], "hh:mm")</f>
        <v>21:30</v>
      </c>
      <c r="E9" s="2">
        <v>2.5</v>
      </c>
    </row>
    <row r="10" spans="1:5" ht="19.95" customHeight="1" thickBot="1" x14ac:dyDescent="0.35">
      <c r="A10" s="6">
        <v>609</v>
      </c>
      <c r="B10" s="2">
        <f>VALUE(SUBSTITUTE(Table8[[#This Row],[ConcertID]], "7796p", 7796))</f>
        <v>7789</v>
      </c>
      <c r="C10" s="46" t="str">
        <f>TEXT(Table8[[#This Row],[StartTime]], "hh:mm")</f>
        <v>21:45</v>
      </c>
      <c r="D10" s="46" t="str">
        <f>TEXT(Table8[[#This Row],[EndTime]], "hh:mm")</f>
        <v>23:45</v>
      </c>
      <c r="E10" s="2">
        <v>2</v>
      </c>
    </row>
    <row r="11" spans="1:5" ht="19.95" customHeight="1" thickBot="1" x14ac:dyDescent="0.35">
      <c r="A11" s="6">
        <v>610</v>
      </c>
      <c r="B11" s="2">
        <f>VALUE(SUBSTITUTE(Table8[[#This Row],[ConcertID]], "7796p", 7796))</f>
        <v>7788</v>
      </c>
      <c r="C11" s="46" t="str">
        <f>TEXT(Table8[[#This Row],[StartTime]], "hh:mm")</f>
        <v>18:15</v>
      </c>
      <c r="D11" s="46" t="str">
        <f>TEXT(Table8[[#This Row],[EndTime]], "hh:mm")</f>
        <v>21:00</v>
      </c>
      <c r="E11" s="2">
        <v>2.75</v>
      </c>
    </row>
    <row r="12" spans="1:5" ht="19.95" customHeight="1" thickBot="1" x14ac:dyDescent="0.35">
      <c r="A12" s="6">
        <v>611</v>
      </c>
      <c r="B12" s="2">
        <f>VALUE(SUBSTITUTE(Table8[[#This Row],[ConcertID]], "7796p", 7796))</f>
        <v>7787</v>
      </c>
      <c r="C12" s="46" t="str">
        <f>TEXT(Table8[[#This Row],[StartTime]], "hh:mm")</f>
        <v>20:30</v>
      </c>
      <c r="D12" s="46" t="str">
        <f>TEXT(Table8[[#This Row],[EndTime]], "hh:mm")</f>
        <v>23:00</v>
      </c>
      <c r="E12" s="2">
        <v>2.5</v>
      </c>
    </row>
    <row r="13" spans="1:5" ht="19.95" customHeight="1" thickBot="1" x14ac:dyDescent="0.35">
      <c r="A13" s="6">
        <v>612</v>
      </c>
      <c r="B13" s="2">
        <f>VALUE(SUBSTITUTE(Table8[[#This Row],[ConcertID]], "7796p", 7796))</f>
        <v>7786</v>
      </c>
      <c r="C13" s="46" t="str">
        <f>TEXT(Table8[[#This Row],[StartTime]], "hh:mm")</f>
        <v>19:00</v>
      </c>
      <c r="D13" s="46" t="str">
        <f>TEXT(Table8[[#This Row],[EndTime]], "hh:mm")</f>
        <v>21:30</v>
      </c>
      <c r="E13" s="2">
        <v>2.5</v>
      </c>
    </row>
    <row r="14" spans="1:5" ht="19.95" customHeight="1" thickBot="1" x14ac:dyDescent="0.35">
      <c r="A14" s="6">
        <v>613</v>
      </c>
      <c r="B14" s="2">
        <f>VALUE(SUBSTITUTE(Table8[[#This Row],[ConcertID]], "7796p", 7796))</f>
        <v>7785</v>
      </c>
      <c r="C14" s="46" t="str">
        <f>TEXT(Table8[[#This Row],[StartTime]], "hh:mm")</f>
        <v>21:15</v>
      </c>
      <c r="D14" s="46" t="str">
        <f>TEXT(Table8[[#This Row],[EndTime]], "hh:mm")</f>
        <v>00:00</v>
      </c>
      <c r="E14" s="2">
        <v>2.75</v>
      </c>
    </row>
    <row r="15" spans="1:5" ht="19.95" customHeight="1" thickBot="1" x14ac:dyDescent="0.35">
      <c r="A15" s="6">
        <v>614</v>
      </c>
      <c r="B15" s="2">
        <f>VALUE(SUBSTITUTE(Table8[[#This Row],[ConcertID]], "7796p", 7796))</f>
        <v>7784</v>
      </c>
      <c r="C15" s="46" t="str">
        <f>TEXT(Table8[[#This Row],[StartTime]], "hh:mm")</f>
        <v>18:45</v>
      </c>
      <c r="D15" s="46" t="str">
        <f>TEXT(Table8[[#This Row],[EndTime]], "hh:mm")</f>
        <v>21:15</v>
      </c>
      <c r="E15" s="2">
        <v>2.5</v>
      </c>
    </row>
    <row r="16" spans="1:5" ht="19.95" customHeight="1" thickBot="1" x14ac:dyDescent="0.35">
      <c r="A16" s="6">
        <v>615</v>
      </c>
      <c r="B16" s="2">
        <f>VALUE(SUBSTITUTE(Table8[[#This Row],[ConcertID]], "7796p", 7796))</f>
        <v>7783</v>
      </c>
      <c r="C16" s="46" t="str">
        <f>TEXT(Table8[[#This Row],[StartTime]], "hh:mm")</f>
        <v>20:00</v>
      </c>
      <c r="D16" s="46" t="str">
        <f>TEXT(Table8[[#This Row],[EndTime]], "hh:mm")</f>
        <v>22:30</v>
      </c>
      <c r="E16" s="2">
        <v>2.5</v>
      </c>
    </row>
    <row r="17" spans="1:5" ht="19.95" customHeight="1" thickBot="1" x14ac:dyDescent="0.35">
      <c r="A17" s="6">
        <v>616</v>
      </c>
      <c r="B17" s="2">
        <f>VALUE(SUBSTITUTE(Table8[[#This Row],[ConcertID]], "7796p", 7796))</f>
        <v>7782</v>
      </c>
      <c r="C17" s="46" t="str">
        <f>TEXT(Table8[[#This Row],[StartTime]], "hh:mm")</f>
        <v>22:30</v>
      </c>
      <c r="D17" s="46" t="str">
        <f>TEXT(Table8[[#This Row],[EndTime]], "hh:mm")</f>
        <v>01:00</v>
      </c>
      <c r="E17" s="2">
        <v>2.5</v>
      </c>
    </row>
    <row r="18" spans="1:5" ht="19.95" customHeight="1" thickBot="1" x14ac:dyDescent="0.35">
      <c r="A18" s="6">
        <v>617</v>
      </c>
      <c r="B18" s="2">
        <f>VALUE(SUBSTITUTE(Table8[[#This Row],[ConcertID]], "7796p", 7796))</f>
        <v>7781</v>
      </c>
      <c r="C18" s="46" t="str">
        <f>TEXT(Table8[[#This Row],[StartTime]], "hh:mm")</f>
        <v>17:45</v>
      </c>
      <c r="D18" s="46" t="str">
        <f>TEXT(Table8[[#This Row],[EndTime]], "hh:mm")</f>
        <v>20:15</v>
      </c>
      <c r="E18" s="2">
        <v>2.5</v>
      </c>
    </row>
    <row r="19" spans="1:5" ht="19.95" customHeight="1" thickBot="1" x14ac:dyDescent="0.35">
      <c r="A19" s="6">
        <v>618</v>
      </c>
      <c r="B19" s="2">
        <f>VALUE(SUBSTITUTE(Table8[[#This Row],[ConcertID]], "7796p", 7796))</f>
        <v>7780</v>
      </c>
      <c r="C19" s="46" t="str">
        <f>TEXT(Table8[[#This Row],[StartTime]], "hh:mm")</f>
        <v>20:30</v>
      </c>
      <c r="D19" s="46" t="str">
        <f>TEXT(Table8[[#This Row],[EndTime]], "hh:mm")</f>
        <v>23:00</v>
      </c>
      <c r="E19" s="2">
        <v>2.5</v>
      </c>
    </row>
    <row r="20" spans="1:5" ht="19.95" customHeight="1" thickBot="1" x14ac:dyDescent="0.35">
      <c r="A20" s="6">
        <v>619</v>
      </c>
      <c r="B20" s="2">
        <f>VALUE(SUBSTITUTE(Table8[[#This Row],[ConcertID]], "7796p", 7796))</f>
        <v>7779</v>
      </c>
      <c r="C20" s="46" t="str">
        <f>TEXT(Table8[[#This Row],[StartTime]], "hh:mm")</f>
        <v>19:00</v>
      </c>
      <c r="D20" s="46" t="str">
        <f>TEXT(Table8[[#This Row],[EndTime]], "hh:mm")</f>
        <v>21:30</v>
      </c>
      <c r="E20" s="2">
        <v>2.5</v>
      </c>
    </row>
    <row r="21" spans="1:5" ht="19.95" customHeight="1" x14ac:dyDescent="0.3">
      <c r="A21" s="5">
        <v>620</v>
      </c>
      <c r="B21" s="3">
        <f>VALUE(SUBSTITUTE(Table8[[#This Row],[ConcertID]], "7796p", 7796))</f>
        <v>7778</v>
      </c>
      <c r="C21" s="47" t="str">
        <f>TEXT(Table8[[#This Row],[StartTime]], "hh:mm")</f>
        <v>21:15</v>
      </c>
      <c r="D21" s="47" t="str">
        <f>TEXT(Table8[[#This Row],[EndTime]], "hh:mm")</f>
        <v>23:45</v>
      </c>
      <c r="E21" s="3">
        <v>2.5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EF1B-21AE-4B1A-A781-3B5F068B06F7}">
  <sheetPr>
    <tabColor rgb="FFFF0000"/>
  </sheetPr>
  <dimension ref="A1:F21"/>
  <sheetViews>
    <sheetView workbookViewId="0">
      <selection activeCell="D11" sqref="D11"/>
    </sheetView>
  </sheetViews>
  <sheetFormatPr defaultRowHeight="14.4" x14ac:dyDescent="0.3"/>
  <cols>
    <col min="1" max="1" width="19.88671875" bestFit="1" customWidth="1"/>
    <col min="2" max="2" width="13.88671875" bestFit="1" customWidth="1"/>
    <col min="3" max="3" width="24.21875" customWidth="1"/>
    <col min="4" max="4" width="14" bestFit="1" customWidth="1"/>
    <col min="5" max="5" width="16.109375" bestFit="1" customWidth="1"/>
    <col min="6" max="6" width="14.6640625" bestFit="1" customWidth="1"/>
  </cols>
  <sheetData>
    <row r="1" spans="1:6" ht="19.95" customHeight="1" thickBot="1" x14ac:dyDescent="0.35">
      <c r="A1" s="12" t="s">
        <v>169</v>
      </c>
      <c r="B1" s="14" t="s">
        <v>85</v>
      </c>
      <c r="C1" s="13" t="s">
        <v>170</v>
      </c>
      <c r="D1" s="13" t="s">
        <v>206</v>
      </c>
      <c r="E1" s="13" t="s">
        <v>171</v>
      </c>
      <c r="F1" s="13" t="s">
        <v>172</v>
      </c>
    </row>
    <row r="2" spans="1:6" ht="19.95" customHeight="1" thickBot="1" x14ac:dyDescent="0.35">
      <c r="A2" s="6">
        <v>701</v>
      </c>
      <c r="B2" s="3">
        <v>2201</v>
      </c>
      <c r="C2" s="2" t="s">
        <v>173</v>
      </c>
      <c r="D2" s="2">
        <v>20</v>
      </c>
      <c r="E2" s="2">
        <v>100</v>
      </c>
      <c r="F2" s="2">
        <v>50</v>
      </c>
    </row>
    <row r="3" spans="1:6" ht="19.95" customHeight="1" thickBot="1" x14ac:dyDescent="0.35">
      <c r="A3" s="6">
        <v>702</v>
      </c>
      <c r="B3" s="3">
        <v>2202</v>
      </c>
      <c r="C3" s="2" t="s">
        <v>174</v>
      </c>
      <c r="D3" s="2">
        <v>15</v>
      </c>
      <c r="E3" s="2">
        <v>75</v>
      </c>
      <c r="F3" s="2">
        <v>30</v>
      </c>
    </row>
    <row r="4" spans="1:6" ht="19.95" customHeight="1" thickBot="1" x14ac:dyDescent="0.35">
      <c r="A4" s="6">
        <v>703</v>
      </c>
      <c r="B4" s="3">
        <v>2203</v>
      </c>
      <c r="C4" s="2" t="s">
        <v>175</v>
      </c>
      <c r="D4" s="2">
        <v>10</v>
      </c>
      <c r="E4" s="2">
        <v>50</v>
      </c>
      <c r="F4" s="2">
        <v>20</v>
      </c>
    </row>
    <row r="5" spans="1:6" ht="19.95" customHeight="1" thickBot="1" x14ac:dyDescent="0.35">
      <c r="A5" s="6">
        <v>704</v>
      </c>
      <c r="B5" s="3">
        <v>2204</v>
      </c>
      <c r="C5" s="2" t="s">
        <v>176</v>
      </c>
      <c r="D5" s="2">
        <v>5</v>
      </c>
      <c r="E5" s="2">
        <v>120</v>
      </c>
      <c r="F5" s="2">
        <v>40</v>
      </c>
    </row>
    <row r="6" spans="1:6" ht="19.95" customHeight="1" thickBot="1" x14ac:dyDescent="0.35">
      <c r="A6" s="6">
        <v>705</v>
      </c>
      <c r="B6" s="3">
        <v>2205</v>
      </c>
      <c r="C6" s="2" t="s">
        <v>177</v>
      </c>
      <c r="D6" s="2">
        <v>3</v>
      </c>
      <c r="E6" s="2">
        <v>200</v>
      </c>
      <c r="F6" s="2">
        <v>60</v>
      </c>
    </row>
    <row r="7" spans="1:6" ht="19.95" customHeight="1" thickBot="1" x14ac:dyDescent="0.35">
      <c r="A7" s="6">
        <v>706</v>
      </c>
      <c r="B7" s="3">
        <v>2206</v>
      </c>
      <c r="C7" s="2" t="s">
        <v>178</v>
      </c>
      <c r="D7" s="2">
        <v>8</v>
      </c>
      <c r="E7" s="2">
        <v>80</v>
      </c>
      <c r="F7" s="2">
        <v>25</v>
      </c>
    </row>
    <row r="8" spans="1:6" ht="19.95" customHeight="1" thickBot="1" x14ac:dyDescent="0.35">
      <c r="A8" s="6">
        <v>707</v>
      </c>
      <c r="B8" s="3">
        <v>2207</v>
      </c>
      <c r="C8" s="2" t="s">
        <v>179</v>
      </c>
      <c r="D8" s="2">
        <v>6</v>
      </c>
      <c r="E8" s="2">
        <v>150</v>
      </c>
      <c r="F8" s="2">
        <v>35</v>
      </c>
    </row>
    <row r="9" spans="1:6" ht="19.95" customHeight="1" thickBot="1" x14ac:dyDescent="0.35">
      <c r="A9" s="6">
        <v>708</v>
      </c>
      <c r="B9" s="3">
        <v>2208</v>
      </c>
      <c r="C9" s="2" t="s">
        <v>180</v>
      </c>
      <c r="D9" s="2">
        <v>12</v>
      </c>
      <c r="E9" s="2">
        <v>60</v>
      </c>
      <c r="F9" s="2">
        <v>15</v>
      </c>
    </row>
    <row r="10" spans="1:6" ht="19.95" customHeight="1" thickBot="1" x14ac:dyDescent="0.35">
      <c r="A10" s="6">
        <v>709</v>
      </c>
      <c r="B10" s="3">
        <v>2209</v>
      </c>
      <c r="C10" s="2" t="s">
        <v>181</v>
      </c>
      <c r="D10" s="2">
        <v>25</v>
      </c>
      <c r="E10" s="2">
        <v>40</v>
      </c>
      <c r="F10" s="2">
        <v>10</v>
      </c>
    </row>
    <row r="11" spans="1:6" ht="19.95" customHeight="1" thickBot="1" x14ac:dyDescent="0.35">
      <c r="A11" s="6">
        <v>710</v>
      </c>
      <c r="B11" s="3">
        <v>2210</v>
      </c>
      <c r="C11" s="2" t="s">
        <v>182</v>
      </c>
      <c r="D11" s="2">
        <v>15</v>
      </c>
      <c r="E11" s="2">
        <v>90</v>
      </c>
      <c r="F11" s="2">
        <v>30</v>
      </c>
    </row>
    <row r="12" spans="1:6" ht="19.95" customHeight="1" thickBot="1" x14ac:dyDescent="0.35">
      <c r="A12" s="6">
        <v>711</v>
      </c>
      <c r="B12" s="3">
        <v>2211</v>
      </c>
      <c r="C12" s="2" t="s">
        <v>183</v>
      </c>
      <c r="D12" s="2">
        <v>18</v>
      </c>
      <c r="E12" s="2">
        <v>30</v>
      </c>
      <c r="F12" s="2">
        <v>8</v>
      </c>
    </row>
    <row r="13" spans="1:6" ht="19.95" customHeight="1" thickBot="1" x14ac:dyDescent="0.35">
      <c r="A13" s="6">
        <v>712</v>
      </c>
      <c r="B13" s="3">
        <v>2212</v>
      </c>
      <c r="C13" s="2" t="s">
        <v>184</v>
      </c>
      <c r="D13" s="2">
        <v>30</v>
      </c>
      <c r="E13" s="2">
        <v>45</v>
      </c>
      <c r="F13" s="2">
        <v>18</v>
      </c>
    </row>
    <row r="14" spans="1:6" ht="19.95" customHeight="1" thickBot="1" x14ac:dyDescent="0.35">
      <c r="A14" s="6">
        <v>713</v>
      </c>
      <c r="B14" s="3">
        <v>2213</v>
      </c>
      <c r="C14" s="2" t="s">
        <v>185</v>
      </c>
      <c r="D14" s="2">
        <v>7</v>
      </c>
      <c r="E14" s="2">
        <v>110</v>
      </c>
      <c r="F14" s="2">
        <v>45</v>
      </c>
    </row>
    <row r="15" spans="1:6" ht="19.95" customHeight="1" thickBot="1" x14ac:dyDescent="0.35">
      <c r="A15" s="6">
        <v>714</v>
      </c>
      <c r="B15" s="3">
        <v>2214</v>
      </c>
      <c r="C15" s="2" t="s">
        <v>186</v>
      </c>
      <c r="D15" s="2">
        <v>4</v>
      </c>
      <c r="E15" s="2">
        <v>180</v>
      </c>
      <c r="F15" s="2">
        <v>55</v>
      </c>
    </row>
    <row r="16" spans="1:6" ht="19.95" customHeight="1" thickBot="1" x14ac:dyDescent="0.35">
      <c r="A16" s="6">
        <v>715</v>
      </c>
      <c r="B16" s="3">
        <v>2215</v>
      </c>
      <c r="C16" s="2" t="s">
        <v>187</v>
      </c>
      <c r="D16" s="2">
        <v>2</v>
      </c>
      <c r="E16" s="2">
        <v>250</v>
      </c>
      <c r="F16" s="2">
        <v>70</v>
      </c>
    </row>
    <row r="17" spans="1:6" ht="19.95" customHeight="1" thickBot="1" x14ac:dyDescent="0.35">
      <c r="A17" s="6">
        <v>716</v>
      </c>
      <c r="B17" s="3">
        <v>2216</v>
      </c>
      <c r="C17" s="2" t="s">
        <v>188</v>
      </c>
      <c r="D17" s="2">
        <v>22</v>
      </c>
      <c r="E17" s="2">
        <v>35</v>
      </c>
      <c r="F17" s="2">
        <v>12</v>
      </c>
    </row>
    <row r="18" spans="1:6" ht="19.95" customHeight="1" thickBot="1" x14ac:dyDescent="0.35">
      <c r="A18" s="6">
        <v>717</v>
      </c>
      <c r="B18" s="3">
        <v>2217</v>
      </c>
      <c r="C18" s="2" t="s">
        <v>189</v>
      </c>
      <c r="D18" s="2">
        <v>28</v>
      </c>
      <c r="E18" s="2">
        <v>20</v>
      </c>
      <c r="F18" s="2">
        <v>5</v>
      </c>
    </row>
    <row r="19" spans="1:6" ht="19.95" customHeight="1" thickBot="1" x14ac:dyDescent="0.35">
      <c r="A19" s="6">
        <v>718</v>
      </c>
      <c r="B19" s="3">
        <v>2218</v>
      </c>
      <c r="C19" s="2" t="s">
        <v>190</v>
      </c>
      <c r="D19" s="2">
        <v>10</v>
      </c>
      <c r="E19" s="2">
        <v>100</v>
      </c>
      <c r="F19" s="2">
        <v>40</v>
      </c>
    </row>
    <row r="20" spans="1:6" ht="19.95" customHeight="1" thickBot="1" x14ac:dyDescent="0.35">
      <c r="A20" s="6">
        <v>719</v>
      </c>
      <c r="B20" s="3">
        <v>2219</v>
      </c>
      <c r="C20" s="2" t="s">
        <v>191</v>
      </c>
      <c r="D20" s="2">
        <v>14</v>
      </c>
      <c r="E20" s="2">
        <v>55</v>
      </c>
      <c r="F20" s="2">
        <v>15</v>
      </c>
    </row>
    <row r="21" spans="1:6" ht="19.95" customHeight="1" x14ac:dyDescent="0.3">
      <c r="A21" s="5">
        <v>720</v>
      </c>
      <c r="B21" s="3">
        <v>2220</v>
      </c>
      <c r="C21" s="3" t="s">
        <v>192</v>
      </c>
      <c r="D21" s="3">
        <v>35</v>
      </c>
      <c r="E21" s="3">
        <v>25</v>
      </c>
      <c r="F21" s="3">
        <v>7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F54E-B95F-4B91-BD07-002587433B30}">
  <sheetPr>
    <tabColor theme="1" tint="0.34998626667073579"/>
  </sheetPr>
  <dimension ref="A1:L22"/>
  <sheetViews>
    <sheetView zoomScale="70" zoomScaleNormal="70" workbookViewId="0">
      <selection activeCell="L3" sqref="L3"/>
    </sheetView>
  </sheetViews>
  <sheetFormatPr defaultRowHeight="14.4" x14ac:dyDescent="0.3"/>
  <cols>
    <col min="1" max="2" width="21.88671875" customWidth="1"/>
    <col min="3" max="3" width="13.33203125" customWidth="1"/>
    <col min="4" max="4" width="20.6640625" customWidth="1"/>
    <col min="5" max="6" width="22.44140625" customWidth="1"/>
    <col min="7" max="8" width="20.88671875" customWidth="1"/>
    <col min="9" max="10" width="20.44140625" customWidth="1"/>
    <col min="11" max="11" width="20.77734375" customWidth="1"/>
    <col min="12" max="12" width="19.33203125" customWidth="1"/>
  </cols>
  <sheetData>
    <row r="1" spans="1:12" s="1" customFormat="1" ht="19.95" customHeight="1" thickTop="1" thickBot="1" x14ac:dyDescent="0.35">
      <c r="A1" s="12" t="s">
        <v>169</v>
      </c>
      <c r="B1" s="39" t="s">
        <v>266</v>
      </c>
      <c r="C1" s="14" t="s">
        <v>85</v>
      </c>
      <c r="D1" s="39" t="s">
        <v>229</v>
      </c>
      <c r="E1" s="13" t="s">
        <v>170</v>
      </c>
      <c r="F1" s="39" t="s">
        <v>265</v>
      </c>
      <c r="G1" s="13" t="s">
        <v>206</v>
      </c>
      <c r="H1" s="39" t="s">
        <v>235</v>
      </c>
      <c r="I1" s="13" t="s">
        <v>171</v>
      </c>
      <c r="J1" s="39" t="s">
        <v>264</v>
      </c>
      <c r="K1" s="13" t="s">
        <v>172</v>
      </c>
      <c r="L1" s="39" t="s">
        <v>263</v>
      </c>
    </row>
    <row r="2" spans="1:12" ht="19.95" customHeight="1" thickTop="1" thickBot="1" x14ac:dyDescent="0.35">
      <c r="A2" s="6">
        <v>701</v>
      </c>
      <c r="B2" s="40" t="b">
        <f>ISNUMBER(Table9[[#This Row],[MerchandiseID]])</f>
        <v>1</v>
      </c>
      <c r="C2" s="3">
        <v>2201</v>
      </c>
      <c r="D2" s="40" t="b">
        <f>ISNUMBER(Table9[[#This Row],[TicketID]])</f>
        <v>1</v>
      </c>
      <c r="E2" s="2" t="s">
        <v>173</v>
      </c>
      <c r="F2" s="40" t="b">
        <f>ISTEXT(PROPER(Table9[[#This Row],[ItemName]]))</f>
        <v>1</v>
      </c>
      <c r="G2" s="2">
        <v>20</v>
      </c>
      <c r="H2" s="40" t="b">
        <f>ISNUMBER(Table9[[#This Row],[Price(kr)]])</f>
        <v>1</v>
      </c>
      <c r="I2" s="2">
        <v>100</v>
      </c>
      <c r="J2" s="40" t="b">
        <f>ISNUMBER(Table9[[#This Row],[StockLevel]])</f>
        <v>1</v>
      </c>
      <c r="K2" s="2">
        <v>50</v>
      </c>
      <c r="L2" s="40" t="b">
        <f>ISNUMBER(Table9[[#This Row],[NumSales]])</f>
        <v>1</v>
      </c>
    </row>
    <row r="3" spans="1:12" ht="19.95" customHeight="1" thickTop="1" thickBot="1" x14ac:dyDescent="0.35">
      <c r="A3" s="6">
        <v>702</v>
      </c>
      <c r="B3" s="40" t="b">
        <f>ISNUMBER(Table9[[#This Row],[MerchandiseID]])</f>
        <v>1</v>
      </c>
      <c r="C3" s="3">
        <v>2202</v>
      </c>
      <c r="D3" s="40" t="b">
        <f>ISNUMBER(Table9[[#This Row],[TicketID]])</f>
        <v>1</v>
      </c>
      <c r="E3" s="2" t="s">
        <v>174</v>
      </c>
      <c r="F3" s="40" t="b">
        <f>ISTEXT(PROPER(Table9[[#This Row],[ItemName]]))</f>
        <v>1</v>
      </c>
      <c r="G3" s="2">
        <v>15</v>
      </c>
      <c r="H3" s="40" t="b">
        <f>ISNUMBER(Table9[[#This Row],[Price(kr)]])</f>
        <v>1</v>
      </c>
      <c r="I3" s="2">
        <v>75</v>
      </c>
      <c r="J3" s="40" t="b">
        <f>ISNUMBER(Table9[[#This Row],[StockLevel]])</f>
        <v>1</v>
      </c>
      <c r="K3" s="2">
        <v>30</v>
      </c>
      <c r="L3" s="40" t="b">
        <f>ISNUMBER(Table9[[#This Row],[NumSales]])</f>
        <v>1</v>
      </c>
    </row>
    <row r="4" spans="1:12" ht="19.95" customHeight="1" thickTop="1" thickBot="1" x14ac:dyDescent="0.35">
      <c r="A4" s="6">
        <v>703</v>
      </c>
      <c r="B4" s="40" t="b">
        <f>ISNUMBER(Table9[[#This Row],[MerchandiseID]])</f>
        <v>1</v>
      </c>
      <c r="C4" s="3">
        <v>2203</v>
      </c>
      <c r="D4" s="40" t="b">
        <f>ISNUMBER(Table9[[#This Row],[TicketID]])</f>
        <v>1</v>
      </c>
      <c r="E4" s="2" t="s">
        <v>175</v>
      </c>
      <c r="F4" s="40" t="b">
        <f>ISTEXT(PROPER(Table9[[#This Row],[ItemName]]))</f>
        <v>1</v>
      </c>
      <c r="G4" s="2">
        <v>10</v>
      </c>
      <c r="H4" s="40" t="b">
        <f>ISNUMBER(Table9[[#This Row],[Price(kr)]])</f>
        <v>1</v>
      </c>
      <c r="I4" s="2">
        <v>50</v>
      </c>
      <c r="J4" s="40" t="b">
        <f>ISNUMBER(Table9[[#This Row],[StockLevel]])</f>
        <v>1</v>
      </c>
      <c r="K4" s="2">
        <v>20</v>
      </c>
      <c r="L4" s="40" t="b">
        <f>ISNUMBER(Table9[[#This Row],[NumSales]])</f>
        <v>1</v>
      </c>
    </row>
    <row r="5" spans="1:12" ht="19.95" customHeight="1" thickTop="1" thickBot="1" x14ac:dyDescent="0.35">
      <c r="A5" s="6">
        <v>704</v>
      </c>
      <c r="B5" s="40" t="b">
        <f>ISNUMBER(Table9[[#This Row],[MerchandiseID]])</f>
        <v>1</v>
      </c>
      <c r="C5" s="3">
        <v>2204</v>
      </c>
      <c r="D5" s="40" t="b">
        <f>ISNUMBER(Table9[[#This Row],[TicketID]])</f>
        <v>1</v>
      </c>
      <c r="E5" s="2" t="s">
        <v>176</v>
      </c>
      <c r="F5" s="40" t="b">
        <f>ISTEXT(PROPER(Table9[[#This Row],[ItemName]]))</f>
        <v>1</v>
      </c>
      <c r="G5" s="2">
        <v>5</v>
      </c>
      <c r="H5" s="40" t="b">
        <f>ISNUMBER(Table9[[#This Row],[Price(kr)]])</f>
        <v>1</v>
      </c>
      <c r="I5" s="2">
        <v>120</v>
      </c>
      <c r="J5" s="40" t="b">
        <f>ISNUMBER(Table9[[#This Row],[StockLevel]])</f>
        <v>1</v>
      </c>
      <c r="K5" s="2">
        <v>40</v>
      </c>
      <c r="L5" s="40" t="b">
        <f>ISNUMBER(Table9[[#This Row],[NumSales]])</f>
        <v>1</v>
      </c>
    </row>
    <row r="6" spans="1:12" ht="19.95" customHeight="1" thickTop="1" thickBot="1" x14ac:dyDescent="0.35">
      <c r="A6" s="6">
        <v>705</v>
      </c>
      <c r="B6" s="40" t="b">
        <f>ISNUMBER(Table9[[#This Row],[MerchandiseID]])</f>
        <v>1</v>
      </c>
      <c r="C6" s="3">
        <v>2205</v>
      </c>
      <c r="D6" s="40" t="b">
        <f>ISNUMBER(Table9[[#This Row],[TicketID]])</f>
        <v>1</v>
      </c>
      <c r="E6" s="2" t="s">
        <v>177</v>
      </c>
      <c r="F6" s="40" t="b">
        <f>ISTEXT(PROPER(Table9[[#This Row],[ItemName]]))</f>
        <v>1</v>
      </c>
      <c r="G6" s="2">
        <v>3</v>
      </c>
      <c r="H6" s="40" t="b">
        <f>ISNUMBER(Table9[[#This Row],[Price(kr)]])</f>
        <v>1</v>
      </c>
      <c r="I6" s="2">
        <v>200</v>
      </c>
      <c r="J6" s="40" t="b">
        <f>ISNUMBER(Table9[[#This Row],[StockLevel]])</f>
        <v>1</v>
      </c>
      <c r="K6" s="2">
        <v>60</v>
      </c>
      <c r="L6" s="40" t="b">
        <f>ISNUMBER(Table9[[#This Row],[NumSales]])</f>
        <v>1</v>
      </c>
    </row>
    <row r="7" spans="1:12" ht="19.95" customHeight="1" thickTop="1" thickBot="1" x14ac:dyDescent="0.35">
      <c r="A7" s="6">
        <v>706</v>
      </c>
      <c r="B7" s="40" t="b">
        <f>ISNUMBER(Table9[[#This Row],[MerchandiseID]])</f>
        <v>1</v>
      </c>
      <c r="C7" s="3">
        <v>2206</v>
      </c>
      <c r="D7" s="40" t="b">
        <f>ISNUMBER(Table9[[#This Row],[TicketID]])</f>
        <v>1</v>
      </c>
      <c r="E7" s="2" t="s">
        <v>178</v>
      </c>
      <c r="F7" s="40" t="b">
        <f>ISTEXT(PROPER(Table9[[#This Row],[ItemName]]))</f>
        <v>1</v>
      </c>
      <c r="G7" s="2">
        <v>8</v>
      </c>
      <c r="H7" s="40" t="b">
        <f>ISNUMBER(Table9[[#This Row],[Price(kr)]])</f>
        <v>1</v>
      </c>
      <c r="I7" s="2">
        <v>80</v>
      </c>
      <c r="J7" s="40" t="b">
        <f>ISNUMBER(Table9[[#This Row],[StockLevel]])</f>
        <v>1</v>
      </c>
      <c r="K7" s="2">
        <v>25</v>
      </c>
      <c r="L7" s="40" t="b">
        <f>ISNUMBER(Table9[[#This Row],[NumSales]])</f>
        <v>1</v>
      </c>
    </row>
    <row r="8" spans="1:12" ht="19.95" customHeight="1" thickTop="1" thickBot="1" x14ac:dyDescent="0.35">
      <c r="A8" s="6">
        <v>707</v>
      </c>
      <c r="B8" s="40" t="b">
        <f>ISNUMBER(Table9[[#This Row],[MerchandiseID]])</f>
        <v>1</v>
      </c>
      <c r="C8" s="3">
        <v>2207</v>
      </c>
      <c r="D8" s="40" t="b">
        <f>ISNUMBER(Table9[[#This Row],[TicketID]])</f>
        <v>1</v>
      </c>
      <c r="E8" s="2" t="s">
        <v>179</v>
      </c>
      <c r="F8" s="40" t="b">
        <f>ISTEXT(PROPER(Table9[[#This Row],[ItemName]]))</f>
        <v>1</v>
      </c>
      <c r="G8" s="2">
        <v>6</v>
      </c>
      <c r="H8" s="40" t="b">
        <f>ISNUMBER(Table9[[#This Row],[Price(kr)]])</f>
        <v>1</v>
      </c>
      <c r="I8" s="2">
        <v>150</v>
      </c>
      <c r="J8" s="40" t="b">
        <f>ISNUMBER(Table9[[#This Row],[StockLevel]])</f>
        <v>1</v>
      </c>
      <c r="K8" s="2">
        <v>35</v>
      </c>
      <c r="L8" s="40" t="b">
        <f>ISNUMBER(Table9[[#This Row],[NumSales]])</f>
        <v>1</v>
      </c>
    </row>
    <row r="9" spans="1:12" ht="19.95" customHeight="1" thickTop="1" thickBot="1" x14ac:dyDescent="0.35">
      <c r="A9" s="6">
        <v>708</v>
      </c>
      <c r="B9" s="40" t="b">
        <f>ISNUMBER(Table9[[#This Row],[MerchandiseID]])</f>
        <v>1</v>
      </c>
      <c r="C9" s="3">
        <v>2208</v>
      </c>
      <c r="D9" s="40" t="b">
        <f>ISNUMBER(Table9[[#This Row],[TicketID]])</f>
        <v>1</v>
      </c>
      <c r="E9" s="2" t="s">
        <v>180</v>
      </c>
      <c r="F9" s="40" t="b">
        <f>ISTEXT(PROPER(Table9[[#This Row],[ItemName]]))</f>
        <v>1</v>
      </c>
      <c r="G9" s="2">
        <v>12</v>
      </c>
      <c r="H9" s="40" t="b">
        <f>ISNUMBER(Table9[[#This Row],[Price(kr)]])</f>
        <v>1</v>
      </c>
      <c r="I9" s="2">
        <v>60</v>
      </c>
      <c r="J9" s="40" t="b">
        <f>ISNUMBER(Table9[[#This Row],[StockLevel]])</f>
        <v>1</v>
      </c>
      <c r="K9" s="2">
        <v>15</v>
      </c>
      <c r="L9" s="40" t="b">
        <f>ISNUMBER(Table9[[#This Row],[NumSales]])</f>
        <v>1</v>
      </c>
    </row>
    <row r="10" spans="1:12" ht="19.95" customHeight="1" thickTop="1" thickBot="1" x14ac:dyDescent="0.35">
      <c r="A10" s="6">
        <v>709</v>
      </c>
      <c r="B10" s="40" t="b">
        <f>ISNUMBER(Table9[[#This Row],[MerchandiseID]])</f>
        <v>1</v>
      </c>
      <c r="C10" s="3">
        <v>2209</v>
      </c>
      <c r="D10" s="40" t="b">
        <f>ISNUMBER(Table9[[#This Row],[TicketID]])</f>
        <v>1</v>
      </c>
      <c r="E10" s="2" t="s">
        <v>181</v>
      </c>
      <c r="F10" s="40" t="b">
        <f>ISTEXT(PROPER(Table9[[#This Row],[ItemName]]))</f>
        <v>1</v>
      </c>
      <c r="G10" s="2">
        <v>25</v>
      </c>
      <c r="H10" s="40" t="b">
        <f>ISNUMBER(Table9[[#This Row],[Price(kr)]])</f>
        <v>1</v>
      </c>
      <c r="I10" s="2">
        <v>40</v>
      </c>
      <c r="J10" s="40" t="b">
        <f>ISNUMBER(Table9[[#This Row],[StockLevel]])</f>
        <v>1</v>
      </c>
      <c r="K10" s="2">
        <v>10</v>
      </c>
      <c r="L10" s="40" t="b">
        <f>ISNUMBER(Table9[[#This Row],[NumSales]])</f>
        <v>1</v>
      </c>
    </row>
    <row r="11" spans="1:12" ht="19.95" customHeight="1" thickTop="1" thickBot="1" x14ac:dyDescent="0.35">
      <c r="A11" s="6">
        <v>710</v>
      </c>
      <c r="B11" s="40" t="b">
        <f>ISNUMBER(Table9[[#This Row],[MerchandiseID]])</f>
        <v>1</v>
      </c>
      <c r="C11" s="3">
        <v>2210</v>
      </c>
      <c r="D11" s="40" t="b">
        <f>ISNUMBER(Table9[[#This Row],[TicketID]])</f>
        <v>1</v>
      </c>
      <c r="E11" s="2" t="s">
        <v>182</v>
      </c>
      <c r="F11" s="40" t="b">
        <f>ISTEXT(PROPER(Table9[[#This Row],[ItemName]]))</f>
        <v>1</v>
      </c>
      <c r="G11" s="2">
        <v>15</v>
      </c>
      <c r="H11" s="40" t="b">
        <f>ISNUMBER(Table9[[#This Row],[Price(kr)]])</f>
        <v>1</v>
      </c>
      <c r="I11" s="2">
        <v>90</v>
      </c>
      <c r="J11" s="40" t="b">
        <f>ISNUMBER(Table9[[#This Row],[StockLevel]])</f>
        <v>1</v>
      </c>
      <c r="K11" s="2">
        <v>30</v>
      </c>
      <c r="L11" s="40" t="b">
        <f>ISNUMBER(Table9[[#This Row],[NumSales]])</f>
        <v>1</v>
      </c>
    </row>
    <row r="12" spans="1:12" ht="19.95" customHeight="1" thickTop="1" thickBot="1" x14ac:dyDescent="0.35">
      <c r="A12" s="6">
        <v>711</v>
      </c>
      <c r="B12" s="40" t="b">
        <f>ISNUMBER(Table9[[#This Row],[MerchandiseID]])</f>
        <v>1</v>
      </c>
      <c r="C12" s="3">
        <v>2211</v>
      </c>
      <c r="D12" s="40" t="b">
        <f>ISNUMBER(Table9[[#This Row],[TicketID]])</f>
        <v>1</v>
      </c>
      <c r="E12" s="2" t="s">
        <v>183</v>
      </c>
      <c r="F12" s="40" t="b">
        <f>ISTEXT(PROPER(Table9[[#This Row],[ItemName]]))</f>
        <v>1</v>
      </c>
      <c r="G12" s="2">
        <v>18</v>
      </c>
      <c r="H12" s="40" t="b">
        <f>ISNUMBER(Table9[[#This Row],[Price(kr)]])</f>
        <v>1</v>
      </c>
      <c r="I12" s="2">
        <v>30</v>
      </c>
      <c r="J12" s="40" t="b">
        <f>ISNUMBER(Table9[[#This Row],[StockLevel]])</f>
        <v>1</v>
      </c>
      <c r="K12" s="2">
        <v>8</v>
      </c>
      <c r="L12" s="40" t="b">
        <f>ISNUMBER(Table9[[#This Row],[NumSales]])</f>
        <v>1</v>
      </c>
    </row>
    <row r="13" spans="1:12" ht="19.95" customHeight="1" thickTop="1" thickBot="1" x14ac:dyDescent="0.35">
      <c r="A13" s="6">
        <v>712</v>
      </c>
      <c r="B13" s="40" t="b">
        <f>ISNUMBER(Table9[[#This Row],[MerchandiseID]])</f>
        <v>1</v>
      </c>
      <c r="C13" s="3">
        <v>2212</v>
      </c>
      <c r="D13" s="40" t="b">
        <f>ISNUMBER(Table9[[#This Row],[TicketID]])</f>
        <v>1</v>
      </c>
      <c r="E13" s="2" t="s">
        <v>184</v>
      </c>
      <c r="F13" s="40" t="b">
        <f>ISTEXT(PROPER(Table9[[#This Row],[ItemName]]))</f>
        <v>1</v>
      </c>
      <c r="G13" s="2">
        <v>30</v>
      </c>
      <c r="H13" s="40" t="b">
        <f>ISNUMBER(Table9[[#This Row],[Price(kr)]])</f>
        <v>1</v>
      </c>
      <c r="I13" s="2">
        <v>45</v>
      </c>
      <c r="J13" s="40" t="b">
        <f>ISNUMBER(Table9[[#This Row],[StockLevel]])</f>
        <v>1</v>
      </c>
      <c r="K13" s="2">
        <v>18</v>
      </c>
      <c r="L13" s="40" t="b">
        <f>ISNUMBER(Table9[[#This Row],[NumSales]])</f>
        <v>1</v>
      </c>
    </row>
    <row r="14" spans="1:12" ht="19.95" customHeight="1" thickTop="1" thickBot="1" x14ac:dyDescent="0.35">
      <c r="A14" s="6">
        <v>713</v>
      </c>
      <c r="B14" s="40" t="b">
        <f>ISNUMBER(Table9[[#This Row],[MerchandiseID]])</f>
        <v>1</v>
      </c>
      <c r="C14" s="3">
        <v>2213</v>
      </c>
      <c r="D14" s="40" t="b">
        <f>ISNUMBER(Table9[[#This Row],[TicketID]])</f>
        <v>1</v>
      </c>
      <c r="E14" s="2" t="s">
        <v>185</v>
      </c>
      <c r="F14" s="40" t="b">
        <f>ISTEXT(PROPER(Table9[[#This Row],[ItemName]]))</f>
        <v>1</v>
      </c>
      <c r="G14" s="2">
        <v>7</v>
      </c>
      <c r="H14" s="40" t="b">
        <f>ISNUMBER(Table9[[#This Row],[Price(kr)]])</f>
        <v>1</v>
      </c>
      <c r="I14" s="2">
        <v>110</v>
      </c>
      <c r="J14" s="40" t="b">
        <f>ISNUMBER(Table9[[#This Row],[StockLevel]])</f>
        <v>1</v>
      </c>
      <c r="K14" s="2">
        <v>45</v>
      </c>
      <c r="L14" s="40" t="b">
        <f>ISNUMBER(Table9[[#This Row],[NumSales]])</f>
        <v>1</v>
      </c>
    </row>
    <row r="15" spans="1:12" ht="19.95" customHeight="1" thickTop="1" thickBot="1" x14ac:dyDescent="0.35">
      <c r="A15" s="6">
        <v>714</v>
      </c>
      <c r="B15" s="40" t="b">
        <f>ISNUMBER(Table9[[#This Row],[MerchandiseID]])</f>
        <v>1</v>
      </c>
      <c r="C15" s="3">
        <v>2214</v>
      </c>
      <c r="D15" s="40" t="b">
        <f>ISNUMBER(Table9[[#This Row],[TicketID]])</f>
        <v>1</v>
      </c>
      <c r="E15" s="2" t="s">
        <v>186</v>
      </c>
      <c r="F15" s="40" t="b">
        <f>ISTEXT(PROPER(Table9[[#This Row],[ItemName]]))</f>
        <v>1</v>
      </c>
      <c r="G15" s="2">
        <v>4</v>
      </c>
      <c r="H15" s="40" t="b">
        <f>ISNUMBER(Table9[[#This Row],[Price(kr)]])</f>
        <v>1</v>
      </c>
      <c r="I15" s="2">
        <v>180</v>
      </c>
      <c r="J15" s="40" t="b">
        <f>ISNUMBER(Table9[[#This Row],[StockLevel]])</f>
        <v>1</v>
      </c>
      <c r="K15" s="2">
        <v>55</v>
      </c>
      <c r="L15" s="40" t="b">
        <f>ISNUMBER(Table9[[#This Row],[NumSales]])</f>
        <v>1</v>
      </c>
    </row>
    <row r="16" spans="1:12" ht="19.95" customHeight="1" thickTop="1" thickBot="1" x14ac:dyDescent="0.35">
      <c r="A16" s="6">
        <v>715</v>
      </c>
      <c r="B16" s="40" t="b">
        <f>ISNUMBER(Table9[[#This Row],[MerchandiseID]])</f>
        <v>1</v>
      </c>
      <c r="C16" s="3">
        <v>2215</v>
      </c>
      <c r="D16" s="40" t="b">
        <f>ISNUMBER(Table9[[#This Row],[TicketID]])</f>
        <v>1</v>
      </c>
      <c r="E16" s="2" t="s">
        <v>187</v>
      </c>
      <c r="F16" s="40" t="b">
        <f>ISTEXT(PROPER(Table9[[#This Row],[ItemName]]))</f>
        <v>1</v>
      </c>
      <c r="G16" s="2">
        <v>2</v>
      </c>
      <c r="H16" s="40" t="b">
        <f>ISNUMBER(Table9[[#This Row],[Price(kr)]])</f>
        <v>1</v>
      </c>
      <c r="I16" s="2">
        <v>250</v>
      </c>
      <c r="J16" s="40" t="b">
        <f>ISNUMBER(Table9[[#This Row],[StockLevel]])</f>
        <v>1</v>
      </c>
      <c r="K16" s="2">
        <v>70</v>
      </c>
      <c r="L16" s="40" t="b">
        <f>ISNUMBER(Table9[[#This Row],[NumSales]])</f>
        <v>1</v>
      </c>
    </row>
    <row r="17" spans="1:12" ht="19.95" customHeight="1" thickTop="1" thickBot="1" x14ac:dyDescent="0.35">
      <c r="A17" s="6">
        <v>716</v>
      </c>
      <c r="B17" s="40" t="b">
        <f>ISNUMBER(Table9[[#This Row],[MerchandiseID]])</f>
        <v>1</v>
      </c>
      <c r="C17" s="3">
        <v>2216</v>
      </c>
      <c r="D17" s="40" t="b">
        <f>ISNUMBER(Table9[[#This Row],[TicketID]])</f>
        <v>1</v>
      </c>
      <c r="E17" s="2" t="s">
        <v>188</v>
      </c>
      <c r="F17" s="40" t="b">
        <f>ISTEXT(PROPER(Table9[[#This Row],[ItemName]]))</f>
        <v>1</v>
      </c>
      <c r="G17" s="2">
        <v>22</v>
      </c>
      <c r="H17" s="40" t="b">
        <f>ISNUMBER(Table9[[#This Row],[Price(kr)]])</f>
        <v>1</v>
      </c>
      <c r="I17" s="2">
        <v>35</v>
      </c>
      <c r="J17" s="40" t="b">
        <f>ISNUMBER(Table9[[#This Row],[StockLevel]])</f>
        <v>1</v>
      </c>
      <c r="K17" s="2">
        <v>12</v>
      </c>
      <c r="L17" s="40" t="b">
        <f>ISNUMBER(Table9[[#This Row],[NumSales]])</f>
        <v>1</v>
      </c>
    </row>
    <row r="18" spans="1:12" ht="19.95" customHeight="1" thickTop="1" thickBot="1" x14ac:dyDescent="0.35">
      <c r="A18" s="6">
        <v>717</v>
      </c>
      <c r="B18" s="40" t="b">
        <f>ISNUMBER(Table9[[#This Row],[MerchandiseID]])</f>
        <v>1</v>
      </c>
      <c r="C18" s="3">
        <v>2217</v>
      </c>
      <c r="D18" s="40" t="b">
        <f>ISNUMBER(Table9[[#This Row],[TicketID]])</f>
        <v>1</v>
      </c>
      <c r="E18" s="2" t="s">
        <v>189</v>
      </c>
      <c r="F18" s="40" t="b">
        <f>ISTEXT(PROPER(Table9[[#This Row],[ItemName]]))</f>
        <v>1</v>
      </c>
      <c r="G18" s="2">
        <v>28</v>
      </c>
      <c r="H18" s="40" t="b">
        <f>ISNUMBER(Table9[[#This Row],[Price(kr)]])</f>
        <v>1</v>
      </c>
      <c r="I18" s="2">
        <v>20</v>
      </c>
      <c r="J18" s="40" t="b">
        <f>ISNUMBER(Table9[[#This Row],[StockLevel]])</f>
        <v>1</v>
      </c>
      <c r="K18" s="2">
        <v>5</v>
      </c>
      <c r="L18" s="40" t="b">
        <f>ISNUMBER(Table9[[#This Row],[NumSales]])</f>
        <v>1</v>
      </c>
    </row>
    <row r="19" spans="1:12" ht="19.95" customHeight="1" thickTop="1" thickBot="1" x14ac:dyDescent="0.35">
      <c r="A19" s="6">
        <v>718</v>
      </c>
      <c r="B19" s="40" t="b">
        <f>ISNUMBER(Table9[[#This Row],[MerchandiseID]])</f>
        <v>1</v>
      </c>
      <c r="C19" s="3">
        <v>2218</v>
      </c>
      <c r="D19" s="40" t="b">
        <f>ISNUMBER(Table9[[#This Row],[TicketID]])</f>
        <v>1</v>
      </c>
      <c r="E19" s="2" t="s">
        <v>190</v>
      </c>
      <c r="F19" s="40" t="b">
        <f>ISTEXT(PROPER(Table9[[#This Row],[ItemName]]))</f>
        <v>1</v>
      </c>
      <c r="G19" s="2">
        <v>10</v>
      </c>
      <c r="H19" s="40" t="b">
        <f>ISNUMBER(Table9[[#This Row],[Price(kr)]])</f>
        <v>1</v>
      </c>
      <c r="I19" s="2">
        <v>100</v>
      </c>
      <c r="J19" s="40" t="b">
        <f>ISNUMBER(Table9[[#This Row],[StockLevel]])</f>
        <v>1</v>
      </c>
      <c r="K19" s="2">
        <v>40</v>
      </c>
      <c r="L19" s="40" t="b">
        <f>ISNUMBER(Table9[[#This Row],[NumSales]])</f>
        <v>1</v>
      </c>
    </row>
    <row r="20" spans="1:12" ht="19.95" customHeight="1" thickTop="1" thickBot="1" x14ac:dyDescent="0.35">
      <c r="A20" s="6">
        <v>719</v>
      </c>
      <c r="B20" s="40" t="b">
        <f>ISNUMBER(Table9[[#This Row],[MerchandiseID]])</f>
        <v>1</v>
      </c>
      <c r="C20" s="3">
        <v>2219</v>
      </c>
      <c r="D20" s="40" t="b">
        <f>ISNUMBER(Table9[[#This Row],[TicketID]])</f>
        <v>1</v>
      </c>
      <c r="E20" s="2" t="s">
        <v>191</v>
      </c>
      <c r="F20" s="40" t="b">
        <f>ISTEXT(PROPER(Table9[[#This Row],[ItemName]]))</f>
        <v>1</v>
      </c>
      <c r="G20" s="2">
        <v>14</v>
      </c>
      <c r="H20" s="40" t="b">
        <f>ISNUMBER(Table9[[#This Row],[Price(kr)]])</f>
        <v>1</v>
      </c>
      <c r="I20" s="2">
        <v>55</v>
      </c>
      <c r="J20" s="40" t="b">
        <f>ISNUMBER(Table9[[#This Row],[StockLevel]])</f>
        <v>1</v>
      </c>
      <c r="K20" s="2">
        <v>15</v>
      </c>
      <c r="L20" s="40" t="b">
        <f>ISNUMBER(Table9[[#This Row],[NumSales]])</f>
        <v>1</v>
      </c>
    </row>
    <row r="21" spans="1:12" ht="19.95" customHeight="1" thickTop="1" thickBot="1" x14ac:dyDescent="0.35">
      <c r="A21" s="5">
        <v>720</v>
      </c>
      <c r="B21" s="40" t="b">
        <f>ISNUMBER(Table9[[#This Row],[MerchandiseID]])</f>
        <v>1</v>
      </c>
      <c r="C21" s="3">
        <v>2220</v>
      </c>
      <c r="D21" s="40" t="b">
        <f>ISNUMBER(Table9[[#This Row],[TicketID]])</f>
        <v>1</v>
      </c>
      <c r="E21" s="3" t="s">
        <v>192</v>
      </c>
      <c r="F21" s="40" t="b">
        <f>ISTEXT(PROPER(Table9[[#This Row],[ItemName]]))</f>
        <v>1</v>
      </c>
      <c r="G21" s="3">
        <v>35</v>
      </c>
      <c r="H21" s="40" t="b">
        <f>ISNUMBER(Table9[[#This Row],[Price(kr)]])</f>
        <v>1</v>
      </c>
      <c r="I21" s="3">
        <v>25</v>
      </c>
      <c r="J21" s="40" t="b">
        <f>ISNUMBER(Table9[[#This Row],[StockLevel]])</f>
        <v>1</v>
      </c>
      <c r="K21" s="3">
        <v>7</v>
      </c>
      <c r="L21" s="40" t="b">
        <f>ISNUMBER(Table9[[#This Row],[NumSales]])</f>
        <v>1</v>
      </c>
    </row>
    <row r="22" spans="1:12" ht="15" thickTop="1" x14ac:dyDescent="0.3"/>
  </sheetData>
  <conditionalFormatting sqref="B1:B21">
    <cfRule type="containsText" dxfId="1" priority="2" operator="containsText" text="FALSE">
      <formula>NOT(ISERROR(SEARCH("FALSE",B1)))</formula>
    </cfRule>
  </conditionalFormatting>
  <conditionalFormatting sqref="D1:D21 F1:F21 H1:H21 J1:J21 L1:L21">
    <cfRule type="containsText" dxfId="0" priority="1" operator="containsText" text="FALSE">
      <formula>NOT(ISERROR(SEARCH("FALSE",D1)))</formula>
    </cfRule>
  </conditionalFormatting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E534-47C5-4CA6-B660-E6775C801DBA}">
  <sheetPr>
    <tabColor theme="9" tint="-0.249977111117893"/>
  </sheetPr>
  <dimension ref="A1:G21"/>
  <sheetViews>
    <sheetView zoomScale="85" zoomScaleNormal="85" workbookViewId="0">
      <selection activeCell="H10" sqref="H10"/>
    </sheetView>
  </sheetViews>
  <sheetFormatPr defaultColWidth="20.77734375" defaultRowHeight="14.4" x14ac:dyDescent="0.3"/>
  <sheetData>
    <row r="1" spans="1:7" ht="19.95" customHeight="1" thickBot="1" x14ac:dyDescent="0.35">
      <c r="A1" s="12" t="s">
        <v>169</v>
      </c>
      <c r="B1" s="14" t="s">
        <v>85</v>
      </c>
      <c r="C1" s="13" t="s">
        <v>170</v>
      </c>
      <c r="D1" s="13" t="s">
        <v>206</v>
      </c>
      <c r="E1" s="13" t="s">
        <v>171</v>
      </c>
      <c r="F1" s="13" t="s">
        <v>172</v>
      </c>
      <c r="G1" s="14" t="s">
        <v>268</v>
      </c>
    </row>
    <row r="2" spans="1:7" ht="19.95" customHeight="1" thickBot="1" x14ac:dyDescent="0.35">
      <c r="A2" s="6">
        <v>701</v>
      </c>
      <c r="B2" s="3">
        <v>2201</v>
      </c>
      <c r="C2" s="2" t="s">
        <v>173</v>
      </c>
      <c r="D2" s="2">
        <v>20</v>
      </c>
      <c r="E2" s="2">
        <v>100</v>
      </c>
      <c r="F2" s="2">
        <v>50</v>
      </c>
      <c r="G2" s="3">
        <f>ROUND((Table919[[#This Row],[NumSales]]-AVERAGE(Table919[NumSales]))/_xlfn.STDEV.P(Table919[NumSales]), 3)</f>
        <v>1.0920000000000001</v>
      </c>
    </row>
    <row r="3" spans="1:7" ht="19.95" customHeight="1" thickBot="1" x14ac:dyDescent="0.35">
      <c r="A3" s="6">
        <v>702</v>
      </c>
      <c r="B3" s="3">
        <v>2202</v>
      </c>
      <c r="C3" s="2" t="s">
        <v>174</v>
      </c>
      <c r="D3" s="2">
        <v>15</v>
      </c>
      <c r="E3" s="2">
        <v>75</v>
      </c>
      <c r="F3" s="2">
        <v>30</v>
      </c>
      <c r="G3" s="3">
        <f>ROUND((Table919[[#This Row],[NumSales]]-AVERAGE(Table919[NumSales]))/_xlfn.STDEV.P(Table919[NumSales]), 3)</f>
        <v>2.7E-2</v>
      </c>
    </row>
    <row r="4" spans="1:7" ht="19.95" customHeight="1" thickBot="1" x14ac:dyDescent="0.35">
      <c r="A4" s="6">
        <v>703</v>
      </c>
      <c r="B4" s="3">
        <v>2203</v>
      </c>
      <c r="C4" s="2" t="s">
        <v>175</v>
      </c>
      <c r="D4" s="2">
        <v>10</v>
      </c>
      <c r="E4" s="2">
        <v>50</v>
      </c>
      <c r="F4" s="2">
        <v>20</v>
      </c>
      <c r="G4" s="3">
        <f>ROUND((Table919[[#This Row],[NumSales]]-AVERAGE(Table919[NumSales]))/_xlfn.STDEV.P(Table919[NumSales]), 3)</f>
        <v>-0.50600000000000001</v>
      </c>
    </row>
    <row r="5" spans="1:7" ht="19.95" customHeight="1" thickBot="1" x14ac:dyDescent="0.35">
      <c r="A5" s="6">
        <v>704</v>
      </c>
      <c r="B5" s="3">
        <v>2204</v>
      </c>
      <c r="C5" s="2" t="s">
        <v>176</v>
      </c>
      <c r="D5" s="2">
        <v>5</v>
      </c>
      <c r="E5" s="2">
        <v>120</v>
      </c>
      <c r="F5" s="2">
        <v>40</v>
      </c>
      <c r="G5" s="3">
        <f>ROUND((Table919[[#This Row],[NumSales]]-AVERAGE(Table919[NumSales]))/_xlfn.STDEV.P(Table919[NumSales]), 3)</f>
        <v>0.55900000000000005</v>
      </c>
    </row>
    <row r="6" spans="1:7" ht="19.95" customHeight="1" thickBot="1" x14ac:dyDescent="0.35">
      <c r="A6" s="6">
        <v>705</v>
      </c>
      <c r="B6" s="3">
        <v>2205</v>
      </c>
      <c r="C6" s="2" t="s">
        <v>177</v>
      </c>
      <c r="D6" s="2">
        <v>3</v>
      </c>
      <c r="E6" s="2">
        <v>200</v>
      </c>
      <c r="F6" s="2">
        <v>60</v>
      </c>
      <c r="G6" s="3">
        <f>ROUND((Table919[[#This Row],[NumSales]]-AVERAGE(Table919[NumSales]))/_xlfn.STDEV.P(Table919[NumSales]), 3)</f>
        <v>1.6240000000000001</v>
      </c>
    </row>
    <row r="7" spans="1:7" ht="19.95" customHeight="1" thickBot="1" x14ac:dyDescent="0.35">
      <c r="A7" s="6">
        <v>706</v>
      </c>
      <c r="B7" s="3">
        <v>2206</v>
      </c>
      <c r="C7" s="2" t="s">
        <v>178</v>
      </c>
      <c r="D7" s="2">
        <v>8</v>
      </c>
      <c r="E7" s="2">
        <v>80</v>
      </c>
      <c r="F7" s="2">
        <v>25</v>
      </c>
      <c r="G7" s="3">
        <f>ROUND((Table919[[#This Row],[NumSales]]-AVERAGE(Table919[NumSales]))/_xlfn.STDEV.P(Table919[NumSales]), 3)</f>
        <v>-0.24</v>
      </c>
    </row>
    <row r="8" spans="1:7" ht="19.95" customHeight="1" thickBot="1" x14ac:dyDescent="0.35">
      <c r="A8" s="6">
        <v>707</v>
      </c>
      <c r="B8" s="3">
        <v>2207</v>
      </c>
      <c r="C8" s="2" t="s">
        <v>179</v>
      </c>
      <c r="D8" s="2">
        <v>6</v>
      </c>
      <c r="E8" s="2">
        <v>150</v>
      </c>
      <c r="F8" s="2">
        <v>35</v>
      </c>
      <c r="G8" s="3">
        <f>ROUND((Table919[[#This Row],[NumSales]]-AVERAGE(Table919[NumSales]))/_xlfn.STDEV.P(Table919[NumSales]), 3)</f>
        <v>0.29299999999999998</v>
      </c>
    </row>
    <row r="9" spans="1:7" ht="19.95" customHeight="1" thickBot="1" x14ac:dyDescent="0.35">
      <c r="A9" s="6">
        <v>708</v>
      </c>
      <c r="B9" s="3">
        <v>2208</v>
      </c>
      <c r="C9" s="2" t="s">
        <v>180</v>
      </c>
      <c r="D9" s="2">
        <v>12</v>
      </c>
      <c r="E9" s="2">
        <v>60</v>
      </c>
      <c r="F9" s="2">
        <v>15</v>
      </c>
      <c r="G9" s="3">
        <f>ROUND((Table919[[#This Row],[NumSales]]-AVERAGE(Table919[NumSales]))/_xlfn.STDEV.P(Table919[NumSales]), 3)</f>
        <v>-0.77200000000000002</v>
      </c>
    </row>
    <row r="10" spans="1:7" ht="19.95" customHeight="1" thickBot="1" x14ac:dyDescent="0.35">
      <c r="A10" s="6">
        <v>709</v>
      </c>
      <c r="B10" s="3">
        <v>2209</v>
      </c>
      <c r="C10" s="2" t="s">
        <v>181</v>
      </c>
      <c r="D10" s="2">
        <v>25</v>
      </c>
      <c r="E10" s="2">
        <v>40</v>
      </c>
      <c r="F10" s="2">
        <v>10</v>
      </c>
      <c r="G10" s="3">
        <f>ROUND((Table919[[#This Row],[NumSales]]-AVERAGE(Table919[NumSales]))/_xlfn.STDEV.P(Table919[NumSales]), 3)</f>
        <v>-1.0389999999999999</v>
      </c>
    </row>
    <row r="11" spans="1:7" ht="19.95" customHeight="1" thickBot="1" x14ac:dyDescent="0.35">
      <c r="A11" s="6">
        <v>710</v>
      </c>
      <c r="B11" s="3">
        <v>2210</v>
      </c>
      <c r="C11" s="2" t="s">
        <v>182</v>
      </c>
      <c r="D11" s="2">
        <v>15</v>
      </c>
      <c r="E11" s="2">
        <v>90</v>
      </c>
      <c r="F11" s="2">
        <v>30</v>
      </c>
      <c r="G11" s="3">
        <f>ROUND((Table919[[#This Row],[NumSales]]-AVERAGE(Table919[NumSales]))/_xlfn.STDEV.P(Table919[NumSales]), 3)</f>
        <v>2.7E-2</v>
      </c>
    </row>
    <row r="12" spans="1:7" ht="19.95" customHeight="1" thickBot="1" x14ac:dyDescent="0.35">
      <c r="A12" s="6">
        <v>711</v>
      </c>
      <c r="B12" s="3">
        <v>2211</v>
      </c>
      <c r="C12" s="2" t="s">
        <v>183</v>
      </c>
      <c r="D12" s="2">
        <v>18</v>
      </c>
      <c r="E12" s="2">
        <v>30</v>
      </c>
      <c r="F12" s="2">
        <v>8</v>
      </c>
      <c r="G12" s="3">
        <f>ROUND((Table919[[#This Row],[NumSales]]-AVERAGE(Table919[NumSales]))/_xlfn.STDEV.P(Table919[NumSales]), 3)</f>
        <v>-1.145</v>
      </c>
    </row>
    <row r="13" spans="1:7" ht="19.95" customHeight="1" thickBot="1" x14ac:dyDescent="0.35">
      <c r="A13" s="6">
        <v>712</v>
      </c>
      <c r="B13" s="3">
        <v>2212</v>
      </c>
      <c r="C13" s="2" t="s">
        <v>184</v>
      </c>
      <c r="D13" s="2">
        <v>30</v>
      </c>
      <c r="E13" s="2">
        <v>45</v>
      </c>
      <c r="F13" s="2">
        <v>18</v>
      </c>
      <c r="G13" s="3">
        <f>ROUND((Table919[[#This Row],[NumSales]]-AVERAGE(Table919[NumSales]))/_xlfn.STDEV.P(Table919[NumSales]), 3)</f>
        <v>-0.61199999999999999</v>
      </c>
    </row>
    <row r="14" spans="1:7" ht="19.95" customHeight="1" thickBot="1" x14ac:dyDescent="0.35">
      <c r="A14" s="6">
        <v>713</v>
      </c>
      <c r="B14" s="3">
        <v>2213</v>
      </c>
      <c r="C14" s="2" t="s">
        <v>185</v>
      </c>
      <c r="D14" s="2">
        <v>7</v>
      </c>
      <c r="E14" s="2">
        <v>110</v>
      </c>
      <c r="F14" s="2">
        <v>45</v>
      </c>
      <c r="G14" s="3">
        <f>ROUND((Table919[[#This Row],[NumSales]]-AVERAGE(Table919[NumSales]))/_xlfn.STDEV.P(Table919[NumSales]), 3)</f>
        <v>0.82599999999999996</v>
      </c>
    </row>
    <row r="15" spans="1:7" ht="19.95" customHeight="1" thickBot="1" x14ac:dyDescent="0.35">
      <c r="A15" s="6">
        <v>714</v>
      </c>
      <c r="B15" s="3">
        <v>2214</v>
      </c>
      <c r="C15" s="2" t="s">
        <v>186</v>
      </c>
      <c r="D15" s="2">
        <v>4</v>
      </c>
      <c r="E15" s="2">
        <v>180</v>
      </c>
      <c r="F15" s="2">
        <v>55</v>
      </c>
      <c r="G15" s="3">
        <f>ROUND((Table919[[#This Row],[NumSales]]-AVERAGE(Table919[NumSales]))/_xlfn.STDEV.P(Table919[NumSales]), 3)</f>
        <v>1.3580000000000001</v>
      </c>
    </row>
    <row r="16" spans="1:7" ht="19.95" customHeight="1" thickBot="1" x14ac:dyDescent="0.35">
      <c r="A16" s="6">
        <v>715</v>
      </c>
      <c r="B16" s="3">
        <v>2215</v>
      </c>
      <c r="C16" s="2" t="s">
        <v>187</v>
      </c>
      <c r="D16" s="2">
        <v>2</v>
      </c>
      <c r="E16" s="2">
        <v>250</v>
      </c>
      <c r="F16" s="2">
        <v>70</v>
      </c>
      <c r="G16" s="3">
        <f>ROUND((Table919[[#This Row],[NumSales]]-AVERAGE(Table919[NumSales]))/_xlfn.STDEV.P(Table919[NumSales]), 3)</f>
        <v>2.157</v>
      </c>
    </row>
    <row r="17" spans="1:7" ht="19.95" customHeight="1" thickBot="1" x14ac:dyDescent="0.35">
      <c r="A17" s="6">
        <v>716</v>
      </c>
      <c r="B17" s="3">
        <v>2216</v>
      </c>
      <c r="C17" s="2" t="s">
        <v>188</v>
      </c>
      <c r="D17" s="2">
        <v>22</v>
      </c>
      <c r="E17" s="2">
        <v>35</v>
      </c>
      <c r="F17" s="2">
        <v>12</v>
      </c>
      <c r="G17" s="3">
        <f>ROUND((Table919[[#This Row],[NumSales]]-AVERAGE(Table919[NumSales]))/_xlfn.STDEV.P(Table919[NumSales]), 3)</f>
        <v>-0.93200000000000005</v>
      </c>
    </row>
    <row r="18" spans="1:7" ht="19.95" customHeight="1" thickBot="1" x14ac:dyDescent="0.35">
      <c r="A18" s="6">
        <v>717</v>
      </c>
      <c r="B18" s="3">
        <v>2217</v>
      </c>
      <c r="C18" s="2" t="s">
        <v>189</v>
      </c>
      <c r="D18" s="2">
        <v>28</v>
      </c>
      <c r="E18" s="2">
        <v>20</v>
      </c>
      <c r="F18" s="2">
        <v>5</v>
      </c>
      <c r="G18" s="3">
        <f>ROUND((Table919[[#This Row],[NumSales]]-AVERAGE(Table919[NumSales]))/_xlfn.STDEV.P(Table919[NumSales]), 3)</f>
        <v>-1.3049999999999999</v>
      </c>
    </row>
    <row r="19" spans="1:7" ht="19.95" customHeight="1" thickBot="1" x14ac:dyDescent="0.35">
      <c r="A19" s="6">
        <v>718</v>
      </c>
      <c r="B19" s="3">
        <v>2218</v>
      </c>
      <c r="C19" s="2" t="s">
        <v>190</v>
      </c>
      <c r="D19" s="2">
        <v>10</v>
      </c>
      <c r="E19" s="2">
        <v>100</v>
      </c>
      <c r="F19" s="2">
        <v>40</v>
      </c>
      <c r="G19" s="3">
        <f>ROUND((Table919[[#This Row],[NumSales]]-AVERAGE(Table919[NumSales]))/_xlfn.STDEV.P(Table919[NumSales]), 3)</f>
        <v>0.55900000000000005</v>
      </c>
    </row>
    <row r="20" spans="1:7" ht="19.95" customHeight="1" thickBot="1" x14ac:dyDescent="0.35">
      <c r="A20" s="6">
        <v>719</v>
      </c>
      <c r="B20" s="3">
        <v>2219</v>
      </c>
      <c r="C20" s="2" t="s">
        <v>191</v>
      </c>
      <c r="D20" s="2">
        <v>14</v>
      </c>
      <c r="E20" s="2">
        <v>55</v>
      </c>
      <c r="F20" s="2">
        <v>15</v>
      </c>
      <c r="G20" s="3">
        <f>ROUND((Table919[[#This Row],[NumSales]]-AVERAGE(Table919[NumSales]))/_xlfn.STDEV.P(Table919[NumSales]), 3)</f>
        <v>-0.77200000000000002</v>
      </c>
    </row>
    <row r="21" spans="1:7" ht="19.95" customHeight="1" x14ac:dyDescent="0.3">
      <c r="A21" s="5">
        <v>720</v>
      </c>
      <c r="B21" s="3">
        <v>2220</v>
      </c>
      <c r="C21" s="3" t="s">
        <v>192</v>
      </c>
      <c r="D21" s="3">
        <v>35</v>
      </c>
      <c r="E21" s="3">
        <v>25</v>
      </c>
      <c r="F21" s="3">
        <v>7</v>
      </c>
      <c r="G21" s="3">
        <f>ROUND((Table919[[#This Row],[NumSales]]-AVERAGE(Table919[NumSales]))/_xlfn.STDEV.P(Table919[NumSales]), 3)</f>
        <v>-1.198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163530A-254C-4FF1-AFCB-E5B2FFD246E4}">
  <ds:schemaRefs/>
</ds:datastoreItem>
</file>

<file path=customXml/itemProps2.xml><?xml version="1.0" encoding="utf-8"?>
<ds:datastoreItem xmlns:ds="http://schemas.openxmlformats.org/officeDocument/2006/customXml" ds:itemID="{E15918FB-26DD-442A-8278-7651AD551DE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Artists_Dirty</vt:lpstr>
      <vt:lpstr>Artists_Check</vt:lpstr>
      <vt:lpstr>Artists_Clean</vt:lpstr>
      <vt:lpstr>Venues_Dirty</vt:lpstr>
      <vt:lpstr>Venues_Check</vt:lpstr>
      <vt:lpstr>Venues_Clean</vt:lpstr>
      <vt:lpstr>Tickets_Dirty</vt:lpstr>
      <vt:lpstr>Tickets_Check</vt:lpstr>
      <vt:lpstr>Tickets_Clean</vt:lpstr>
      <vt:lpstr>Concerts_Dirty</vt:lpstr>
      <vt:lpstr>Concerts_Check</vt:lpstr>
      <vt:lpstr>Concerts_Clean</vt:lpstr>
      <vt:lpstr>Sponsors_Dirty</vt:lpstr>
      <vt:lpstr>Sponsors_Check</vt:lpstr>
      <vt:lpstr>Sponsors_Clean</vt:lpstr>
      <vt:lpstr>Attendees_Dirty</vt:lpstr>
      <vt:lpstr>Attendees_Check</vt:lpstr>
      <vt:lpstr>Attendees_Clean</vt:lpstr>
      <vt:lpstr>Performance_Dirty</vt:lpstr>
      <vt:lpstr>Performances_Check</vt:lpstr>
      <vt:lpstr>Performances_Clean</vt:lpstr>
      <vt:lpstr>Merchandise_Dirty</vt:lpstr>
      <vt:lpstr>Merchandise_Check</vt:lpstr>
      <vt:lpstr>Merchandise_Clean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Christabel Oye  Danquah</dc:creator>
  <cp:lastModifiedBy>Christabel Danquah</cp:lastModifiedBy>
  <dcterms:created xsi:type="dcterms:W3CDTF">2024-01-18T07:26:00Z</dcterms:created>
  <dcterms:modified xsi:type="dcterms:W3CDTF">2024-02-05T11:40:31Z</dcterms:modified>
</cp:coreProperties>
</file>