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2906c935fa0eb4f/models/TITN/"/>
    </mc:Choice>
  </mc:AlternateContent>
  <xr:revisionPtr revIDLastSave="1080" documentId="11_F25DC773A252ABDACC104889191A52245ADE58E6" xr6:coauthVersionLast="47" xr6:coauthVersionMax="47" xr10:uidLastSave="{F37D250C-1888-4147-8CBE-42736F317F21}"/>
  <bookViews>
    <workbookView xWindow="19070" yWindow="5030" windowWidth="17190" windowHeight="1585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3" i="2"/>
  <c r="I111" i="2"/>
  <c r="H111" i="2"/>
  <c r="G111" i="2"/>
  <c r="F111" i="2"/>
  <c r="E111" i="2"/>
  <c r="D111" i="2"/>
  <c r="C111" i="2"/>
  <c r="B111" i="2"/>
  <c r="L110" i="2"/>
  <c r="L120" i="2"/>
  <c r="L119" i="2"/>
  <c r="L118" i="2"/>
  <c r="L115" i="2"/>
  <c r="L114" i="2"/>
  <c r="L113" i="2"/>
  <c r="L112" i="2"/>
  <c r="L109" i="2"/>
  <c r="L108" i="2"/>
  <c r="L107" i="2"/>
  <c r="L106" i="2"/>
  <c r="L105" i="2"/>
  <c r="L104" i="2"/>
  <c r="L101" i="2"/>
  <c r="L100" i="2"/>
  <c r="L99" i="2"/>
  <c r="L98" i="2"/>
  <c r="L97" i="2"/>
  <c r="L96" i="2"/>
  <c r="L94" i="2"/>
  <c r="L93" i="2"/>
  <c r="L125" i="2" s="1"/>
  <c r="L92" i="2"/>
  <c r="L91" i="2"/>
  <c r="L95" i="2" s="1"/>
  <c r="E76" i="2"/>
  <c r="E59" i="2"/>
  <c r="L59" i="2" s="1"/>
  <c r="E57" i="2"/>
  <c r="E56" i="2"/>
  <c r="L56" i="2" s="1"/>
  <c r="E55" i="2"/>
  <c r="L53" i="2"/>
  <c r="L52" i="2"/>
  <c r="E51" i="2"/>
  <c r="L51" i="2" s="1"/>
  <c r="E44" i="2"/>
  <c r="E43" i="2"/>
  <c r="L43" i="2" s="1"/>
  <c r="E42" i="2"/>
  <c r="E41" i="2"/>
  <c r="K49" i="2"/>
  <c r="K48" i="2"/>
  <c r="K47" i="2"/>
  <c r="K46" i="2"/>
  <c r="K45" i="2"/>
  <c r="E39" i="2"/>
  <c r="E49" i="2" s="1"/>
  <c r="E38" i="2"/>
  <c r="E37" i="2"/>
  <c r="E47" i="2" s="1"/>
  <c r="E36" i="2"/>
  <c r="K40" i="2"/>
  <c r="E29" i="2"/>
  <c r="L29" i="2" s="1"/>
  <c r="E28" i="2"/>
  <c r="E27" i="2"/>
  <c r="E26" i="2"/>
  <c r="L26" i="2" s="1"/>
  <c r="E24" i="2"/>
  <c r="L24" i="2" s="1"/>
  <c r="E23" i="2"/>
  <c r="L23" i="2" s="1"/>
  <c r="E22" i="2"/>
  <c r="E21" i="2"/>
  <c r="E19" i="2"/>
  <c r="L19" i="2" s="1"/>
  <c r="E18" i="2"/>
  <c r="L18" i="2" s="1"/>
  <c r="E17" i="2"/>
  <c r="L17" i="2" s="1"/>
  <c r="E16" i="2"/>
  <c r="L16" i="2" s="1"/>
  <c r="E14" i="2"/>
  <c r="E13" i="2"/>
  <c r="L13" i="2" s="1"/>
  <c r="E12" i="2"/>
  <c r="L12" i="2" s="1"/>
  <c r="E11" i="2"/>
  <c r="L11" i="2" s="1"/>
  <c r="K30" i="2"/>
  <c r="K25" i="2"/>
  <c r="K20" i="2"/>
  <c r="K15" i="2"/>
  <c r="K10" i="2"/>
  <c r="E9" i="2"/>
  <c r="L9" i="2" s="1"/>
  <c r="E8" i="2"/>
  <c r="L8" i="2" s="1"/>
  <c r="E7" i="2"/>
  <c r="L7" i="2" s="1"/>
  <c r="E6" i="2"/>
  <c r="N8" i="2"/>
  <c r="N7" i="2"/>
  <c r="M10" i="2"/>
  <c r="M31" i="2" s="1"/>
  <c r="D79" i="2"/>
  <c r="E79" i="2" s="1"/>
  <c r="D78" i="2"/>
  <c r="E78" i="2" s="1"/>
  <c r="D77" i="2"/>
  <c r="E77" i="2" s="1"/>
  <c r="D72" i="2"/>
  <c r="E72" i="2" s="1"/>
  <c r="N77" i="2"/>
  <c r="H77" i="2"/>
  <c r="G30" i="2"/>
  <c r="G25" i="2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N80" i="2" s="1"/>
  <c r="G79" i="2"/>
  <c r="H79" i="2" s="1"/>
  <c r="G78" i="2"/>
  <c r="G75" i="2"/>
  <c r="H75" i="2" s="1"/>
  <c r="N75" i="2" s="1"/>
  <c r="G74" i="2"/>
  <c r="G73" i="2"/>
  <c r="H73" i="2" s="1"/>
  <c r="N73" i="2" s="1"/>
  <c r="G72" i="2"/>
  <c r="H72" i="2" s="1"/>
  <c r="G71" i="2"/>
  <c r="H71" i="2" s="1"/>
  <c r="G70" i="2"/>
  <c r="H70" i="2" s="1"/>
  <c r="C82" i="2"/>
  <c r="C86" i="2"/>
  <c r="D86" i="2" s="1"/>
  <c r="E86" i="2" s="1"/>
  <c r="C85" i="2"/>
  <c r="D85" i="2" s="1"/>
  <c r="E85" i="2" s="1"/>
  <c r="C84" i="2"/>
  <c r="D84" i="2" s="1"/>
  <c r="E84" i="2" s="1"/>
  <c r="C83" i="2"/>
  <c r="D83" i="2" s="1"/>
  <c r="C81" i="2"/>
  <c r="D81" i="2" s="1"/>
  <c r="E81" i="2" s="1"/>
  <c r="C80" i="2"/>
  <c r="D80" i="2" s="1"/>
  <c r="C75" i="2"/>
  <c r="D75" i="2" s="1"/>
  <c r="E75" i="2" s="1"/>
  <c r="C74" i="2"/>
  <c r="D74" i="2" s="1"/>
  <c r="E74" i="2" s="1"/>
  <c r="C73" i="2"/>
  <c r="D73" i="2" s="1"/>
  <c r="E73" i="2" s="1"/>
  <c r="C71" i="2"/>
  <c r="D71" i="2" s="1"/>
  <c r="E71" i="2" s="1"/>
  <c r="C70" i="2"/>
  <c r="D70" i="2" s="1"/>
  <c r="E70" i="2" s="1"/>
  <c r="N53" i="2"/>
  <c r="N52" i="2"/>
  <c r="I49" i="2"/>
  <c r="H49" i="2"/>
  <c r="G49" i="2"/>
  <c r="F49" i="2"/>
  <c r="D49" i="2"/>
  <c r="C49" i="2"/>
  <c r="I48" i="2"/>
  <c r="H48" i="2"/>
  <c r="G48" i="2"/>
  <c r="F48" i="2"/>
  <c r="D48" i="2"/>
  <c r="C48" i="2"/>
  <c r="I47" i="2"/>
  <c r="H47" i="2"/>
  <c r="G47" i="2"/>
  <c r="F47" i="2"/>
  <c r="D47" i="2"/>
  <c r="C47" i="2"/>
  <c r="I46" i="2"/>
  <c r="H46" i="2"/>
  <c r="G46" i="2"/>
  <c r="F46" i="2"/>
  <c r="D46" i="2"/>
  <c r="C46" i="2"/>
  <c r="N33" i="2"/>
  <c r="N68" i="2" s="1"/>
  <c r="N89" i="2" s="1"/>
  <c r="L33" i="2"/>
  <c r="L68" i="2" s="1"/>
  <c r="L89" i="2" s="1"/>
  <c r="N120" i="2"/>
  <c r="N119" i="2"/>
  <c r="N118" i="2"/>
  <c r="N115" i="2"/>
  <c r="N114" i="2"/>
  <c r="N113" i="2"/>
  <c r="N112" i="2"/>
  <c r="N109" i="2"/>
  <c r="N108" i="2"/>
  <c r="N107" i="2"/>
  <c r="N106" i="2"/>
  <c r="N105" i="2"/>
  <c r="N104" i="2"/>
  <c r="N101" i="2"/>
  <c r="N100" i="2"/>
  <c r="N99" i="2"/>
  <c r="N98" i="2"/>
  <c r="N97" i="2"/>
  <c r="N96" i="2"/>
  <c r="N94" i="2"/>
  <c r="N93" i="2"/>
  <c r="N92" i="2"/>
  <c r="N91" i="2"/>
  <c r="N59" i="2"/>
  <c r="N57" i="2"/>
  <c r="N56" i="2"/>
  <c r="N55" i="2"/>
  <c r="N51" i="2"/>
  <c r="N44" i="2"/>
  <c r="N43" i="2"/>
  <c r="N42" i="2"/>
  <c r="N41" i="2"/>
  <c r="N39" i="2"/>
  <c r="N38" i="2"/>
  <c r="N37" i="2"/>
  <c r="N36" i="2"/>
  <c r="N29" i="2"/>
  <c r="N28" i="2"/>
  <c r="N27" i="2"/>
  <c r="N26" i="2"/>
  <c r="N24" i="2"/>
  <c r="N23" i="2"/>
  <c r="N22" i="2"/>
  <c r="N21" i="2"/>
  <c r="N19" i="2"/>
  <c r="N18" i="2"/>
  <c r="N17" i="2"/>
  <c r="N16" i="2"/>
  <c r="N14" i="2"/>
  <c r="N13" i="2"/>
  <c r="N12" i="2"/>
  <c r="N11" i="2"/>
  <c r="N9" i="2"/>
  <c r="L57" i="2"/>
  <c r="L55" i="2"/>
  <c r="L44" i="2"/>
  <c r="L42" i="2"/>
  <c r="L38" i="2"/>
  <c r="L37" i="2"/>
  <c r="L28" i="2"/>
  <c r="L27" i="2"/>
  <c r="L22" i="2"/>
  <c r="L14" i="2"/>
  <c r="I125" i="2"/>
  <c r="H125" i="2"/>
  <c r="G125" i="2"/>
  <c r="I124" i="2"/>
  <c r="H124" i="2"/>
  <c r="G124" i="2"/>
  <c r="I121" i="2"/>
  <c r="H121" i="2"/>
  <c r="G121" i="2"/>
  <c r="I116" i="2"/>
  <c r="H116" i="2"/>
  <c r="G116" i="2"/>
  <c r="I102" i="2"/>
  <c r="H102" i="2"/>
  <c r="G102" i="2"/>
  <c r="I95" i="2"/>
  <c r="H95" i="2"/>
  <c r="G95" i="2"/>
  <c r="I87" i="2"/>
  <c r="I45" i="2"/>
  <c r="H45" i="2"/>
  <c r="G45" i="2"/>
  <c r="I40" i="2"/>
  <c r="H40" i="2"/>
  <c r="G40" i="2"/>
  <c r="I33" i="2"/>
  <c r="I68" i="2" s="1"/>
  <c r="I89" i="2" s="1"/>
  <c r="H33" i="2"/>
  <c r="H68" i="2" s="1"/>
  <c r="H89" i="2" s="1"/>
  <c r="G33" i="2"/>
  <c r="G68" i="2" s="1"/>
  <c r="I30" i="2"/>
  <c r="H30" i="2"/>
  <c r="I25" i="2"/>
  <c r="H25" i="2"/>
  <c r="I20" i="2"/>
  <c r="H20" i="2"/>
  <c r="G20" i="2"/>
  <c r="I15" i="2"/>
  <c r="H15" i="2"/>
  <c r="G15" i="2"/>
  <c r="H10" i="2"/>
  <c r="G10" i="2"/>
  <c r="F125" i="2"/>
  <c r="E125" i="2"/>
  <c r="D125" i="2"/>
  <c r="C125" i="2"/>
  <c r="B125" i="2"/>
  <c r="F124" i="2"/>
  <c r="E124" i="2"/>
  <c r="D124" i="2"/>
  <c r="C124" i="2"/>
  <c r="B124" i="2"/>
  <c r="F121" i="2"/>
  <c r="E121" i="2"/>
  <c r="D121" i="2"/>
  <c r="C121" i="2"/>
  <c r="B121" i="2"/>
  <c r="F116" i="2"/>
  <c r="E116" i="2"/>
  <c r="D116" i="2"/>
  <c r="C116" i="2"/>
  <c r="B116" i="2"/>
  <c r="F102" i="2"/>
  <c r="E102" i="2"/>
  <c r="D102" i="2"/>
  <c r="C102" i="2"/>
  <c r="B102" i="2"/>
  <c r="F95" i="2"/>
  <c r="E95" i="2"/>
  <c r="D95" i="2"/>
  <c r="C95" i="2"/>
  <c r="F87" i="2"/>
  <c r="F45" i="2"/>
  <c r="D45" i="2"/>
  <c r="C45" i="2"/>
  <c r="F40" i="2"/>
  <c r="D40" i="2"/>
  <c r="C40" i="2"/>
  <c r="F30" i="2"/>
  <c r="D30" i="2"/>
  <c r="C30" i="2"/>
  <c r="F25" i="2"/>
  <c r="D25" i="2"/>
  <c r="C25" i="2"/>
  <c r="F20" i="2"/>
  <c r="D20" i="2"/>
  <c r="C20" i="2"/>
  <c r="F15" i="2"/>
  <c r="D15" i="2"/>
  <c r="C15" i="2"/>
  <c r="F10" i="2"/>
  <c r="D10" i="2"/>
  <c r="C10" i="2"/>
  <c r="E33" i="2"/>
  <c r="E68" i="2" s="1"/>
  <c r="E89" i="2" s="1"/>
  <c r="D33" i="2"/>
  <c r="D68" i="2" s="1"/>
  <c r="D89" i="2" s="1"/>
  <c r="C33" i="2"/>
  <c r="C68" i="2" s="1"/>
  <c r="C89" i="2" s="1"/>
  <c r="B95" i="2"/>
  <c r="B87" i="2"/>
  <c r="B30" i="2"/>
  <c r="B25" i="2"/>
  <c r="B20" i="2"/>
  <c r="B15" i="2"/>
  <c r="B10" i="2"/>
  <c r="F33" i="2"/>
  <c r="F68" i="2" s="1"/>
  <c r="F89" i="2" s="1"/>
  <c r="B33" i="2"/>
  <c r="B68" i="2" s="1"/>
  <c r="B89" i="2" s="1"/>
  <c r="B49" i="2"/>
  <c r="B48" i="2"/>
  <c r="B47" i="2"/>
  <c r="B46" i="2"/>
  <c r="B40" i="2"/>
  <c r="B45" i="2"/>
  <c r="L111" i="2" l="1"/>
  <c r="N111" i="2"/>
  <c r="L102" i="2"/>
  <c r="L103" i="2" s="1"/>
  <c r="L116" i="2"/>
  <c r="K31" i="2"/>
  <c r="E30" i="2"/>
  <c r="L30" i="2" s="1"/>
  <c r="L72" i="2"/>
  <c r="E83" i="2"/>
  <c r="L83" i="2" s="1"/>
  <c r="L78" i="2"/>
  <c r="E45" i="2"/>
  <c r="L124" i="2"/>
  <c r="L86" i="2"/>
  <c r="L77" i="2"/>
  <c r="K80" i="2" s="1"/>
  <c r="L79" i="2"/>
  <c r="E48" i="2"/>
  <c r="L39" i="2"/>
  <c r="L49" i="2" s="1"/>
  <c r="K50" i="2"/>
  <c r="K54" i="2" s="1"/>
  <c r="K58" i="2" s="1"/>
  <c r="K60" i="2" s="1"/>
  <c r="L41" i="2"/>
  <c r="E25" i="2"/>
  <c r="L25" i="2" s="1"/>
  <c r="E46" i="2"/>
  <c r="L36" i="2"/>
  <c r="E40" i="2"/>
  <c r="L40" i="2" s="1"/>
  <c r="L21" i="2"/>
  <c r="E20" i="2"/>
  <c r="L20" i="2" s="1"/>
  <c r="E15" i="2"/>
  <c r="L15" i="2" s="1"/>
  <c r="I10" i="2"/>
  <c r="I31" i="2" s="1"/>
  <c r="N6" i="2"/>
  <c r="I50" i="2"/>
  <c r="I54" i="2" s="1"/>
  <c r="I58" i="2" s="1"/>
  <c r="I60" i="2" s="1"/>
  <c r="B103" i="2"/>
  <c r="N83" i="2"/>
  <c r="L84" i="2"/>
  <c r="D82" i="2"/>
  <c r="N84" i="2"/>
  <c r="N71" i="2"/>
  <c r="N86" i="2"/>
  <c r="N82" i="2"/>
  <c r="H78" i="2"/>
  <c r="N78" i="2" s="1"/>
  <c r="L85" i="2"/>
  <c r="L81" i="2"/>
  <c r="L75" i="2"/>
  <c r="L74" i="2"/>
  <c r="L73" i="2"/>
  <c r="L71" i="2"/>
  <c r="N85" i="2"/>
  <c r="N81" i="2"/>
  <c r="N79" i="2"/>
  <c r="H74" i="2"/>
  <c r="N74" i="2" s="1"/>
  <c r="N72" i="2"/>
  <c r="N49" i="2"/>
  <c r="L48" i="2"/>
  <c r="N125" i="2"/>
  <c r="G87" i="2"/>
  <c r="N70" i="2"/>
  <c r="N47" i="2"/>
  <c r="N46" i="2"/>
  <c r="N48" i="2"/>
  <c r="C50" i="2"/>
  <c r="C54" i="2" s="1"/>
  <c r="C58" i="2" s="1"/>
  <c r="C60" i="2" s="1"/>
  <c r="C62" i="2" s="1"/>
  <c r="L47" i="2"/>
  <c r="N124" i="2"/>
  <c r="G89" i="2"/>
  <c r="H50" i="2"/>
  <c r="H54" i="2" s="1"/>
  <c r="H58" i="2" s="1"/>
  <c r="H60" i="2" s="1"/>
  <c r="D50" i="2"/>
  <c r="D54" i="2" s="1"/>
  <c r="D58" i="2" s="1"/>
  <c r="D60" i="2" s="1"/>
  <c r="C87" i="2"/>
  <c r="L70" i="2"/>
  <c r="L45" i="2"/>
  <c r="I103" i="2"/>
  <c r="N95" i="2"/>
  <c r="G31" i="2"/>
  <c r="N20" i="2"/>
  <c r="D117" i="2"/>
  <c r="D122" i="2" s="1"/>
  <c r="N30" i="2"/>
  <c r="C103" i="2"/>
  <c r="N102" i="2"/>
  <c r="N121" i="2"/>
  <c r="D103" i="2"/>
  <c r="E117" i="2"/>
  <c r="E122" i="2" s="1"/>
  <c r="H31" i="2"/>
  <c r="H103" i="2"/>
  <c r="C117" i="2"/>
  <c r="B117" i="2"/>
  <c r="B122" i="2" s="1"/>
  <c r="N15" i="2"/>
  <c r="N25" i="2"/>
  <c r="L121" i="2"/>
  <c r="N45" i="2"/>
  <c r="F117" i="2"/>
  <c r="H117" i="2"/>
  <c r="H122" i="2" s="1"/>
  <c r="I117" i="2"/>
  <c r="I122" i="2" s="1"/>
  <c r="N116" i="2"/>
  <c r="N40" i="2"/>
  <c r="G50" i="2"/>
  <c r="G117" i="2"/>
  <c r="G122" i="2" s="1"/>
  <c r="G103" i="2"/>
  <c r="C31" i="2"/>
  <c r="D31" i="2"/>
  <c r="F31" i="2"/>
  <c r="E103" i="2"/>
  <c r="F50" i="2"/>
  <c r="F54" i="2" s="1"/>
  <c r="F103" i="2"/>
  <c r="B31" i="2"/>
  <c r="B50" i="2"/>
  <c r="B54" i="2" s="1"/>
  <c r="L117" i="2" l="1"/>
  <c r="E50" i="2"/>
  <c r="E54" i="2" s="1"/>
  <c r="E58" i="2" s="1"/>
  <c r="E60" i="2" s="1"/>
  <c r="E63" i="2" s="1"/>
  <c r="L46" i="2"/>
  <c r="D87" i="2"/>
  <c r="E82" i="2"/>
  <c r="L82" i="2" s="1"/>
  <c r="K87" i="2"/>
  <c r="E80" i="2"/>
  <c r="N10" i="2"/>
  <c r="N31" i="2" s="1"/>
  <c r="H87" i="2"/>
  <c r="N87" i="2" s="1"/>
  <c r="D63" i="2"/>
  <c r="D62" i="2"/>
  <c r="H63" i="2"/>
  <c r="H62" i="2"/>
  <c r="I63" i="2"/>
  <c r="I62" i="2"/>
  <c r="C63" i="2"/>
  <c r="G54" i="2"/>
  <c r="G58" i="2" s="1"/>
  <c r="G60" i="2" s="1"/>
  <c r="N103" i="2"/>
  <c r="C122" i="2"/>
  <c r="L122" i="2" s="1"/>
  <c r="F122" i="2"/>
  <c r="N122" i="2" s="1"/>
  <c r="N117" i="2"/>
  <c r="N50" i="2"/>
  <c r="N54" i="2" s="1"/>
  <c r="E62" i="2" l="1"/>
  <c r="L50" i="2"/>
  <c r="L54" i="2" s="1"/>
  <c r="E87" i="2"/>
  <c r="L87" i="2" s="1"/>
  <c r="L80" i="2"/>
  <c r="G62" i="2"/>
  <c r="G63" i="2"/>
  <c r="B58" i="2"/>
  <c r="F58" i="2"/>
  <c r="B60" i="2" l="1"/>
  <c r="L58" i="2"/>
  <c r="F60" i="2"/>
  <c r="N58" i="2"/>
  <c r="L60" i="2" l="1"/>
  <c r="B62" i="2"/>
  <c r="B63" i="2"/>
  <c r="F62" i="2"/>
  <c r="N62" i="2" s="1"/>
  <c r="N60" i="2"/>
  <c r="F63" i="2"/>
  <c r="N63" i="2" s="1"/>
  <c r="L6" i="2"/>
  <c r="E10" i="2"/>
  <c r="L10" i="2" s="1"/>
  <c r="L31" i="2" s="1"/>
  <c r="L63" i="2" l="1"/>
  <c r="L62" i="2"/>
  <c r="E31" i="2"/>
</calcChain>
</file>

<file path=xl/sharedStrings.xml><?xml version="1.0" encoding="utf-8"?>
<sst xmlns="http://schemas.openxmlformats.org/spreadsheetml/2006/main" count="123" uniqueCount="119">
  <si>
    <t>Headquarters: West Fargo, ND</t>
  </si>
  <si>
    <t>One of the largest dealers of agricultural and construction equipment, largest dealer for CNH in the world.</t>
  </si>
  <si>
    <t>Revenue</t>
  </si>
  <si>
    <t>Equipment</t>
  </si>
  <si>
    <t>Parts</t>
  </si>
  <si>
    <t>Service</t>
  </si>
  <si>
    <t>Rental and other</t>
  </si>
  <si>
    <t>Total Rev</t>
  </si>
  <si>
    <t>Q123</t>
  </si>
  <si>
    <t>Q124</t>
  </si>
  <si>
    <t>Equip COGS</t>
  </si>
  <si>
    <t>Parts COGS</t>
  </si>
  <si>
    <t>Service COGS</t>
  </si>
  <si>
    <t>Rental COGS</t>
  </si>
  <si>
    <t>Total COGS</t>
  </si>
  <si>
    <t>Equip GM</t>
  </si>
  <si>
    <t>Parts GM</t>
  </si>
  <si>
    <t>Service GM</t>
  </si>
  <si>
    <t>Rental GM</t>
  </si>
  <si>
    <t>Total GM</t>
  </si>
  <si>
    <t>OpEx</t>
  </si>
  <si>
    <t>OpInc</t>
  </si>
  <si>
    <t>Int and other income</t>
  </si>
  <si>
    <t>Other int exp</t>
  </si>
  <si>
    <t>Floorplan int exp</t>
  </si>
  <si>
    <t>PreTax Inc</t>
  </si>
  <si>
    <t>Ag Equip Rev</t>
  </si>
  <si>
    <t>Const Equip Rev</t>
  </si>
  <si>
    <t>Ag Service Rev</t>
  </si>
  <si>
    <t>Europe Equip Rev</t>
  </si>
  <si>
    <t>Austrailia Equip Rev</t>
  </si>
  <si>
    <t>Total Equip</t>
  </si>
  <si>
    <t>Europe Service Rev</t>
  </si>
  <si>
    <t>Austrailia Service Rev</t>
  </si>
  <si>
    <t>Total Service</t>
  </si>
  <si>
    <t>Ag Parts Rev</t>
  </si>
  <si>
    <t>Const Parts Rev</t>
  </si>
  <si>
    <t>Europe Parts Rev</t>
  </si>
  <si>
    <t>Australia Parts Rev</t>
  </si>
  <si>
    <t>Total Parts</t>
  </si>
  <si>
    <t>Ag Other Rev</t>
  </si>
  <si>
    <t>Const Other Rev</t>
  </si>
  <si>
    <t>Const Service Rev</t>
  </si>
  <si>
    <t>Total Other</t>
  </si>
  <si>
    <t>Europe Other Rev</t>
  </si>
  <si>
    <t>Australia Other Rev</t>
  </si>
  <si>
    <t>Ag Rental</t>
  </si>
  <si>
    <t>Const Rental</t>
  </si>
  <si>
    <t>Europe Rental</t>
  </si>
  <si>
    <t>Australia Rental</t>
  </si>
  <si>
    <t>Total Rental</t>
  </si>
  <si>
    <t>NI</t>
  </si>
  <si>
    <t>D&amp;A</t>
  </si>
  <si>
    <t>Def IncTax</t>
  </si>
  <si>
    <t>Stock-based comp</t>
  </si>
  <si>
    <t>Other</t>
  </si>
  <si>
    <t>Delta AR</t>
  </si>
  <si>
    <t>Delta Prepays and other</t>
  </si>
  <si>
    <t>Delta Inventories</t>
  </si>
  <si>
    <t>Delta Floorplan payable</t>
  </si>
  <si>
    <t>Delta def rev</t>
  </si>
  <si>
    <t>Delta AP</t>
  </si>
  <si>
    <t>CFFO</t>
  </si>
  <si>
    <t>Prov for IncTax</t>
  </si>
  <si>
    <t>Net income</t>
  </si>
  <si>
    <t>EPS Basic</t>
  </si>
  <si>
    <t>EPS Diluted</t>
  </si>
  <si>
    <t>Basic Shares</t>
  </si>
  <si>
    <t>Diluted Shares</t>
  </si>
  <si>
    <t>Cash</t>
  </si>
  <si>
    <t>AR</t>
  </si>
  <si>
    <t>Inv</t>
  </si>
  <si>
    <t>Prepays</t>
  </si>
  <si>
    <t>Current Assets</t>
  </si>
  <si>
    <t>Q223</t>
  </si>
  <si>
    <t>Q323</t>
  </si>
  <si>
    <t>Q423</t>
  </si>
  <si>
    <t>PPE</t>
  </si>
  <si>
    <t>OpLease Assets</t>
  </si>
  <si>
    <t>Goodwill</t>
  </si>
  <si>
    <t>Intangibles</t>
  </si>
  <si>
    <t>Total Noncurrent</t>
  </si>
  <si>
    <t>Total Assets</t>
  </si>
  <si>
    <t>Balance Sheet</t>
  </si>
  <si>
    <t>Cash flow</t>
  </si>
  <si>
    <t>Inc Statement</t>
  </si>
  <si>
    <t>AP</t>
  </si>
  <si>
    <t>Floorplan</t>
  </si>
  <si>
    <t>CPLTD</t>
  </si>
  <si>
    <t>Curr OpLease</t>
  </si>
  <si>
    <t>Def Rev</t>
  </si>
  <si>
    <t>Accrued Exp</t>
  </si>
  <si>
    <t>Current Libs</t>
  </si>
  <si>
    <t>LTD</t>
  </si>
  <si>
    <t>OpLease</t>
  </si>
  <si>
    <t>Other LT Libs</t>
  </si>
  <si>
    <t>Total LT Libs</t>
  </si>
  <si>
    <t>Total Libs</t>
  </si>
  <si>
    <t>Capital</t>
  </si>
  <si>
    <t>Ret Earnings</t>
  </si>
  <si>
    <t>Other Inc</t>
  </si>
  <si>
    <t>Total Equity</t>
  </si>
  <si>
    <t>Lib+Equity</t>
  </si>
  <si>
    <t>Floorplan Margin</t>
  </si>
  <si>
    <t>Floorplan Ratio</t>
  </si>
  <si>
    <t>Q424</t>
  </si>
  <si>
    <t>Q324</t>
  </si>
  <si>
    <t>Q224</t>
  </si>
  <si>
    <t>Impairment of Goodwill</t>
  </si>
  <si>
    <t>Impairment of Intangible</t>
  </si>
  <si>
    <t>Impairment</t>
  </si>
  <si>
    <t>Sale-Leaseback finance mod</t>
  </si>
  <si>
    <t>Gain on extinguishment of debt</t>
  </si>
  <si>
    <t>Noncash lease expense</t>
  </si>
  <si>
    <t>Noncash int</t>
  </si>
  <si>
    <t>Gain on sale of prop</t>
  </si>
  <si>
    <t>IncTaxPayable</t>
  </si>
  <si>
    <t>Employees</t>
  </si>
  <si>
    <t>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</si>
</sst>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3" fontId="0" fillId="0" borderId="0" xfId="0" applyNumberFormat="1"/>
    <xf numFmtId="165" fontId="1" fillId="0" borderId="0" xfId="0" applyNumberFormat="1" applyFont="1"/>
    <xf numFmtId="2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workbookViewId="0">
      <selection activeCell="B5" sqref="B5"/>
    </sheetView>
  </sheetViews>
  <sheetFormatPr defaultRowHeight="14.5" x14ac:dyDescent="0.35"/>
  <sheetData>
    <row r="2" spans="2:2" x14ac:dyDescent="0.35">
      <c r="B2" t="s">
        <v>1</v>
      </c>
    </row>
    <row r="3" spans="2:2" x14ac:dyDescent="0.35">
      <c r="B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C6758-3054-45BD-A746-0979BE500444}">
  <dimension ref="A1:Q125"/>
  <sheetViews>
    <sheetView tabSelected="1" workbookViewId="0">
      <selection activeCell="I3" sqref="I3"/>
    </sheetView>
  </sheetViews>
  <sheetFormatPr defaultRowHeight="14.5" x14ac:dyDescent="0.35"/>
  <cols>
    <col min="1" max="1" width="27.36328125" bestFit="1" customWidth="1"/>
    <col min="2" max="3" width="9.90625" bestFit="1" customWidth="1"/>
    <col min="4" max="4" width="9.7265625" bestFit="1" customWidth="1"/>
    <col min="5" max="5" width="10.36328125" bestFit="1" customWidth="1"/>
    <col min="6" max="7" width="9.90625" bestFit="1" customWidth="1"/>
    <col min="8" max="9" width="9.7265625" bestFit="1" customWidth="1"/>
    <col min="11" max="11" width="9.90625" hidden="1" customWidth="1"/>
    <col min="12" max="12" width="9.90625" bestFit="1" customWidth="1"/>
    <col min="13" max="13" width="9.90625" customWidth="1"/>
    <col min="14" max="14" width="9.90625" bestFit="1" customWidth="1"/>
  </cols>
  <sheetData>
    <row r="1" spans="1:14" s="1" customFormat="1" x14ac:dyDescent="0.35">
      <c r="B1" s="1" t="s">
        <v>8</v>
      </c>
      <c r="C1" s="1" t="s">
        <v>74</v>
      </c>
      <c r="D1" s="1" t="s">
        <v>75</v>
      </c>
      <c r="E1" s="1" t="s">
        <v>76</v>
      </c>
      <c r="F1" s="1" t="s">
        <v>9</v>
      </c>
      <c r="G1" s="1" t="s">
        <v>107</v>
      </c>
      <c r="H1" s="1" t="s">
        <v>106</v>
      </c>
      <c r="I1" s="1" t="s">
        <v>105</v>
      </c>
      <c r="L1" s="1">
        <v>2023</v>
      </c>
      <c r="N1" s="1">
        <v>2024</v>
      </c>
    </row>
    <row r="2" spans="1:14" s="1" customFormat="1" x14ac:dyDescent="0.35"/>
    <row r="3" spans="1:14" x14ac:dyDescent="0.35">
      <c r="A3" s="1" t="s">
        <v>118</v>
      </c>
      <c r="E3">
        <v>148</v>
      </c>
      <c r="L3">
        <f>E3</f>
        <v>148</v>
      </c>
    </row>
    <row r="4" spans="1:14" s="4" customFormat="1" x14ac:dyDescent="0.35">
      <c r="A4" s="7" t="s">
        <v>117</v>
      </c>
      <c r="E4" s="4">
        <v>3338</v>
      </c>
      <c r="L4" s="4">
        <f>E4</f>
        <v>3338</v>
      </c>
    </row>
    <row r="6" spans="1:14" x14ac:dyDescent="0.35">
      <c r="A6" t="s">
        <v>26</v>
      </c>
      <c r="B6" s="2">
        <v>325660</v>
      </c>
      <c r="C6" s="2">
        <v>352533</v>
      </c>
      <c r="D6" s="2">
        <v>408648</v>
      </c>
      <c r="E6" s="2">
        <f>K6-D6-C6-B6</f>
        <v>537169</v>
      </c>
      <c r="F6" s="2">
        <v>338713</v>
      </c>
      <c r="G6" s="2">
        <v>312556</v>
      </c>
      <c r="H6" s="2">
        <v>358430</v>
      </c>
      <c r="I6" s="2"/>
      <c r="K6" s="2">
        <v>1624010</v>
      </c>
      <c r="L6" s="2">
        <f>SUM(B6:E6)</f>
        <v>1624010</v>
      </c>
      <c r="M6" s="2"/>
      <c r="N6" s="2">
        <f>SUM(F6:I6)</f>
        <v>1009699</v>
      </c>
    </row>
    <row r="7" spans="1:14" x14ac:dyDescent="0.35">
      <c r="A7" t="s">
        <v>27</v>
      </c>
      <c r="B7" s="2">
        <v>45458</v>
      </c>
      <c r="C7" s="2">
        <v>53697</v>
      </c>
      <c r="D7" s="2">
        <v>47364</v>
      </c>
      <c r="E7" s="2">
        <f t="shared" ref="E7:E29" si="0">K7-D7-C7-B7</f>
        <v>74621</v>
      </c>
      <c r="F7" s="2">
        <v>47095</v>
      </c>
      <c r="G7" s="2">
        <v>52844</v>
      </c>
      <c r="H7" s="2">
        <v>53770</v>
      </c>
      <c r="I7" s="2"/>
      <c r="K7" s="2">
        <v>221140</v>
      </c>
      <c r="L7" s="2">
        <f t="shared" ref="L7:L71" si="1">SUM(B7:E7)</f>
        <v>221140</v>
      </c>
      <c r="M7" s="2"/>
      <c r="N7" s="2">
        <f t="shared" ref="N7:N71" si="2">SUM(F7:I7)</f>
        <v>153709</v>
      </c>
    </row>
    <row r="8" spans="1:14" x14ac:dyDescent="0.35">
      <c r="A8" t="s">
        <v>29</v>
      </c>
      <c r="B8" s="2">
        <v>58258</v>
      </c>
      <c r="C8" s="2">
        <v>73892</v>
      </c>
      <c r="D8" s="2">
        <v>65763</v>
      </c>
      <c r="E8" s="2">
        <f t="shared" si="0"/>
        <v>47510</v>
      </c>
      <c r="F8" s="2">
        <v>47499</v>
      </c>
      <c r="G8" s="2">
        <v>49146</v>
      </c>
      <c r="H8" s="2">
        <v>41893</v>
      </c>
      <c r="I8" s="2"/>
      <c r="K8" s="2">
        <v>245423</v>
      </c>
      <c r="L8" s="2">
        <f t="shared" si="1"/>
        <v>245423</v>
      </c>
      <c r="M8" s="2"/>
      <c r="N8" s="2">
        <f t="shared" si="2"/>
        <v>138538</v>
      </c>
    </row>
    <row r="9" spans="1:14" x14ac:dyDescent="0.35">
      <c r="A9" t="s">
        <v>30</v>
      </c>
      <c r="B9" s="2"/>
      <c r="C9" s="2"/>
      <c r="D9" s="2"/>
      <c r="E9" s="2">
        <f t="shared" si="0"/>
        <v>54743</v>
      </c>
      <c r="F9" s="2">
        <v>34782</v>
      </c>
      <c r="G9" s="2">
        <v>50687</v>
      </c>
      <c r="H9" s="2">
        <v>41054</v>
      </c>
      <c r="I9" s="2"/>
      <c r="K9" s="2">
        <v>54743</v>
      </c>
      <c r="L9" s="2">
        <f t="shared" si="1"/>
        <v>54743</v>
      </c>
      <c r="M9" s="2"/>
      <c r="N9" s="2">
        <f t="shared" si="2"/>
        <v>126523</v>
      </c>
    </row>
    <row r="10" spans="1:14" s="1" customFormat="1" x14ac:dyDescent="0.35">
      <c r="A10" s="1" t="s">
        <v>31</v>
      </c>
      <c r="B10" s="3">
        <f>SUM(B6:B9)</f>
        <v>429376</v>
      </c>
      <c r="C10" s="3">
        <f t="shared" ref="C10:I10" si="3">SUM(C6:C9)</f>
        <v>480122</v>
      </c>
      <c r="D10" s="3">
        <f t="shared" si="3"/>
        <v>521775</v>
      </c>
      <c r="E10" s="3">
        <f t="shared" si="3"/>
        <v>714043</v>
      </c>
      <c r="F10" s="3">
        <f t="shared" si="3"/>
        <v>468089</v>
      </c>
      <c r="G10" s="3">
        <f t="shared" si="3"/>
        <v>465233</v>
      </c>
      <c r="H10" s="3">
        <f t="shared" si="3"/>
        <v>495147</v>
      </c>
      <c r="I10" s="3">
        <f t="shared" si="3"/>
        <v>0</v>
      </c>
      <c r="K10" s="3">
        <f>SUM(K6:K9)</f>
        <v>2145316</v>
      </c>
      <c r="L10" s="3">
        <f t="shared" si="1"/>
        <v>2145316</v>
      </c>
      <c r="M10" s="3">
        <f>SUM(M6:M9)</f>
        <v>0</v>
      </c>
      <c r="N10" s="3">
        <f t="shared" si="2"/>
        <v>1428469</v>
      </c>
    </row>
    <row r="11" spans="1:14" x14ac:dyDescent="0.35">
      <c r="A11" t="s">
        <v>35</v>
      </c>
      <c r="B11" s="2">
        <v>69547</v>
      </c>
      <c r="C11" s="2">
        <v>82246</v>
      </c>
      <c r="D11" s="2">
        <v>86173</v>
      </c>
      <c r="E11" s="2">
        <f t="shared" si="0"/>
        <v>55588</v>
      </c>
      <c r="F11" s="2">
        <v>74965</v>
      </c>
      <c r="G11" s="2">
        <v>75430</v>
      </c>
      <c r="H11" s="2">
        <v>84763</v>
      </c>
      <c r="I11" s="2"/>
      <c r="K11" s="2">
        <v>293554</v>
      </c>
      <c r="L11" s="2">
        <f t="shared" si="1"/>
        <v>293554</v>
      </c>
      <c r="M11" s="2"/>
      <c r="N11" s="2">
        <f t="shared" si="2"/>
        <v>235158</v>
      </c>
    </row>
    <row r="12" spans="1:14" x14ac:dyDescent="0.35">
      <c r="A12" t="s">
        <v>36</v>
      </c>
      <c r="B12" s="2">
        <v>13664</v>
      </c>
      <c r="C12" s="2">
        <v>12537</v>
      </c>
      <c r="D12" s="2">
        <v>12943</v>
      </c>
      <c r="E12" s="2">
        <f t="shared" si="0"/>
        <v>11875</v>
      </c>
      <c r="F12" s="2">
        <v>11830</v>
      </c>
      <c r="G12" s="2">
        <v>11049</v>
      </c>
      <c r="H12" s="2">
        <v>13704</v>
      </c>
      <c r="I12" s="2"/>
      <c r="K12" s="2">
        <v>51019</v>
      </c>
      <c r="L12" s="2">
        <f t="shared" si="1"/>
        <v>51019</v>
      </c>
      <c r="M12" s="2"/>
      <c r="N12" s="2">
        <f t="shared" si="2"/>
        <v>36583</v>
      </c>
    </row>
    <row r="13" spans="1:14" x14ac:dyDescent="0.35">
      <c r="A13" t="s">
        <v>37</v>
      </c>
      <c r="B13" s="2">
        <v>13395</v>
      </c>
      <c r="C13" s="2">
        <v>13727</v>
      </c>
      <c r="D13" s="2">
        <v>15846</v>
      </c>
      <c r="E13" s="2">
        <f t="shared" si="0"/>
        <v>11388</v>
      </c>
      <c r="F13" s="2">
        <v>14524</v>
      </c>
      <c r="G13" s="2">
        <v>15407</v>
      </c>
      <c r="H13" s="2">
        <v>16290</v>
      </c>
      <c r="I13" s="2"/>
      <c r="K13" s="2">
        <v>54356</v>
      </c>
      <c r="L13" s="2">
        <f t="shared" si="1"/>
        <v>54356</v>
      </c>
      <c r="M13" s="2"/>
      <c r="N13" s="2">
        <f t="shared" si="2"/>
        <v>46221</v>
      </c>
    </row>
    <row r="14" spans="1:14" x14ac:dyDescent="0.35">
      <c r="A14" t="s">
        <v>38</v>
      </c>
      <c r="B14" s="2"/>
      <c r="C14" s="2"/>
      <c r="D14" s="2"/>
      <c r="E14" s="2">
        <f t="shared" si="0"/>
        <v>11912</v>
      </c>
      <c r="F14" s="2">
        <v>6907</v>
      </c>
      <c r="G14" s="2">
        <v>7919</v>
      </c>
      <c r="H14" s="2">
        <v>6329</v>
      </c>
      <c r="I14" s="2"/>
      <c r="K14" s="2">
        <v>11912</v>
      </c>
      <c r="L14" s="2">
        <f t="shared" si="1"/>
        <v>11912</v>
      </c>
      <c r="M14" s="2"/>
      <c r="N14" s="2">
        <f t="shared" si="2"/>
        <v>21155</v>
      </c>
    </row>
    <row r="15" spans="1:14" s="1" customFormat="1" x14ac:dyDescent="0.35">
      <c r="A15" s="1" t="s">
        <v>39</v>
      </c>
      <c r="B15" s="3">
        <f>SUM(B11:B14)</f>
        <v>96606</v>
      </c>
      <c r="C15" s="3">
        <f t="shared" ref="C15:I15" si="4">SUM(C11:C14)</f>
        <v>108510</v>
      </c>
      <c r="D15" s="3">
        <f t="shared" si="4"/>
        <v>114962</v>
      </c>
      <c r="E15" s="3">
        <f t="shared" si="4"/>
        <v>90763</v>
      </c>
      <c r="F15" s="3">
        <f t="shared" si="4"/>
        <v>108226</v>
      </c>
      <c r="G15" s="3">
        <f t="shared" si="4"/>
        <v>109805</v>
      </c>
      <c r="H15" s="3">
        <f t="shared" si="4"/>
        <v>121086</v>
      </c>
      <c r="I15" s="3">
        <f t="shared" si="4"/>
        <v>0</v>
      </c>
      <c r="K15" s="3">
        <f t="shared" ref="K15" si="5">SUM(K11:K14)</f>
        <v>410841</v>
      </c>
      <c r="L15" s="3">
        <f t="shared" si="1"/>
        <v>410841</v>
      </c>
      <c r="M15" s="3"/>
      <c r="N15" s="3">
        <f t="shared" si="2"/>
        <v>339117</v>
      </c>
    </row>
    <row r="16" spans="1:14" x14ac:dyDescent="0.35">
      <c r="A16" t="s">
        <v>28</v>
      </c>
      <c r="B16" s="2">
        <v>26266</v>
      </c>
      <c r="C16" s="2">
        <v>32526</v>
      </c>
      <c r="D16" s="2">
        <v>34718</v>
      </c>
      <c r="E16" s="2">
        <f t="shared" si="0"/>
        <v>23577</v>
      </c>
      <c r="F16" s="2">
        <v>32943</v>
      </c>
      <c r="G16" s="2">
        <v>34570</v>
      </c>
      <c r="H16" s="2">
        <v>37275</v>
      </c>
      <c r="I16" s="2"/>
      <c r="K16" s="2">
        <v>117087</v>
      </c>
      <c r="L16" s="2">
        <f t="shared" si="1"/>
        <v>117087</v>
      </c>
      <c r="M16" s="2"/>
      <c r="N16" s="2">
        <f t="shared" si="2"/>
        <v>104788</v>
      </c>
    </row>
    <row r="17" spans="1:14" x14ac:dyDescent="0.35">
      <c r="A17" t="s">
        <v>42</v>
      </c>
      <c r="B17" s="2">
        <v>6336</v>
      </c>
      <c r="C17" s="2">
        <v>7347</v>
      </c>
      <c r="D17" s="2">
        <v>7084</v>
      </c>
      <c r="E17" s="2">
        <f t="shared" si="0"/>
        <v>6146</v>
      </c>
      <c r="F17" s="2">
        <v>6800</v>
      </c>
      <c r="G17" s="2">
        <v>7214</v>
      </c>
      <c r="H17" s="2">
        <v>7730</v>
      </c>
      <c r="I17" s="2"/>
      <c r="K17" s="2">
        <v>26913</v>
      </c>
      <c r="L17" s="2">
        <f t="shared" si="1"/>
        <v>26913</v>
      </c>
      <c r="M17" s="2"/>
      <c r="N17" s="2">
        <f t="shared" si="2"/>
        <v>21744</v>
      </c>
    </row>
    <row r="18" spans="1:14" x14ac:dyDescent="0.35">
      <c r="A18" t="s">
        <v>32</v>
      </c>
      <c r="B18" s="2">
        <v>2331</v>
      </c>
      <c r="C18" s="2">
        <v>2605</v>
      </c>
      <c r="D18" s="2">
        <v>2965</v>
      </c>
      <c r="E18" s="2">
        <f t="shared" si="0"/>
        <v>2536</v>
      </c>
      <c r="F18" s="2">
        <v>2757</v>
      </c>
      <c r="G18" s="2">
        <v>3076</v>
      </c>
      <c r="H18" s="2">
        <v>3516</v>
      </c>
      <c r="I18" s="2"/>
      <c r="K18" s="2">
        <v>10437</v>
      </c>
      <c r="L18" s="2">
        <f t="shared" si="1"/>
        <v>10437</v>
      </c>
      <c r="M18" s="2"/>
      <c r="N18" s="2">
        <f t="shared" si="2"/>
        <v>9349</v>
      </c>
    </row>
    <row r="19" spans="1:14" x14ac:dyDescent="0.35">
      <c r="A19" t="s">
        <v>33</v>
      </c>
      <c r="B19" s="2"/>
      <c r="C19" s="2"/>
      <c r="D19" s="2"/>
      <c r="E19" s="2">
        <f t="shared" si="0"/>
        <v>2878</v>
      </c>
      <c r="F19" s="2">
        <v>2579</v>
      </c>
      <c r="G19" s="2">
        <v>2408</v>
      </c>
      <c r="H19" s="2">
        <v>2601</v>
      </c>
      <c r="I19" s="2"/>
      <c r="K19" s="2">
        <v>2878</v>
      </c>
      <c r="L19" s="2">
        <f t="shared" si="1"/>
        <v>2878</v>
      </c>
      <c r="M19" s="2"/>
      <c r="N19" s="2">
        <f t="shared" si="2"/>
        <v>7588</v>
      </c>
    </row>
    <row r="20" spans="1:14" s="1" customFormat="1" x14ac:dyDescent="0.35">
      <c r="A20" s="1" t="s">
        <v>34</v>
      </c>
      <c r="B20" s="3">
        <f>SUM(B16:B19)</f>
        <v>34933</v>
      </c>
      <c r="C20" s="3">
        <f t="shared" ref="C20:I20" si="6">SUM(C16:C19)</f>
        <v>42478</v>
      </c>
      <c r="D20" s="3">
        <f t="shared" si="6"/>
        <v>44767</v>
      </c>
      <c r="E20" s="3">
        <f t="shared" si="6"/>
        <v>35137</v>
      </c>
      <c r="F20" s="3">
        <f t="shared" si="6"/>
        <v>45079</v>
      </c>
      <c r="G20" s="3">
        <f t="shared" si="6"/>
        <v>47268</v>
      </c>
      <c r="H20" s="3">
        <f t="shared" si="6"/>
        <v>51122</v>
      </c>
      <c r="I20" s="3">
        <f t="shared" si="6"/>
        <v>0</v>
      </c>
      <c r="K20" s="3">
        <f t="shared" ref="K20" si="7">SUM(K16:K19)</f>
        <v>157315</v>
      </c>
      <c r="L20" s="3">
        <f t="shared" si="1"/>
        <v>157315</v>
      </c>
      <c r="M20" s="3"/>
      <c r="N20" s="3">
        <f t="shared" si="2"/>
        <v>143469</v>
      </c>
    </row>
    <row r="21" spans="1:14" x14ac:dyDescent="0.35">
      <c r="A21" t="s">
        <v>40</v>
      </c>
      <c r="B21" s="2">
        <v>1167</v>
      </c>
      <c r="C21" s="2">
        <v>1235</v>
      </c>
      <c r="D21" s="2">
        <v>1333</v>
      </c>
      <c r="E21" s="2">
        <f t="shared" si="0"/>
        <v>1445</v>
      </c>
      <c r="F21" s="2">
        <v>875</v>
      </c>
      <c r="G21" s="2">
        <v>1000</v>
      </c>
      <c r="H21" s="2">
        <v>1056</v>
      </c>
      <c r="I21" s="2"/>
      <c r="K21" s="2">
        <v>5180</v>
      </c>
      <c r="L21" s="2">
        <f t="shared" si="1"/>
        <v>5180</v>
      </c>
      <c r="M21" s="2"/>
      <c r="N21" s="2">
        <f t="shared" si="2"/>
        <v>2931</v>
      </c>
    </row>
    <row r="22" spans="1:14" x14ac:dyDescent="0.35">
      <c r="A22" t="s">
        <v>41</v>
      </c>
      <c r="B22" s="2">
        <v>360</v>
      </c>
      <c r="C22" s="2">
        <v>588</v>
      </c>
      <c r="D22" s="2">
        <v>547</v>
      </c>
      <c r="E22" s="2">
        <f t="shared" si="0"/>
        <v>503</v>
      </c>
      <c r="F22" s="2">
        <v>316</v>
      </c>
      <c r="G22" s="2">
        <v>520</v>
      </c>
      <c r="H22" s="2">
        <v>490</v>
      </c>
      <c r="I22" s="2"/>
      <c r="K22" s="2">
        <v>1998</v>
      </c>
      <c r="L22" s="2">
        <f t="shared" si="1"/>
        <v>1998</v>
      </c>
      <c r="M22" s="2"/>
      <c r="N22" s="2">
        <f t="shared" si="2"/>
        <v>1326</v>
      </c>
    </row>
    <row r="23" spans="1:14" x14ac:dyDescent="0.35">
      <c r="A23" t="s">
        <v>44</v>
      </c>
      <c r="B23" s="2">
        <v>359</v>
      </c>
      <c r="C23" s="2">
        <v>193</v>
      </c>
      <c r="D23" s="2">
        <v>318</v>
      </c>
      <c r="E23" s="2">
        <f t="shared" si="0"/>
        <v>-110</v>
      </c>
      <c r="F23" s="2">
        <v>153</v>
      </c>
      <c r="G23" s="2">
        <v>198</v>
      </c>
      <c r="H23" s="2">
        <v>196</v>
      </c>
      <c r="I23" s="2"/>
      <c r="K23" s="2">
        <v>760</v>
      </c>
      <c r="L23" s="2">
        <f t="shared" si="1"/>
        <v>760</v>
      </c>
      <c r="M23" s="2"/>
      <c r="N23" s="2">
        <f t="shared" si="2"/>
        <v>547</v>
      </c>
    </row>
    <row r="24" spans="1:14" x14ac:dyDescent="0.35">
      <c r="A24" t="s">
        <v>45</v>
      </c>
      <c r="B24" s="2"/>
      <c r="C24" s="2"/>
      <c r="D24" s="2"/>
      <c r="E24" s="2">
        <f t="shared" si="0"/>
        <v>276</v>
      </c>
      <c r="F24" s="2">
        <v>151</v>
      </c>
      <c r="G24" s="2">
        <v>284</v>
      </c>
      <c r="H24" s="2">
        <v>151</v>
      </c>
      <c r="I24" s="2"/>
      <c r="K24" s="2">
        <v>276</v>
      </c>
      <c r="L24" s="2">
        <f t="shared" si="1"/>
        <v>276</v>
      </c>
      <c r="M24" s="2"/>
      <c r="N24" s="2">
        <f t="shared" si="2"/>
        <v>586</v>
      </c>
    </row>
    <row r="25" spans="1:14" s="1" customFormat="1" x14ac:dyDescent="0.35">
      <c r="A25" s="1" t="s">
        <v>43</v>
      </c>
      <c r="B25" s="3">
        <f>SUM(B21:B24)</f>
        <v>1886</v>
      </c>
      <c r="C25" s="3">
        <f t="shared" ref="C25:I25" si="8">SUM(C21:C24)</f>
        <v>2016</v>
      </c>
      <c r="D25" s="3">
        <f t="shared" si="8"/>
        <v>2198</v>
      </c>
      <c r="E25" s="3">
        <f t="shared" si="8"/>
        <v>2114</v>
      </c>
      <c r="F25" s="3">
        <f t="shared" si="8"/>
        <v>1495</v>
      </c>
      <c r="G25" s="3">
        <f t="shared" si="8"/>
        <v>2002</v>
      </c>
      <c r="H25" s="3">
        <f t="shared" si="8"/>
        <v>1893</v>
      </c>
      <c r="I25" s="3">
        <f t="shared" si="8"/>
        <v>0</v>
      </c>
      <c r="K25" s="3">
        <f t="shared" ref="K25" si="9">SUM(K21:K24)</f>
        <v>8214</v>
      </c>
      <c r="L25" s="3">
        <f t="shared" si="1"/>
        <v>8214</v>
      </c>
      <c r="M25" s="3"/>
      <c r="N25" s="3">
        <f t="shared" si="2"/>
        <v>5390</v>
      </c>
    </row>
    <row r="26" spans="1:14" x14ac:dyDescent="0.35">
      <c r="A26" t="s">
        <v>46</v>
      </c>
      <c r="B26" s="2">
        <v>555</v>
      </c>
      <c r="C26" s="2">
        <v>529</v>
      </c>
      <c r="D26" s="2">
        <v>532</v>
      </c>
      <c r="E26" s="2">
        <f t="shared" si="0"/>
        <v>2816</v>
      </c>
      <c r="F26" s="2">
        <v>191</v>
      </c>
      <c r="G26" s="2">
        <v>480</v>
      </c>
      <c r="H26" s="2">
        <v>498</v>
      </c>
      <c r="I26" s="2"/>
      <c r="K26" s="2">
        <v>4432</v>
      </c>
      <c r="L26" s="2">
        <f t="shared" si="1"/>
        <v>4432</v>
      </c>
      <c r="M26" s="2"/>
      <c r="N26" s="2">
        <f t="shared" si="2"/>
        <v>1169</v>
      </c>
    </row>
    <row r="27" spans="1:14" x14ac:dyDescent="0.35">
      <c r="A27" t="s">
        <v>47</v>
      </c>
      <c r="B27" s="2">
        <v>6178</v>
      </c>
      <c r="C27" s="2">
        <v>8694</v>
      </c>
      <c r="D27" s="2">
        <v>9570</v>
      </c>
      <c r="E27" s="2">
        <f t="shared" si="0"/>
        <v>6951</v>
      </c>
      <c r="F27" s="2">
        <v>5451</v>
      </c>
      <c r="G27" s="2">
        <v>8564</v>
      </c>
      <c r="H27" s="2">
        <v>9591</v>
      </c>
      <c r="I27" s="2"/>
      <c r="K27" s="2">
        <v>31393</v>
      </c>
      <c r="L27" s="2">
        <f t="shared" si="1"/>
        <v>31393</v>
      </c>
      <c r="M27" s="2"/>
      <c r="N27" s="2">
        <f t="shared" si="2"/>
        <v>23606</v>
      </c>
    </row>
    <row r="28" spans="1:14" x14ac:dyDescent="0.35">
      <c r="A28" t="s">
        <v>48</v>
      </c>
      <c r="B28" s="2">
        <v>97</v>
      </c>
      <c r="C28" s="2">
        <v>219</v>
      </c>
      <c r="D28" s="2">
        <v>311</v>
      </c>
      <c r="E28" s="2">
        <f t="shared" si="0"/>
        <v>307</v>
      </c>
      <c r="F28" s="2">
        <v>172</v>
      </c>
      <c r="G28" s="2">
        <v>322</v>
      </c>
      <c r="H28" s="2">
        <v>487</v>
      </c>
      <c r="I28" s="2"/>
      <c r="K28" s="2">
        <v>934</v>
      </c>
      <c r="L28" s="2">
        <f t="shared" si="1"/>
        <v>934</v>
      </c>
      <c r="M28" s="2"/>
      <c r="N28" s="2">
        <f t="shared" si="2"/>
        <v>981</v>
      </c>
    </row>
    <row r="29" spans="1:14" x14ac:dyDescent="0.35">
      <c r="A29" t="s">
        <v>49</v>
      </c>
      <c r="B29" s="2"/>
      <c r="C29" s="2"/>
      <c r="D29" s="2"/>
      <c r="E29" s="2">
        <f t="shared" si="0"/>
        <v>0</v>
      </c>
      <c r="F29" s="2">
        <v>0</v>
      </c>
      <c r="H29" s="2"/>
      <c r="I29" s="2"/>
      <c r="K29" s="2"/>
      <c r="L29" s="2">
        <f t="shared" si="1"/>
        <v>0</v>
      </c>
      <c r="M29" s="2"/>
      <c r="N29" s="2">
        <f t="shared" si="2"/>
        <v>0</v>
      </c>
    </row>
    <row r="30" spans="1:14" x14ac:dyDescent="0.35">
      <c r="A30" s="1" t="s">
        <v>50</v>
      </c>
      <c r="B30" s="3">
        <f>SUM(B26:B29)</f>
        <v>6830</v>
      </c>
      <c r="C30" s="3">
        <f t="shared" ref="C30:F30" si="10">SUM(C26:C29)</f>
        <v>9442</v>
      </c>
      <c r="D30" s="3">
        <f t="shared" si="10"/>
        <v>10413</v>
      </c>
      <c r="E30" s="3">
        <f t="shared" si="10"/>
        <v>10074</v>
      </c>
      <c r="F30" s="3">
        <f t="shared" si="10"/>
        <v>5814</v>
      </c>
      <c r="G30" s="3">
        <f>SUM(G26:G29)</f>
        <v>9366</v>
      </c>
      <c r="H30" s="3">
        <f t="shared" ref="H30:I30" si="11">SUM(H26:H29)</f>
        <v>10576</v>
      </c>
      <c r="I30" s="3">
        <f t="shared" si="11"/>
        <v>0</v>
      </c>
      <c r="K30" s="3">
        <f t="shared" ref="K30" si="12">SUM(K26:K29)</f>
        <v>36759</v>
      </c>
      <c r="L30" s="3">
        <f t="shared" si="1"/>
        <v>36759</v>
      </c>
      <c r="M30" s="3"/>
      <c r="N30" s="3">
        <f t="shared" si="2"/>
        <v>25756</v>
      </c>
    </row>
    <row r="31" spans="1:14" s="1" customFormat="1" x14ac:dyDescent="0.35">
      <c r="A31" s="1" t="s">
        <v>7</v>
      </c>
      <c r="B31" s="3">
        <f>B30+B25+B20+B15+B10</f>
        <v>569631</v>
      </c>
      <c r="C31" s="3">
        <f t="shared" ref="C31:F31" si="13">C30+C25+C20+C15+C10</f>
        <v>642568</v>
      </c>
      <c r="D31" s="3">
        <f t="shared" si="13"/>
        <v>694115</v>
      </c>
      <c r="E31" s="3">
        <f t="shared" si="13"/>
        <v>852131</v>
      </c>
      <c r="F31" s="3">
        <f t="shared" si="13"/>
        <v>628703</v>
      </c>
      <c r="G31" s="3">
        <f t="shared" ref="G31:N31" si="14">G30+G25+G20+G15+G10</f>
        <v>633674</v>
      </c>
      <c r="H31" s="3">
        <f t="shared" si="14"/>
        <v>679824</v>
      </c>
      <c r="I31" s="3">
        <f t="shared" si="14"/>
        <v>0</v>
      </c>
      <c r="K31" s="3">
        <f t="shared" ref="K31" si="15">K30+K25+K20+K15+K10</f>
        <v>2758445</v>
      </c>
      <c r="L31" s="3">
        <f t="shared" si="14"/>
        <v>2758445</v>
      </c>
      <c r="M31" s="3">
        <f t="shared" si="14"/>
        <v>0</v>
      </c>
      <c r="N31" s="3">
        <f t="shared" si="14"/>
        <v>1942201</v>
      </c>
    </row>
    <row r="33" spans="1:14" s="1" customFormat="1" x14ac:dyDescent="0.35">
      <c r="B33" s="1" t="str">
        <f>B1</f>
        <v>Q123</v>
      </c>
      <c r="C33" s="1" t="str">
        <f t="shared" ref="C33:E33" si="16">C1</f>
        <v>Q223</v>
      </c>
      <c r="D33" s="1" t="str">
        <f t="shared" si="16"/>
        <v>Q323</v>
      </c>
      <c r="E33" s="1" t="str">
        <f t="shared" si="16"/>
        <v>Q423</v>
      </c>
      <c r="F33" s="1" t="str">
        <f>F1</f>
        <v>Q124</v>
      </c>
      <c r="G33" s="1" t="str">
        <f t="shared" ref="G33:N33" si="17">G1</f>
        <v>Q224</v>
      </c>
      <c r="H33" s="1" t="str">
        <f t="shared" si="17"/>
        <v>Q324</v>
      </c>
      <c r="I33" s="1" t="str">
        <f t="shared" si="17"/>
        <v>Q424</v>
      </c>
      <c r="L33" s="1">
        <f t="shared" si="17"/>
        <v>2023</v>
      </c>
      <c r="N33" s="1">
        <f t="shared" si="17"/>
        <v>2024</v>
      </c>
    </row>
    <row r="34" spans="1:14" x14ac:dyDescent="0.35">
      <c r="A34" s="1" t="s">
        <v>85</v>
      </c>
    </row>
    <row r="35" spans="1:14" s="1" customFormat="1" x14ac:dyDescent="0.35">
      <c r="A35" s="1" t="s">
        <v>2</v>
      </c>
    </row>
    <row r="36" spans="1:14" x14ac:dyDescent="0.35">
      <c r="A36" t="s">
        <v>3</v>
      </c>
      <c r="B36" s="2">
        <v>429376</v>
      </c>
      <c r="C36" s="2">
        <v>480122</v>
      </c>
      <c r="D36" s="2">
        <v>521775</v>
      </c>
      <c r="E36" s="2">
        <f>K36-D36-C36-B36</f>
        <v>714043</v>
      </c>
      <c r="F36" s="2">
        <v>468089</v>
      </c>
      <c r="G36" s="2">
        <v>465233</v>
      </c>
      <c r="H36" s="2">
        <v>495147</v>
      </c>
      <c r="I36" s="2"/>
      <c r="K36" s="2">
        <v>2145316</v>
      </c>
      <c r="L36" s="2">
        <f t="shared" si="1"/>
        <v>2145316</v>
      </c>
      <c r="M36" s="2"/>
      <c r="N36" s="2">
        <f t="shared" si="2"/>
        <v>1428469</v>
      </c>
    </row>
    <row r="37" spans="1:14" x14ac:dyDescent="0.35">
      <c r="A37" t="s">
        <v>4</v>
      </c>
      <c r="B37" s="2">
        <v>96606</v>
      </c>
      <c r="C37" s="2">
        <v>108510</v>
      </c>
      <c r="D37" s="2">
        <v>114962</v>
      </c>
      <c r="E37" s="2">
        <f t="shared" ref="E37:E39" si="18">K37-D37-C37-B37</f>
        <v>90763</v>
      </c>
      <c r="F37" s="2">
        <v>108226</v>
      </c>
      <c r="G37" s="2">
        <v>109805</v>
      </c>
      <c r="H37" s="2">
        <v>121086</v>
      </c>
      <c r="I37" s="2"/>
      <c r="K37" s="2">
        <v>410841</v>
      </c>
      <c r="L37" s="2">
        <f t="shared" si="1"/>
        <v>410841</v>
      </c>
      <c r="M37" s="2"/>
      <c r="N37" s="2">
        <f t="shared" si="2"/>
        <v>339117</v>
      </c>
    </row>
    <row r="38" spans="1:14" x14ac:dyDescent="0.35">
      <c r="A38" t="s">
        <v>5</v>
      </c>
      <c r="B38" s="2">
        <v>34933</v>
      </c>
      <c r="C38" s="2">
        <v>42478</v>
      </c>
      <c r="D38" s="2">
        <v>44767</v>
      </c>
      <c r="E38" s="2">
        <f t="shared" si="18"/>
        <v>35137</v>
      </c>
      <c r="F38" s="2">
        <v>45079</v>
      </c>
      <c r="G38" s="2">
        <v>47268</v>
      </c>
      <c r="H38" s="2">
        <v>51122</v>
      </c>
      <c r="I38" s="2"/>
      <c r="K38" s="2">
        <v>157315</v>
      </c>
      <c r="L38" s="2">
        <f t="shared" si="1"/>
        <v>157315</v>
      </c>
      <c r="M38" s="2"/>
      <c r="N38" s="2">
        <f t="shared" si="2"/>
        <v>143469</v>
      </c>
    </row>
    <row r="39" spans="1:14" x14ac:dyDescent="0.35">
      <c r="A39" t="s">
        <v>6</v>
      </c>
      <c r="B39" s="2">
        <v>8716</v>
      </c>
      <c r="C39" s="2">
        <v>11458</v>
      </c>
      <c r="D39" s="2">
        <v>12611</v>
      </c>
      <c r="E39" s="2">
        <f t="shared" si="18"/>
        <v>12188</v>
      </c>
      <c r="F39" s="2">
        <v>7309</v>
      </c>
      <c r="G39" s="2">
        <v>11368</v>
      </c>
      <c r="H39" s="2">
        <v>12469</v>
      </c>
      <c r="I39" s="2"/>
      <c r="K39" s="2">
        <v>44973</v>
      </c>
      <c r="L39" s="2">
        <f t="shared" si="1"/>
        <v>44973</v>
      </c>
      <c r="M39" s="2"/>
      <c r="N39" s="2">
        <f t="shared" si="2"/>
        <v>31146</v>
      </c>
    </row>
    <row r="40" spans="1:14" s="1" customFormat="1" x14ac:dyDescent="0.35">
      <c r="A40" s="1" t="s">
        <v>7</v>
      </c>
      <c r="B40" s="3">
        <f>SUM(B36:B39)</f>
        <v>569631</v>
      </c>
      <c r="C40" s="3">
        <f t="shared" ref="C40:I40" si="19">SUM(C36:C39)</f>
        <v>642568</v>
      </c>
      <c r="D40" s="3">
        <f t="shared" si="19"/>
        <v>694115</v>
      </c>
      <c r="E40" s="3">
        <f t="shared" si="19"/>
        <v>852131</v>
      </c>
      <c r="F40" s="3">
        <f t="shared" si="19"/>
        <v>628703</v>
      </c>
      <c r="G40" s="3">
        <f t="shared" si="19"/>
        <v>633674</v>
      </c>
      <c r="H40" s="3">
        <f t="shared" si="19"/>
        <v>679824</v>
      </c>
      <c r="I40" s="3">
        <f t="shared" si="19"/>
        <v>0</v>
      </c>
      <c r="K40" s="3">
        <f>SUM(K36:K39)</f>
        <v>2758445</v>
      </c>
      <c r="L40" s="3">
        <f t="shared" si="1"/>
        <v>2758445</v>
      </c>
      <c r="M40" s="3"/>
      <c r="N40" s="3">
        <f t="shared" si="2"/>
        <v>1942201</v>
      </c>
    </row>
    <row r="41" spans="1:14" x14ac:dyDescent="0.35">
      <c r="A41" t="s">
        <v>10</v>
      </c>
      <c r="B41" s="2">
        <v>368262</v>
      </c>
      <c r="C41" s="2">
        <v>414800</v>
      </c>
      <c r="D41" s="2">
        <v>454598</v>
      </c>
      <c r="E41" s="2">
        <f>K41-D41-C41-B41</f>
        <v>626898</v>
      </c>
      <c r="F41" s="2">
        <v>412239</v>
      </c>
      <c r="G41" s="2">
        <v>422236</v>
      </c>
      <c r="H41" s="2">
        <v>458345</v>
      </c>
      <c r="K41" s="2">
        <v>1864558</v>
      </c>
      <c r="L41" s="2">
        <f t="shared" si="1"/>
        <v>1864558</v>
      </c>
      <c r="M41" s="2"/>
      <c r="N41" s="2">
        <f t="shared" si="2"/>
        <v>1292820</v>
      </c>
    </row>
    <row r="42" spans="1:14" x14ac:dyDescent="0.35">
      <c r="A42" t="s">
        <v>11</v>
      </c>
      <c r="B42" s="2">
        <v>65103</v>
      </c>
      <c r="C42" s="2">
        <v>73086</v>
      </c>
      <c r="D42" s="2">
        <v>78585</v>
      </c>
      <c r="E42" s="2">
        <f t="shared" ref="E42:E44" si="20">K42-D42-C42-B42</f>
        <v>63147</v>
      </c>
      <c r="F42" s="2">
        <v>73151</v>
      </c>
      <c r="G42" s="2">
        <v>74239</v>
      </c>
      <c r="H42" s="2">
        <v>83542</v>
      </c>
      <c r="K42" s="2">
        <v>279921</v>
      </c>
      <c r="L42" s="2">
        <f t="shared" si="1"/>
        <v>279921</v>
      </c>
      <c r="M42" s="2"/>
      <c r="N42" s="2">
        <f t="shared" si="2"/>
        <v>230932</v>
      </c>
    </row>
    <row r="43" spans="1:14" x14ac:dyDescent="0.35">
      <c r="A43" t="s">
        <v>12</v>
      </c>
      <c r="B43" s="2">
        <v>12409</v>
      </c>
      <c r="C43" s="2">
        <v>14208</v>
      </c>
      <c r="D43" s="2">
        <v>14393</v>
      </c>
      <c r="E43" s="2">
        <f t="shared" si="20"/>
        <v>12971</v>
      </c>
      <c r="F43" s="2">
        <v>16776</v>
      </c>
      <c r="G43" s="2">
        <v>16144</v>
      </c>
      <c r="H43" s="2">
        <v>17833</v>
      </c>
      <c r="K43" s="2">
        <v>53981</v>
      </c>
      <c r="L43" s="2">
        <f t="shared" si="1"/>
        <v>53981</v>
      </c>
      <c r="M43" s="2"/>
      <c r="N43" s="2">
        <f t="shared" si="2"/>
        <v>50753</v>
      </c>
    </row>
    <row r="44" spans="1:14" x14ac:dyDescent="0.35">
      <c r="A44" t="s">
        <v>13</v>
      </c>
      <c r="B44" s="2">
        <v>5277</v>
      </c>
      <c r="C44" s="2">
        <v>7075</v>
      </c>
      <c r="D44" s="2">
        <v>8198</v>
      </c>
      <c r="E44" s="2">
        <f t="shared" si="20"/>
        <v>8081</v>
      </c>
      <c r="F44" s="2">
        <v>4782</v>
      </c>
      <c r="G44" s="2">
        <v>8676</v>
      </c>
      <c r="H44" s="2">
        <v>9610</v>
      </c>
      <c r="K44" s="2">
        <v>28631</v>
      </c>
      <c r="L44" s="2">
        <f t="shared" si="1"/>
        <v>28631</v>
      </c>
      <c r="M44" s="2"/>
      <c r="N44" s="2">
        <f t="shared" si="2"/>
        <v>23068</v>
      </c>
    </row>
    <row r="45" spans="1:14" s="1" customFormat="1" x14ac:dyDescent="0.35">
      <c r="A45" s="1" t="s">
        <v>14</v>
      </c>
      <c r="B45" s="3">
        <f>SUM(B41:B44)</f>
        <v>451051</v>
      </c>
      <c r="C45" s="3">
        <f t="shared" ref="C45:I45" si="21">SUM(C41:C44)</f>
        <v>509169</v>
      </c>
      <c r="D45" s="3">
        <f t="shared" si="21"/>
        <v>555774</v>
      </c>
      <c r="E45" s="3">
        <f t="shared" si="21"/>
        <v>711097</v>
      </c>
      <c r="F45" s="3">
        <f t="shared" si="21"/>
        <v>506948</v>
      </c>
      <c r="G45" s="3">
        <f t="shared" si="21"/>
        <v>521295</v>
      </c>
      <c r="H45" s="3">
        <f t="shared" si="21"/>
        <v>569330</v>
      </c>
      <c r="I45" s="3">
        <f t="shared" si="21"/>
        <v>0</v>
      </c>
      <c r="K45" s="3">
        <f>SUM(K41:K44)</f>
        <v>2227091</v>
      </c>
      <c r="L45" s="3">
        <f t="shared" si="1"/>
        <v>2227091</v>
      </c>
      <c r="M45" s="3"/>
      <c r="N45" s="3">
        <f t="shared" si="2"/>
        <v>1597573</v>
      </c>
    </row>
    <row r="46" spans="1:14" s="1" customFormat="1" x14ac:dyDescent="0.35">
      <c r="A46" s="1" t="s">
        <v>15</v>
      </c>
      <c r="B46" s="3">
        <f>B36-B41</f>
        <v>61114</v>
      </c>
      <c r="C46" s="3">
        <f t="shared" ref="C46:N46" si="22">C36-C41</f>
        <v>65322</v>
      </c>
      <c r="D46" s="3">
        <f t="shared" si="22"/>
        <v>67177</v>
      </c>
      <c r="E46" s="3">
        <f t="shared" si="22"/>
        <v>87145</v>
      </c>
      <c r="F46" s="3">
        <f t="shared" si="22"/>
        <v>55850</v>
      </c>
      <c r="G46" s="3">
        <f t="shared" si="22"/>
        <v>42997</v>
      </c>
      <c r="H46" s="3">
        <f t="shared" si="22"/>
        <v>36802</v>
      </c>
      <c r="I46" s="3">
        <f t="shared" si="22"/>
        <v>0</v>
      </c>
      <c r="J46" s="3"/>
      <c r="K46" s="3">
        <f t="shared" ref="K46" si="23">K36-K41</f>
        <v>280758</v>
      </c>
      <c r="L46" s="3">
        <f t="shared" si="22"/>
        <v>280758</v>
      </c>
      <c r="M46" s="3"/>
      <c r="N46" s="3">
        <f t="shared" si="22"/>
        <v>135649</v>
      </c>
    </row>
    <row r="47" spans="1:14" s="1" customFormat="1" x14ac:dyDescent="0.35">
      <c r="A47" s="1" t="s">
        <v>16</v>
      </c>
      <c r="B47" s="3">
        <f t="shared" ref="B47:B49" si="24">B37-B42</f>
        <v>31503</v>
      </c>
      <c r="C47" s="3">
        <f t="shared" ref="C47:N47" si="25">C37-C42</f>
        <v>35424</v>
      </c>
      <c r="D47" s="3">
        <f t="shared" si="25"/>
        <v>36377</v>
      </c>
      <c r="E47" s="3">
        <f t="shared" si="25"/>
        <v>27616</v>
      </c>
      <c r="F47" s="3">
        <f t="shared" si="25"/>
        <v>35075</v>
      </c>
      <c r="G47" s="3">
        <f t="shared" si="25"/>
        <v>35566</v>
      </c>
      <c r="H47" s="3">
        <f t="shared" si="25"/>
        <v>37544</v>
      </c>
      <c r="I47" s="3">
        <f t="shared" si="25"/>
        <v>0</v>
      </c>
      <c r="J47" s="3"/>
      <c r="K47" s="3">
        <f t="shared" ref="K47" si="26">K37-K42</f>
        <v>130920</v>
      </c>
      <c r="L47" s="3">
        <f t="shared" si="25"/>
        <v>130920</v>
      </c>
      <c r="M47" s="3"/>
      <c r="N47" s="3">
        <f t="shared" si="25"/>
        <v>108185</v>
      </c>
    </row>
    <row r="48" spans="1:14" s="1" customFormat="1" x14ac:dyDescent="0.35">
      <c r="A48" s="1" t="s">
        <v>17</v>
      </c>
      <c r="B48" s="3">
        <f t="shared" si="24"/>
        <v>22524</v>
      </c>
      <c r="C48" s="3">
        <f t="shared" ref="C48:N48" si="27">C38-C43</f>
        <v>28270</v>
      </c>
      <c r="D48" s="3">
        <f t="shared" si="27"/>
        <v>30374</v>
      </c>
      <c r="E48" s="3">
        <f t="shared" si="27"/>
        <v>22166</v>
      </c>
      <c r="F48" s="3">
        <f t="shared" si="27"/>
        <v>28303</v>
      </c>
      <c r="G48" s="3">
        <f t="shared" si="27"/>
        <v>31124</v>
      </c>
      <c r="H48" s="3">
        <f t="shared" si="27"/>
        <v>33289</v>
      </c>
      <c r="I48" s="3">
        <f t="shared" si="27"/>
        <v>0</v>
      </c>
      <c r="J48" s="3"/>
      <c r="K48" s="3">
        <f t="shared" ref="K48" si="28">K38-K43</f>
        <v>103334</v>
      </c>
      <c r="L48" s="3">
        <f t="shared" si="27"/>
        <v>103334</v>
      </c>
      <c r="M48" s="3"/>
      <c r="N48" s="3">
        <f t="shared" si="27"/>
        <v>92716</v>
      </c>
    </row>
    <row r="49" spans="1:17" s="1" customFormat="1" x14ac:dyDescent="0.35">
      <c r="A49" s="1" t="s">
        <v>18</v>
      </c>
      <c r="B49" s="3">
        <f t="shared" si="24"/>
        <v>3439</v>
      </c>
      <c r="C49" s="3">
        <f t="shared" ref="C49:N49" si="29">C39-C44</f>
        <v>4383</v>
      </c>
      <c r="D49" s="3">
        <f t="shared" si="29"/>
        <v>4413</v>
      </c>
      <c r="E49" s="3">
        <f t="shared" si="29"/>
        <v>4107</v>
      </c>
      <c r="F49" s="3">
        <f t="shared" si="29"/>
        <v>2527</v>
      </c>
      <c r="G49" s="3">
        <f t="shared" si="29"/>
        <v>2692</v>
      </c>
      <c r="H49" s="3">
        <f t="shared" si="29"/>
        <v>2859</v>
      </c>
      <c r="I49" s="3">
        <f t="shared" si="29"/>
        <v>0</v>
      </c>
      <c r="J49" s="3"/>
      <c r="K49" s="3">
        <f t="shared" ref="K49" si="30">K39-K44</f>
        <v>16342</v>
      </c>
      <c r="L49" s="3">
        <f t="shared" si="29"/>
        <v>16342</v>
      </c>
      <c r="M49" s="3"/>
      <c r="N49" s="3">
        <f t="shared" si="29"/>
        <v>8078</v>
      </c>
    </row>
    <row r="50" spans="1:17" s="1" customFormat="1" x14ac:dyDescent="0.35">
      <c r="A50" s="1" t="s">
        <v>19</v>
      </c>
      <c r="B50" s="3">
        <f>SUM(B46:B49)</f>
        <v>118580</v>
      </c>
      <c r="C50" s="3">
        <f t="shared" ref="C50:I50" si="31">SUM(C46:C49)</f>
        <v>133399</v>
      </c>
      <c r="D50" s="3">
        <f t="shared" si="31"/>
        <v>138341</v>
      </c>
      <c r="E50" s="3">
        <f t="shared" si="31"/>
        <v>141034</v>
      </c>
      <c r="F50" s="3">
        <f t="shared" si="31"/>
        <v>121755</v>
      </c>
      <c r="G50" s="3">
        <f t="shared" si="31"/>
        <v>112379</v>
      </c>
      <c r="H50" s="3">
        <f t="shared" si="31"/>
        <v>110494</v>
      </c>
      <c r="I50" s="3">
        <f t="shared" si="31"/>
        <v>0</v>
      </c>
      <c r="K50" s="3">
        <f t="shared" ref="K50" si="32">SUM(K46:K49)</f>
        <v>531354</v>
      </c>
      <c r="L50" s="3">
        <f t="shared" si="1"/>
        <v>531354</v>
      </c>
      <c r="M50" s="3"/>
      <c r="N50" s="3">
        <f t="shared" si="2"/>
        <v>344628</v>
      </c>
    </row>
    <row r="51" spans="1:17" s="2" customFormat="1" x14ac:dyDescent="0.35">
      <c r="A51" t="s">
        <v>20</v>
      </c>
      <c r="B51" s="2">
        <v>81315</v>
      </c>
      <c r="C51" s="2">
        <v>88751</v>
      </c>
      <c r="D51" s="2">
        <v>92115</v>
      </c>
      <c r="E51" s="2">
        <f t="shared" ref="E51" si="33">K51-D51-C51-B51</f>
        <v>100328</v>
      </c>
      <c r="F51" s="2">
        <v>99158</v>
      </c>
      <c r="G51" s="2">
        <v>95156</v>
      </c>
      <c r="H51" s="2">
        <v>98773</v>
      </c>
      <c r="K51" s="2">
        <v>362509</v>
      </c>
      <c r="L51" s="2">
        <f>SUM(B51:E51)</f>
        <v>362509</v>
      </c>
      <c r="N51" s="2">
        <f>SUM(F51:I51)</f>
        <v>293087</v>
      </c>
    </row>
    <row r="52" spans="1:17" x14ac:dyDescent="0.35">
      <c r="A52" t="s">
        <v>108</v>
      </c>
      <c r="B52" s="2"/>
      <c r="C52" s="2"/>
      <c r="D52" s="2"/>
      <c r="E52" s="2"/>
      <c r="F52" s="2"/>
      <c r="G52" s="2">
        <v>531</v>
      </c>
      <c r="H52" s="2"/>
      <c r="I52" s="2"/>
      <c r="L52" s="2">
        <f t="shared" ref="L52:L53" si="34">SUM(B52:E52)</f>
        <v>0</v>
      </c>
      <c r="M52" s="2"/>
      <c r="N52" s="2">
        <f t="shared" ref="N52:N53" si="35">SUM(F52:I52)</f>
        <v>531</v>
      </c>
    </row>
    <row r="53" spans="1:17" x14ac:dyDescent="0.35">
      <c r="A53" t="s">
        <v>109</v>
      </c>
      <c r="E53" s="2"/>
      <c r="G53">
        <v>942</v>
      </c>
      <c r="H53">
        <v>264</v>
      </c>
      <c r="L53" s="2">
        <f t="shared" si="34"/>
        <v>0</v>
      </c>
      <c r="M53" s="2"/>
      <c r="N53" s="2">
        <f t="shared" si="35"/>
        <v>1206</v>
      </c>
    </row>
    <row r="54" spans="1:17" s="1" customFormat="1" x14ac:dyDescent="0.35">
      <c r="A54" s="1" t="s">
        <v>21</v>
      </c>
      <c r="B54" s="3">
        <f>B50-B51-B52-B53</f>
        <v>37265</v>
      </c>
      <c r="C54" s="3">
        <f t="shared" ref="C54:N54" si="36">C50-C51-C52-C53</f>
        <v>44648</v>
      </c>
      <c r="D54" s="3">
        <f t="shared" si="36"/>
        <v>46226</v>
      </c>
      <c r="E54" s="3">
        <f t="shared" si="36"/>
        <v>40706</v>
      </c>
      <c r="F54" s="3">
        <f t="shared" si="36"/>
        <v>22597</v>
      </c>
      <c r="G54" s="3">
        <f t="shared" si="36"/>
        <v>15750</v>
      </c>
      <c r="H54" s="3">
        <f t="shared" si="36"/>
        <v>11457</v>
      </c>
      <c r="I54" s="3">
        <f t="shared" si="36"/>
        <v>0</v>
      </c>
      <c r="J54" s="3"/>
      <c r="K54" s="3">
        <f t="shared" si="36"/>
        <v>168845</v>
      </c>
      <c r="L54" s="3">
        <f t="shared" si="36"/>
        <v>168845</v>
      </c>
      <c r="M54" s="3"/>
      <c r="N54" s="3">
        <f t="shared" si="36"/>
        <v>49804</v>
      </c>
    </row>
    <row r="55" spans="1:17" x14ac:dyDescent="0.35">
      <c r="A55" t="s">
        <v>22</v>
      </c>
      <c r="B55" s="2">
        <v>720</v>
      </c>
      <c r="C55" s="2">
        <v>641</v>
      </c>
      <c r="D55" s="2">
        <v>-235</v>
      </c>
      <c r="E55" s="2">
        <f t="shared" ref="E55:E59" si="37">K55-D55-C55-B55</f>
        <v>2174</v>
      </c>
      <c r="F55" s="2">
        <v>-288</v>
      </c>
      <c r="G55" s="2">
        <v>-7048</v>
      </c>
      <c r="H55" s="2">
        <v>3097</v>
      </c>
      <c r="I55" s="2"/>
      <c r="J55" s="2"/>
      <c r="K55" s="2">
        <v>3300</v>
      </c>
      <c r="L55" s="2">
        <f t="shared" si="1"/>
        <v>3300</v>
      </c>
      <c r="M55" s="2"/>
      <c r="N55" s="2">
        <f t="shared" si="2"/>
        <v>-4239</v>
      </c>
      <c r="O55" s="2"/>
      <c r="P55" s="2"/>
      <c r="Q55" s="2"/>
    </row>
    <row r="56" spans="1:17" x14ac:dyDescent="0.35">
      <c r="A56" t="s">
        <v>24</v>
      </c>
      <c r="B56" s="2">
        <v>-1272</v>
      </c>
      <c r="C56" s="2">
        <v>-2457</v>
      </c>
      <c r="D56" s="2">
        <v>-4045</v>
      </c>
      <c r="E56" s="2">
        <f t="shared" si="37"/>
        <v>-6028</v>
      </c>
      <c r="F56" s="2">
        <v>-7064</v>
      </c>
      <c r="G56" s="2">
        <v>-9218</v>
      </c>
      <c r="H56" s="2">
        <v>-9993</v>
      </c>
      <c r="I56" s="2"/>
      <c r="J56" s="2"/>
      <c r="K56" s="2">
        <v>-13802</v>
      </c>
      <c r="L56" s="2">
        <f t="shared" si="1"/>
        <v>-13802</v>
      </c>
      <c r="M56" s="2"/>
      <c r="N56" s="2">
        <f t="shared" si="2"/>
        <v>-26275</v>
      </c>
      <c r="O56" s="2"/>
      <c r="P56" s="2"/>
      <c r="Q56" s="2"/>
    </row>
    <row r="57" spans="1:17" x14ac:dyDescent="0.35">
      <c r="A57" t="s">
        <v>23</v>
      </c>
      <c r="B57" s="2">
        <v>-1274</v>
      </c>
      <c r="C57" s="2">
        <v>-1241</v>
      </c>
      <c r="D57" s="2">
        <v>-1494</v>
      </c>
      <c r="E57" s="2">
        <f t="shared" si="37"/>
        <v>-3294</v>
      </c>
      <c r="F57" s="2">
        <v>-2459</v>
      </c>
      <c r="G57" s="2">
        <v>-3734</v>
      </c>
      <c r="H57" s="2">
        <v>-4286</v>
      </c>
      <c r="I57" s="2"/>
      <c r="J57" s="2"/>
      <c r="K57" s="2">
        <v>-7303</v>
      </c>
      <c r="L57" s="2">
        <f t="shared" si="1"/>
        <v>-7303</v>
      </c>
      <c r="M57" s="2"/>
      <c r="N57" s="2">
        <f t="shared" si="2"/>
        <v>-10479</v>
      </c>
      <c r="O57" s="2"/>
      <c r="P57" s="2"/>
      <c r="Q57" s="2"/>
    </row>
    <row r="58" spans="1:17" s="1" customFormat="1" x14ac:dyDescent="0.35">
      <c r="A58" s="1" t="s">
        <v>25</v>
      </c>
      <c r="B58" s="3">
        <f>B54+SUM(B55:B57)</f>
        <v>35439</v>
      </c>
      <c r="C58" s="3">
        <f t="shared" ref="C58:K58" si="38">C54+SUM(C55:C57)</f>
        <v>41591</v>
      </c>
      <c r="D58" s="3">
        <f t="shared" si="38"/>
        <v>40452</v>
      </c>
      <c r="E58" s="3">
        <f t="shared" si="38"/>
        <v>33558</v>
      </c>
      <c r="F58" s="3">
        <f t="shared" si="38"/>
        <v>12786</v>
      </c>
      <c r="G58" s="3">
        <f t="shared" si="38"/>
        <v>-4250</v>
      </c>
      <c r="H58" s="3">
        <f t="shared" si="38"/>
        <v>275</v>
      </c>
      <c r="I58" s="3">
        <f t="shared" si="38"/>
        <v>0</v>
      </c>
      <c r="K58" s="3">
        <f t="shared" si="38"/>
        <v>151040</v>
      </c>
      <c r="L58" s="3">
        <f t="shared" si="1"/>
        <v>151040</v>
      </c>
      <c r="M58" s="3"/>
      <c r="N58" s="3">
        <f t="shared" si="2"/>
        <v>8811</v>
      </c>
    </row>
    <row r="59" spans="1:17" x14ac:dyDescent="0.35">
      <c r="A59" t="s">
        <v>63</v>
      </c>
      <c r="B59" s="2">
        <v>8474</v>
      </c>
      <c r="C59" s="2">
        <v>10270</v>
      </c>
      <c r="D59" s="2">
        <v>10259</v>
      </c>
      <c r="E59" s="2">
        <f t="shared" si="37"/>
        <v>9596</v>
      </c>
      <c r="F59" s="2">
        <v>3345</v>
      </c>
      <c r="G59" s="2">
        <v>54</v>
      </c>
      <c r="H59" s="2">
        <v>-1438</v>
      </c>
      <c r="K59" s="2">
        <v>38599</v>
      </c>
      <c r="L59" s="2">
        <f t="shared" si="1"/>
        <v>38599</v>
      </c>
      <c r="M59" s="2"/>
      <c r="N59" s="2">
        <f t="shared" si="2"/>
        <v>1961</v>
      </c>
    </row>
    <row r="60" spans="1:17" s="1" customFormat="1" x14ac:dyDescent="0.35">
      <c r="A60" s="1" t="s">
        <v>64</v>
      </c>
      <c r="B60" s="3">
        <f>B58-B59</f>
        <v>26965</v>
      </c>
      <c r="C60" s="3">
        <f t="shared" ref="C60:K60" si="39">C58-C59</f>
        <v>31321</v>
      </c>
      <c r="D60" s="3">
        <f t="shared" si="39"/>
        <v>30193</v>
      </c>
      <c r="E60" s="3">
        <f t="shared" si="39"/>
        <v>23962</v>
      </c>
      <c r="F60" s="3">
        <f t="shared" si="39"/>
        <v>9441</v>
      </c>
      <c r="G60" s="3">
        <f t="shared" si="39"/>
        <v>-4304</v>
      </c>
      <c r="H60" s="3">
        <f t="shared" si="39"/>
        <v>1713</v>
      </c>
      <c r="I60" s="3">
        <f t="shared" si="39"/>
        <v>0</v>
      </c>
      <c r="K60" s="3">
        <f t="shared" si="39"/>
        <v>112441</v>
      </c>
      <c r="L60" s="3">
        <f t="shared" si="1"/>
        <v>112441</v>
      </c>
      <c r="M60" s="3"/>
      <c r="N60" s="3">
        <f t="shared" si="2"/>
        <v>6850</v>
      </c>
    </row>
    <row r="61" spans="1:17" s="1" customFormat="1" x14ac:dyDescent="0.35">
      <c r="B61" s="3"/>
      <c r="C61" s="3"/>
      <c r="D61" s="3"/>
      <c r="E61" s="3"/>
      <c r="F61" s="3"/>
      <c r="L61" s="3"/>
      <c r="M61" s="3"/>
      <c r="N61" s="3"/>
    </row>
    <row r="62" spans="1:17" s="5" customFormat="1" x14ac:dyDescent="0.35">
      <c r="A62" s="1" t="s">
        <v>65</v>
      </c>
      <c r="B62" s="5">
        <f>B60/B65</f>
        <v>1.2015952943273474</v>
      </c>
      <c r="C62" s="5">
        <f t="shared" ref="C62:F62" si="40">C60/C65</f>
        <v>1.3935308773803168</v>
      </c>
      <c r="D62" s="5">
        <f t="shared" si="40"/>
        <v>1.3411958066808813</v>
      </c>
      <c r="E62" s="5">
        <f t="shared" si="40"/>
        <v>1.0653092073089405</v>
      </c>
      <c r="F62" s="5">
        <f t="shared" si="40"/>
        <v>0.41881820601543784</v>
      </c>
      <c r="G62" s="5">
        <f t="shared" ref="G62:I62" si="41">G60/G65</f>
        <v>-0.19029933236061369</v>
      </c>
      <c r="H62" s="5">
        <f t="shared" si="41"/>
        <v>7.569263399761389E-2</v>
      </c>
      <c r="I62" s="5" t="e">
        <f t="shared" si="41"/>
        <v>#DIV/0!</v>
      </c>
      <c r="L62" s="5">
        <f t="shared" ref="L62" si="42">L60/L65</f>
        <v>4.998933001378207</v>
      </c>
      <c r="N62" s="5" t="e">
        <f t="shared" si="2"/>
        <v>#DIV/0!</v>
      </c>
    </row>
    <row r="63" spans="1:17" s="5" customFormat="1" x14ac:dyDescent="0.35">
      <c r="A63" s="1" t="s">
        <v>66</v>
      </c>
      <c r="B63" s="5">
        <f>B60/B66</f>
        <v>1.201220598717035</v>
      </c>
      <c r="C63" s="5">
        <f t="shared" ref="C63:F63" si="43">C60/C66</f>
        <v>1.3930350471446362</v>
      </c>
      <c r="D63" s="5">
        <f t="shared" si="43"/>
        <v>1.3408979881867034</v>
      </c>
      <c r="E63" s="5">
        <f t="shared" si="43"/>
        <v>1.0650251122272101</v>
      </c>
      <c r="F63" s="5">
        <f t="shared" si="43"/>
        <v>0.41874390135722522</v>
      </c>
      <c r="G63" s="5">
        <f t="shared" ref="G63:I63" si="44">G60/G66</f>
        <v>-0.19029933236061369</v>
      </c>
      <c r="H63" s="5">
        <f t="shared" si="44"/>
        <v>7.569263399761389E-2</v>
      </c>
      <c r="I63" s="5" t="e">
        <f t="shared" si="44"/>
        <v>#DIV/0!</v>
      </c>
      <c r="L63" s="5">
        <f t="shared" ref="L63" si="45">L60/L66</f>
        <v>4.9975998933285926</v>
      </c>
      <c r="N63" s="5" t="e">
        <f t="shared" si="2"/>
        <v>#DIV/0!</v>
      </c>
    </row>
    <row r="64" spans="1:17" s="1" customFormat="1" x14ac:dyDescent="0.35">
      <c r="B64" s="3"/>
      <c r="C64" s="3"/>
      <c r="D64" s="3"/>
      <c r="E64" s="3"/>
      <c r="F64" s="3"/>
      <c r="L64" s="3"/>
      <c r="M64" s="3"/>
      <c r="N64" s="3"/>
    </row>
    <row r="65" spans="1:14" s="4" customFormat="1" x14ac:dyDescent="0.35">
      <c r="A65" t="s">
        <v>67</v>
      </c>
      <c r="B65" s="4">
        <v>22441</v>
      </c>
      <c r="C65" s="4">
        <v>22476</v>
      </c>
      <c r="D65" s="4">
        <v>22512</v>
      </c>
      <c r="E65" s="4">
        <v>22493</v>
      </c>
      <c r="F65" s="4">
        <v>22542</v>
      </c>
      <c r="G65" s="4">
        <v>22617</v>
      </c>
      <c r="H65" s="4">
        <v>22631</v>
      </c>
      <c r="L65" s="4">
        <v>22493</v>
      </c>
    </row>
    <row r="66" spans="1:14" s="4" customFormat="1" x14ac:dyDescent="0.35">
      <c r="A66" t="s">
        <v>68</v>
      </c>
      <c r="B66" s="4">
        <v>22448</v>
      </c>
      <c r="C66" s="4">
        <v>22484</v>
      </c>
      <c r="D66" s="4">
        <v>22517</v>
      </c>
      <c r="E66" s="4">
        <v>22499</v>
      </c>
      <c r="F66" s="4">
        <v>22546</v>
      </c>
      <c r="G66" s="4">
        <v>22617</v>
      </c>
      <c r="H66" s="4">
        <v>22631</v>
      </c>
      <c r="L66" s="4">
        <v>22499</v>
      </c>
    </row>
    <row r="67" spans="1:14" s="1" customFormat="1" x14ac:dyDescent="0.35">
      <c r="B67" s="3"/>
      <c r="C67" s="3"/>
      <c r="D67" s="3"/>
      <c r="E67" s="3"/>
      <c r="F67" s="3"/>
      <c r="L67" s="3"/>
      <c r="M67" s="3"/>
      <c r="N67" s="3"/>
    </row>
    <row r="68" spans="1:14" s="1" customFormat="1" x14ac:dyDescent="0.35">
      <c r="B68" s="1" t="str">
        <f>B33</f>
        <v>Q123</v>
      </c>
      <c r="C68" s="1" t="str">
        <f t="shared" ref="C68:N68" si="46">C33</f>
        <v>Q223</v>
      </c>
      <c r="D68" s="1" t="str">
        <f t="shared" si="46"/>
        <v>Q323</v>
      </c>
      <c r="E68" s="1" t="str">
        <f t="shared" si="46"/>
        <v>Q423</v>
      </c>
      <c r="F68" s="1" t="str">
        <f t="shared" si="46"/>
        <v>Q124</v>
      </c>
      <c r="G68" s="1" t="str">
        <f t="shared" si="46"/>
        <v>Q224</v>
      </c>
      <c r="H68" s="1" t="str">
        <f t="shared" si="46"/>
        <v>Q324</v>
      </c>
      <c r="I68" s="1" t="str">
        <f t="shared" si="46"/>
        <v>Q424</v>
      </c>
      <c r="L68" s="1">
        <f t="shared" si="46"/>
        <v>2023</v>
      </c>
      <c r="N68" s="1">
        <f t="shared" si="46"/>
        <v>2024</v>
      </c>
    </row>
    <row r="69" spans="1:14" s="1" customFormat="1" x14ac:dyDescent="0.35">
      <c r="A69" s="1" t="s">
        <v>84</v>
      </c>
    </row>
    <row r="70" spans="1:14" x14ac:dyDescent="0.35">
      <c r="A70" t="s">
        <v>51</v>
      </c>
      <c r="B70" s="2">
        <v>26965</v>
      </c>
      <c r="C70" s="2">
        <f>58287-B70</f>
        <v>31322</v>
      </c>
      <c r="D70" s="2">
        <f>88479-C70-B70</f>
        <v>30192</v>
      </c>
      <c r="E70" s="2">
        <f t="shared" ref="E70:E86" si="47">K70-D70-C70-B70</f>
        <v>23962</v>
      </c>
      <c r="F70" s="2">
        <v>9441</v>
      </c>
      <c r="G70" s="2">
        <f>5136-F70</f>
        <v>-4305</v>
      </c>
      <c r="H70" s="2">
        <f>6850-G70-F70</f>
        <v>1714</v>
      </c>
      <c r="K70" s="2">
        <v>112441</v>
      </c>
      <c r="L70" s="2">
        <f t="shared" si="1"/>
        <v>112441</v>
      </c>
      <c r="M70" s="2"/>
      <c r="N70" s="2">
        <f t="shared" si="2"/>
        <v>6850</v>
      </c>
    </row>
    <row r="71" spans="1:14" x14ac:dyDescent="0.35">
      <c r="A71" t="s">
        <v>52</v>
      </c>
      <c r="B71" s="2">
        <v>6948</v>
      </c>
      <c r="C71" s="2">
        <f>14637-B71</f>
        <v>7689</v>
      </c>
      <c r="D71" s="2">
        <f>22871-C71-B71</f>
        <v>8234</v>
      </c>
      <c r="E71" s="2">
        <f t="shared" si="47"/>
        <v>8608</v>
      </c>
      <c r="F71" s="2">
        <v>8715</v>
      </c>
      <c r="G71" s="2">
        <f>18413-F71</f>
        <v>9698</v>
      </c>
      <c r="H71" s="2">
        <f>28687-G71-F71</f>
        <v>10274</v>
      </c>
      <c r="K71" s="2">
        <v>31479</v>
      </c>
      <c r="L71" s="2">
        <f t="shared" si="1"/>
        <v>31479</v>
      </c>
      <c r="M71" s="2"/>
      <c r="N71" s="2">
        <f t="shared" si="2"/>
        <v>28687</v>
      </c>
    </row>
    <row r="72" spans="1:14" x14ac:dyDescent="0.35">
      <c r="A72" t="s">
        <v>110</v>
      </c>
      <c r="B72" s="2">
        <v>0</v>
      </c>
      <c r="C72" s="2">
        <v>0</v>
      </c>
      <c r="D72" s="2">
        <f>0-C72-B72</f>
        <v>0</v>
      </c>
      <c r="E72" s="2">
        <f t="shared" si="47"/>
        <v>0</v>
      </c>
      <c r="F72" s="2"/>
      <c r="G72" s="2">
        <f>1473-F72</f>
        <v>1473</v>
      </c>
      <c r="H72" s="2">
        <f>1737-G72-F72</f>
        <v>264</v>
      </c>
      <c r="K72" s="2">
        <v>0</v>
      </c>
      <c r="L72" s="2">
        <f t="shared" ref="L72:L122" si="48">SUM(B72:E72)</f>
        <v>0</v>
      </c>
      <c r="M72" s="2"/>
      <c r="N72" s="2">
        <f t="shared" ref="N72:N125" si="49">SUM(F72:I72)</f>
        <v>1737</v>
      </c>
    </row>
    <row r="73" spans="1:14" x14ac:dyDescent="0.35">
      <c r="A73" t="s">
        <v>53</v>
      </c>
      <c r="B73" s="2">
        <v>-904</v>
      </c>
      <c r="C73" s="2">
        <f>-2495-B73</f>
        <v>-1591</v>
      </c>
      <c r="D73" s="2">
        <f>-3731-C73-B73</f>
        <v>-1236</v>
      </c>
      <c r="E73" s="2">
        <f t="shared" si="47"/>
        <v>6641</v>
      </c>
      <c r="F73" s="2">
        <v>-379</v>
      </c>
      <c r="G73" s="2">
        <f>-650-F73</f>
        <v>-271</v>
      </c>
      <c r="H73" s="2">
        <f>-3003-G73-F73</f>
        <v>-2353</v>
      </c>
      <c r="K73" s="2">
        <v>2910</v>
      </c>
      <c r="L73" s="2">
        <f t="shared" si="48"/>
        <v>2910</v>
      </c>
      <c r="M73" s="2"/>
      <c r="N73" s="2">
        <f t="shared" si="49"/>
        <v>-3003</v>
      </c>
    </row>
    <row r="74" spans="1:14" x14ac:dyDescent="0.35">
      <c r="A74" t="s">
        <v>54</v>
      </c>
      <c r="B74" s="2">
        <v>659</v>
      </c>
      <c r="C74" s="2">
        <f>1443-B74</f>
        <v>784</v>
      </c>
      <c r="D74" s="2">
        <f>2339-C74-B74</f>
        <v>896</v>
      </c>
      <c r="E74" s="2">
        <f t="shared" si="47"/>
        <v>781</v>
      </c>
      <c r="F74" s="2">
        <v>837</v>
      </c>
      <c r="G74" s="2">
        <f>2099-F74</f>
        <v>1262</v>
      </c>
      <c r="H74" s="2">
        <f>3203-G74-F74</f>
        <v>1104</v>
      </c>
      <c r="K74" s="2">
        <v>3120</v>
      </c>
      <c r="L74" s="2">
        <f t="shared" si="48"/>
        <v>3120</v>
      </c>
      <c r="M74" s="2"/>
      <c r="N74" s="2">
        <f t="shared" si="49"/>
        <v>3203</v>
      </c>
    </row>
    <row r="75" spans="1:14" x14ac:dyDescent="0.35">
      <c r="A75" t="s">
        <v>114</v>
      </c>
      <c r="B75" s="2">
        <v>64</v>
      </c>
      <c r="C75" s="2">
        <f>129-B75</f>
        <v>65</v>
      </c>
      <c r="D75" s="2">
        <f>206-C75-B75</f>
        <v>77</v>
      </c>
      <c r="E75" s="2">
        <f t="shared" si="47"/>
        <v>86</v>
      </c>
      <c r="F75" s="2">
        <v>88</v>
      </c>
      <c r="G75" s="2">
        <f>493-F75</f>
        <v>405</v>
      </c>
      <c r="H75" s="2">
        <f>537-G75-F75</f>
        <v>44</v>
      </c>
      <c r="K75" s="2">
        <v>292</v>
      </c>
      <c r="L75" s="2">
        <f t="shared" si="48"/>
        <v>292</v>
      </c>
      <c r="M75" s="2"/>
      <c r="N75" s="2">
        <f t="shared" si="49"/>
        <v>537</v>
      </c>
    </row>
    <row r="76" spans="1:14" x14ac:dyDescent="0.35">
      <c r="A76" t="s">
        <v>115</v>
      </c>
      <c r="B76" s="2"/>
      <c r="C76" s="2"/>
      <c r="D76" s="2"/>
      <c r="E76" s="2">
        <f t="shared" si="47"/>
        <v>-1349</v>
      </c>
      <c r="F76" s="2"/>
      <c r="G76" s="2"/>
      <c r="H76" s="2"/>
      <c r="K76" s="2">
        <v>-1349</v>
      </c>
      <c r="L76" s="2"/>
      <c r="M76" s="2"/>
      <c r="N76" s="2"/>
    </row>
    <row r="77" spans="1:14" x14ac:dyDescent="0.35">
      <c r="A77" t="s">
        <v>113</v>
      </c>
      <c r="B77" s="2"/>
      <c r="C77" s="2"/>
      <c r="D77" s="2">
        <f>7004-C77-B77</f>
        <v>7004</v>
      </c>
      <c r="E77" s="2">
        <f t="shared" si="47"/>
        <v>0</v>
      </c>
      <c r="F77" s="2"/>
      <c r="G77" s="2"/>
      <c r="H77" s="2">
        <f>6532-G77-F77</f>
        <v>6532</v>
      </c>
      <c r="K77" s="2">
        <v>7004</v>
      </c>
      <c r="L77" s="2">
        <f t="shared" si="48"/>
        <v>7004</v>
      </c>
      <c r="M77" s="2"/>
      <c r="N77" s="2">
        <f t="shared" si="49"/>
        <v>6532</v>
      </c>
    </row>
    <row r="78" spans="1:14" x14ac:dyDescent="0.35">
      <c r="A78" t="s">
        <v>111</v>
      </c>
      <c r="B78" s="2">
        <v>0</v>
      </c>
      <c r="C78" s="2">
        <v>0</v>
      </c>
      <c r="D78" s="2">
        <f>0-C78-B78</f>
        <v>0</v>
      </c>
      <c r="E78" s="2">
        <f t="shared" si="47"/>
        <v>0</v>
      </c>
      <c r="F78" s="2"/>
      <c r="G78" s="2">
        <f>11159-F78</f>
        <v>11159</v>
      </c>
      <c r="H78" s="2">
        <f>11159-G78-F78</f>
        <v>0</v>
      </c>
      <c r="K78" s="2">
        <v>0</v>
      </c>
      <c r="L78" s="2">
        <f t="shared" si="48"/>
        <v>0</v>
      </c>
      <c r="M78" s="2"/>
      <c r="N78" s="2">
        <f t="shared" si="49"/>
        <v>11159</v>
      </c>
    </row>
    <row r="79" spans="1:14" x14ac:dyDescent="0.35">
      <c r="A79" t="s">
        <v>112</v>
      </c>
      <c r="B79" s="2">
        <v>0</v>
      </c>
      <c r="C79" s="2">
        <v>0</v>
      </c>
      <c r="D79" s="2">
        <f>0-C79-B79</f>
        <v>0</v>
      </c>
      <c r="E79" s="2">
        <f t="shared" si="47"/>
        <v>0</v>
      </c>
      <c r="F79" s="2"/>
      <c r="G79" s="2">
        <f>-3585-F79</f>
        <v>-3585</v>
      </c>
      <c r="H79" s="2">
        <f>-3585-G79-F79</f>
        <v>0</v>
      </c>
      <c r="K79" s="2">
        <v>0</v>
      </c>
      <c r="L79" s="2">
        <f t="shared" si="48"/>
        <v>0</v>
      </c>
      <c r="M79" s="2"/>
      <c r="N79" s="2">
        <f t="shared" si="49"/>
        <v>-3585</v>
      </c>
    </row>
    <row r="80" spans="1:14" x14ac:dyDescent="0.35">
      <c r="A80" t="s">
        <v>55</v>
      </c>
      <c r="B80" s="2">
        <v>1663</v>
      </c>
      <c r="C80" s="2">
        <f>3250-B80</f>
        <v>1587</v>
      </c>
      <c r="D80" s="2">
        <f>-1376-C80-B80</f>
        <v>-4626</v>
      </c>
      <c r="E80" s="2">
        <f t="shared" si="47"/>
        <v>2340</v>
      </c>
      <c r="F80" s="2">
        <v>3767</v>
      </c>
      <c r="G80" s="2">
        <f>7319-F80</f>
        <v>3552</v>
      </c>
      <c r="H80" s="2">
        <f>-1255-G80-F80</f>
        <v>-8574</v>
      </c>
      <c r="K80" s="2">
        <f>7968-L77</f>
        <v>964</v>
      </c>
      <c r="L80" s="2">
        <f t="shared" si="48"/>
        <v>964</v>
      </c>
      <c r="M80" s="2"/>
      <c r="N80" s="2">
        <f t="shared" si="49"/>
        <v>-1255</v>
      </c>
    </row>
    <row r="81" spans="1:14" x14ac:dyDescent="0.35">
      <c r="A81" t="s">
        <v>56</v>
      </c>
      <c r="B81" s="2">
        <v>-32307</v>
      </c>
      <c r="C81" s="2">
        <f>-20623-B81</f>
        <v>11684</v>
      </c>
      <c r="D81" s="2">
        <f>-31947-C81-B81</f>
        <v>-11324</v>
      </c>
      <c r="E81" s="2">
        <f t="shared" si="47"/>
        <v>-16144</v>
      </c>
      <c r="F81" s="2">
        <v>20115</v>
      </c>
      <c r="G81" s="2">
        <f>18499-F81</f>
        <v>-1616</v>
      </c>
      <c r="H81" s="2">
        <f>12541-G81-F81</f>
        <v>-5958</v>
      </c>
      <c r="K81" s="2">
        <v>-48091</v>
      </c>
      <c r="L81" s="2">
        <f t="shared" si="48"/>
        <v>-48091</v>
      </c>
      <c r="M81" s="2"/>
      <c r="N81" s="2">
        <f t="shared" si="49"/>
        <v>12541</v>
      </c>
    </row>
    <row r="82" spans="1:14" x14ac:dyDescent="0.35">
      <c r="A82" t="s">
        <v>57</v>
      </c>
      <c r="B82" s="2">
        <v>1274</v>
      </c>
      <c r="C82" s="2">
        <f>7540-B82</f>
        <v>6266</v>
      </c>
      <c r="D82" s="2">
        <f>5774-C82-B82</f>
        <v>-1766</v>
      </c>
      <c r="E82" s="2">
        <f t="shared" si="47"/>
        <v>-5159</v>
      </c>
      <c r="F82" s="2">
        <v>6815</v>
      </c>
      <c r="G82" s="2">
        <f>9301-F82</f>
        <v>2486</v>
      </c>
      <c r="H82" s="2">
        <f>9124-G82-F82</f>
        <v>-177</v>
      </c>
      <c r="K82" s="2">
        <v>615</v>
      </c>
      <c r="L82" s="2">
        <f t="shared" si="48"/>
        <v>615</v>
      </c>
      <c r="M82" s="2"/>
      <c r="N82" s="2">
        <f t="shared" si="49"/>
        <v>9124</v>
      </c>
    </row>
    <row r="83" spans="1:14" x14ac:dyDescent="0.35">
      <c r="A83" t="s">
        <v>58</v>
      </c>
      <c r="B83" s="2">
        <v>-140107</v>
      </c>
      <c r="C83" s="2">
        <f>-263121-B83</f>
        <v>-123014</v>
      </c>
      <c r="D83" s="2">
        <f>-358837-C83-B83</f>
        <v>-95716</v>
      </c>
      <c r="E83" s="2">
        <f t="shared" si="47"/>
        <v>-117552</v>
      </c>
      <c r="F83" s="2">
        <v>-137760</v>
      </c>
      <c r="G83" s="2">
        <f>-242113-F83</f>
        <v>-104353</v>
      </c>
      <c r="H83" s="2">
        <f>-114485-G83-F83</f>
        <v>127628</v>
      </c>
      <c r="K83" s="2">
        <v>-476389</v>
      </c>
      <c r="L83" s="2">
        <f t="shared" si="48"/>
        <v>-476389</v>
      </c>
      <c r="M83" s="2"/>
      <c r="N83" s="2">
        <f t="shared" si="49"/>
        <v>-114485</v>
      </c>
    </row>
    <row r="84" spans="1:14" x14ac:dyDescent="0.35">
      <c r="A84" t="s">
        <v>59</v>
      </c>
      <c r="B84" s="2">
        <v>86259</v>
      </c>
      <c r="C84" s="2">
        <f>150906-B84</f>
        <v>64647</v>
      </c>
      <c r="D84" s="2">
        <f>274968-C84-B84</f>
        <v>124062</v>
      </c>
      <c r="E84" s="2">
        <f t="shared" si="47"/>
        <v>93143</v>
      </c>
      <c r="F84" s="2">
        <v>92084</v>
      </c>
      <c r="G84" s="2">
        <f>206103-F84</f>
        <v>114019</v>
      </c>
      <c r="H84" s="2">
        <f>78714-G84-F84</f>
        <v>-127389</v>
      </c>
      <c r="K84" s="2">
        <v>368111</v>
      </c>
      <c r="L84" s="2">
        <f t="shared" si="48"/>
        <v>368111</v>
      </c>
      <c r="M84" s="2"/>
      <c r="N84" s="2">
        <f t="shared" si="49"/>
        <v>78714</v>
      </c>
    </row>
    <row r="85" spans="1:14" x14ac:dyDescent="0.35">
      <c r="A85" t="s">
        <v>60</v>
      </c>
      <c r="B85" s="2">
        <v>-23987</v>
      </c>
      <c r="C85" s="2">
        <f>-58482-B85</f>
        <v>-34495</v>
      </c>
      <c r="D85" s="2">
        <f>-77425-C85-B85</f>
        <v>-18943</v>
      </c>
      <c r="E85" s="2">
        <f t="shared" si="47"/>
        <v>61883</v>
      </c>
      <c r="F85" s="2">
        <v>-30670</v>
      </c>
      <c r="G85" s="2">
        <f>-58326-F85</f>
        <v>-27656</v>
      </c>
      <c r="H85" s="2">
        <f>-76838-G85-F85</f>
        <v>-18512</v>
      </c>
      <c r="K85" s="2">
        <v>-15542</v>
      </c>
      <c r="L85" s="2">
        <f t="shared" si="48"/>
        <v>-15542</v>
      </c>
      <c r="M85" s="2"/>
      <c r="N85" s="2">
        <f t="shared" si="49"/>
        <v>-76838</v>
      </c>
    </row>
    <row r="86" spans="1:14" x14ac:dyDescent="0.35">
      <c r="A86" t="s">
        <v>61</v>
      </c>
      <c r="B86" s="2">
        <v>-4231</v>
      </c>
      <c r="C86" s="2">
        <f>-14166-B86</f>
        <v>-9935</v>
      </c>
      <c r="D86" s="2">
        <f>-10386-C86-B86</f>
        <v>3780</v>
      </c>
      <c r="E86" s="2">
        <f t="shared" si="47"/>
        <v>-7459</v>
      </c>
      <c r="F86" s="2">
        <v>-5407</v>
      </c>
      <c r="G86" s="2">
        <f>-22688-F86</f>
        <v>-17281</v>
      </c>
      <c r="H86" s="2">
        <f>-16113-G86-F86</f>
        <v>6575</v>
      </c>
      <c r="K86" s="2">
        <v>-17845</v>
      </c>
      <c r="L86" s="2">
        <f t="shared" si="48"/>
        <v>-17845</v>
      </c>
      <c r="M86" s="2"/>
      <c r="N86" s="2">
        <f t="shared" si="49"/>
        <v>-16113</v>
      </c>
    </row>
    <row r="87" spans="1:14" s="1" customFormat="1" x14ac:dyDescent="0.35">
      <c r="A87" s="1" t="s">
        <v>62</v>
      </c>
      <c r="B87" s="3">
        <f>SUM(B70:B86)</f>
        <v>-77704</v>
      </c>
      <c r="C87" s="3">
        <f t="shared" ref="C87:K87" si="50">SUM(C70:C86)</f>
        <v>-44991</v>
      </c>
      <c r="D87" s="3">
        <f t="shared" si="50"/>
        <v>40634</v>
      </c>
      <c r="E87" s="3">
        <f t="shared" si="50"/>
        <v>49781</v>
      </c>
      <c r="F87" s="3">
        <f t="shared" si="50"/>
        <v>-32354</v>
      </c>
      <c r="G87" s="3">
        <f t="shared" si="50"/>
        <v>-15013</v>
      </c>
      <c r="H87" s="3">
        <f t="shared" si="50"/>
        <v>-8828</v>
      </c>
      <c r="I87" s="3">
        <f t="shared" si="50"/>
        <v>0</v>
      </c>
      <c r="K87" s="3">
        <f t="shared" si="50"/>
        <v>-32280</v>
      </c>
      <c r="L87" s="3">
        <f t="shared" si="48"/>
        <v>-32280</v>
      </c>
      <c r="M87" s="3"/>
      <c r="N87" s="3">
        <f t="shared" si="49"/>
        <v>-56195</v>
      </c>
    </row>
    <row r="88" spans="1:14" s="1" customFormat="1" x14ac:dyDescent="0.35">
      <c r="B88" s="3"/>
      <c r="C88" s="3"/>
      <c r="D88" s="3"/>
      <c r="E88" s="3"/>
      <c r="F88" s="3"/>
      <c r="L88" s="3"/>
      <c r="M88" s="3"/>
      <c r="N88" s="3"/>
    </row>
    <row r="89" spans="1:14" s="1" customFormat="1" x14ac:dyDescent="0.35">
      <c r="B89" s="1" t="str">
        <f>B68</f>
        <v>Q123</v>
      </c>
      <c r="C89" s="1" t="str">
        <f t="shared" ref="C89:N89" si="51">C68</f>
        <v>Q223</v>
      </c>
      <c r="D89" s="1" t="str">
        <f t="shared" si="51"/>
        <v>Q323</v>
      </c>
      <c r="E89" s="1" t="str">
        <f t="shared" si="51"/>
        <v>Q423</v>
      </c>
      <c r="F89" s="1" t="str">
        <f t="shared" si="51"/>
        <v>Q124</v>
      </c>
      <c r="G89" s="1" t="str">
        <f t="shared" si="51"/>
        <v>Q224</v>
      </c>
      <c r="H89" s="1" t="str">
        <f t="shared" si="51"/>
        <v>Q324</v>
      </c>
      <c r="I89" s="1" t="str">
        <f t="shared" si="51"/>
        <v>Q424</v>
      </c>
      <c r="L89" s="1">
        <f t="shared" si="51"/>
        <v>2023</v>
      </c>
      <c r="N89" s="1">
        <f t="shared" si="51"/>
        <v>2024</v>
      </c>
    </row>
    <row r="90" spans="1:14" s="1" customFormat="1" x14ac:dyDescent="0.35">
      <c r="A90" s="1" t="s">
        <v>83</v>
      </c>
      <c r="B90" s="3"/>
      <c r="C90" s="3"/>
      <c r="D90" s="3"/>
      <c r="E90" s="3"/>
      <c r="F90" s="3"/>
      <c r="L90" s="3"/>
      <c r="M90" s="3"/>
      <c r="N90" s="3"/>
    </row>
    <row r="91" spans="1:14" x14ac:dyDescent="0.35">
      <c r="A91" t="s">
        <v>69</v>
      </c>
      <c r="B91" s="2">
        <v>38357</v>
      </c>
      <c r="C91" s="2">
        <v>52765</v>
      </c>
      <c r="D91" s="2">
        <v>69981</v>
      </c>
      <c r="E91" s="2">
        <v>38066</v>
      </c>
      <c r="F91" s="2">
        <v>35684</v>
      </c>
      <c r="G91" s="2">
        <v>31219</v>
      </c>
      <c r="H91" s="2">
        <v>23420</v>
      </c>
      <c r="I91" s="2"/>
      <c r="L91" s="2">
        <f>E91</f>
        <v>38066</v>
      </c>
      <c r="M91" s="2"/>
      <c r="N91" s="2">
        <f t="shared" si="49"/>
        <v>90323</v>
      </c>
    </row>
    <row r="92" spans="1:14" x14ac:dyDescent="0.35">
      <c r="A92" t="s">
        <v>70</v>
      </c>
      <c r="B92" s="2">
        <v>131284</v>
      </c>
      <c r="C92" s="2">
        <v>119753</v>
      </c>
      <c r="D92" s="2">
        <v>129399</v>
      </c>
      <c r="E92" s="2">
        <v>153657</v>
      </c>
      <c r="F92" s="2">
        <v>134142</v>
      </c>
      <c r="G92" s="2">
        <v>131776</v>
      </c>
      <c r="H92" s="2">
        <v>140295</v>
      </c>
      <c r="I92" s="2"/>
      <c r="L92" s="2">
        <f t="shared" ref="L92:L94" si="52">E92</f>
        <v>153657</v>
      </c>
      <c r="M92" s="2"/>
      <c r="N92" s="2">
        <f t="shared" si="49"/>
        <v>406213</v>
      </c>
    </row>
    <row r="93" spans="1:14" x14ac:dyDescent="0.35">
      <c r="A93" t="s">
        <v>71</v>
      </c>
      <c r="B93" s="2">
        <v>854154</v>
      </c>
      <c r="C93" s="2">
        <v>979427</v>
      </c>
      <c r="D93" s="2">
        <v>1071088</v>
      </c>
      <c r="E93" s="2">
        <v>1303030</v>
      </c>
      <c r="F93" s="2">
        <v>1429762</v>
      </c>
      <c r="G93" s="2">
        <v>1527758</v>
      </c>
      <c r="H93" s="2">
        <v>1413088</v>
      </c>
      <c r="I93" s="2"/>
      <c r="L93" s="2">
        <f t="shared" si="52"/>
        <v>1303030</v>
      </c>
      <c r="M93" s="2"/>
      <c r="N93" s="2">
        <f t="shared" si="49"/>
        <v>4370608</v>
      </c>
    </row>
    <row r="94" spans="1:14" x14ac:dyDescent="0.35">
      <c r="A94" t="s">
        <v>72</v>
      </c>
      <c r="B94" s="2">
        <v>19792</v>
      </c>
      <c r="C94" s="2">
        <v>13543</v>
      </c>
      <c r="D94" s="2">
        <v>15080</v>
      </c>
      <c r="E94" s="2">
        <v>24262</v>
      </c>
      <c r="F94" s="2">
        <v>15301</v>
      </c>
      <c r="G94" s="2">
        <v>18347</v>
      </c>
      <c r="H94" s="2">
        <v>19896</v>
      </c>
      <c r="I94" s="2"/>
      <c r="L94" s="2">
        <f t="shared" si="52"/>
        <v>24262</v>
      </c>
      <c r="M94" s="2"/>
      <c r="N94" s="2">
        <f t="shared" si="49"/>
        <v>53544</v>
      </c>
    </row>
    <row r="95" spans="1:14" s="1" customFormat="1" x14ac:dyDescent="0.35">
      <c r="A95" s="1" t="s">
        <v>73</v>
      </c>
      <c r="B95" s="3">
        <f>SUM(B91:B94)</f>
        <v>1043587</v>
      </c>
      <c r="C95" s="3">
        <f t="shared" ref="C95:I95" si="53">SUM(C91:C94)</f>
        <v>1165488</v>
      </c>
      <c r="D95" s="3">
        <f t="shared" si="53"/>
        <v>1285548</v>
      </c>
      <c r="E95" s="3">
        <f>SUM(E91:E94)</f>
        <v>1519015</v>
      </c>
      <c r="F95" s="3">
        <f t="shared" si="53"/>
        <v>1614889</v>
      </c>
      <c r="G95" s="3">
        <f t="shared" si="53"/>
        <v>1709100</v>
      </c>
      <c r="H95" s="3">
        <f t="shared" si="53"/>
        <v>1596699</v>
      </c>
      <c r="I95" s="3">
        <f t="shared" si="53"/>
        <v>0</v>
      </c>
      <c r="L95" s="3">
        <f t="shared" ref="L95" si="54">SUM(L91:L94)</f>
        <v>1519015</v>
      </c>
      <c r="M95" s="3"/>
      <c r="N95" s="3">
        <f t="shared" si="49"/>
        <v>4920688</v>
      </c>
    </row>
    <row r="96" spans="1:14" x14ac:dyDescent="0.35">
      <c r="A96" t="s">
        <v>77</v>
      </c>
      <c r="B96" s="2">
        <v>233830</v>
      </c>
      <c r="C96" s="2">
        <v>252187</v>
      </c>
      <c r="D96" s="2">
        <v>267155</v>
      </c>
      <c r="E96" s="2">
        <v>298774</v>
      </c>
      <c r="F96" s="2">
        <v>304472</v>
      </c>
      <c r="G96" s="2">
        <v>357346</v>
      </c>
      <c r="H96" s="2">
        <v>357056</v>
      </c>
      <c r="I96" s="2"/>
      <c r="L96" s="2">
        <f t="shared" ref="L96:L101" si="55">E96</f>
        <v>298774</v>
      </c>
      <c r="M96" s="2"/>
      <c r="N96" s="2">
        <f t="shared" si="49"/>
        <v>1018874</v>
      </c>
    </row>
    <row r="97" spans="1:14" x14ac:dyDescent="0.35">
      <c r="A97" t="s">
        <v>78</v>
      </c>
      <c r="B97" s="2">
        <v>47684</v>
      </c>
      <c r="C97" s="2">
        <v>44241</v>
      </c>
      <c r="D97" s="2">
        <v>40835</v>
      </c>
      <c r="E97" s="2">
        <v>54699</v>
      </c>
      <c r="F97" s="2">
        <v>51858</v>
      </c>
      <c r="G97" s="2">
        <v>37643</v>
      </c>
      <c r="H97" s="2">
        <v>37520</v>
      </c>
      <c r="I97" s="2"/>
      <c r="L97" s="2">
        <f t="shared" si="55"/>
        <v>54699</v>
      </c>
      <c r="M97" s="2"/>
      <c r="N97" s="2">
        <f t="shared" si="49"/>
        <v>127021</v>
      </c>
    </row>
    <row r="98" spans="1:14" x14ac:dyDescent="0.35">
      <c r="A98" t="s">
        <v>53</v>
      </c>
      <c r="B98" s="2">
        <v>2169</v>
      </c>
      <c r="C98" s="2">
        <v>3769</v>
      </c>
      <c r="D98" s="2">
        <v>4969</v>
      </c>
      <c r="E98" s="2">
        <v>529</v>
      </c>
      <c r="F98" s="2">
        <v>517</v>
      </c>
      <c r="G98" s="2">
        <v>512</v>
      </c>
      <c r="H98" s="2">
        <v>535</v>
      </c>
      <c r="I98" s="2"/>
      <c r="L98" s="2">
        <f t="shared" si="55"/>
        <v>529</v>
      </c>
      <c r="M98" s="2"/>
      <c r="N98" s="2">
        <f t="shared" si="49"/>
        <v>1564</v>
      </c>
    </row>
    <row r="99" spans="1:14" x14ac:dyDescent="0.35">
      <c r="A99" t="s">
        <v>79</v>
      </c>
      <c r="B99" s="2">
        <v>30691</v>
      </c>
      <c r="C99" s="2">
        <v>31157</v>
      </c>
      <c r="D99" s="2">
        <v>31144</v>
      </c>
      <c r="E99" s="2">
        <v>64105</v>
      </c>
      <c r="F99" s="2">
        <v>62979</v>
      </c>
      <c r="G99" s="2">
        <v>62929</v>
      </c>
      <c r="H99" s="2">
        <v>63865</v>
      </c>
      <c r="I99" s="2"/>
      <c r="L99" s="2">
        <f t="shared" si="55"/>
        <v>64105</v>
      </c>
      <c r="M99" s="2"/>
      <c r="N99" s="2">
        <f t="shared" si="49"/>
        <v>189773</v>
      </c>
    </row>
    <row r="100" spans="1:14" x14ac:dyDescent="0.35">
      <c r="A100" t="s">
        <v>80</v>
      </c>
      <c r="B100" s="2">
        <v>18330</v>
      </c>
      <c r="C100" s="2">
        <v>18354</v>
      </c>
      <c r="D100" s="2">
        <v>18266</v>
      </c>
      <c r="E100" s="2">
        <v>53356</v>
      </c>
      <c r="F100" s="2">
        <v>51301</v>
      </c>
      <c r="G100" s="2">
        <v>51367</v>
      </c>
      <c r="H100" s="2">
        <v>52074</v>
      </c>
      <c r="I100" s="2"/>
      <c r="L100" s="2">
        <f t="shared" si="55"/>
        <v>53356</v>
      </c>
      <c r="M100" s="2"/>
      <c r="N100" s="2">
        <f t="shared" si="49"/>
        <v>154742</v>
      </c>
    </row>
    <row r="101" spans="1:14" x14ac:dyDescent="0.35">
      <c r="A101" t="s">
        <v>55</v>
      </c>
      <c r="B101" s="2">
        <v>1814</v>
      </c>
      <c r="C101" s="2">
        <v>1820</v>
      </c>
      <c r="D101" s="2">
        <v>1821</v>
      </c>
      <c r="E101" s="2">
        <v>1783</v>
      </c>
      <c r="F101" s="2">
        <v>1651</v>
      </c>
      <c r="G101" s="2">
        <v>1652</v>
      </c>
      <c r="H101" s="2">
        <v>1654</v>
      </c>
      <c r="I101" s="2"/>
      <c r="L101" s="2">
        <f t="shared" si="55"/>
        <v>1783</v>
      </c>
      <c r="M101" s="2"/>
      <c r="N101" s="2">
        <f t="shared" si="49"/>
        <v>4957</v>
      </c>
    </row>
    <row r="102" spans="1:14" s="1" customFormat="1" x14ac:dyDescent="0.35">
      <c r="A102" s="1" t="s">
        <v>81</v>
      </c>
      <c r="B102" s="3">
        <f>SUM(B96:B101)</f>
        <v>334518</v>
      </c>
      <c r="C102" s="3">
        <f t="shared" ref="C102:F102" si="56">SUM(C96:C101)</f>
        <v>351528</v>
      </c>
      <c r="D102" s="3">
        <f t="shared" si="56"/>
        <v>364190</v>
      </c>
      <c r="E102" s="3">
        <f t="shared" si="56"/>
        <v>473246</v>
      </c>
      <c r="F102" s="3">
        <f t="shared" si="56"/>
        <v>472778</v>
      </c>
      <c r="G102" s="3">
        <f t="shared" ref="G102:I102" si="57">SUM(G96:G101)</f>
        <v>511449</v>
      </c>
      <c r="H102" s="3">
        <f t="shared" si="57"/>
        <v>512704</v>
      </c>
      <c r="I102" s="3">
        <f t="shared" si="57"/>
        <v>0</v>
      </c>
      <c r="L102" s="3">
        <f t="shared" ref="L102" si="58">SUM(L96:L101)</f>
        <v>473246</v>
      </c>
      <c r="M102" s="3"/>
      <c r="N102" s="3">
        <f t="shared" si="49"/>
        <v>1496931</v>
      </c>
    </row>
    <row r="103" spans="1:14" s="1" customFormat="1" x14ac:dyDescent="0.35">
      <c r="A103" s="1" t="s">
        <v>82</v>
      </c>
      <c r="B103" s="3">
        <f>B95+B102</f>
        <v>1378105</v>
      </c>
      <c r="C103" s="3">
        <f t="shared" ref="C103:E103" si="59">C95+C102</f>
        <v>1517016</v>
      </c>
      <c r="D103" s="3">
        <f t="shared" si="59"/>
        <v>1649738</v>
      </c>
      <c r="E103" s="3">
        <f t="shared" si="59"/>
        <v>1992261</v>
      </c>
      <c r="F103" s="3">
        <f>F95+F102</f>
        <v>2087667</v>
      </c>
      <c r="G103" s="3">
        <f t="shared" ref="G103:I103" si="60">G95+G102</f>
        <v>2220549</v>
      </c>
      <c r="H103" s="3">
        <f t="shared" si="60"/>
        <v>2109403</v>
      </c>
      <c r="I103" s="3">
        <f t="shared" si="60"/>
        <v>0</v>
      </c>
      <c r="L103" s="3">
        <f t="shared" ref="L103" si="61">L95+L102</f>
        <v>1992261</v>
      </c>
      <c r="M103" s="3"/>
      <c r="N103" s="3">
        <f t="shared" si="49"/>
        <v>6417619</v>
      </c>
    </row>
    <row r="104" spans="1:14" x14ac:dyDescent="0.35">
      <c r="A104" t="s">
        <v>86</v>
      </c>
      <c r="B104" s="2">
        <v>43195</v>
      </c>
      <c r="C104" s="2">
        <v>41254</v>
      </c>
      <c r="D104" s="2">
        <v>38016</v>
      </c>
      <c r="E104" s="2">
        <v>43846</v>
      </c>
      <c r="F104" s="2">
        <v>47629</v>
      </c>
      <c r="G104" s="2">
        <v>40434</v>
      </c>
      <c r="H104" s="2">
        <v>44689</v>
      </c>
      <c r="I104" s="2"/>
      <c r="L104" s="2">
        <f t="shared" ref="L104:L110" si="62">E104</f>
        <v>43846</v>
      </c>
      <c r="M104" s="2"/>
      <c r="N104" s="2">
        <f t="shared" si="49"/>
        <v>132752</v>
      </c>
    </row>
    <row r="105" spans="1:14" x14ac:dyDescent="0.35">
      <c r="A105" t="s">
        <v>87</v>
      </c>
      <c r="B105" s="2">
        <v>442950</v>
      </c>
      <c r="C105" s="2">
        <v>595728</v>
      </c>
      <c r="D105" s="2">
        <v>705610</v>
      </c>
      <c r="E105" s="2">
        <v>893846</v>
      </c>
      <c r="F105" s="2">
        <v>1024999</v>
      </c>
      <c r="G105" s="2">
        <v>1168440</v>
      </c>
      <c r="H105" s="2">
        <v>1048221</v>
      </c>
      <c r="I105" s="2"/>
      <c r="L105" s="2">
        <f t="shared" si="62"/>
        <v>893846</v>
      </c>
      <c r="M105" s="2"/>
      <c r="N105" s="2">
        <f t="shared" si="49"/>
        <v>3241660</v>
      </c>
    </row>
    <row r="106" spans="1:14" x14ac:dyDescent="0.35">
      <c r="A106" t="s">
        <v>88</v>
      </c>
      <c r="B106" s="2">
        <v>7481</v>
      </c>
      <c r="C106" s="2">
        <v>11174</v>
      </c>
      <c r="D106" s="2">
        <v>11586</v>
      </c>
      <c r="E106" s="2">
        <v>13706</v>
      </c>
      <c r="F106" s="2">
        <v>13890</v>
      </c>
      <c r="G106" s="2">
        <v>9940</v>
      </c>
      <c r="H106" s="2">
        <v>9500</v>
      </c>
      <c r="I106" s="2"/>
      <c r="L106" s="2">
        <f t="shared" si="62"/>
        <v>13706</v>
      </c>
      <c r="M106" s="2"/>
      <c r="N106" s="2">
        <f t="shared" si="49"/>
        <v>33330</v>
      </c>
    </row>
    <row r="107" spans="1:14" x14ac:dyDescent="0.35">
      <c r="A107" t="s">
        <v>89</v>
      </c>
      <c r="B107" s="2">
        <v>9888</v>
      </c>
      <c r="C107" s="2">
        <v>9533</v>
      </c>
      <c r="D107" s="2">
        <v>9395</v>
      </c>
      <c r="E107" s="2">
        <v>10751</v>
      </c>
      <c r="F107" s="2">
        <v>10918</v>
      </c>
      <c r="G107" s="2">
        <v>7912</v>
      </c>
      <c r="H107" s="2">
        <v>8178</v>
      </c>
      <c r="I107" s="2"/>
      <c r="L107" s="2">
        <f t="shared" si="62"/>
        <v>10751</v>
      </c>
      <c r="M107" s="2"/>
      <c r="N107" s="2">
        <f t="shared" si="49"/>
        <v>27008</v>
      </c>
    </row>
    <row r="108" spans="1:14" x14ac:dyDescent="0.35">
      <c r="A108" t="s">
        <v>90</v>
      </c>
      <c r="B108" s="2">
        <v>97532</v>
      </c>
      <c r="C108" s="2">
        <v>63083</v>
      </c>
      <c r="D108" s="2">
        <v>43964</v>
      </c>
      <c r="E108" s="2">
        <v>115852</v>
      </c>
      <c r="F108" s="2">
        <v>84900</v>
      </c>
      <c r="G108" s="2">
        <v>57802</v>
      </c>
      <c r="H108" s="2">
        <v>41979</v>
      </c>
      <c r="I108" s="2"/>
      <c r="L108" s="2">
        <f t="shared" si="62"/>
        <v>115852</v>
      </c>
      <c r="M108" s="2"/>
      <c r="N108" s="2">
        <f t="shared" si="49"/>
        <v>184681</v>
      </c>
    </row>
    <row r="109" spans="1:14" x14ac:dyDescent="0.35">
      <c r="A109" t="s">
        <v>91</v>
      </c>
      <c r="B109" s="2">
        <v>48042</v>
      </c>
      <c r="C109" s="2">
        <v>49360</v>
      </c>
      <c r="D109" s="2">
        <v>71211</v>
      </c>
      <c r="E109" s="2">
        <v>74400</v>
      </c>
      <c r="F109" s="2">
        <v>65402</v>
      </c>
      <c r="G109" s="2">
        <v>58892</v>
      </c>
      <c r="H109" s="2">
        <v>59460</v>
      </c>
      <c r="I109" s="2"/>
      <c r="L109" s="2">
        <f t="shared" si="62"/>
        <v>74400</v>
      </c>
      <c r="M109" s="2"/>
      <c r="N109" s="2">
        <f t="shared" si="49"/>
        <v>183754</v>
      </c>
    </row>
    <row r="110" spans="1:14" x14ac:dyDescent="0.35">
      <c r="A110" t="s">
        <v>116</v>
      </c>
      <c r="B110" s="2">
        <v>11151</v>
      </c>
      <c r="C110" s="2">
        <v>7870</v>
      </c>
      <c r="D110" s="2">
        <v>5622</v>
      </c>
      <c r="E110" s="2"/>
      <c r="F110" s="2"/>
      <c r="G110" s="2"/>
      <c r="H110" s="2"/>
      <c r="I110" s="2"/>
      <c r="L110" s="2">
        <f t="shared" si="62"/>
        <v>0</v>
      </c>
      <c r="M110" s="2"/>
      <c r="N110" s="2"/>
    </row>
    <row r="111" spans="1:14" s="1" customFormat="1" x14ac:dyDescent="0.35">
      <c r="A111" s="1" t="s">
        <v>92</v>
      </c>
      <c r="B111" s="3">
        <f t="shared" ref="B111:I111" si="63">SUM(B104:B110)</f>
        <v>660239</v>
      </c>
      <c r="C111" s="3">
        <f t="shared" si="63"/>
        <v>778002</v>
      </c>
      <c r="D111" s="3">
        <f t="shared" si="63"/>
        <v>885404</v>
      </c>
      <c r="E111" s="3">
        <f t="shared" si="63"/>
        <v>1152401</v>
      </c>
      <c r="F111" s="3">
        <f t="shared" si="63"/>
        <v>1247738</v>
      </c>
      <c r="G111" s="3">
        <f t="shared" si="63"/>
        <v>1343420</v>
      </c>
      <c r="H111" s="3">
        <f t="shared" si="63"/>
        <v>1212027</v>
      </c>
      <c r="I111" s="3">
        <f t="shared" si="63"/>
        <v>0</v>
      </c>
      <c r="L111" s="3">
        <f>SUM(L104:L110)</f>
        <v>1152401</v>
      </c>
      <c r="M111" s="3"/>
      <c r="N111" s="3">
        <f>SUM(N104:N110)</f>
        <v>3803185</v>
      </c>
    </row>
    <row r="112" spans="1:14" x14ac:dyDescent="0.35">
      <c r="A112" t="s">
        <v>93</v>
      </c>
      <c r="B112" s="2">
        <v>93445</v>
      </c>
      <c r="C112" s="2">
        <v>87052</v>
      </c>
      <c r="D112" s="2">
        <v>87591</v>
      </c>
      <c r="E112" s="2">
        <v>106407</v>
      </c>
      <c r="F112" s="2">
        <v>105440</v>
      </c>
      <c r="G112" s="2">
        <v>116666</v>
      </c>
      <c r="H112" s="2">
        <v>131134</v>
      </c>
      <c r="I112" s="2"/>
      <c r="L112" s="2">
        <f t="shared" ref="L112:L115" si="64">E112</f>
        <v>106407</v>
      </c>
      <c r="M112" s="2"/>
      <c r="N112" s="2">
        <f t="shared" si="49"/>
        <v>353240</v>
      </c>
    </row>
    <row r="113" spans="1:14" x14ac:dyDescent="0.35">
      <c r="A113" t="s">
        <v>94</v>
      </c>
      <c r="B113" s="2">
        <v>45770</v>
      </c>
      <c r="C113" s="2">
        <v>42168</v>
      </c>
      <c r="D113" s="2">
        <v>38688</v>
      </c>
      <c r="E113" s="2">
        <v>50964</v>
      </c>
      <c r="F113" s="2">
        <v>47693</v>
      </c>
      <c r="G113" s="2">
        <v>35415</v>
      </c>
      <c r="H113" s="2">
        <v>34814</v>
      </c>
      <c r="I113" s="2"/>
      <c r="L113" s="2">
        <f t="shared" si="64"/>
        <v>50964</v>
      </c>
      <c r="M113" s="2"/>
      <c r="N113" s="2">
        <f t="shared" si="49"/>
        <v>117922</v>
      </c>
    </row>
    <row r="114" spans="1:14" x14ac:dyDescent="0.35">
      <c r="A114" t="s">
        <v>53</v>
      </c>
      <c r="B114" s="2">
        <v>9567</v>
      </c>
      <c r="C114" s="2">
        <v>9569</v>
      </c>
      <c r="D114" s="2">
        <v>9561</v>
      </c>
      <c r="E114" s="2">
        <v>22607</v>
      </c>
      <c r="F114" s="2">
        <v>21740</v>
      </c>
      <c r="G114" s="2">
        <v>21662</v>
      </c>
      <c r="H114" s="2">
        <v>19701</v>
      </c>
      <c r="I114" s="2"/>
      <c r="L114" s="2">
        <f t="shared" si="64"/>
        <v>22607</v>
      </c>
      <c r="M114" s="2"/>
      <c r="N114" s="2">
        <f t="shared" si="49"/>
        <v>63103</v>
      </c>
    </row>
    <row r="115" spans="1:14" x14ac:dyDescent="0.35">
      <c r="A115" t="s">
        <v>95</v>
      </c>
      <c r="B115" s="2">
        <v>5051</v>
      </c>
      <c r="C115" s="2">
        <v>3543</v>
      </c>
      <c r="D115" s="2">
        <v>2661</v>
      </c>
      <c r="E115" s="2">
        <v>2240</v>
      </c>
      <c r="F115" s="2">
        <v>2455</v>
      </c>
      <c r="G115" s="2">
        <v>43820</v>
      </c>
      <c r="H115" s="2">
        <v>43527</v>
      </c>
      <c r="I115" s="2"/>
      <c r="L115" s="2">
        <f t="shared" si="64"/>
        <v>2240</v>
      </c>
      <c r="M115" s="2"/>
      <c r="N115" s="2">
        <f t="shared" si="49"/>
        <v>89802</v>
      </c>
    </row>
    <row r="116" spans="1:14" s="1" customFormat="1" x14ac:dyDescent="0.35">
      <c r="A116" s="1" t="s">
        <v>96</v>
      </c>
      <c r="B116" s="3">
        <f>SUM(B112:B115)</f>
        <v>153833</v>
      </c>
      <c r="C116" s="3">
        <f t="shared" ref="C116:F116" si="65">SUM(C112:C115)</f>
        <v>142332</v>
      </c>
      <c r="D116" s="3">
        <f t="shared" si="65"/>
        <v>138501</v>
      </c>
      <c r="E116" s="3">
        <f t="shared" si="65"/>
        <v>182218</v>
      </c>
      <c r="F116" s="3">
        <f t="shared" si="65"/>
        <v>177328</v>
      </c>
      <c r="G116" s="3">
        <f t="shared" ref="G116:I116" si="66">SUM(G112:G115)</f>
        <v>217563</v>
      </c>
      <c r="H116" s="3">
        <f t="shared" si="66"/>
        <v>229176</v>
      </c>
      <c r="I116" s="3">
        <f t="shared" si="66"/>
        <v>0</v>
      </c>
      <c r="L116" s="3">
        <f t="shared" ref="L116" si="67">SUM(L112:L115)</f>
        <v>182218</v>
      </c>
      <c r="M116" s="3"/>
      <c r="N116" s="3">
        <f t="shared" si="49"/>
        <v>624067</v>
      </c>
    </row>
    <row r="117" spans="1:14" s="1" customFormat="1" x14ac:dyDescent="0.35">
      <c r="A117" s="1" t="s">
        <v>97</v>
      </c>
      <c r="B117" s="3">
        <f>B116+B111</f>
        <v>814072</v>
      </c>
      <c r="C117" s="3">
        <f t="shared" ref="C117:F117" si="68">C116+C111</f>
        <v>920334</v>
      </c>
      <c r="D117" s="3">
        <f t="shared" si="68"/>
        <v>1023905</v>
      </c>
      <c r="E117" s="3">
        <f t="shared" si="68"/>
        <v>1334619</v>
      </c>
      <c r="F117" s="3">
        <f t="shared" si="68"/>
        <v>1425066</v>
      </c>
      <c r="G117" s="3">
        <f t="shared" ref="G117:I117" si="69">G116+G111</f>
        <v>1560983</v>
      </c>
      <c r="H117" s="3">
        <f t="shared" si="69"/>
        <v>1441203</v>
      </c>
      <c r="I117" s="3">
        <f t="shared" si="69"/>
        <v>0</v>
      </c>
      <c r="L117" s="3">
        <f t="shared" ref="L117" si="70">L116+L111</f>
        <v>1334619</v>
      </c>
      <c r="M117" s="3"/>
      <c r="N117" s="3">
        <f t="shared" si="49"/>
        <v>4427252</v>
      </c>
    </row>
    <row r="118" spans="1:14" x14ac:dyDescent="0.35">
      <c r="A118" t="s">
        <v>98</v>
      </c>
      <c r="B118" s="2">
        <v>256207</v>
      </c>
      <c r="C118" s="2">
        <v>256984</v>
      </c>
      <c r="D118" s="2">
        <v>257881</v>
      </c>
      <c r="E118" s="2">
        <v>258657</v>
      </c>
      <c r="F118" s="2">
        <v>258700</v>
      </c>
      <c r="G118" s="2">
        <v>259911</v>
      </c>
      <c r="H118" s="2">
        <v>261011</v>
      </c>
      <c r="I118" s="2"/>
      <c r="L118" s="2">
        <f t="shared" ref="L118:L120" si="71">E118</f>
        <v>258657</v>
      </c>
      <c r="M118" s="2"/>
      <c r="N118" s="2">
        <f t="shared" si="49"/>
        <v>779622</v>
      </c>
    </row>
    <row r="119" spans="1:14" x14ac:dyDescent="0.35">
      <c r="A119" t="s">
        <v>99</v>
      </c>
      <c r="B119" s="2">
        <v>311749</v>
      </c>
      <c r="C119" s="2">
        <v>343070</v>
      </c>
      <c r="D119" s="2">
        <v>373263</v>
      </c>
      <c r="E119" s="2">
        <v>397225</v>
      </c>
      <c r="F119" s="2">
        <v>406666</v>
      </c>
      <c r="G119" s="2">
        <v>402362</v>
      </c>
      <c r="H119" s="2">
        <v>404075</v>
      </c>
      <c r="I119" s="2"/>
      <c r="L119" s="2">
        <f t="shared" si="71"/>
        <v>397225</v>
      </c>
      <c r="M119" s="2"/>
      <c r="N119" s="2">
        <f t="shared" si="49"/>
        <v>1213103</v>
      </c>
    </row>
    <row r="120" spans="1:14" x14ac:dyDescent="0.35">
      <c r="A120" t="s">
        <v>100</v>
      </c>
      <c r="B120" s="2">
        <v>-3923</v>
      </c>
      <c r="C120" s="2">
        <v>-3373</v>
      </c>
      <c r="D120" s="2">
        <v>-5311</v>
      </c>
      <c r="E120" s="2">
        <v>1760</v>
      </c>
      <c r="F120" s="2">
        <v>-2765</v>
      </c>
      <c r="G120" s="2">
        <v>-2707</v>
      </c>
      <c r="H120" s="2">
        <v>3114</v>
      </c>
      <c r="I120" s="2"/>
      <c r="L120" s="2">
        <f t="shared" si="71"/>
        <v>1760</v>
      </c>
      <c r="M120" s="2"/>
      <c r="N120" s="2">
        <f t="shared" si="49"/>
        <v>-2358</v>
      </c>
    </row>
    <row r="121" spans="1:14" s="1" customFormat="1" x14ac:dyDescent="0.35">
      <c r="A121" s="1" t="s">
        <v>101</v>
      </c>
      <c r="B121" s="3">
        <f>SUM(B118:B120)</f>
        <v>564033</v>
      </c>
      <c r="C121" s="3">
        <f t="shared" ref="C121:F121" si="72">SUM(C118:C120)</f>
        <v>596681</v>
      </c>
      <c r="D121" s="3">
        <f t="shared" si="72"/>
        <v>625833</v>
      </c>
      <c r="E121" s="3">
        <f t="shared" si="72"/>
        <v>657642</v>
      </c>
      <c r="F121" s="3">
        <f t="shared" si="72"/>
        <v>662601</v>
      </c>
      <c r="G121" s="3">
        <f t="shared" ref="G121:I121" si="73">SUM(G118:G120)</f>
        <v>659566</v>
      </c>
      <c r="H121" s="3">
        <f t="shared" si="73"/>
        <v>668200</v>
      </c>
      <c r="I121" s="3">
        <f t="shared" si="73"/>
        <v>0</v>
      </c>
      <c r="L121" s="3">
        <f t="shared" si="48"/>
        <v>2444189</v>
      </c>
      <c r="M121" s="3"/>
      <c r="N121" s="3">
        <f t="shared" si="49"/>
        <v>1990367</v>
      </c>
    </row>
    <row r="122" spans="1:14" s="1" customFormat="1" x14ac:dyDescent="0.35">
      <c r="A122" s="1" t="s">
        <v>102</v>
      </c>
      <c r="B122" s="3">
        <f>B121+B117</f>
        <v>1378105</v>
      </c>
      <c r="C122" s="3">
        <f t="shared" ref="C122:F122" si="74">C121+C117</f>
        <v>1517015</v>
      </c>
      <c r="D122" s="3">
        <f t="shared" si="74"/>
        <v>1649738</v>
      </c>
      <c r="E122" s="3">
        <f t="shared" si="74"/>
        <v>1992261</v>
      </c>
      <c r="F122" s="3">
        <f t="shared" si="74"/>
        <v>2087667</v>
      </c>
      <c r="G122" s="3">
        <f t="shared" ref="G122:I122" si="75">G121+G117</f>
        <v>2220549</v>
      </c>
      <c r="H122" s="3">
        <f t="shared" si="75"/>
        <v>2109403</v>
      </c>
      <c r="I122" s="3">
        <f t="shared" si="75"/>
        <v>0</v>
      </c>
      <c r="L122" s="3">
        <f t="shared" si="48"/>
        <v>6537119</v>
      </c>
      <c r="M122" s="3"/>
      <c r="N122" s="3">
        <f t="shared" si="49"/>
        <v>6417619</v>
      </c>
    </row>
    <row r="124" spans="1:14" s="1" customFormat="1" x14ac:dyDescent="0.35">
      <c r="A124" s="1" t="s">
        <v>103</v>
      </c>
      <c r="B124" s="3">
        <f>B93-B105</f>
        <v>411204</v>
      </c>
      <c r="C124" s="3">
        <f t="shared" ref="C124:F124" si="76">C93-C105</f>
        <v>383699</v>
      </c>
      <c r="D124" s="3">
        <f t="shared" si="76"/>
        <v>365478</v>
      </c>
      <c r="E124" s="3">
        <f t="shared" si="76"/>
        <v>409184</v>
      </c>
      <c r="F124" s="3">
        <f t="shared" si="76"/>
        <v>404763</v>
      </c>
      <c r="G124" s="3">
        <f t="shared" ref="G124:I124" si="77">G93-G105</f>
        <v>359318</v>
      </c>
      <c r="H124" s="3">
        <f t="shared" si="77"/>
        <v>364867</v>
      </c>
      <c r="I124" s="3">
        <f t="shared" si="77"/>
        <v>0</v>
      </c>
      <c r="L124" s="3">
        <f t="shared" ref="L124" si="78">L93-L105</f>
        <v>409184</v>
      </c>
      <c r="M124" s="3"/>
      <c r="N124" s="3">
        <f t="shared" si="49"/>
        <v>1128948</v>
      </c>
    </row>
    <row r="125" spans="1:14" s="1" customFormat="1" x14ac:dyDescent="0.35">
      <c r="A125" s="1" t="s">
        <v>104</v>
      </c>
      <c r="B125" s="6">
        <f>B93/B105</f>
        <v>1.9283305113443956</v>
      </c>
      <c r="C125" s="6">
        <f t="shared" ref="C125:F125" si="79">C93/C105</f>
        <v>1.6440842129293907</v>
      </c>
      <c r="D125" s="6">
        <f t="shared" si="79"/>
        <v>1.5179603463669733</v>
      </c>
      <c r="E125" s="6">
        <f t="shared" si="79"/>
        <v>1.4577790805127506</v>
      </c>
      <c r="F125" s="6">
        <f t="shared" si="79"/>
        <v>1.3948911169669433</v>
      </c>
      <c r="G125" s="6">
        <f t="shared" ref="G125:I125" si="80">G93/G105</f>
        <v>1.3075194276128856</v>
      </c>
      <c r="H125" s="6">
        <f t="shared" si="80"/>
        <v>1.3480821315352391</v>
      </c>
      <c r="I125" s="6" t="e">
        <f t="shared" si="80"/>
        <v>#DIV/0!</v>
      </c>
      <c r="L125" s="6">
        <f t="shared" ref="L125" si="81">L93/L105</f>
        <v>1.4577790805127506</v>
      </c>
      <c r="M125" s="6"/>
      <c r="N125" s="6" t="e">
        <f t="shared" si="49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2024-12-08T21:31:59Z</dcterms:modified>
</cp:coreProperties>
</file>