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corey\github\models\"/>
    </mc:Choice>
  </mc:AlternateContent>
  <xr:revisionPtr revIDLastSave="0" documentId="13_ncr:1_{69F7F562-135B-4F2D-AE3F-B10389E2205C}" xr6:coauthVersionLast="47" xr6:coauthVersionMax="47" xr10:uidLastSave="{00000000-0000-0000-0000-000000000000}"/>
  <bookViews>
    <workbookView xWindow="19010" yWindow="400" windowWidth="19250" windowHeight="20140" activeTab="1" xr2:uid="{00000000-000D-0000-FFFF-FFFF00000000}"/>
  </bookViews>
  <sheets>
    <sheet name="main" sheetId="1" r:id="rId1"/>
    <sheet name="model" sheetId="2" r:id="rId2"/>
    <sheet name="Properties" sheetId="11" r:id="rId3"/>
    <sheet name="Risks" sheetId="10" r:id="rId4"/>
    <sheet name="Trade" sheetId="3" r:id="rId5"/>
    <sheet name="Renewables" sheetId="4" r:id="rId6"/>
    <sheet name="NutrientIndustrial" sheetId="5" r:id="rId7"/>
    <sheet name="AgSupplyChain" sheetId="6" r:id="rId8"/>
    <sheet name="EngineeredGranules" sheetId="7" r:id="rId9"/>
    <sheet name="SpecialtyLiquids" sheetId="8" r:id="rId10"/>
    <sheet name="Other" sheetId="9"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42" i="2" l="1"/>
  <c r="M42" i="2"/>
  <c r="L42" i="2"/>
  <c r="K42" i="2"/>
  <c r="I42" i="2"/>
  <c r="H42" i="2"/>
  <c r="G42" i="2"/>
  <c r="F42" i="2"/>
  <c r="E42" i="2"/>
  <c r="D42" i="2"/>
  <c r="C42" i="2"/>
  <c r="B42" i="2"/>
  <c r="E85" i="2"/>
  <c r="E84" i="2"/>
  <c r="E82" i="2"/>
  <c r="E81" i="2"/>
  <c r="E80" i="2"/>
  <c r="E79" i="2"/>
  <c r="L92" i="2"/>
  <c r="K92" i="2"/>
  <c r="M153" i="2"/>
  <c r="M144" i="2"/>
  <c r="M133" i="2"/>
  <c r="M135" i="2" s="1"/>
  <c r="M125" i="2"/>
  <c r="M120" i="2"/>
  <c r="M111" i="2"/>
  <c r="M105" i="2"/>
  <c r="E68" i="2"/>
  <c r="E66" i="2"/>
  <c r="E64" i="2"/>
  <c r="E62" i="2"/>
  <c r="E60" i="2"/>
  <c r="E59" i="2"/>
  <c r="E58" i="2"/>
  <c r="E56" i="2"/>
  <c r="E55" i="2"/>
  <c r="N61" i="2"/>
  <c r="M61" i="2"/>
  <c r="N57" i="2"/>
  <c r="M57" i="2"/>
  <c r="K153" i="2"/>
  <c r="K144" i="2"/>
  <c r="K133" i="2"/>
  <c r="K135" i="2" s="1"/>
  <c r="K125" i="2"/>
  <c r="K120" i="2"/>
  <c r="K111" i="2"/>
  <c r="K105" i="2"/>
  <c r="K98" i="2"/>
  <c r="K138" i="2" s="1"/>
  <c r="K61" i="2"/>
  <c r="K57" i="2"/>
  <c r="K52" i="2"/>
  <c r="K51" i="2"/>
  <c r="K50" i="2"/>
  <c r="K37" i="2"/>
  <c r="K31" i="2"/>
  <c r="K25" i="2"/>
  <c r="K20" i="2"/>
  <c r="K13" i="2"/>
  <c r="M126" i="2" l="1"/>
  <c r="M136" i="2" s="1"/>
  <c r="M112" i="2"/>
  <c r="K112" i="2"/>
  <c r="N63" i="2"/>
  <c r="K126" i="2"/>
  <c r="K136" i="2" s="1"/>
  <c r="K63" i="2"/>
  <c r="M63" i="2"/>
  <c r="L153" i="2"/>
  <c r="L144" i="2"/>
  <c r="L133" i="2"/>
  <c r="L135" i="2" s="1"/>
  <c r="L125" i="2"/>
  <c r="L120" i="2"/>
  <c r="L111" i="2"/>
  <c r="L105" i="2"/>
  <c r="L98" i="2"/>
  <c r="L138" i="2" s="1"/>
  <c r="L61" i="2"/>
  <c r="L57" i="2"/>
  <c r="M54" i="2" s="1"/>
  <c r="N54" i="2"/>
  <c r="N52" i="2"/>
  <c r="M52" i="2"/>
  <c r="L52" i="2"/>
  <c r="N51" i="2"/>
  <c r="M51" i="2"/>
  <c r="L51" i="2"/>
  <c r="N50" i="2"/>
  <c r="M50" i="2"/>
  <c r="L50" i="2"/>
  <c r="N37" i="2"/>
  <c r="M37" i="2"/>
  <c r="L37" i="2"/>
  <c r="N31" i="2"/>
  <c r="M31" i="2"/>
  <c r="L31" i="2"/>
  <c r="N25" i="2"/>
  <c r="M25" i="2"/>
  <c r="L25" i="2"/>
  <c r="N20" i="2"/>
  <c r="M20" i="2"/>
  <c r="L20" i="2"/>
  <c r="N13" i="2"/>
  <c r="M13" i="2"/>
  <c r="L13" i="2"/>
  <c r="M5" i="2"/>
  <c r="M65" i="2" l="1"/>
  <c r="M67" i="2" s="1"/>
  <c r="M69" i="2" s="1"/>
  <c r="N65" i="2"/>
  <c r="N67" i="2" s="1"/>
  <c r="N69" i="2" s="1"/>
  <c r="K65" i="2"/>
  <c r="K67" i="2" s="1"/>
  <c r="K69" i="2" s="1"/>
  <c r="K73" i="2" s="1"/>
  <c r="L126" i="2"/>
  <c r="L136" i="2" s="1"/>
  <c r="L112" i="2"/>
  <c r="L63" i="2"/>
  <c r="L54" i="2"/>
  <c r="K76" i="2" l="1"/>
  <c r="K74" i="2"/>
  <c r="L65" i="2"/>
  <c r="L67" i="2" s="1"/>
  <c r="L69" i="2" s="1"/>
  <c r="L73" i="2" s="1"/>
  <c r="L74" i="2" l="1"/>
  <c r="L76" i="2"/>
  <c r="H83" i="2"/>
  <c r="N83" i="2" s="1"/>
  <c r="D120" i="2"/>
  <c r="H120" i="2"/>
  <c r="I52" i="2"/>
  <c r="H52" i="2"/>
  <c r="G52" i="2"/>
  <c r="I51" i="2"/>
  <c r="H51" i="2"/>
  <c r="G51" i="2"/>
  <c r="E52" i="2"/>
  <c r="D52" i="2"/>
  <c r="C52" i="2"/>
  <c r="B52" i="2"/>
  <c r="F52" i="2"/>
  <c r="F51" i="2"/>
  <c r="N76" i="2"/>
  <c r="M76" i="2"/>
  <c r="N74" i="2"/>
  <c r="M74" i="2"/>
  <c r="N73" i="2"/>
  <c r="M73" i="2"/>
  <c r="C91" i="2"/>
  <c r="C90" i="2"/>
  <c r="C89" i="2"/>
  <c r="C88" i="2"/>
  <c r="C87" i="2"/>
  <c r="C86" i="2"/>
  <c r="C83" i="2"/>
  <c r="C78" i="2"/>
  <c r="C77" i="2"/>
  <c r="G91" i="2"/>
  <c r="H91" i="2" s="1"/>
  <c r="G90" i="2"/>
  <c r="H90" i="2" s="1"/>
  <c r="G89" i="2"/>
  <c r="H89" i="2" s="1"/>
  <c r="G88" i="2"/>
  <c r="H88" i="2" s="1"/>
  <c r="G87" i="2"/>
  <c r="H87" i="2" s="1"/>
  <c r="G86" i="2"/>
  <c r="H86" i="2" s="1"/>
  <c r="N86" i="2" s="1"/>
  <c r="G78" i="2"/>
  <c r="H78" i="2" s="1"/>
  <c r="I153" i="2"/>
  <c r="I144" i="2"/>
  <c r="I92" i="2"/>
  <c r="I37" i="2"/>
  <c r="I31" i="2"/>
  <c r="I25" i="2"/>
  <c r="I20" i="2"/>
  <c r="I61" i="2"/>
  <c r="H61" i="2"/>
  <c r="I57" i="2"/>
  <c r="H57" i="2"/>
  <c r="M53" i="2" s="1"/>
  <c r="I50" i="2"/>
  <c r="G77" i="2"/>
  <c r="G125" i="2"/>
  <c r="G144" i="2"/>
  <c r="G61" i="2"/>
  <c r="E57" i="2"/>
  <c r="D57" i="2"/>
  <c r="C57" i="2"/>
  <c r="G57" i="2"/>
  <c r="L53" i="2" s="1"/>
  <c r="H50" i="2"/>
  <c r="G50" i="2"/>
  <c r="F50" i="2"/>
  <c r="E50" i="2"/>
  <c r="D50" i="2"/>
  <c r="C50" i="2"/>
  <c r="B50" i="2"/>
  <c r="H31" i="2"/>
  <c r="G31" i="2"/>
  <c r="F31" i="2"/>
  <c r="E31" i="2"/>
  <c r="D31" i="2"/>
  <c r="C31" i="2"/>
  <c r="H37" i="2"/>
  <c r="G37" i="2"/>
  <c r="F37" i="2"/>
  <c r="E37" i="2"/>
  <c r="D37" i="2"/>
  <c r="C37" i="2"/>
  <c r="B37" i="2"/>
  <c r="B31" i="2"/>
  <c r="H25" i="2"/>
  <c r="G25" i="2"/>
  <c r="F25" i="2"/>
  <c r="E25" i="2"/>
  <c r="D25" i="2"/>
  <c r="C25" i="2"/>
  <c r="B25" i="2"/>
  <c r="H20" i="2"/>
  <c r="G20" i="2"/>
  <c r="F20" i="2"/>
  <c r="E20" i="2"/>
  <c r="D20" i="2"/>
  <c r="C20" i="2"/>
  <c r="B20" i="2"/>
  <c r="H13" i="2"/>
  <c r="G13" i="2"/>
  <c r="F13" i="2"/>
  <c r="E13" i="2"/>
  <c r="D13" i="2"/>
  <c r="C13" i="2"/>
  <c r="B13" i="2"/>
  <c r="I13" i="2"/>
  <c r="H153" i="2"/>
  <c r="G153" i="2"/>
  <c r="F153" i="2"/>
  <c r="E153" i="2"/>
  <c r="D153" i="2"/>
  <c r="C153" i="2"/>
  <c r="B153" i="2"/>
  <c r="H144" i="2"/>
  <c r="F144" i="2"/>
  <c r="E144" i="2"/>
  <c r="D144" i="2"/>
  <c r="C144" i="2"/>
  <c r="B144" i="2"/>
  <c r="B92" i="2"/>
  <c r="F92" i="2"/>
  <c r="F133" i="2"/>
  <c r="F135" i="2" s="1"/>
  <c r="N133" i="2"/>
  <c r="N135" i="2" s="1"/>
  <c r="I133" i="2"/>
  <c r="I135" i="2" s="1"/>
  <c r="H133" i="2"/>
  <c r="H135" i="2" s="1"/>
  <c r="G133" i="2"/>
  <c r="G135" i="2" s="1"/>
  <c r="E133" i="2"/>
  <c r="E135" i="2" s="1"/>
  <c r="D133" i="2"/>
  <c r="D135" i="2" s="1"/>
  <c r="C133" i="2"/>
  <c r="C135" i="2" s="1"/>
  <c r="B133" i="2"/>
  <c r="B135" i="2" s="1"/>
  <c r="N125" i="2"/>
  <c r="I125" i="2"/>
  <c r="H125" i="2"/>
  <c r="F125" i="2"/>
  <c r="E125" i="2"/>
  <c r="D125" i="2"/>
  <c r="C125" i="2"/>
  <c r="B125" i="2"/>
  <c r="N120" i="2"/>
  <c r="I120" i="2"/>
  <c r="G120" i="2"/>
  <c r="F120" i="2"/>
  <c r="E120" i="2"/>
  <c r="C120" i="2"/>
  <c r="B120" i="2"/>
  <c r="N111" i="2"/>
  <c r="I111" i="2"/>
  <c r="H111" i="2"/>
  <c r="G111" i="2"/>
  <c r="F111" i="2"/>
  <c r="E111" i="2"/>
  <c r="D111" i="2"/>
  <c r="C111" i="2"/>
  <c r="N105" i="2"/>
  <c r="I105" i="2"/>
  <c r="H105" i="2"/>
  <c r="G105" i="2"/>
  <c r="F105" i="2"/>
  <c r="E105" i="2"/>
  <c r="D105" i="2"/>
  <c r="C105" i="2"/>
  <c r="B111" i="2"/>
  <c r="B105" i="2"/>
  <c r="N98" i="2"/>
  <c r="N138" i="2" s="1"/>
  <c r="M98" i="2"/>
  <c r="M138" i="2" s="1"/>
  <c r="I98" i="2"/>
  <c r="I138" i="2" s="1"/>
  <c r="H98" i="2"/>
  <c r="H138" i="2" s="1"/>
  <c r="G98" i="2"/>
  <c r="G138" i="2" s="1"/>
  <c r="F98" i="2"/>
  <c r="F138" i="2" s="1"/>
  <c r="E98" i="2"/>
  <c r="E138" i="2" s="1"/>
  <c r="D98" i="2"/>
  <c r="D138" i="2" s="1"/>
  <c r="C98" i="2"/>
  <c r="C138" i="2" s="1"/>
  <c r="B98" i="2"/>
  <c r="B138" i="2" s="1"/>
  <c r="F61" i="2"/>
  <c r="E61" i="2"/>
  <c r="D61" i="2"/>
  <c r="C61" i="2"/>
  <c r="B61" i="2"/>
  <c r="B57" i="2"/>
  <c r="B54" i="2" s="1"/>
  <c r="F57" i="2"/>
  <c r="K53" i="2" s="1"/>
  <c r="E86" i="2" l="1"/>
  <c r="D77" i="2"/>
  <c r="E77" i="2" s="1"/>
  <c r="D78" i="2"/>
  <c r="E78" i="2" s="1"/>
  <c r="D83" i="2"/>
  <c r="E83" i="2" s="1"/>
  <c r="D86" i="2"/>
  <c r="D87" i="2"/>
  <c r="E87" i="2" s="1"/>
  <c r="D90" i="2"/>
  <c r="E90" i="2" s="1"/>
  <c r="D88" i="2"/>
  <c r="E88" i="2" s="1"/>
  <c r="D89" i="2"/>
  <c r="E89" i="2" s="1"/>
  <c r="D91" i="2"/>
  <c r="E91" i="2" s="1"/>
  <c r="N53" i="2"/>
  <c r="K54" i="2"/>
  <c r="H54" i="2"/>
  <c r="N88" i="2"/>
  <c r="H77" i="2"/>
  <c r="H92" i="2" s="1"/>
  <c r="N91" i="2"/>
  <c r="N90" i="2"/>
  <c r="N89" i="2"/>
  <c r="N87" i="2"/>
  <c r="I54" i="2"/>
  <c r="G54" i="2"/>
  <c r="C54" i="2"/>
  <c r="D54" i="2"/>
  <c r="E63" i="2"/>
  <c r="F54" i="2"/>
  <c r="D63" i="2"/>
  <c r="E54" i="2"/>
  <c r="F53" i="2"/>
  <c r="G53" i="2"/>
  <c r="H53" i="2"/>
  <c r="I53" i="2"/>
  <c r="G63" i="2"/>
  <c r="I63" i="2"/>
  <c r="C92" i="2"/>
  <c r="G92" i="2"/>
  <c r="N78" i="2"/>
  <c r="H63" i="2"/>
  <c r="C63" i="2"/>
  <c r="D112" i="2"/>
  <c r="B63" i="2"/>
  <c r="B65" i="2" s="1"/>
  <c r="B67" i="2" s="1"/>
  <c r="H126" i="2"/>
  <c r="H136" i="2" s="1"/>
  <c r="F126" i="2"/>
  <c r="F136" i="2" s="1"/>
  <c r="C112" i="2"/>
  <c r="E126" i="2"/>
  <c r="E136" i="2" s="1"/>
  <c r="B112" i="2"/>
  <c r="G126" i="2"/>
  <c r="G136" i="2" s="1"/>
  <c r="N126" i="2"/>
  <c r="N136" i="2" s="1"/>
  <c r="E112" i="2"/>
  <c r="B126" i="2"/>
  <c r="B136" i="2" s="1"/>
  <c r="F63" i="2"/>
  <c r="F65" i="2" s="1"/>
  <c r="F67" i="2" s="1"/>
  <c r="G112" i="2"/>
  <c r="N112" i="2"/>
  <c r="I126" i="2"/>
  <c r="I136" i="2" s="1"/>
  <c r="C126" i="2"/>
  <c r="C136" i="2" s="1"/>
  <c r="D126" i="2"/>
  <c r="D136" i="2" s="1"/>
  <c r="I112" i="2"/>
  <c r="H112" i="2"/>
  <c r="F112" i="2"/>
  <c r="D92" i="2" l="1"/>
  <c r="D65" i="2"/>
  <c r="D67" i="2" s="1"/>
  <c r="D69" i="2" s="1"/>
  <c r="I65" i="2"/>
  <c r="I67" i="2" s="1"/>
  <c r="I76" i="2" s="1"/>
  <c r="E65" i="2"/>
  <c r="E67" i="2" s="1"/>
  <c r="E69" i="2" s="1"/>
  <c r="E74" i="2" s="1"/>
  <c r="H65" i="2"/>
  <c r="H67" i="2" s="1"/>
  <c r="H76" i="2" s="1"/>
  <c r="G65" i="2"/>
  <c r="G67" i="2" s="1"/>
  <c r="G76" i="2" s="1"/>
  <c r="C65" i="2"/>
  <c r="C67" i="2" s="1"/>
  <c r="C76" i="2" s="1"/>
  <c r="N77" i="2"/>
  <c r="N92" i="2" s="1"/>
  <c r="F69" i="2"/>
  <c r="F76" i="2"/>
  <c r="B76" i="2"/>
  <c r="B69" i="2"/>
  <c r="G69" i="2" l="1"/>
  <c r="G73" i="2" s="1"/>
  <c r="C69" i="2"/>
  <c r="C74" i="2" s="1"/>
  <c r="D76" i="2"/>
  <c r="I69" i="2"/>
  <c r="I74" i="2" s="1"/>
  <c r="D74" i="2"/>
  <c r="D73" i="2"/>
  <c r="H69" i="2"/>
  <c r="E76" i="2"/>
  <c r="E73" i="2"/>
  <c r="F73" i="2"/>
  <c r="F74" i="2"/>
  <c r="B73" i="2"/>
  <c r="B74" i="2"/>
  <c r="G74" i="2" l="1"/>
  <c r="C73" i="2"/>
  <c r="I73" i="2"/>
  <c r="H73" i="2"/>
  <c r="H74" i="2"/>
  <c r="E92" i="2"/>
  <c r="M9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tc={0583F116-6EE6-4723-B8EF-CC166337A32A}</author>
    <author>tc={0F9BE5B8-5796-4E2E-8B9B-522C055C1D3C}</author>
    <author>tc={09C21225-6021-454F-AA5D-3C656067B3B2}</author>
    <author>tc={017C51AF-36A4-4541-A04E-9D3DF33E7D0E}</author>
    <author>tc={77184A57-C027-4CC3-BE58-3EA143DDF631}</author>
    <author>tc={5291C81F-7A7B-4924-9D31-92675FFD5E50}</author>
    <author>tc={C92246DA-8ED2-4AA0-85EC-2FA758279D6F}</author>
    <author>tc={BC8717E7-3E42-4B4D-A863-4AB454A2DC5E}</author>
    <author>tc={17477335-2052-4CBD-A3A5-CD206523E3E8}</author>
    <author>tc={08C49C7F-95C3-4BF5-B39A-6CFAAC1A1C12}</author>
  </authors>
  <commentList>
    <comment ref="M10" authorId="0" shapeId="0" xr:uid="{0583F116-6EE6-4723-B8EF-CC166337A32A}">
      <text>
        <t xml:space="preserve">[Threaded comment]
Your version of Excel allows you to read this threaded comment; however, any edits to it will get removed if the file is opened in a newer version of Excel. Learn more: https://go.microsoft.com/fwlink/?linkid=870924
Comment:
    Sixty-seven of the Company’s locations included less than 10 employees </t>
      </text>
    </comment>
    <comment ref="A34" authorId="1" shapeId="0" xr:uid="{0F9BE5B8-5796-4E2E-8B9B-522C055C1D3C}">
      <text>
        <t xml:space="preserve">[Threaded comment]
Your version of Excel allows you to read this threaded comment; however, any edits to it will get removed if the file is opened in a newer version of Excel. Learn more: https://go.microsoft.com/fwlink/?linkid=870924
Comment:
    Includes corn oil, soybean oil, and other fats, oils, and greases
</t>
      </text>
    </comment>
    <comment ref="A35" authorId="2" shapeId="0" xr:uid="{09C21225-6021-454F-AA5D-3C656067B3B2}">
      <text>
        <t>[Threaded comment]
Your version of Excel allows you to read this threaded comment; however, any edits to it will get removed if the file is opened in a newer version of Excel. Learn more: https://go.microsoft.com/fwlink/?linkid=870924
Comment:
    DDG tons shipped converts wet tons to a dry ton equivalent amount.</t>
      </text>
    </comment>
    <comment ref="A37" authorId="3" shapeId="0" xr:uid="{017C51AF-36A4-4541-A04E-9D3DF33E7D0E}">
      <text>
        <t>[Threaded comment]
Your version of Excel allows you to read this threaded comment; however, any edits to it will get removed if the file is opened in a newer version of Excel. Learn more: https://go.microsoft.com/fwlink/?linkid=870924
Comment:
    Ag Supply Chain represents facilities principally engaged in the wholesale distribution and retail sale and application of primary agricultural nutrients such
as bulk nitrogen, phosphorus, and potassium. 
Specialty Liquid locations produce and sell a variety of low-salt liquid starter fertilizers, micronutrients for agricultural use, and
specialty products for use in various industrial processes. 
Engineered Granules include a variety of corncob-based products and facilities that primarily manufacture granulated
dry products for use in specialty turf and agricultural applications.</t>
      </text>
    </comment>
    <comment ref="M94" authorId="4" shapeId="0" xr:uid="{77184A57-C027-4CC3-BE58-3EA143DDF631}">
      <text>
        <t xml:space="preserve">[Threaded comment]
Your version of Excel allows you to read this threaded comment; however, any edits to it will get removed if the file is opened in a newer version of Excel. Learn more: https://go.microsoft.com/fwlink/?linkid=870924
Comment:
    Operating activities provided cash of $946.8 million in 2023 compared to $287.1 million in 2022. The vast majority of the increase in cash provided by operating activities was due to favorable changes in operating assets and liabilities as commodity prices dropped in the current year and the Company increased its focus on managing working capital balances in light of the rising interest rate environment. This coupled with strong cash generation from the Company's core businesses created significant growth in cash provided by operating activities that ultimately led to a significant amount of cash on hand as of December 31, 2023. 
Net income taxes of $45.7 million and $88.7 million were paid in the years ended December 31, 2023, and 2022, respectively. The decrease in the current year is driven by decreased Income before income taxes from continuing operations combined with the taxable gain associated with the sale of the remaining pieces of the Company's Rail segment in 2022. </t>
      </text>
    </comment>
    <comment ref="M95" authorId="5" shapeId="0" xr:uid="{5291C81F-7A7B-4924-9D31-92675FFD5E50}">
      <text>
        <t xml:space="preserve">[Threaded comment]
Your version of Excel allows you to read this threaded comment; however, any edits to it will get removed if the file is opened in a newer version of Excel. Learn more: https://go.microsoft.com/fwlink/?linkid=870924
Comment:
    Investing activities used cash of $153.9 million in the current year compared to $52.9 million used in the prior year. The significant change from the prior year was mainly driven by approximately $58.7 million of additional net proceeds from the sale of discontinued Rail operations received in the prior year combined with approximately $42.1 million of additional purchases of property, plant and equipment in the current year. Capital expenditures of $150.4 million for 2023 on property, plant and equipment and capitalized software includes: Trade - $49.7 million; Renewables - $54.5 million; Nutrient &amp; Industrial - $42.5 million; and $3.6 million in Other. We expect to invest approximately $150 to $175 million in property, plant and equipment in 2024; approximately 50% of which will be to maintain current facilities. 
</t>
      </text>
    </comment>
    <comment ref="M96" authorId="6" shapeId="0" xr:uid="{C92246DA-8ED2-4AA0-85EC-2FA758279D6F}">
      <text>
        <t xml:space="preserve">[Threaded comment]
Your version of Excel allows you to read this threaded comment; however, any edits to it will get removed if the file is opened in a newer version of Excel. Learn more: https://go.microsoft.com/fwlink/?linkid=870924
Comment:
    Net cash used in financing activities was $264.0 million in 2023, compared to $334.7 million used in 2022. The decrease in cash used in financing activities from the prior year was mainly due to the issuance of a $100.0 million term note in 2023. The Company continued to make substantial distributions to the non-controlling interest shareholder of TAMH due to the strength of the entity's financial results in both 2023 and 2022. Lastly, the Company continued to repurchase common shares under its Repurchase Plan where $100 million of repurchases were authorized to be repurchased on or before August 20, 2024. As of December 31, 2023, approximately $14.5 million of the Repurchase Plan had been utilized. As of December 31, 2023, the Company was party to borrowing arrangements with a syndicate of banks that provide a total borrowing capacity of $1,863.9 million. There was $1,817.5 million available for borrowing at December 31, 2023. While in the current year the Company's cash on hand exceeds total debt, typically, its highest borrowing occurs in the late winter and early spring due to seasonal inventory requirements in the fertilizer and grain businesses. At December 31, 2023, the Company had total available liquidity of $2,461.4 million comprised of cash and cash equivalents and unused lines of credit. The Company paid $25.4 million in dividends in 2023 compared to $24.6 million in 2022. The Company paid $0.185 per common share for the dividends paid in January, April, July and October 2023, and $0.180 per common share for the dividends paid in January, April, July and October 2022. On December 14, 2023, the Company declared a cash dividend of $0.190 per common share, payable on January 22, 2024, to shareholders of record on January 2, 2024. Certain of our long-term borrowings include covenants that, among other things, impose minimum levels of working capital and a minimum ratio of owner's equity. The Company is in compliance with all covenants as of December 31, 2023. In addition, certain of our long-term borrowings are collateralized by first mortgages on various facilities. Because we are a significant consumer of short-term debt in peak seasons and the majority of this is variable rate debt, increases in interest rates could have a significant impact on our profitability. In addition, periods of high commodity prices and/or unfavorable market conditions could require additional margin deposits on the Company's exchange traded futures contracts. Conversely, in periods of declining prices, the Company would receive a return of cash. Management believes the sources of liquidity will be adequate to fund operations, capital expenditures and payments of dividends in the foreseeable future. </t>
      </text>
    </comment>
    <comment ref="F114" authorId="7" shapeId="0" xr:uid="{BC8717E7-3E42-4B4D-A863-4AB454A2DC5E}">
      <text>
        <t>[Threaded comment]
Your version of Excel allows you to read this threaded comment; however, any edits to it will get removed if the file is opened in a newer version of Excel. Learn more: https://go.microsoft.com/fwlink/?linkid=870924
Comment:
    The total borrowing capacity of the Company's lines of credit at March 31, 2024, was $1,859.1 million, of which, the Company had a total of $1,845.6 million available for borrowing. The Company's borrowing capacity is reduced by a combination of outstanding borrowings and letters of credit.</t>
      </text>
    </comment>
    <comment ref="B122" authorId="8" shapeId="0" xr:uid="{17477335-2052-4CBD-A3A5-CD206523E3E8}">
      <text>
        <t>[Threaded comment]
Your version of Excel allows you to read this threaded comment; however, any edits to it will get removed if the file is opened in a newer version of Excel. Learn more: https://go.microsoft.com/fwlink/?linkid=870924
Comment:
    As part of the Company's ongoing covenant monitoring process in the prior year, the Company determined that ELEMENT was out of compliance with its working capital and owner's equity ratio covenants as of March 31, 2023. In addition, ELEMENT did not make its required February 2023 debt payment and subsequently received a default notice from the lender on February 17, 2023. As such, the $62.8 million of non-recourse debt associated with ELEMENT was classified in Current maturities of long-term debt as of March 31, 2023. On April 18, 2023, ELEMENT was placed into receivership and the related debt associated with ELEMENT was deconsolidated from the Company's Condensed Consolidated Financial Statements</t>
      </text>
    </comment>
    <comment ref="B150" authorId="9" shapeId="0" xr:uid="{08C49C7F-95C3-4BF5-B39A-6CFAAC1A1C12}">
      <text>
        <t>[Threaded comment]
Your version of Excel allows you to read this threaded comment; however, any edits to it will get removed if the file is opened in a newer version of Excel. Learn more: https://go.microsoft.com/fwlink/?linkid=870924
Comment:
    In the first quarter of 2023, the Company recorded a $87.2 million impairment charge related to ELEMENT. The plant faced operational and market-based challenges which were exacerbated by a shift in the California Low Carbon Fuel Standard credit markets and high western corn basis. At the time of the impairment, the Company owned 51% of ELEMENT and it was a consolidated entity, as such, 49% of the impairment charge was represented in Net income (loss) attributable to noncontrolling interests in the Company's Condensed Consolidated Statements of Operations.</t>
      </text>
    </comment>
  </commentList>
</comments>
</file>

<file path=xl/sharedStrings.xml><?xml version="1.0" encoding="utf-8"?>
<sst xmlns="http://schemas.openxmlformats.org/spreadsheetml/2006/main" count="331" uniqueCount="149">
  <si>
    <t>use for scripting</t>
  </si>
  <si>
    <t>q</t>
  </si>
  <si>
    <t>xxx</t>
  </si>
  <si>
    <t>k</t>
  </si>
  <si>
    <t>Timeframe</t>
  </si>
  <si>
    <t>Q123</t>
  </si>
  <si>
    <t>Q223</t>
  </si>
  <si>
    <t>Q323</t>
  </si>
  <si>
    <t>Q423</t>
  </si>
  <si>
    <t>Q124</t>
  </si>
  <si>
    <t>Q224</t>
  </si>
  <si>
    <t>Q324</t>
  </si>
  <si>
    <t>Q424</t>
  </si>
  <si>
    <t>Sales and merchandising revenue</t>
  </si>
  <si>
    <t>Cost of Sales</t>
  </si>
  <si>
    <t>Gross Profit</t>
  </si>
  <si>
    <t>SGA</t>
  </si>
  <si>
    <t>Asset Impairment</t>
  </si>
  <si>
    <t>Interest</t>
  </si>
  <si>
    <t>Other</t>
  </si>
  <si>
    <t>Total Exp</t>
  </si>
  <si>
    <t>Income before taxes</t>
  </si>
  <si>
    <t>Taxes</t>
  </si>
  <si>
    <t>Income affiliates</t>
  </si>
  <si>
    <t>Net Income</t>
  </si>
  <si>
    <t>Shares outstanding - Basic</t>
  </si>
  <si>
    <t>Shares outstanding - Diluted</t>
  </si>
  <si>
    <t>EPS - Basic</t>
  </si>
  <si>
    <t>EPS - Diluated</t>
  </si>
  <si>
    <t>Cash</t>
  </si>
  <si>
    <t>Assets</t>
  </si>
  <si>
    <t>Current Assets</t>
  </si>
  <si>
    <t>LT Assets</t>
  </si>
  <si>
    <t>Current Liab</t>
  </si>
  <si>
    <t>Liabilities</t>
  </si>
  <si>
    <t>LT Liab</t>
  </si>
  <si>
    <t>Total Liab</t>
  </si>
  <si>
    <t>Total Equity - The Anderson's Inc.</t>
  </si>
  <si>
    <t>Total Equity</t>
  </si>
  <si>
    <t>Liab+Equity</t>
  </si>
  <si>
    <t>AR</t>
  </si>
  <si>
    <t>Inventories</t>
  </si>
  <si>
    <t>Goodwill</t>
  </si>
  <si>
    <t>Other Intangible</t>
  </si>
  <si>
    <t>Right of use</t>
  </si>
  <si>
    <t>PPE</t>
  </si>
  <si>
    <t>Total Assets</t>
  </si>
  <si>
    <t>Short-term debt</t>
  </si>
  <si>
    <t>AP</t>
  </si>
  <si>
    <t>Customer prepay, def revenue</t>
  </si>
  <si>
    <t>Commodity Deriv Liab - Current</t>
  </si>
  <si>
    <t>Commodity Deriv Asset - Current</t>
  </si>
  <si>
    <t>CPTLD</t>
  </si>
  <si>
    <t>Accrued Expenses</t>
  </si>
  <si>
    <t>LT Lease</t>
  </si>
  <si>
    <t>LT Debt less CPLTD</t>
  </si>
  <si>
    <t>Def income taxes</t>
  </si>
  <si>
    <t>Other LT Liab</t>
  </si>
  <si>
    <t>Common shares</t>
  </si>
  <si>
    <t>Additional paid-in capital</t>
  </si>
  <si>
    <t>Treasury shares</t>
  </si>
  <si>
    <t>Retained earnings</t>
  </si>
  <si>
    <t>Non-controlling interests</t>
  </si>
  <si>
    <t>Accum other comprehensive income</t>
  </si>
  <si>
    <t>Reported NI</t>
  </si>
  <si>
    <t>Anderson's NI</t>
  </si>
  <si>
    <t>Model NI (Anderson's)</t>
  </si>
  <si>
    <t>CFFO</t>
  </si>
  <si>
    <t>D&amp;A</t>
  </si>
  <si>
    <t>Delta AR</t>
  </si>
  <si>
    <t>Delta Inventories</t>
  </si>
  <si>
    <t>Delta Commodity Derivatives</t>
  </si>
  <si>
    <t>Delta other assets</t>
  </si>
  <si>
    <t>Delta AP</t>
  </si>
  <si>
    <t>Grain and other ag products</t>
  </si>
  <si>
    <t>Energy inventories</t>
  </si>
  <si>
    <t>Ethanol and co-products</t>
  </si>
  <si>
    <t>Plant nutrients and cob products</t>
  </si>
  <si>
    <t>Total</t>
  </si>
  <si>
    <t>Land</t>
  </si>
  <si>
    <t>Land improvements</t>
  </si>
  <si>
    <t>Buildings and storage facilities</t>
  </si>
  <si>
    <t>Machinery and equipment</t>
  </si>
  <si>
    <t>Construction in progress</t>
  </si>
  <si>
    <t>Less: Accum depreciation</t>
  </si>
  <si>
    <t>Specialy Nutrients</t>
  </si>
  <si>
    <t>Primary Nutrients</t>
  </si>
  <si>
    <t>Products and co-products</t>
  </si>
  <si>
    <t>Propane</t>
  </si>
  <si>
    <t>Revenues (under ASC 606)</t>
  </si>
  <si>
    <t>Revenues (under ASC 815)</t>
  </si>
  <si>
    <t>Revenues from external customers</t>
  </si>
  <si>
    <t>Income (loss) before income taxes</t>
  </si>
  <si>
    <t>Trade</t>
  </si>
  <si>
    <t>Renewables</t>
  </si>
  <si>
    <t>Nutrient &amp; Industrial</t>
  </si>
  <si>
    <t>Renewables - volume</t>
  </si>
  <si>
    <t>Ethanol (gallons shipped)</t>
  </si>
  <si>
    <t>E-85 (gallons shipped)</t>
  </si>
  <si>
    <t>Vegetable oils (pounds shipped)</t>
  </si>
  <si>
    <t>DDG (tons shipped)</t>
  </si>
  <si>
    <t>Ag Supply Chain</t>
  </si>
  <si>
    <t>Nutrient &amp; Industrial (total tons)</t>
  </si>
  <si>
    <t>Specialty Liquids</t>
  </si>
  <si>
    <t>Engineered Granules</t>
  </si>
  <si>
    <t>Other Income</t>
  </si>
  <si>
    <t>Sales YoY</t>
  </si>
  <si>
    <t>Sales MoM</t>
  </si>
  <si>
    <t>Profit YoY</t>
  </si>
  <si>
    <t>Profit MoM</t>
  </si>
  <si>
    <t>main</t>
  </si>
  <si>
    <t>Segments</t>
  </si>
  <si>
    <t>Nutrient and industrial</t>
  </si>
  <si>
    <t>Employees</t>
  </si>
  <si>
    <t>Locations</t>
  </si>
  <si>
    <t>Salaried</t>
  </si>
  <si>
    <t>Hourly</t>
  </si>
  <si>
    <t>Seasonal</t>
  </si>
  <si>
    <t>Risks</t>
  </si>
  <si>
    <t>Corn</t>
  </si>
  <si>
    <t>Commodities</t>
  </si>
  <si>
    <t>Natural gas</t>
  </si>
  <si>
    <t>Gas and oil</t>
  </si>
  <si>
    <t>Potash, phosphate, nitrogen</t>
  </si>
  <si>
    <t>Properties</t>
  </si>
  <si>
    <t>Peer group</t>
  </si>
  <si>
    <t>ADM</t>
  </si>
  <si>
    <t>Alto Ingredients</t>
  </si>
  <si>
    <t>Bunge Global</t>
  </si>
  <si>
    <t>Green Plains, Inc</t>
  </si>
  <si>
    <t>Ingredion Incorporated</t>
  </si>
  <si>
    <t>Nutrien Ltd.</t>
  </si>
  <si>
    <t>22 vs 23</t>
  </si>
  <si>
    <t>Net cash provided by operations</t>
  </si>
  <si>
    <t>Net cash used - Investing</t>
  </si>
  <si>
    <t>Net cash used - Financing</t>
  </si>
  <si>
    <t>Income from discontinued operations</t>
  </si>
  <si>
    <t>Bad debt expense</t>
  </si>
  <si>
    <t>Stock based comp</t>
  </si>
  <si>
    <t>Deferred federal income tax</t>
  </si>
  <si>
    <t>Gain on sale of business</t>
  </si>
  <si>
    <t>Loss on sale of discont business</t>
  </si>
  <si>
    <t>Damaged inventory</t>
  </si>
  <si>
    <t>Revenue by geography</t>
  </si>
  <si>
    <t>US</t>
  </si>
  <si>
    <t>Canada</t>
  </si>
  <si>
    <t>Mexico</t>
  </si>
  <si>
    <t>Egypt</t>
  </si>
  <si>
    <t>Switzerland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</si>
</sst>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u/>
      <sz val="11"/>
      <color theme="10"/>
      <name val="Calibri"/>
      <family val="2"/>
      <scheme val="minor"/>
    </font>
    <font>
      <b/>
      <u/>
      <sz val="11"/>
      <color theme="1"/>
      <name val="Calibri"/>
      <family val="2"/>
      <scheme val="minor"/>
    </font>
    <font>
      <sz val="9"/>
      <color indexed="81"/>
      <name val="Tahoma"/>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1" fillId="0" borderId="0" xfId="0" applyFont="1"/>
    <xf numFmtId="3" fontId="0" fillId="0" borderId="0" xfId="0" applyNumberFormat="1"/>
    <xf numFmtId="3" fontId="1" fillId="0" borderId="0" xfId="0" applyNumberFormat="1" applyFont="1"/>
    <xf numFmtId="2" fontId="1" fillId="0" borderId="0" xfId="0" applyNumberFormat="1" applyFont="1"/>
    <xf numFmtId="14" fontId="1" fillId="0" borderId="0" xfId="0" applyNumberFormat="1" applyFont="1"/>
    <xf numFmtId="0" fontId="2" fillId="0" borderId="0" xfId="1"/>
    <xf numFmtId="3" fontId="0" fillId="2" borderId="0" xfId="0" applyNumberFormat="1" applyFill="1"/>
    <xf numFmtId="3" fontId="1" fillId="2" borderId="0" xfId="0" applyNumberFormat="1" applyFont="1" applyFill="1"/>
    <xf numFmtId="0" fontId="3" fillId="0" borderId="0" xfId="0" applyFont="1"/>
    <xf numFmtId="0" fontId="0" fillId="0" borderId="0" xfId="0" applyFont="1"/>
    <xf numFmtId="14" fontId="0" fillId="0" borderId="0" xfId="0" applyNumberFormat="1" applyFont="1"/>
    <xf numFmtId="3" fontId="0"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7</xdr:col>
      <xdr:colOff>6350</xdr:colOff>
      <xdr:row>11</xdr:row>
      <xdr:rowOff>6350</xdr:rowOff>
    </xdr:from>
    <xdr:to>
      <xdr:col>18</xdr:col>
      <xdr:colOff>559173</xdr:colOff>
      <xdr:row>25</xdr:row>
      <xdr:rowOff>57285</xdr:rowOff>
    </xdr:to>
    <xdr:pic>
      <xdr:nvPicPr>
        <xdr:cNvPr id="2" name="Picture 1">
          <a:extLst>
            <a:ext uri="{FF2B5EF4-FFF2-40B4-BE49-F238E27FC236}">
              <a16:creationId xmlns:a16="http://schemas.microsoft.com/office/drawing/2014/main" id="{2953774F-823C-B9C7-D939-FCA785E4A247}"/>
            </a:ext>
          </a:extLst>
        </xdr:cNvPr>
        <xdr:cNvPicPr>
          <a:picLocks noChangeAspect="1"/>
        </xdr:cNvPicPr>
      </xdr:nvPicPr>
      <xdr:blipFill>
        <a:blip xmlns:r="http://schemas.openxmlformats.org/officeDocument/2006/relationships" r:embed="rId1"/>
        <a:stretch>
          <a:fillRect/>
        </a:stretch>
      </xdr:blipFill>
      <xdr:spPr>
        <a:xfrm>
          <a:off x="4273550" y="2032000"/>
          <a:ext cx="7258423" cy="26290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12</xdr:col>
      <xdr:colOff>597275</xdr:colOff>
      <xdr:row>24</xdr:row>
      <xdr:rowOff>133575</xdr:rowOff>
    </xdr:to>
    <xdr:pic>
      <xdr:nvPicPr>
        <xdr:cNvPr id="3" name="Picture 2">
          <a:extLst>
            <a:ext uri="{FF2B5EF4-FFF2-40B4-BE49-F238E27FC236}">
              <a16:creationId xmlns:a16="http://schemas.microsoft.com/office/drawing/2014/main" id="{01FD40B6-3733-AFC5-8005-B352EA2E2A8D}"/>
            </a:ext>
          </a:extLst>
        </xdr:cNvPr>
        <xdr:cNvPicPr>
          <a:picLocks noChangeAspect="1"/>
        </xdr:cNvPicPr>
      </xdr:nvPicPr>
      <xdr:blipFill>
        <a:blip xmlns:r="http://schemas.openxmlformats.org/officeDocument/2006/relationships" r:embed="rId1"/>
        <a:stretch>
          <a:fillRect/>
        </a:stretch>
      </xdr:blipFill>
      <xdr:spPr>
        <a:xfrm>
          <a:off x="609600" y="184150"/>
          <a:ext cx="7302875" cy="43690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13</xdr:col>
      <xdr:colOff>38478</xdr:colOff>
      <xdr:row>39</xdr:row>
      <xdr:rowOff>171818</xdr:rowOff>
    </xdr:to>
    <xdr:pic>
      <xdr:nvPicPr>
        <xdr:cNvPr id="2" name="Picture 1">
          <a:extLst>
            <a:ext uri="{FF2B5EF4-FFF2-40B4-BE49-F238E27FC236}">
              <a16:creationId xmlns:a16="http://schemas.microsoft.com/office/drawing/2014/main" id="{C88AFAD5-D157-6964-489D-EAB96FEFD722}"/>
            </a:ext>
          </a:extLst>
        </xdr:cNvPr>
        <xdr:cNvPicPr>
          <a:picLocks noChangeAspect="1"/>
        </xdr:cNvPicPr>
      </xdr:nvPicPr>
      <xdr:blipFill>
        <a:blip xmlns:r="http://schemas.openxmlformats.org/officeDocument/2006/relationships" r:embed="rId1"/>
        <a:stretch>
          <a:fillRect/>
        </a:stretch>
      </xdr:blipFill>
      <xdr:spPr>
        <a:xfrm>
          <a:off x="609600" y="184150"/>
          <a:ext cx="7353678" cy="716951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18</xdr:row>
      <xdr:rowOff>0</xdr:rowOff>
    </xdr:from>
    <xdr:to>
      <xdr:col>12</xdr:col>
      <xdr:colOff>540122</xdr:colOff>
      <xdr:row>31</xdr:row>
      <xdr:rowOff>146181</xdr:rowOff>
    </xdr:to>
    <xdr:pic>
      <xdr:nvPicPr>
        <xdr:cNvPr id="4" name="Picture 3">
          <a:extLst>
            <a:ext uri="{FF2B5EF4-FFF2-40B4-BE49-F238E27FC236}">
              <a16:creationId xmlns:a16="http://schemas.microsoft.com/office/drawing/2014/main" id="{7CA5A19F-3C35-EA37-C7A3-8E7FE9C3F139}"/>
            </a:ext>
          </a:extLst>
        </xdr:cNvPr>
        <xdr:cNvPicPr>
          <a:picLocks noChangeAspect="1"/>
        </xdr:cNvPicPr>
      </xdr:nvPicPr>
      <xdr:blipFill>
        <a:blip xmlns:r="http://schemas.openxmlformats.org/officeDocument/2006/relationships" r:embed="rId1"/>
        <a:stretch>
          <a:fillRect/>
        </a:stretch>
      </xdr:blipFill>
      <xdr:spPr>
        <a:xfrm>
          <a:off x="609600" y="3314700"/>
          <a:ext cx="7245722" cy="2540131"/>
        </a:xfrm>
        <a:prstGeom prst="rect">
          <a:avLst/>
        </a:prstGeom>
      </xdr:spPr>
    </xdr:pic>
    <xdr:clientData/>
  </xdr:twoCellAnchor>
  <xdr:twoCellAnchor editAs="oneCell">
    <xdr:from>
      <xdr:col>1</xdr:col>
      <xdr:colOff>0</xdr:colOff>
      <xdr:row>34</xdr:row>
      <xdr:rowOff>0</xdr:rowOff>
    </xdr:from>
    <xdr:to>
      <xdr:col>12</xdr:col>
      <xdr:colOff>552823</xdr:colOff>
      <xdr:row>55</xdr:row>
      <xdr:rowOff>6549</xdr:rowOff>
    </xdr:to>
    <xdr:pic>
      <xdr:nvPicPr>
        <xdr:cNvPr id="5" name="Picture 4">
          <a:extLst>
            <a:ext uri="{FF2B5EF4-FFF2-40B4-BE49-F238E27FC236}">
              <a16:creationId xmlns:a16="http://schemas.microsoft.com/office/drawing/2014/main" id="{0A59EF40-1A5A-6DF8-1951-430BB75591F2}"/>
            </a:ext>
          </a:extLst>
        </xdr:cNvPr>
        <xdr:cNvPicPr>
          <a:picLocks noChangeAspect="1"/>
        </xdr:cNvPicPr>
      </xdr:nvPicPr>
      <xdr:blipFill>
        <a:blip xmlns:r="http://schemas.openxmlformats.org/officeDocument/2006/relationships" r:embed="rId2"/>
        <a:stretch>
          <a:fillRect/>
        </a:stretch>
      </xdr:blipFill>
      <xdr:spPr>
        <a:xfrm>
          <a:off x="609600" y="6261100"/>
          <a:ext cx="7258423" cy="387369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22</xdr:row>
      <xdr:rowOff>0</xdr:rowOff>
    </xdr:from>
    <xdr:to>
      <xdr:col>12</xdr:col>
      <xdr:colOff>514721</xdr:colOff>
      <xdr:row>37</xdr:row>
      <xdr:rowOff>139849</xdr:rowOff>
    </xdr:to>
    <xdr:pic>
      <xdr:nvPicPr>
        <xdr:cNvPr id="2" name="Picture 1">
          <a:extLst>
            <a:ext uri="{FF2B5EF4-FFF2-40B4-BE49-F238E27FC236}">
              <a16:creationId xmlns:a16="http://schemas.microsoft.com/office/drawing/2014/main" id="{9252BC46-4C77-70AE-B32D-3DEF40107A39}"/>
            </a:ext>
          </a:extLst>
        </xdr:cNvPr>
        <xdr:cNvPicPr>
          <a:picLocks noChangeAspect="1"/>
        </xdr:cNvPicPr>
      </xdr:nvPicPr>
      <xdr:blipFill>
        <a:blip xmlns:r="http://schemas.openxmlformats.org/officeDocument/2006/relationships" r:embed="rId1"/>
        <a:stretch>
          <a:fillRect/>
        </a:stretch>
      </xdr:blipFill>
      <xdr:spPr>
        <a:xfrm>
          <a:off x="609600" y="4051300"/>
          <a:ext cx="7220321" cy="2902099"/>
        </a:xfrm>
        <a:prstGeom prst="rect">
          <a:avLst/>
        </a:prstGeom>
      </xdr:spPr>
    </xdr:pic>
    <xdr:clientData/>
  </xdr:twoCellAnchor>
  <xdr:twoCellAnchor editAs="oneCell">
    <xdr:from>
      <xdr:col>1</xdr:col>
      <xdr:colOff>0</xdr:colOff>
      <xdr:row>40</xdr:row>
      <xdr:rowOff>0</xdr:rowOff>
    </xdr:from>
    <xdr:to>
      <xdr:col>13</xdr:col>
      <xdr:colOff>376</xdr:colOff>
      <xdr:row>52</xdr:row>
      <xdr:rowOff>82668</xdr:rowOff>
    </xdr:to>
    <xdr:pic>
      <xdr:nvPicPr>
        <xdr:cNvPr id="3" name="Picture 2">
          <a:extLst>
            <a:ext uri="{FF2B5EF4-FFF2-40B4-BE49-F238E27FC236}">
              <a16:creationId xmlns:a16="http://schemas.microsoft.com/office/drawing/2014/main" id="{E959B1D8-A456-431C-3BA0-938089305656}"/>
            </a:ext>
          </a:extLst>
        </xdr:cNvPr>
        <xdr:cNvPicPr>
          <a:picLocks noChangeAspect="1"/>
        </xdr:cNvPicPr>
      </xdr:nvPicPr>
      <xdr:blipFill>
        <a:blip xmlns:r="http://schemas.openxmlformats.org/officeDocument/2006/relationships" r:embed="rId2"/>
        <a:stretch>
          <a:fillRect/>
        </a:stretch>
      </xdr:blipFill>
      <xdr:spPr>
        <a:xfrm>
          <a:off x="609600" y="7366000"/>
          <a:ext cx="7315576" cy="2292468"/>
        </a:xfrm>
        <a:prstGeom prst="rect">
          <a:avLst/>
        </a:prstGeom>
      </xdr:spPr>
    </xdr:pic>
    <xdr:clientData/>
  </xdr:twoCellAnchor>
  <xdr:twoCellAnchor editAs="oneCell">
    <xdr:from>
      <xdr:col>1</xdr:col>
      <xdr:colOff>0</xdr:colOff>
      <xdr:row>53</xdr:row>
      <xdr:rowOff>0</xdr:rowOff>
    </xdr:from>
    <xdr:to>
      <xdr:col>12</xdr:col>
      <xdr:colOff>444867</xdr:colOff>
      <xdr:row>56</xdr:row>
      <xdr:rowOff>177838</xdr:rowOff>
    </xdr:to>
    <xdr:pic>
      <xdr:nvPicPr>
        <xdr:cNvPr id="4" name="Picture 3">
          <a:extLst>
            <a:ext uri="{FF2B5EF4-FFF2-40B4-BE49-F238E27FC236}">
              <a16:creationId xmlns:a16="http://schemas.microsoft.com/office/drawing/2014/main" id="{F7294281-B61D-8E83-5560-62FC72B6F0AB}"/>
            </a:ext>
          </a:extLst>
        </xdr:cNvPr>
        <xdr:cNvPicPr>
          <a:picLocks noChangeAspect="1"/>
        </xdr:cNvPicPr>
      </xdr:nvPicPr>
      <xdr:blipFill>
        <a:blip xmlns:r="http://schemas.openxmlformats.org/officeDocument/2006/relationships" r:embed="rId3"/>
        <a:stretch>
          <a:fillRect/>
        </a:stretch>
      </xdr:blipFill>
      <xdr:spPr>
        <a:xfrm>
          <a:off x="609600" y="9759950"/>
          <a:ext cx="7150467" cy="73028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19</xdr:row>
      <xdr:rowOff>0</xdr:rowOff>
    </xdr:from>
    <xdr:to>
      <xdr:col>13</xdr:col>
      <xdr:colOff>376</xdr:colOff>
      <xdr:row>38</xdr:row>
      <xdr:rowOff>127186</xdr:rowOff>
    </xdr:to>
    <xdr:pic>
      <xdr:nvPicPr>
        <xdr:cNvPr id="2" name="Picture 1">
          <a:extLst>
            <a:ext uri="{FF2B5EF4-FFF2-40B4-BE49-F238E27FC236}">
              <a16:creationId xmlns:a16="http://schemas.microsoft.com/office/drawing/2014/main" id="{883B8CC9-0611-FF21-7BE2-445904B62883}"/>
            </a:ext>
          </a:extLst>
        </xdr:cNvPr>
        <xdr:cNvPicPr>
          <a:picLocks noChangeAspect="1"/>
        </xdr:cNvPicPr>
      </xdr:nvPicPr>
      <xdr:blipFill>
        <a:blip xmlns:r="http://schemas.openxmlformats.org/officeDocument/2006/relationships" r:embed="rId1"/>
        <a:stretch>
          <a:fillRect/>
        </a:stretch>
      </xdr:blipFill>
      <xdr:spPr>
        <a:xfrm>
          <a:off x="609600" y="3498850"/>
          <a:ext cx="7315576" cy="3626036"/>
        </a:xfrm>
        <a:prstGeom prst="rect">
          <a:avLst/>
        </a:prstGeom>
      </xdr:spPr>
    </xdr:pic>
    <xdr:clientData/>
  </xdr:twoCellAnchor>
  <xdr:twoCellAnchor editAs="oneCell">
    <xdr:from>
      <xdr:col>1</xdr:col>
      <xdr:colOff>0</xdr:colOff>
      <xdr:row>41</xdr:row>
      <xdr:rowOff>0</xdr:rowOff>
    </xdr:from>
    <xdr:to>
      <xdr:col>12</xdr:col>
      <xdr:colOff>533772</xdr:colOff>
      <xdr:row>51</xdr:row>
      <xdr:rowOff>50897</xdr:rowOff>
    </xdr:to>
    <xdr:pic>
      <xdr:nvPicPr>
        <xdr:cNvPr id="3" name="Picture 2">
          <a:extLst>
            <a:ext uri="{FF2B5EF4-FFF2-40B4-BE49-F238E27FC236}">
              <a16:creationId xmlns:a16="http://schemas.microsoft.com/office/drawing/2014/main" id="{5A39BAB4-3F03-B700-5E33-3688CC6BAAC4}"/>
            </a:ext>
          </a:extLst>
        </xdr:cNvPr>
        <xdr:cNvPicPr>
          <a:picLocks noChangeAspect="1"/>
        </xdr:cNvPicPr>
      </xdr:nvPicPr>
      <xdr:blipFill>
        <a:blip xmlns:r="http://schemas.openxmlformats.org/officeDocument/2006/relationships" r:embed="rId2"/>
        <a:stretch>
          <a:fillRect/>
        </a:stretch>
      </xdr:blipFill>
      <xdr:spPr>
        <a:xfrm>
          <a:off x="609600" y="7550150"/>
          <a:ext cx="7239372" cy="189239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12</xdr:row>
      <xdr:rowOff>0</xdr:rowOff>
    </xdr:from>
    <xdr:to>
      <xdr:col>12</xdr:col>
      <xdr:colOff>463918</xdr:colOff>
      <xdr:row>15</xdr:row>
      <xdr:rowOff>19079</xdr:rowOff>
    </xdr:to>
    <xdr:pic>
      <xdr:nvPicPr>
        <xdr:cNvPr id="3" name="Picture 2">
          <a:extLst>
            <a:ext uri="{FF2B5EF4-FFF2-40B4-BE49-F238E27FC236}">
              <a16:creationId xmlns:a16="http://schemas.microsoft.com/office/drawing/2014/main" id="{D64068DE-3028-588B-5542-26F282D4BEC3}"/>
            </a:ext>
          </a:extLst>
        </xdr:cNvPr>
        <xdr:cNvPicPr>
          <a:picLocks noChangeAspect="1"/>
        </xdr:cNvPicPr>
      </xdr:nvPicPr>
      <xdr:blipFill>
        <a:blip xmlns:r="http://schemas.openxmlformats.org/officeDocument/2006/relationships" r:embed="rId1"/>
        <a:stretch>
          <a:fillRect/>
        </a:stretch>
      </xdr:blipFill>
      <xdr:spPr>
        <a:xfrm>
          <a:off x="609600" y="2209800"/>
          <a:ext cx="7169518" cy="57152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Corey Christner" id="{EF08FFEE-F12E-4BA0-AB58-D5600A95BFAD}" userId="32906c935fa0eb4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10" dT="2025-01-20T20:28:30.84" personId="{EF08FFEE-F12E-4BA0-AB58-D5600A95BFAD}" id="{0583F116-6EE6-4723-B8EF-CC166337A32A}">
    <text xml:space="preserve">Sixty-seven of the Company’s locations included less than 10 employees </text>
  </threadedComment>
  <threadedComment ref="A34" dT="2025-01-16T03:53:45.75" personId="{EF08FFEE-F12E-4BA0-AB58-D5600A95BFAD}" id="{0F9BE5B8-5796-4E2E-8B9B-522C055C1D3C}">
    <text xml:space="preserve">Includes corn oil, soybean oil, and other fats, oils, and greases
</text>
  </threadedComment>
  <threadedComment ref="A35" dT="2025-01-16T03:54:07.39" personId="{EF08FFEE-F12E-4BA0-AB58-D5600A95BFAD}" id="{09C21225-6021-454F-AA5D-3C656067B3B2}">
    <text>DDG tons shipped converts wet tons to a dry ton equivalent amount.</text>
  </threadedComment>
  <threadedComment ref="A37" dT="2025-01-16T03:54:43.92" personId="{EF08FFEE-F12E-4BA0-AB58-D5600A95BFAD}" id="{017C51AF-36A4-4541-A04E-9D3DF33E7D0E}">
    <text>Ag Supply Chain represents facilities principally engaged in the wholesale distribution and retail sale and application of primary agricultural nutrients such
as bulk nitrogen, phosphorus, and potassium. 
Specialty Liquid locations produce and sell a variety of low-salt liquid starter fertilizers, micronutrients for agricultural use, and
specialty products for use in various industrial processes. 
Engineered Granules include a variety of corncob-based products and facilities that primarily manufacture granulated
dry products for use in specialty turf and agricultural applications.</text>
  </threadedComment>
  <threadedComment ref="M94" dT="2025-01-20T20:52:33.23" personId="{EF08FFEE-F12E-4BA0-AB58-D5600A95BFAD}" id="{77184A57-C027-4CC3-BE58-3EA143DDF631}">
    <text xml:space="preserve">Operating activities provided cash of $946.8 million in 2023 compared to $287.1 million in 2022. The vast majority of the increase in cash provided by operating activities was due to favorable changes in operating assets and liabilities as commodity prices dropped in the current year and the Company increased its focus on managing working capital balances in light of the rising interest rate environment. This coupled with strong cash generation from the Company's core businesses created significant growth in cash provided by operating activities that ultimately led to a significant amount of cash on hand as of December 31, 2023. 
Net income taxes of $45.7 million and $88.7 million were paid in the years ended December 31, 2023, and 2022, respectively. The decrease in the current year is driven by decreased Income before income taxes from continuing operations combined with the taxable gain associated with the sale of the remaining pieces of the Company's Rail segment in 2022. </text>
  </threadedComment>
  <threadedComment ref="M95" dT="2025-01-20T20:52:50.17" personId="{EF08FFEE-F12E-4BA0-AB58-D5600A95BFAD}" id="{5291C81F-7A7B-4924-9D31-92675FFD5E50}">
    <text xml:space="preserve">Investing activities used cash of $153.9 million in the current year compared to $52.9 million used in the prior year. The significant change from the prior year was mainly driven by approximately $58.7 million of additional net proceeds from the sale of discontinued Rail operations received in the prior year combined with approximately $42.1 million of additional purchases of property, plant and equipment in the current year. Capital expenditures of $150.4 million for 2023 on property, plant and equipment and capitalized software includes: Trade - $49.7 million; Renewables - $54.5 million; Nutrient &amp; Industrial - $42.5 million; and $3.6 million in Other. We expect to invest approximately $150 to $175 million in property, plant and equipment in 2024; approximately 50% of which will be to maintain current facilities. 
</text>
  </threadedComment>
  <threadedComment ref="M96" dT="2025-01-20T20:53:05.76" personId="{EF08FFEE-F12E-4BA0-AB58-D5600A95BFAD}" id="{C92246DA-8ED2-4AA0-85EC-2FA758279D6F}">
    <text xml:space="preserve">Net cash used in financing activities was $264.0 million in 2023, compared to $334.7 million used in 2022. The decrease in cash used in financing activities from the prior year was mainly due to the issuance of a $100.0 million term note in 2023. The Company continued to make substantial distributions to the non-controlling interest shareholder of TAMH due to the strength of the entity's financial results in both 2023 and 2022. Lastly, the Company continued to repurchase common shares under its Repurchase Plan where $100 million of repurchases were authorized to be repurchased on or before August 20, 2024. As of December 31, 2023, approximately $14.5 million of the Repurchase Plan had been utilized. As of December 31, 2023, the Company was party to borrowing arrangements with a syndicate of banks that provide a total borrowing capacity of $1,863.9 million. There was $1,817.5 million available for borrowing at December 31, 2023. While in the current year the Company's cash on hand exceeds total debt, typically, its highest borrowing occurs in the late winter and early spring due to seasonal inventory requirements in the fertilizer and grain businesses. At December 31, 2023, the Company had total available liquidity of $2,461.4 million comprised of cash and cash equivalents and unused lines of credit. The Company paid $25.4 million in dividends in 2023 compared to $24.6 million in 2022. The Company paid $0.185 per common share for the dividends paid in January, April, July and October 2023, and $0.180 per common share for the dividends paid in January, April, July and October 2022. On December 14, 2023, the Company declared a cash dividend of $0.190 per common share, payable on January 22, 2024, to shareholders of record on January 2, 2024. Certain of our long-term borrowings include covenants that, among other things, impose minimum levels of working capital and a minimum ratio of owner's equity. The Company is in compliance with all covenants as of December 31, 2023. In addition, certain of our long-term borrowings are collateralized by first mortgages on various facilities. Because we are a significant consumer of short-term debt in peak seasons and the majority of this is variable rate debt, increases in interest rates could have a significant impact on our profitability. In addition, periods of high commodity prices and/or unfavorable market conditions could require additional margin deposits on the Company's exchange traded futures contracts. Conversely, in periods of declining prices, the Company would receive a return of cash. Management believes the sources of liquidity will be adequate to fund operations, capital expenditures and payments of dividends in the foreseeable future. </text>
  </threadedComment>
  <threadedComment ref="F114" dT="2025-01-16T03:53:02.93" personId="{EF08FFEE-F12E-4BA0-AB58-D5600A95BFAD}" id="{BC8717E7-3E42-4B4D-A863-4AB454A2DC5E}">
    <text>The total borrowing capacity of the Company's lines of credit at March 31, 2024, was $1,859.1 million, of which, the Company had a total of $1,845.6 million available for borrowing. The Company's borrowing capacity is reduced by a combination of outstanding borrowings and letters of credit.</text>
  </threadedComment>
  <threadedComment ref="B122" dT="2025-01-16T03:55:33.18" personId="{EF08FFEE-F12E-4BA0-AB58-D5600A95BFAD}" id="{17477335-2052-4CBD-A3A5-CD206523E3E8}">
    <text>As part of the Company's ongoing covenant monitoring process in the prior year, the Company determined that ELEMENT was out of compliance with its working capital and owner's equity ratio covenants as of March 31, 2023. In addition, ELEMENT did not make its required February 2023 debt payment and subsequently received a default notice from the lender on February 17, 2023. As such, the $62.8 million of non-recourse debt associated with ELEMENT was classified in Current maturities of long-term debt as of March 31, 2023. On April 18, 2023, ELEMENT was placed into receivership and the related debt associated with ELEMENT was deconsolidated from the Company's Condensed Consolidated Financial Statements</text>
  </threadedComment>
  <threadedComment ref="B150" dT="2025-01-16T03:55:12.46" personId="{EF08FFEE-F12E-4BA0-AB58-D5600A95BFAD}" id="{08C49C7F-95C3-4BF5-B39A-6CFAAC1A1C12}">
    <text>In the first quarter of 2023, the Company recorded a $87.2 million impairment charge related to ELEMENT. The plant faced operational and market-based challenges which were exacerbated by a shift in the California Low Carbon Fuel Standard credit markets and high western corn basis. At the time of the impairment, the Company owned 51% of ELEMENT and it was a consolidated entity, as such, 49% of the impairment charge was represented in Net income (loss) attributable to noncontrolling interests in the Company's Condensed Consolidated Statements of Operations.</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BG.xlsx" TargetMode="External"/><Relationship Id="rId1" Type="http://schemas.openxmlformats.org/officeDocument/2006/relationships/hyperlink" Target="ADM.xlsx"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18"/>
  <sheetViews>
    <sheetView workbookViewId="0">
      <selection activeCell="G32" sqref="G32"/>
    </sheetView>
  </sheetViews>
  <sheetFormatPr defaultRowHeight="14.5" x14ac:dyDescent="0.35"/>
  <sheetData>
    <row r="2" spans="2:6" x14ac:dyDescent="0.35">
      <c r="B2" s="9" t="s">
        <v>111</v>
      </c>
      <c r="F2" s="9" t="s">
        <v>125</v>
      </c>
    </row>
    <row r="3" spans="2:6" x14ac:dyDescent="0.35">
      <c r="B3" s="6" t="s">
        <v>93</v>
      </c>
      <c r="F3" s="6" t="s">
        <v>126</v>
      </c>
    </row>
    <row r="4" spans="2:6" x14ac:dyDescent="0.35">
      <c r="B4" s="6" t="s">
        <v>94</v>
      </c>
      <c r="F4" t="s">
        <v>127</v>
      </c>
    </row>
    <row r="5" spans="2:6" x14ac:dyDescent="0.35">
      <c r="B5" s="6" t="s">
        <v>112</v>
      </c>
      <c r="F5" s="6" t="s">
        <v>128</v>
      </c>
    </row>
    <row r="6" spans="2:6" x14ac:dyDescent="0.35">
      <c r="B6" s="6" t="s">
        <v>101</v>
      </c>
      <c r="F6" t="s">
        <v>129</v>
      </c>
    </row>
    <row r="7" spans="2:6" x14ac:dyDescent="0.35">
      <c r="B7" s="6" t="s">
        <v>104</v>
      </c>
      <c r="F7" t="s">
        <v>130</v>
      </c>
    </row>
    <row r="8" spans="2:6" x14ac:dyDescent="0.35">
      <c r="B8" s="6" t="s">
        <v>103</v>
      </c>
      <c r="F8" t="s">
        <v>131</v>
      </c>
    </row>
    <row r="9" spans="2:6" x14ac:dyDescent="0.35">
      <c r="B9" s="6" t="s">
        <v>19</v>
      </c>
    </row>
    <row r="11" spans="2:6" x14ac:dyDescent="0.35">
      <c r="B11" s="6" t="s">
        <v>118</v>
      </c>
    </row>
    <row r="12" spans="2:6" x14ac:dyDescent="0.35">
      <c r="B12" t="s">
        <v>119</v>
      </c>
    </row>
    <row r="13" spans="2:6" x14ac:dyDescent="0.35">
      <c r="B13" t="s">
        <v>120</v>
      </c>
    </row>
    <row r="14" spans="2:6" x14ac:dyDescent="0.35">
      <c r="B14" t="s">
        <v>121</v>
      </c>
    </row>
    <row r="15" spans="2:6" x14ac:dyDescent="0.35">
      <c r="B15" t="s">
        <v>122</v>
      </c>
    </row>
    <row r="16" spans="2:6" x14ac:dyDescent="0.35">
      <c r="B16" t="s">
        <v>123</v>
      </c>
    </row>
    <row r="18" spans="2:2" x14ac:dyDescent="0.35">
      <c r="B18" s="6" t="s">
        <v>124</v>
      </c>
    </row>
  </sheetData>
  <hyperlinks>
    <hyperlink ref="B3" location="Trade!A1" display="Trade" xr:uid="{3EF9BD13-96A7-4696-8946-C1D27C551432}"/>
    <hyperlink ref="B4" location="Renewables!A1" display="Renewables" xr:uid="{93990EE0-4EB3-4F90-815E-B0F92EF1F5EA}"/>
    <hyperlink ref="B5" location="NutrientIndustrial!A1" display="Nutrient and industrial" xr:uid="{B5F6FC28-2733-471D-8541-2306CB8243FF}"/>
    <hyperlink ref="B6" location="AgSupplyChain!A1" display="Ag Supply Chain" xr:uid="{7E9D030B-BB4D-465D-86BF-E5AADB9EED40}"/>
    <hyperlink ref="B7" location="EngineeredGranules!A1" display="Engineered Granules" xr:uid="{251CE977-82EF-4338-9754-986CDFA4782A}"/>
    <hyperlink ref="B8" location="SpecialtyLiquids!A1" display="Specialty Liquids" xr:uid="{3F9EEFA5-957F-46B5-B4A5-72C7642D8E41}"/>
    <hyperlink ref="B9" location="Other!A1" display="Other" xr:uid="{0715044B-A73C-4321-BEAA-409DF0E0FD81}"/>
    <hyperlink ref="B11" location="Risks!A1" display="Risks" xr:uid="{0CE10EBF-901B-4BAD-B675-6BD8A8FF48E9}"/>
    <hyperlink ref="B18" location="Properties!A1" display="Properties" xr:uid="{5B13E1DE-E4B7-4244-9864-D99F7C55D17F}"/>
    <hyperlink ref="F3" r:id="rId1" xr:uid="{AFC16B57-9BEF-4B4C-A7BD-5F4ADDB316C5}"/>
    <hyperlink ref="F5" r:id="rId2" xr:uid="{F3AA2A8F-0F13-43E9-8717-642CC235A80C}"/>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4A026-000E-4C98-BB7A-AA22BCAF532D}">
  <dimension ref="A1"/>
  <sheetViews>
    <sheetView workbookViewId="0"/>
  </sheetViews>
  <sheetFormatPr defaultRowHeight="14.5" x14ac:dyDescent="0.35"/>
  <sheetData>
    <row r="1" spans="1:1" x14ac:dyDescent="0.35">
      <c r="A1" s="6" t="s">
        <v>110</v>
      </c>
    </row>
  </sheetData>
  <hyperlinks>
    <hyperlink ref="A1" location="main!A1" display="main" xr:uid="{474D42D7-9D34-45EB-9BEE-0914E3C078A9}"/>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E5ED6-4669-4F32-839A-4E1883BCB28F}">
  <dimension ref="A1:B11"/>
  <sheetViews>
    <sheetView workbookViewId="0">
      <selection activeCell="B19" sqref="B19"/>
    </sheetView>
  </sheetViews>
  <sheetFormatPr defaultRowHeight="14.5" x14ac:dyDescent="0.35"/>
  <sheetData>
    <row r="1" spans="1:2" x14ac:dyDescent="0.35">
      <c r="A1" s="6" t="s">
        <v>110</v>
      </c>
    </row>
    <row r="11" spans="1:2" x14ac:dyDescent="0.35">
      <c r="B11" t="s">
        <v>132</v>
      </c>
    </row>
  </sheetData>
  <hyperlinks>
    <hyperlink ref="A1" location="main!A1" display="main" xr:uid="{4C51048F-25C0-4062-B295-3B0BC1F37A54}"/>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728C9-468B-45AD-9654-66B0177430FA}">
  <dimension ref="A1:N153"/>
  <sheetViews>
    <sheetView tabSelected="1" topLeftCell="A61" workbookViewId="0">
      <pane xSplit="1" topLeftCell="B1" activePane="topRight" state="frozen"/>
      <selection activeCell="A25" sqref="A25"/>
      <selection pane="topRight" activeCell="B40" sqref="B40"/>
    </sheetView>
  </sheetViews>
  <sheetFormatPr defaultRowHeight="14.5" x14ac:dyDescent="0.35"/>
  <cols>
    <col min="1" max="1" width="32.6328125" bestFit="1" customWidth="1"/>
    <col min="2" max="2" width="9" bestFit="1" customWidth="1"/>
    <col min="3" max="3" width="9.54296875" bestFit="1" customWidth="1"/>
    <col min="4" max="4" width="9.453125" bestFit="1" customWidth="1"/>
    <col min="5" max="5" width="10.453125" bestFit="1" customWidth="1"/>
    <col min="6" max="6" width="9.54296875" bestFit="1" customWidth="1"/>
    <col min="7" max="8" width="9.453125" bestFit="1" customWidth="1"/>
    <col min="11" max="13" width="9.90625" bestFit="1" customWidth="1"/>
    <col min="14" max="14" width="8.81640625" bestFit="1" customWidth="1"/>
  </cols>
  <sheetData>
    <row r="1" spans="1:14" x14ac:dyDescent="0.35">
      <c r="A1" s="6" t="s">
        <v>110</v>
      </c>
      <c r="J1" s="1" t="s">
        <v>2</v>
      </c>
    </row>
    <row r="2" spans="1:14" x14ac:dyDescent="0.35">
      <c r="A2" t="s">
        <v>0</v>
      </c>
      <c r="B2" t="s">
        <v>1</v>
      </c>
      <c r="C2" t="s">
        <v>1</v>
      </c>
      <c r="D2" t="s">
        <v>1</v>
      </c>
      <c r="E2" t="s">
        <v>1</v>
      </c>
      <c r="F2" t="s">
        <v>1</v>
      </c>
      <c r="G2" t="s">
        <v>1</v>
      </c>
      <c r="H2" t="s">
        <v>1</v>
      </c>
      <c r="J2" s="1" t="s">
        <v>2</v>
      </c>
      <c r="K2" s="1"/>
      <c r="L2" s="1"/>
      <c r="M2" t="s">
        <v>3</v>
      </c>
    </row>
    <row r="3" spans="1:14" s="1" customFormat="1" x14ac:dyDescent="0.35">
      <c r="A3" s="1" t="s">
        <v>4</v>
      </c>
      <c r="B3" s="1" t="s">
        <v>5</v>
      </c>
      <c r="C3" s="1" t="s">
        <v>6</v>
      </c>
      <c r="D3" s="1" t="s">
        <v>7</v>
      </c>
      <c r="E3" s="1" t="s">
        <v>8</v>
      </c>
      <c r="F3" s="1" t="s">
        <v>9</v>
      </c>
      <c r="G3" s="1" t="s">
        <v>10</v>
      </c>
      <c r="H3" s="1" t="s">
        <v>11</v>
      </c>
      <c r="I3" s="1" t="s">
        <v>12</v>
      </c>
      <c r="J3" s="1" t="s">
        <v>2</v>
      </c>
      <c r="K3" s="1">
        <v>2021</v>
      </c>
      <c r="L3" s="1">
        <v>2022</v>
      </c>
      <c r="M3" s="1">
        <v>2023</v>
      </c>
      <c r="N3" s="1">
        <v>2024</v>
      </c>
    </row>
    <row r="4" spans="1:14" s="1" customFormat="1" x14ac:dyDescent="0.35">
      <c r="C4" s="5">
        <v>45107</v>
      </c>
      <c r="D4" s="5">
        <v>45199</v>
      </c>
      <c r="E4" s="5">
        <v>45291</v>
      </c>
      <c r="G4" s="5">
        <v>45473</v>
      </c>
      <c r="H4" s="5">
        <v>45565</v>
      </c>
      <c r="J4" s="1" t="s">
        <v>2</v>
      </c>
    </row>
    <row r="5" spans="1:14" s="1" customFormat="1" x14ac:dyDescent="0.35">
      <c r="A5" s="1" t="s">
        <v>113</v>
      </c>
      <c r="C5" s="5"/>
      <c r="D5" s="5"/>
      <c r="G5" s="5"/>
      <c r="H5" s="5"/>
      <c r="J5" s="1" t="s">
        <v>2</v>
      </c>
      <c r="K5" s="3"/>
      <c r="L5" s="3"/>
      <c r="M5" s="3">
        <f>+SUM(M6:M8)</f>
        <v>2334</v>
      </c>
      <c r="N5" s="3"/>
    </row>
    <row r="6" spans="1:14" s="10" customFormat="1" x14ac:dyDescent="0.35">
      <c r="A6" s="10" t="s">
        <v>115</v>
      </c>
      <c r="C6" s="11"/>
      <c r="D6" s="11"/>
      <c r="G6" s="11"/>
      <c r="H6" s="11"/>
      <c r="J6" s="1" t="s">
        <v>2</v>
      </c>
      <c r="K6" s="12"/>
      <c r="L6" s="12"/>
      <c r="M6" s="12">
        <v>982</v>
      </c>
      <c r="N6" s="12"/>
    </row>
    <row r="7" spans="1:14" s="10" customFormat="1" x14ac:dyDescent="0.35">
      <c r="A7" s="10" t="s">
        <v>116</v>
      </c>
      <c r="C7" s="11"/>
      <c r="D7" s="11"/>
      <c r="G7" s="11"/>
      <c r="H7" s="11"/>
      <c r="J7" s="1" t="s">
        <v>2</v>
      </c>
      <c r="K7" s="12"/>
      <c r="L7" s="12"/>
      <c r="M7" s="12">
        <v>1277</v>
      </c>
      <c r="N7" s="12"/>
    </row>
    <row r="8" spans="1:14" s="10" customFormat="1" x14ac:dyDescent="0.35">
      <c r="A8" s="10" t="s">
        <v>117</v>
      </c>
      <c r="C8" s="11"/>
      <c r="D8" s="11"/>
      <c r="G8" s="11"/>
      <c r="H8" s="11"/>
      <c r="J8" s="1" t="s">
        <v>2</v>
      </c>
      <c r="K8" s="12"/>
      <c r="L8" s="12"/>
      <c r="M8" s="12">
        <v>75</v>
      </c>
      <c r="N8" s="12"/>
    </row>
    <row r="9" spans="1:14" s="1" customFormat="1" x14ac:dyDescent="0.35">
      <c r="C9" s="5"/>
      <c r="D9" s="5"/>
      <c r="G9" s="5"/>
      <c r="H9" s="5"/>
      <c r="J9" s="1" t="s">
        <v>2</v>
      </c>
      <c r="K9" s="3"/>
      <c r="L9" s="3"/>
      <c r="M9" s="3"/>
      <c r="N9" s="3"/>
    </row>
    <row r="10" spans="1:14" s="10" customFormat="1" x14ac:dyDescent="0.35">
      <c r="A10" s="1" t="s">
        <v>114</v>
      </c>
      <c r="C10" s="11"/>
      <c r="D10" s="11"/>
      <c r="G10" s="11"/>
      <c r="H10" s="11"/>
      <c r="J10" s="1" t="s">
        <v>2</v>
      </c>
      <c r="K10" s="12"/>
      <c r="L10" s="12"/>
      <c r="M10" s="12">
        <v>122</v>
      </c>
      <c r="N10" s="12"/>
    </row>
    <row r="11" spans="1:14" s="1" customFormat="1" x14ac:dyDescent="0.35">
      <c r="C11" s="5"/>
      <c r="D11" s="5"/>
      <c r="G11" s="5"/>
      <c r="H11" s="5"/>
      <c r="J11" s="1" t="s">
        <v>2</v>
      </c>
      <c r="K11" s="3"/>
      <c r="L11" s="3"/>
      <c r="M11" s="3"/>
      <c r="N11" s="3"/>
    </row>
    <row r="12" spans="1:14" x14ac:dyDescent="0.35">
      <c r="A12" t="s">
        <v>90</v>
      </c>
      <c r="B12" s="2">
        <v>3142260</v>
      </c>
      <c r="C12" s="2"/>
      <c r="D12" s="2"/>
      <c r="E12" s="2"/>
      <c r="F12" s="2">
        <v>2069374</v>
      </c>
      <c r="G12" s="2"/>
      <c r="H12" s="2"/>
      <c r="I12" s="2"/>
      <c r="J12" s="1" t="s">
        <v>2</v>
      </c>
      <c r="K12" s="12">
        <v>10400513</v>
      </c>
      <c r="L12" s="12">
        <v>14288532</v>
      </c>
      <c r="M12" s="12">
        <v>11548211</v>
      </c>
      <c r="N12" s="2"/>
    </row>
    <row r="13" spans="1:14" s="1" customFormat="1" x14ac:dyDescent="0.35">
      <c r="A13" s="1" t="s">
        <v>89</v>
      </c>
      <c r="B13" s="3">
        <f>SUM(B14:B18)</f>
        <v>738978</v>
      </c>
      <c r="C13" s="3">
        <f t="shared" ref="C13:H13" si="0">SUM(C14:C18)</f>
        <v>0</v>
      </c>
      <c r="D13" s="3">
        <f t="shared" si="0"/>
        <v>0</v>
      </c>
      <c r="E13" s="3">
        <f t="shared" si="0"/>
        <v>0</v>
      </c>
      <c r="F13" s="3">
        <f t="shared" si="0"/>
        <v>648843</v>
      </c>
      <c r="G13" s="3">
        <f t="shared" si="0"/>
        <v>0</v>
      </c>
      <c r="H13" s="3">
        <f t="shared" si="0"/>
        <v>0</v>
      </c>
      <c r="I13" s="3">
        <f t="shared" ref="I13:N13" si="1">SUM(I14:I18)</f>
        <v>0</v>
      </c>
      <c r="J13" s="1" t="s">
        <v>2</v>
      </c>
      <c r="K13" s="3">
        <f t="shared" ref="K13" si="2">SUM(K14:K18)</f>
        <v>2211537</v>
      </c>
      <c r="L13" s="3">
        <f t="shared" si="1"/>
        <v>3036852</v>
      </c>
      <c r="M13" s="3">
        <f t="shared" si="1"/>
        <v>3201901</v>
      </c>
      <c r="N13" s="3">
        <f t="shared" si="1"/>
        <v>0</v>
      </c>
    </row>
    <row r="14" spans="1:14" x14ac:dyDescent="0.35">
      <c r="A14" t="s">
        <v>85</v>
      </c>
      <c r="B14" s="2">
        <v>69997</v>
      </c>
      <c r="C14" s="2"/>
      <c r="D14" s="2"/>
      <c r="E14" s="2"/>
      <c r="F14" s="2">
        <v>69724</v>
      </c>
      <c r="G14" s="2"/>
      <c r="H14" s="2"/>
      <c r="I14" s="2"/>
      <c r="J14" s="1" t="s">
        <v>2</v>
      </c>
      <c r="K14" s="12">
        <v>270842</v>
      </c>
      <c r="L14" s="12">
        <v>355636</v>
      </c>
      <c r="M14" s="12">
        <v>249396</v>
      </c>
      <c r="N14" s="2"/>
    </row>
    <row r="15" spans="1:14" x14ac:dyDescent="0.35">
      <c r="A15" t="s">
        <v>86</v>
      </c>
      <c r="B15" s="2">
        <v>64750</v>
      </c>
      <c r="C15" s="2"/>
      <c r="D15" s="2"/>
      <c r="E15" s="2"/>
      <c r="F15" s="2">
        <v>67312</v>
      </c>
      <c r="G15" s="2"/>
      <c r="H15" s="2"/>
      <c r="I15" s="2"/>
      <c r="J15" s="1" t="s">
        <v>2</v>
      </c>
      <c r="K15" s="12">
        <v>500891</v>
      </c>
      <c r="L15" s="12">
        <v>625134</v>
      </c>
      <c r="M15" s="12">
        <v>572906</v>
      </c>
      <c r="N15" s="2"/>
    </row>
    <row r="16" spans="1:14" x14ac:dyDescent="0.35">
      <c r="A16" t="s">
        <v>87</v>
      </c>
      <c r="B16" s="2">
        <v>483575</v>
      </c>
      <c r="C16" s="2"/>
      <c r="D16" s="2"/>
      <c r="E16" s="2"/>
      <c r="F16" s="2">
        <v>408509</v>
      </c>
      <c r="G16" s="2"/>
      <c r="H16" s="2"/>
      <c r="I16" s="2"/>
      <c r="J16" s="1" t="s">
        <v>2</v>
      </c>
      <c r="K16" s="12">
        <v>1027315</v>
      </c>
      <c r="L16" s="12">
        <v>1616585</v>
      </c>
      <c r="M16" s="12">
        <v>1996378</v>
      </c>
      <c r="N16" s="2"/>
    </row>
    <row r="17" spans="1:14" x14ac:dyDescent="0.35">
      <c r="A17" t="s">
        <v>88</v>
      </c>
      <c r="B17" s="2">
        <v>76523</v>
      </c>
      <c r="C17" s="2"/>
      <c r="D17" s="2"/>
      <c r="E17" s="2"/>
      <c r="F17" s="2">
        <v>69796</v>
      </c>
      <c r="G17" s="2"/>
      <c r="H17" s="2"/>
      <c r="I17" s="2"/>
      <c r="J17" s="1" t="s">
        <v>2</v>
      </c>
      <c r="K17" s="12">
        <v>246002</v>
      </c>
      <c r="L17" s="12">
        <v>264072</v>
      </c>
      <c r="M17" s="12">
        <v>190221</v>
      </c>
      <c r="N17" s="2"/>
    </row>
    <row r="18" spans="1:14" x14ac:dyDescent="0.35">
      <c r="A18" t="s">
        <v>19</v>
      </c>
      <c r="B18" s="2">
        <v>44133</v>
      </c>
      <c r="C18" s="2"/>
      <c r="D18" s="2"/>
      <c r="E18" s="2"/>
      <c r="F18" s="2">
        <v>33502</v>
      </c>
      <c r="G18" s="2"/>
      <c r="H18" s="2"/>
      <c r="I18" s="2"/>
      <c r="J18" s="1" t="s">
        <v>2</v>
      </c>
      <c r="K18" s="12">
        <v>166487</v>
      </c>
      <c r="L18" s="12">
        <v>175425</v>
      </c>
      <c r="M18" s="12">
        <v>193000</v>
      </c>
      <c r="N18" s="2"/>
    </row>
    <row r="19" spans="1:14" s="1" customFormat="1" x14ac:dyDescent="0.35">
      <c r="J19" s="1" t="s">
        <v>2</v>
      </c>
      <c r="K19" s="3"/>
      <c r="L19" s="3"/>
      <c r="M19" s="3"/>
      <c r="N19" s="3"/>
    </row>
    <row r="20" spans="1:14" s="1" customFormat="1" x14ac:dyDescent="0.35">
      <c r="A20" s="1" t="s">
        <v>91</v>
      </c>
      <c r="B20" s="3">
        <f>+SUM(B21:B23)</f>
        <v>3881238</v>
      </c>
      <c r="C20" s="3">
        <f t="shared" ref="C20:N20" si="3">+SUM(C21:C23)</f>
        <v>4020183</v>
      </c>
      <c r="D20" s="3">
        <f t="shared" si="3"/>
        <v>3635691</v>
      </c>
      <c r="E20" s="3">
        <f t="shared" si="3"/>
        <v>0</v>
      </c>
      <c r="F20" s="3">
        <f t="shared" si="3"/>
        <v>2718217</v>
      </c>
      <c r="G20" s="3">
        <f t="shared" si="3"/>
        <v>2795205</v>
      </c>
      <c r="H20" s="3">
        <f t="shared" si="3"/>
        <v>2620988</v>
      </c>
      <c r="I20" s="3">
        <f t="shared" si="3"/>
        <v>0</v>
      </c>
      <c r="J20" s="1" t="s">
        <v>2</v>
      </c>
      <c r="K20" s="3">
        <f t="shared" ref="K20" si="4">+SUM(K21:K23)</f>
        <v>12612050</v>
      </c>
      <c r="L20" s="3">
        <f t="shared" si="3"/>
        <v>17325384</v>
      </c>
      <c r="M20" s="3">
        <f t="shared" si="3"/>
        <v>14750112</v>
      </c>
      <c r="N20" s="3">
        <f t="shared" si="3"/>
        <v>0</v>
      </c>
    </row>
    <row r="21" spans="1:14" x14ac:dyDescent="0.35">
      <c r="A21" t="s">
        <v>93</v>
      </c>
      <c r="B21" s="2">
        <v>2877780</v>
      </c>
      <c r="C21" s="2">
        <v>2696810</v>
      </c>
      <c r="D21" s="2">
        <v>2639059</v>
      </c>
      <c r="E21" s="2"/>
      <c r="F21" s="2">
        <v>1893859</v>
      </c>
      <c r="G21" s="2">
        <v>1757741</v>
      </c>
      <c r="H21" s="2">
        <v>1747715</v>
      </c>
      <c r="I21" s="2"/>
      <c r="J21" s="1" t="s">
        <v>2</v>
      </c>
      <c r="K21" s="12">
        <v>9304357</v>
      </c>
      <c r="L21" s="12">
        <v>13047537</v>
      </c>
      <c r="M21" s="12">
        <v>10426083</v>
      </c>
      <c r="N21" s="12"/>
    </row>
    <row r="22" spans="1:14" x14ac:dyDescent="0.35">
      <c r="A22" t="s">
        <v>94</v>
      </c>
      <c r="B22" s="2">
        <v>839516</v>
      </c>
      <c r="C22" s="2">
        <v>877781</v>
      </c>
      <c r="D22" s="2">
        <v>868099</v>
      </c>
      <c r="E22" s="2"/>
      <c r="F22" s="2">
        <v>657039</v>
      </c>
      <c r="G22" s="2">
        <v>686127</v>
      </c>
      <c r="H22" s="2">
        <v>745206</v>
      </c>
      <c r="I22" s="2"/>
      <c r="J22" s="1" t="s">
        <v>2</v>
      </c>
      <c r="K22" s="12">
        <v>2440798</v>
      </c>
      <c r="L22" s="12">
        <v>3178539</v>
      </c>
      <c r="M22" s="12">
        <v>3380632</v>
      </c>
      <c r="N22" s="12"/>
    </row>
    <row r="23" spans="1:14" x14ac:dyDescent="0.35">
      <c r="A23" t="s">
        <v>95</v>
      </c>
      <c r="B23" s="2">
        <v>163942</v>
      </c>
      <c r="C23" s="2">
        <v>445592</v>
      </c>
      <c r="D23" s="2">
        <v>128533</v>
      </c>
      <c r="E23" s="2"/>
      <c r="F23" s="2">
        <v>167319</v>
      </c>
      <c r="G23" s="2">
        <v>351337</v>
      </c>
      <c r="H23" s="2">
        <v>128067</v>
      </c>
      <c r="I23" s="2"/>
      <c r="J23" s="1" t="s">
        <v>2</v>
      </c>
      <c r="K23" s="12">
        <v>866895</v>
      </c>
      <c r="L23" s="12">
        <v>1099308</v>
      </c>
      <c r="M23" s="12">
        <v>943397</v>
      </c>
      <c r="N23" s="12"/>
    </row>
    <row r="24" spans="1:14" s="1" customFormat="1" x14ac:dyDescent="0.35">
      <c r="J24" s="1" t="s">
        <v>2</v>
      </c>
      <c r="K24" s="3"/>
      <c r="L24" s="3"/>
      <c r="M24" s="3"/>
      <c r="N24" s="3"/>
    </row>
    <row r="25" spans="1:14" s="3" customFormat="1" x14ac:dyDescent="0.35">
      <c r="A25" s="3" t="s">
        <v>92</v>
      </c>
      <c r="B25" s="3">
        <f>+SUM(B26:B29)</f>
        <v>-65001</v>
      </c>
      <c r="C25" s="3">
        <f t="shared" ref="C25:H25" si="5">+SUM(C26:C29)</f>
        <v>0</v>
      </c>
      <c r="D25" s="3">
        <f t="shared" si="5"/>
        <v>38385</v>
      </c>
      <c r="E25" s="3">
        <f t="shared" si="5"/>
        <v>0</v>
      </c>
      <c r="F25" s="3">
        <f t="shared" si="5"/>
        <v>13968</v>
      </c>
      <c r="G25" s="3">
        <f t="shared" si="5"/>
        <v>57346</v>
      </c>
      <c r="H25" s="3">
        <f t="shared" si="5"/>
        <v>62192</v>
      </c>
      <c r="I25" s="3">
        <f t="shared" ref="I25:N25" si="6">+SUM(I26:I29)</f>
        <v>0</v>
      </c>
      <c r="J25" s="1" t="s">
        <v>2</v>
      </c>
      <c r="K25" s="3">
        <f t="shared" ref="K25" si="7">+SUM(K26:K29)</f>
        <v>160770</v>
      </c>
      <c r="L25" s="3">
        <f t="shared" si="6"/>
        <v>194582</v>
      </c>
      <c r="M25" s="3">
        <f t="shared" si="6"/>
        <v>169563</v>
      </c>
      <c r="N25" s="3">
        <f t="shared" si="6"/>
        <v>0</v>
      </c>
    </row>
    <row r="26" spans="1:14" x14ac:dyDescent="0.35">
      <c r="A26" t="s">
        <v>93</v>
      </c>
      <c r="B26" s="2">
        <v>39364</v>
      </c>
      <c r="D26" s="2">
        <v>8073</v>
      </c>
      <c r="F26" s="2">
        <v>5924</v>
      </c>
      <c r="G26" s="2">
        <v>5424</v>
      </c>
      <c r="H26" s="2">
        <v>26266</v>
      </c>
      <c r="J26" s="1" t="s">
        <v>2</v>
      </c>
      <c r="K26" s="12">
        <v>87946</v>
      </c>
      <c r="L26" s="12">
        <v>95225</v>
      </c>
      <c r="M26" s="12">
        <v>96234</v>
      </c>
      <c r="N26" s="12"/>
    </row>
    <row r="27" spans="1:14" x14ac:dyDescent="0.35">
      <c r="A27" t="s">
        <v>94</v>
      </c>
      <c r="B27" s="2">
        <v>-82513</v>
      </c>
      <c r="D27" s="2">
        <v>47096</v>
      </c>
      <c r="F27" s="2">
        <v>22791</v>
      </c>
      <c r="G27" s="2">
        <v>39200</v>
      </c>
      <c r="H27" s="2">
        <v>52583</v>
      </c>
      <c r="J27" s="1" t="s">
        <v>2</v>
      </c>
      <c r="K27" s="12">
        <v>81205</v>
      </c>
      <c r="L27" s="12">
        <v>108221</v>
      </c>
      <c r="M27" s="12">
        <v>91175</v>
      </c>
      <c r="N27" s="12"/>
    </row>
    <row r="28" spans="1:14" x14ac:dyDescent="0.35">
      <c r="A28" t="s">
        <v>95</v>
      </c>
      <c r="B28" s="2">
        <v>-10438</v>
      </c>
      <c r="D28" s="2">
        <v>-8452</v>
      </c>
      <c r="F28" s="2">
        <v>-1850</v>
      </c>
      <c r="G28" s="2">
        <v>23419</v>
      </c>
      <c r="H28" s="2">
        <v>-6132</v>
      </c>
      <c r="J28" s="1" t="s">
        <v>2</v>
      </c>
      <c r="K28" s="12">
        <v>42615</v>
      </c>
      <c r="L28" s="12">
        <v>39162</v>
      </c>
      <c r="M28" s="12">
        <v>25049</v>
      </c>
      <c r="N28" s="12"/>
    </row>
    <row r="29" spans="1:14" x14ac:dyDescent="0.35">
      <c r="A29" t="s">
        <v>19</v>
      </c>
      <c r="B29" s="2">
        <v>-11414</v>
      </c>
      <c r="D29" s="2">
        <v>-8332</v>
      </c>
      <c r="F29" s="2">
        <v>-12897</v>
      </c>
      <c r="G29" s="2">
        <v>-10697</v>
      </c>
      <c r="H29" s="2">
        <v>-10525</v>
      </c>
      <c r="J29" s="1" t="s">
        <v>2</v>
      </c>
      <c r="K29" s="12">
        <v>-50996</v>
      </c>
      <c r="L29" s="12">
        <v>-48026</v>
      </c>
      <c r="M29" s="12">
        <v>-42895</v>
      </c>
      <c r="N29" s="12"/>
    </row>
    <row r="30" spans="1:14" x14ac:dyDescent="0.35">
      <c r="B30" s="2"/>
      <c r="F30" s="2"/>
      <c r="J30" s="1" t="s">
        <v>2</v>
      </c>
      <c r="K30" s="3"/>
      <c r="L30" s="3"/>
      <c r="M30" s="2"/>
      <c r="N30" s="2"/>
    </row>
    <row r="31" spans="1:14" s="1" customFormat="1" x14ac:dyDescent="0.35">
      <c r="A31" s="1" t="s">
        <v>96</v>
      </c>
      <c r="B31" s="3">
        <f>+SUM(B32:B35)</f>
        <v>458269</v>
      </c>
      <c r="C31" s="3">
        <f t="shared" ref="C31:H31" si="8">+SUM(C32:C35)</f>
        <v>512404</v>
      </c>
      <c r="D31" s="3">
        <f t="shared" si="8"/>
        <v>546270</v>
      </c>
      <c r="E31" s="3">
        <f t="shared" si="8"/>
        <v>0</v>
      </c>
      <c r="F31" s="3">
        <f t="shared" si="8"/>
        <v>569648</v>
      </c>
      <c r="G31" s="3">
        <f t="shared" si="8"/>
        <v>605686</v>
      </c>
      <c r="H31" s="3">
        <f t="shared" si="8"/>
        <v>640619</v>
      </c>
      <c r="I31" s="3">
        <f t="shared" ref="I31:N31" si="9">+SUM(I32:I35)</f>
        <v>0</v>
      </c>
      <c r="J31" s="1" t="s">
        <v>2</v>
      </c>
      <c r="K31" s="3">
        <f t="shared" ref="K31" si="10">+SUM(K32:K35)</f>
        <v>0</v>
      </c>
      <c r="L31" s="3">
        <f t="shared" si="9"/>
        <v>0</v>
      </c>
      <c r="M31" s="3">
        <f t="shared" si="9"/>
        <v>0</v>
      </c>
      <c r="N31" s="3">
        <f t="shared" si="9"/>
        <v>0</v>
      </c>
    </row>
    <row r="32" spans="1:14" x14ac:dyDescent="0.35">
      <c r="A32" t="s">
        <v>97</v>
      </c>
      <c r="B32" s="2">
        <v>186566</v>
      </c>
      <c r="C32" s="2">
        <v>198633</v>
      </c>
      <c r="D32" s="2">
        <v>190368</v>
      </c>
      <c r="E32" s="2"/>
      <c r="F32" s="2">
        <v>185826</v>
      </c>
      <c r="G32" s="2">
        <v>187050</v>
      </c>
      <c r="H32" s="2">
        <v>212336</v>
      </c>
      <c r="J32" s="1" t="s">
        <v>2</v>
      </c>
      <c r="K32" s="3"/>
      <c r="L32" s="3"/>
      <c r="M32" s="2"/>
      <c r="N32" s="2"/>
    </row>
    <row r="33" spans="1:14" x14ac:dyDescent="0.35">
      <c r="A33" t="s">
        <v>98</v>
      </c>
      <c r="B33" s="2">
        <v>9519</v>
      </c>
      <c r="C33" s="2">
        <v>9562</v>
      </c>
      <c r="D33" s="2">
        <v>11786</v>
      </c>
      <c r="E33" s="2"/>
      <c r="F33" s="2">
        <v>12291</v>
      </c>
      <c r="G33" s="2">
        <v>13494</v>
      </c>
      <c r="H33" s="2">
        <v>12142</v>
      </c>
      <c r="J33" s="1" t="s">
        <v>2</v>
      </c>
      <c r="K33" s="3"/>
      <c r="L33" s="3"/>
      <c r="M33" s="2"/>
      <c r="N33" s="2"/>
    </row>
    <row r="34" spans="1:14" x14ac:dyDescent="0.35">
      <c r="A34" t="s">
        <v>99</v>
      </c>
      <c r="B34" s="2">
        <v>261655</v>
      </c>
      <c r="C34" s="2">
        <v>303701</v>
      </c>
      <c r="D34" s="2">
        <v>343619</v>
      </c>
      <c r="E34" s="2"/>
      <c r="F34" s="2">
        <v>370983</v>
      </c>
      <c r="G34" s="2">
        <v>404589</v>
      </c>
      <c r="H34" s="2">
        <v>415505</v>
      </c>
      <c r="J34" s="1" t="s">
        <v>2</v>
      </c>
      <c r="K34" s="3"/>
      <c r="L34" s="3"/>
      <c r="M34" s="2"/>
      <c r="N34" s="2"/>
    </row>
    <row r="35" spans="1:14" x14ac:dyDescent="0.35">
      <c r="A35" t="s">
        <v>100</v>
      </c>
      <c r="B35" s="2">
        <v>529</v>
      </c>
      <c r="C35" s="2">
        <v>508</v>
      </c>
      <c r="D35" s="2">
        <v>497</v>
      </c>
      <c r="E35" s="2"/>
      <c r="F35" s="2">
        <v>548</v>
      </c>
      <c r="G35" s="2">
        <v>553</v>
      </c>
      <c r="H35" s="2">
        <v>636</v>
      </c>
      <c r="J35" s="1" t="s">
        <v>2</v>
      </c>
      <c r="K35" s="3"/>
      <c r="L35" s="3"/>
      <c r="M35" s="2"/>
      <c r="N35" s="2"/>
    </row>
    <row r="36" spans="1:14" x14ac:dyDescent="0.35">
      <c r="B36" s="2"/>
      <c r="F36" s="2"/>
      <c r="J36" s="1" t="s">
        <v>2</v>
      </c>
      <c r="K36" s="3"/>
      <c r="L36" s="3"/>
      <c r="M36" s="2"/>
      <c r="N36" s="2"/>
    </row>
    <row r="37" spans="1:14" s="1" customFormat="1" x14ac:dyDescent="0.35">
      <c r="A37" s="1" t="s">
        <v>102</v>
      </c>
      <c r="B37" s="3">
        <f>+SUM(B38:B40)</f>
        <v>315</v>
      </c>
      <c r="C37" s="3">
        <f t="shared" ref="C37:H37" si="11">+SUM(C38:C40)</f>
        <v>861</v>
      </c>
      <c r="D37" s="3">
        <f t="shared" si="11"/>
        <v>293</v>
      </c>
      <c r="E37" s="3">
        <f t="shared" si="11"/>
        <v>0</v>
      </c>
      <c r="F37" s="3">
        <f t="shared" si="11"/>
        <v>354</v>
      </c>
      <c r="G37" s="3">
        <f t="shared" si="11"/>
        <v>752</v>
      </c>
      <c r="H37" s="3">
        <f t="shared" si="11"/>
        <v>306</v>
      </c>
      <c r="I37" s="3">
        <f t="shared" ref="I37:N37" si="12">+SUM(I38:I40)</f>
        <v>0</v>
      </c>
      <c r="J37" s="1" t="s">
        <v>2</v>
      </c>
      <c r="K37" s="3">
        <f t="shared" ref="K37" si="13">+SUM(K38:K40)</f>
        <v>0</v>
      </c>
      <c r="L37" s="3">
        <f t="shared" si="12"/>
        <v>0</v>
      </c>
      <c r="M37" s="3">
        <f t="shared" si="12"/>
        <v>0</v>
      </c>
      <c r="N37" s="3">
        <f t="shared" si="12"/>
        <v>0</v>
      </c>
    </row>
    <row r="38" spans="1:14" x14ac:dyDescent="0.35">
      <c r="A38" t="s">
        <v>101</v>
      </c>
      <c r="B38" s="2">
        <v>170</v>
      </c>
      <c r="C38">
        <v>674</v>
      </c>
      <c r="D38" s="2">
        <v>209</v>
      </c>
      <c r="F38" s="2">
        <v>199</v>
      </c>
      <c r="G38" s="2">
        <v>578</v>
      </c>
      <c r="H38" s="2">
        <v>205</v>
      </c>
      <c r="J38" s="1" t="s">
        <v>2</v>
      </c>
      <c r="K38" s="3"/>
      <c r="L38" s="3"/>
      <c r="M38" s="2"/>
      <c r="N38" s="2"/>
    </row>
    <row r="39" spans="1:14" x14ac:dyDescent="0.35">
      <c r="A39" t="s">
        <v>103</v>
      </c>
      <c r="B39" s="2">
        <v>82</v>
      </c>
      <c r="C39">
        <v>141</v>
      </c>
      <c r="D39" s="2">
        <v>59</v>
      </c>
      <c r="F39" s="2">
        <v>91</v>
      </c>
      <c r="G39" s="2">
        <v>117</v>
      </c>
      <c r="H39" s="2">
        <v>62</v>
      </c>
      <c r="J39" s="1" t="s">
        <v>2</v>
      </c>
      <c r="K39" s="3"/>
      <c r="L39" s="3"/>
      <c r="M39" s="2"/>
      <c r="N39" s="2"/>
    </row>
    <row r="40" spans="1:14" x14ac:dyDescent="0.35">
      <c r="A40" t="s">
        <v>104</v>
      </c>
      <c r="B40" s="2">
        <v>63</v>
      </c>
      <c r="C40">
        <v>46</v>
      </c>
      <c r="D40" s="2">
        <v>25</v>
      </c>
      <c r="F40" s="2">
        <v>64</v>
      </c>
      <c r="G40" s="2">
        <v>57</v>
      </c>
      <c r="H40" s="2">
        <v>39</v>
      </c>
      <c r="J40" s="1" t="s">
        <v>2</v>
      </c>
      <c r="K40" s="3"/>
      <c r="L40" s="3"/>
      <c r="M40" s="2"/>
      <c r="N40" s="2"/>
    </row>
    <row r="41" spans="1:14" x14ac:dyDescent="0.35">
      <c r="B41" s="2"/>
      <c r="D41" s="2"/>
      <c r="F41" s="2"/>
      <c r="G41" s="2"/>
      <c r="H41" s="2"/>
      <c r="J41" s="1" t="s">
        <v>2</v>
      </c>
      <c r="K41" s="3"/>
      <c r="L41" s="3"/>
      <c r="M41" s="2"/>
      <c r="N41" s="2"/>
    </row>
    <row r="42" spans="1:14" s="1" customFormat="1" x14ac:dyDescent="0.35">
      <c r="A42" s="1" t="s">
        <v>143</v>
      </c>
      <c r="B42" s="3">
        <f>+SUM(B43:B48)</f>
        <v>0</v>
      </c>
      <c r="C42" s="3">
        <f t="shared" ref="C42:I42" si="14">+SUM(C43:C48)</f>
        <v>0</v>
      </c>
      <c r="D42" s="3">
        <f t="shared" si="14"/>
        <v>0</v>
      </c>
      <c r="E42" s="3">
        <f t="shared" si="14"/>
        <v>0</v>
      </c>
      <c r="F42" s="3">
        <f t="shared" si="14"/>
        <v>0</v>
      </c>
      <c r="G42" s="3">
        <f t="shared" si="14"/>
        <v>0</v>
      </c>
      <c r="H42" s="3">
        <f t="shared" si="14"/>
        <v>0</v>
      </c>
      <c r="I42" s="3">
        <f t="shared" si="14"/>
        <v>0</v>
      </c>
      <c r="J42" s="1" t="s">
        <v>2</v>
      </c>
      <c r="K42" s="3">
        <f t="shared" ref="K42:N42" si="15">+SUM(K43:K48)</f>
        <v>12612050</v>
      </c>
      <c r="L42" s="3">
        <f t="shared" si="15"/>
        <v>17325384</v>
      </c>
      <c r="M42" s="3">
        <f t="shared" si="15"/>
        <v>14750112</v>
      </c>
      <c r="N42" s="3">
        <f t="shared" si="15"/>
        <v>0</v>
      </c>
    </row>
    <row r="43" spans="1:14" x14ac:dyDescent="0.35">
      <c r="A43" t="s">
        <v>144</v>
      </c>
      <c r="B43" s="2"/>
      <c r="D43" s="2"/>
      <c r="F43" s="2"/>
      <c r="G43" s="2"/>
      <c r="H43" s="2"/>
      <c r="J43" s="1" t="s">
        <v>2</v>
      </c>
      <c r="K43" s="12">
        <v>9771502</v>
      </c>
      <c r="L43" s="12">
        <v>12503330</v>
      </c>
      <c r="M43" s="12">
        <v>9772619</v>
      </c>
      <c r="N43" s="12"/>
    </row>
    <row r="44" spans="1:14" x14ac:dyDescent="0.35">
      <c r="A44" t="s">
        <v>145</v>
      </c>
      <c r="B44" s="2"/>
      <c r="D44" s="2"/>
      <c r="F44" s="2"/>
      <c r="G44" s="2"/>
      <c r="H44" s="2"/>
      <c r="J44" s="1" t="s">
        <v>2</v>
      </c>
      <c r="K44" s="12">
        <v>806481</v>
      </c>
      <c r="L44" s="12">
        <v>1199487</v>
      </c>
      <c r="M44" s="12">
        <v>694774</v>
      </c>
      <c r="N44" s="12"/>
    </row>
    <row r="45" spans="1:14" x14ac:dyDescent="0.35">
      <c r="A45" t="s">
        <v>146</v>
      </c>
      <c r="B45" s="2"/>
      <c r="D45" s="2"/>
      <c r="F45" s="2"/>
      <c r="G45" s="2"/>
      <c r="H45" s="2"/>
      <c r="J45" s="1" t="s">
        <v>2</v>
      </c>
      <c r="K45" s="12">
        <v>490672</v>
      </c>
      <c r="L45" s="12">
        <v>493111</v>
      </c>
      <c r="M45" s="12">
        <v>533012</v>
      </c>
      <c r="N45" s="12"/>
    </row>
    <row r="46" spans="1:14" x14ac:dyDescent="0.35">
      <c r="A46" t="s">
        <v>147</v>
      </c>
      <c r="B46" s="2"/>
      <c r="D46" s="2"/>
      <c r="F46" s="2"/>
      <c r="G46" s="2"/>
      <c r="H46" s="2"/>
      <c r="J46" s="1" t="s">
        <v>2</v>
      </c>
      <c r="K46" s="12">
        <v>73654</v>
      </c>
      <c r="L46" s="12">
        <v>573371</v>
      </c>
      <c r="M46" s="12">
        <v>462068</v>
      </c>
      <c r="N46" s="12"/>
    </row>
    <row r="47" spans="1:14" x14ac:dyDescent="0.35">
      <c r="A47" t="s">
        <v>148</v>
      </c>
      <c r="B47" s="2"/>
      <c r="D47" s="2"/>
      <c r="F47" s="2"/>
      <c r="G47" s="2"/>
      <c r="H47" s="2"/>
      <c r="J47" s="1" t="s">
        <v>2</v>
      </c>
      <c r="K47" s="12">
        <v>487363</v>
      </c>
      <c r="L47" s="12">
        <v>373737</v>
      </c>
      <c r="M47" s="12">
        <v>373305</v>
      </c>
      <c r="N47" s="12"/>
    </row>
    <row r="48" spans="1:14" x14ac:dyDescent="0.35">
      <c r="A48" t="s">
        <v>19</v>
      </c>
      <c r="B48" s="2"/>
      <c r="F48" s="2"/>
      <c r="J48" s="1" t="s">
        <v>2</v>
      </c>
      <c r="K48" s="12">
        <v>982378</v>
      </c>
      <c r="L48" s="12">
        <v>2182348</v>
      </c>
      <c r="M48" s="12">
        <v>2914334</v>
      </c>
      <c r="N48" s="10"/>
    </row>
    <row r="49" spans="1:14" x14ac:dyDescent="0.35">
      <c r="B49" s="2"/>
      <c r="F49" s="2"/>
      <c r="J49" s="1" t="s">
        <v>2</v>
      </c>
      <c r="K49" s="1"/>
      <c r="L49" s="1"/>
    </row>
    <row r="50" spans="1:14" s="1" customFormat="1" x14ac:dyDescent="0.35">
      <c r="B50" s="1" t="str">
        <f>B3</f>
        <v>Q123</v>
      </c>
      <c r="C50" s="1" t="str">
        <f>C3</f>
        <v>Q223</v>
      </c>
      <c r="D50" s="1" t="str">
        <f>D3</f>
        <v>Q323</v>
      </c>
      <c r="E50" s="1" t="str">
        <f>E3</f>
        <v>Q423</v>
      </c>
      <c r="F50" s="1" t="str">
        <f>F3</f>
        <v>Q124</v>
      </c>
      <c r="G50" s="1" t="str">
        <f>G3</f>
        <v>Q224</v>
      </c>
      <c r="H50" s="1" t="str">
        <f>H3</f>
        <v>Q324</v>
      </c>
      <c r="I50" s="1" t="str">
        <f>I3</f>
        <v>Q424</v>
      </c>
      <c r="J50" s="1" t="s">
        <v>2</v>
      </c>
      <c r="K50" s="1">
        <f>K3</f>
        <v>2021</v>
      </c>
      <c r="L50" s="1">
        <f>L3</f>
        <v>2022</v>
      </c>
      <c r="M50" s="1">
        <f>M3</f>
        <v>2023</v>
      </c>
      <c r="N50" s="1">
        <f>N3</f>
        <v>2024</v>
      </c>
    </row>
    <row r="51" spans="1:14" s="1" customFormat="1" x14ac:dyDescent="0.35">
      <c r="A51" s="1" t="s">
        <v>106</v>
      </c>
      <c r="B51" s="4"/>
      <c r="C51" s="4"/>
      <c r="D51" s="4"/>
      <c r="E51" s="4"/>
      <c r="F51" s="4">
        <f>(F55-B55)/B55</f>
        <v>-0.29965206977773584</v>
      </c>
      <c r="G51" s="4">
        <f t="shared" ref="G51" si="16">(G55-C55)/C55</f>
        <v>-0.30470702453097287</v>
      </c>
      <c r="H51" s="4">
        <f>(H55-D55)/D55</f>
        <v>-0.2790949505884851</v>
      </c>
      <c r="I51" s="4">
        <f>(I55-E55)/E55</f>
        <v>-1</v>
      </c>
      <c r="J51" s="1" t="s">
        <v>2</v>
      </c>
      <c r="K51" s="4">
        <f>(K55-F55)/F55</f>
        <v>3.6398245614680507</v>
      </c>
      <c r="L51" s="4">
        <f>(L55-G55)/G55</f>
        <v>5.1982516488057229</v>
      </c>
      <c r="M51" s="4">
        <f>(M55-H55)/H55</f>
        <v>4.6276915422733715</v>
      </c>
      <c r="N51" s="4" t="e">
        <f>(N55-I55)/I55</f>
        <v>#DIV/0!</v>
      </c>
    </row>
    <row r="52" spans="1:14" s="1" customFormat="1" x14ac:dyDescent="0.35">
      <c r="A52" s="1" t="s">
        <v>107</v>
      </c>
      <c r="B52" s="4" t="e">
        <f t="shared" ref="B52:D52" si="17">(B55-A55)/B55</f>
        <v>#VALUE!</v>
      </c>
      <c r="C52" s="4">
        <f t="shared" si="17"/>
        <v>3.456185949744079E-2</v>
      </c>
      <c r="D52" s="4">
        <f t="shared" si="17"/>
        <v>-0.10575486200559948</v>
      </c>
      <c r="E52" s="4">
        <f>(E55-D55)/E55</f>
        <v>-0.13155648926237162</v>
      </c>
      <c r="F52" s="4">
        <f>(F55-E55)/F55</f>
        <v>-0.182024834661839</v>
      </c>
      <c r="G52" s="4">
        <f t="shared" ref="G52" si="18">(G55-F55)/G55</f>
        <v>2.754288147023206E-2</v>
      </c>
      <c r="H52" s="4">
        <f>(H55-G55)/H55</f>
        <v>-6.6469972392090307E-2</v>
      </c>
      <c r="I52" s="4" t="e">
        <f>(I55-H55)/I55</f>
        <v>#DIV/0!</v>
      </c>
      <c r="J52" s="1" t="s">
        <v>2</v>
      </c>
      <c r="K52" s="4">
        <f>(K55-I55)/K55</f>
        <v>1</v>
      </c>
      <c r="L52" s="4" t="e">
        <f>(L55-J55)/L55</f>
        <v>#VALUE!</v>
      </c>
      <c r="M52" s="4">
        <f t="shared" ref="M52:N52" si="19">(M55-L55)/M55</f>
        <v>-0.17459338613835609</v>
      </c>
      <c r="N52" s="4" t="e">
        <f t="shared" si="19"/>
        <v>#DIV/0!</v>
      </c>
    </row>
    <row r="53" spans="1:14" s="1" customFormat="1" x14ac:dyDescent="0.35">
      <c r="A53" s="1" t="s">
        <v>108</v>
      </c>
      <c r="B53" s="4"/>
      <c r="C53" s="4"/>
      <c r="D53" s="4"/>
      <c r="E53" s="4"/>
      <c r="F53" s="4">
        <f>(F57-B57)/B57</f>
        <v>-0.13303740938173514</v>
      </c>
      <c r="G53" s="4">
        <f t="shared" ref="G53:I53" si="20">(G57-C57)/C57</f>
        <v>-0.20981629922004894</v>
      </c>
      <c r="H53" s="4">
        <f t="shared" si="20"/>
        <v>0.12316979600636647</v>
      </c>
      <c r="I53" s="4">
        <f t="shared" si="20"/>
        <v>-1</v>
      </c>
      <c r="J53" s="1" t="s">
        <v>2</v>
      </c>
      <c r="K53" s="4">
        <f t="shared" ref="K53:L53" si="21">(K57-F57)/F57</f>
        <v>3.6188980673316706</v>
      </c>
      <c r="L53" s="4">
        <f t="shared" si="21"/>
        <v>2.9012379469809719</v>
      </c>
      <c r="M53" s="4">
        <f t="shared" ref="M53" si="22">(M57-H57)/H57</f>
        <v>3.2081185603387437</v>
      </c>
      <c r="N53" s="4" t="e">
        <f t="shared" ref="N53" si="23">(N57-I57)/I57</f>
        <v>#DIV/0!</v>
      </c>
    </row>
    <row r="54" spans="1:14" s="1" customFormat="1" x14ac:dyDescent="0.35">
      <c r="A54" s="1" t="s">
        <v>109</v>
      </c>
      <c r="B54" s="4" t="e">
        <f t="shared" ref="B54:E54" si="24">(B57-A57)/A57</f>
        <v>#VALUE!</v>
      </c>
      <c r="C54" s="4">
        <f t="shared" si="24"/>
        <v>0.49946287775908549</v>
      </c>
      <c r="D54" s="4">
        <f t="shared" si="24"/>
        <v>-0.28943348788169615</v>
      </c>
      <c r="E54" s="4">
        <f t="shared" si="24"/>
        <v>0.38054926728429117</v>
      </c>
      <c r="F54" s="4">
        <f>(F57-E57)/E57</f>
        <v>-0.41060290105367592</v>
      </c>
      <c r="G54" s="4">
        <f t="shared" ref="G54:I54" si="25">(G57-F57)/F57</f>
        <v>0.36666926433915215</v>
      </c>
      <c r="H54" s="4">
        <f t="shared" si="25"/>
        <v>1.0001653637146392E-2</v>
      </c>
      <c r="I54" s="4">
        <f t="shared" si="25"/>
        <v>-1</v>
      </c>
      <c r="J54" s="1" t="s">
        <v>2</v>
      </c>
      <c r="K54" s="4" t="e">
        <f t="shared" ref="K54:L54" si="26">(K57-I57)/I57</f>
        <v>#DIV/0!</v>
      </c>
      <c r="L54" s="4" t="e">
        <f t="shared" si="26"/>
        <v>#VALUE!</v>
      </c>
      <c r="M54" s="4">
        <f t="shared" ref="M54" si="27">(M57-L57)/L57</f>
        <v>8.9450774960389612E-2</v>
      </c>
      <c r="N54" s="4">
        <f t="shared" ref="N54" si="28">(N57-M57)/M57</f>
        <v>-1</v>
      </c>
    </row>
    <row r="55" spans="1:14" x14ac:dyDescent="0.35">
      <c r="A55" t="s">
        <v>13</v>
      </c>
      <c r="B55" s="2">
        <v>3881238</v>
      </c>
      <c r="C55" s="2">
        <v>4020183</v>
      </c>
      <c r="D55" s="2">
        <v>3635691</v>
      </c>
      <c r="E55" s="2">
        <f>+M55-SUM(B55:D55)</f>
        <v>3213000</v>
      </c>
      <c r="F55" s="2">
        <v>2718217</v>
      </c>
      <c r="G55" s="2">
        <v>2795205</v>
      </c>
      <c r="H55" s="2">
        <v>2620988</v>
      </c>
      <c r="I55" s="2"/>
      <c r="J55" s="1" t="s">
        <v>2</v>
      </c>
      <c r="K55" s="12">
        <v>12612050</v>
      </c>
      <c r="L55" s="12">
        <v>17325384</v>
      </c>
      <c r="M55" s="12">
        <v>14750112</v>
      </c>
      <c r="N55" s="12"/>
    </row>
    <row r="56" spans="1:14" x14ac:dyDescent="0.35">
      <c r="A56" t="s">
        <v>14</v>
      </c>
      <c r="B56" s="2">
        <v>3733227</v>
      </c>
      <c r="C56" s="2">
        <v>3798246</v>
      </c>
      <c r="D56" s="2">
        <v>3477990</v>
      </c>
      <c r="E56" s="2">
        <f>+M56-SUM(B56:D56)</f>
        <v>2995286</v>
      </c>
      <c r="F56" s="2">
        <v>2589897</v>
      </c>
      <c r="G56" s="2">
        <v>2619834</v>
      </c>
      <c r="H56" s="2">
        <v>2443863</v>
      </c>
      <c r="I56" s="2"/>
      <c r="J56" s="1" t="s">
        <v>2</v>
      </c>
      <c r="K56" s="12">
        <v>12019353</v>
      </c>
      <c r="L56" s="12">
        <v>16641220</v>
      </c>
      <c r="M56" s="12">
        <v>14004749</v>
      </c>
      <c r="N56" s="12"/>
    </row>
    <row r="57" spans="1:14" s="1" customFormat="1" x14ac:dyDescent="0.35">
      <c r="A57" s="1" t="s">
        <v>15</v>
      </c>
      <c r="B57" s="3">
        <f>B55-B56</f>
        <v>148011</v>
      </c>
      <c r="C57" s="3">
        <f t="shared" ref="C57:D57" si="29">C55-C56</f>
        <v>221937</v>
      </c>
      <c r="D57" s="3">
        <f t="shared" si="29"/>
        <v>157701</v>
      </c>
      <c r="E57" s="3">
        <f>E55-E56</f>
        <v>217714</v>
      </c>
      <c r="F57" s="3">
        <f>F55-F56</f>
        <v>128320</v>
      </c>
      <c r="G57" s="3">
        <f>G55-G56</f>
        <v>175371</v>
      </c>
      <c r="H57" s="3">
        <f>H55-H56</f>
        <v>177125</v>
      </c>
      <c r="I57" s="3">
        <f t="shared" ref="I57:L57" si="30">I55-I56</f>
        <v>0</v>
      </c>
      <c r="J57" s="1" t="s">
        <v>2</v>
      </c>
      <c r="K57" s="3">
        <f t="shared" ref="K57" si="31">K55-K56</f>
        <v>592697</v>
      </c>
      <c r="L57" s="3">
        <f t="shared" si="30"/>
        <v>684164</v>
      </c>
      <c r="M57" s="3">
        <f t="shared" ref="M57:N57" si="32">M55-M56</f>
        <v>745363</v>
      </c>
      <c r="N57" s="3">
        <f t="shared" si="32"/>
        <v>0</v>
      </c>
    </row>
    <row r="58" spans="1:14" x14ac:dyDescent="0.35">
      <c r="A58" t="s">
        <v>16</v>
      </c>
      <c r="B58" s="2">
        <v>117235</v>
      </c>
      <c r="C58" s="2">
        <v>116007</v>
      </c>
      <c r="D58" s="2">
        <v>126306</v>
      </c>
      <c r="E58" s="2">
        <f t="shared" ref="E58:E60" si="33">+M58-SUM(B58:D58)</f>
        <v>132712</v>
      </c>
      <c r="F58" s="2">
        <v>119358</v>
      </c>
      <c r="G58" s="2">
        <v>116614</v>
      </c>
      <c r="H58" s="2">
        <v>120494</v>
      </c>
      <c r="I58" s="2"/>
      <c r="J58" s="1" t="s">
        <v>2</v>
      </c>
      <c r="K58" s="2">
        <v>423126</v>
      </c>
      <c r="L58" s="2">
        <v>457556</v>
      </c>
      <c r="M58" s="2">
        <v>492260</v>
      </c>
      <c r="N58" s="2"/>
    </row>
    <row r="59" spans="1:14" x14ac:dyDescent="0.35">
      <c r="A59" t="s">
        <v>17</v>
      </c>
      <c r="B59" s="2">
        <v>87156</v>
      </c>
      <c r="C59" s="2">
        <v>0</v>
      </c>
      <c r="D59" s="2">
        <v>0</v>
      </c>
      <c r="E59" s="2">
        <f t="shared" si="33"/>
        <v>0</v>
      </c>
      <c r="F59" s="2">
        <v>0</v>
      </c>
      <c r="G59" s="2">
        <v>0</v>
      </c>
      <c r="H59" s="2">
        <v>0</v>
      </c>
      <c r="I59" s="2"/>
      <c r="J59" s="1" t="s">
        <v>2</v>
      </c>
      <c r="K59" s="2">
        <v>8947</v>
      </c>
      <c r="L59" s="2">
        <v>9000</v>
      </c>
      <c r="M59" s="2">
        <v>87156</v>
      </c>
      <c r="N59" s="2"/>
    </row>
    <row r="60" spans="1:14" x14ac:dyDescent="0.35">
      <c r="A60" t="s">
        <v>18</v>
      </c>
      <c r="B60" s="2">
        <v>16625</v>
      </c>
      <c r="C60" s="2">
        <v>13953</v>
      </c>
      <c r="D60" s="2">
        <v>8188</v>
      </c>
      <c r="E60" s="2">
        <f t="shared" si="33"/>
        <v>8101</v>
      </c>
      <c r="F60" s="2">
        <v>6522</v>
      </c>
      <c r="G60" s="2">
        <v>6611</v>
      </c>
      <c r="H60" s="2">
        <v>8361</v>
      </c>
      <c r="I60" s="2"/>
      <c r="J60" s="1" t="s">
        <v>2</v>
      </c>
      <c r="K60" s="2">
        <v>37292</v>
      </c>
      <c r="L60" s="2">
        <v>56849</v>
      </c>
      <c r="M60" s="2">
        <v>46867</v>
      </c>
      <c r="N60" s="2"/>
    </row>
    <row r="61" spans="1:14" s="1" customFormat="1" x14ac:dyDescent="0.35">
      <c r="A61" s="1" t="s">
        <v>20</v>
      </c>
      <c r="B61" s="3">
        <f>SUM(B58:B60)</f>
        <v>221016</v>
      </c>
      <c r="C61" s="3">
        <f t="shared" ref="C61:G61" si="34">SUM(C58:C60)</f>
        <v>129960</v>
      </c>
      <c r="D61" s="3">
        <f t="shared" si="34"/>
        <v>134494</v>
      </c>
      <c r="E61" s="3">
        <f t="shared" si="34"/>
        <v>140813</v>
      </c>
      <c r="F61" s="3">
        <f t="shared" si="34"/>
        <v>125880</v>
      </c>
      <c r="G61" s="3">
        <f t="shared" si="34"/>
        <v>123225</v>
      </c>
      <c r="H61" s="3">
        <f t="shared" ref="H61:I61" si="35">SUM(H58:H60)</f>
        <v>128855</v>
      </c>
      <c r="I61" s="3">
        <f t="shared" si="35"/>
        <v>0</v>
      </c>
      <c r="J61" s="1" t="s">
        <v>2</v>
      </c>
      <c r="K61" s="3">
        <f t="shared" ref="K61:L61" si="36">SUM(K58:K60)</f>
        <v>469365</v>
      </c>
      <c r="L61" s="3">
        <f t="shared" si="36"/>
        <v>523405</v>
      </c>
      <c r="M61" s="3">
        <f t="shared" ref="M61:N61" si="37">SUM(M58:M60)</f>
        <v>626283</v>
      </c>
      <c r="N61" s="3">
        <f t="shared" si="37"/>
        <v>0</v>
      </c>
    </row>
    <row r="62" spans="1:14" x14ac:dyDescent="0.35">
      <c r="A62" t="s">
        <v>105</v>
      </c>
      <c r="B62" s="2">
        <v>8004</v>
      </c>
      <c r="C62" s="2">
        <v>12441</v>
      </c>
      <c r="D62" s="2">
        <v>15178</v>
      </c>
      <c r="E62" s="2">
        <f>+M62-SUM(B62:D62)</f>
        <v>14860</v>
      </c>
      <c r="F62" s="2">
        <v>11528</v>
      </c>
      <c r="G62" s="2">
        <v>5200</v>
      </c>
      <c r="H62" s="2">
        <v>13922</v>
      </c>
      <c r="I62" s="2"/>
      <c r="J62" s="1" t="s">
        <v>2</v>
      </c>
      <c r="K62" s="2">
        <v>37438</v>
      </c>
      <c r="L62" s="2">
        <v>33823</v>
      </c>
      <c r="M62" s="2">
        <v>50483</v>
      </c>
      <c r="N62" s="2"/>
    </row>
    <row r="63" spans="1:14" s="1" customFormat="1" x14ac:dyDescent="0.35">
      <c r="A63" s="1" t="s">
        <v>21</v>
      </c>
      <c r="B63" s="3">
        <f>+B57-B61+B62</f>
        <v>-65001</v>
      </c>
      <c r="C63" s="3">
        <f t="shared" ref="C63:G63" si="38">+C57-C61+C62</f>
        <v>104418</v>
      </c>
      <c r="D63" s="3">
        <f t="shared" si="38"/>
        <v>38385</v>
      </c>
      <c r="E63" s="3">
        <f t="shared" si="38"/>
        <v>91761</v>
      </c>
      <c r="F63" s="3">
        <f t="shared" si="38"/>
        <v>13968</v>
      </c>
      <c r="G63" s="3">
        <f t="shared" si="38"/>
        <v>57346</v>
      </c>
      <c r="H63" s="3">
        <f t="shared" ref="H63:I63" si="39">+H57-H61+H62</f>
        <v>62192</v>
      </c>
      <c r="I63" s="3">
        <f t="shared" si="39"/>
        <v>0</v>
      </c>
      <c r="J63" s="1" t="s">
        <v>2</v>
      </c>
      <c r="K63" s="3">
        <f t="shared" ref="K63:L63" si="40">+K57-K61+K62</f>
        <v>160770</v>
      </c>
      <c r="L63" s="3">
        <f t="shared" si="40"/>
        <v>194582</v>
      </c>
      <c r="M63" s="3">
        <f t="shared" ref="M63:N63" si="41">+M57-M61+M62</f>
        <v>169563</v>
      </c>
      <c r="N63" s="3">
        <f t="shared" si="41"/>
        <v>0</v>
      </c>
    </row>
    <row r="64" spans="1:14" x14ac:dyDescent="0.35">
      <c r="A64" t="s">
        <v>22</v>
      </c>
      <c r="B64" s="2">
        <v>-5884</v>
      </c>
      <c r="C64" s="2">
        <v>21732</v>
      </c>
      <c r="D64" s="2">
        <v>7862</v>
      </c>
      <c r="E64" s="2">
        <f>+M64-SUM(B64:D64)</f>
        <v>13324</v>
      </c>
      <c r="F64" s="2">
        <v>1303</v>
      </c>
      <c r="G64" s="2">
        <v>4876</v>
      </c>
      <c r="H64" s="2">
        <v>10731</v>
      </c>
      <c r="I64" s="2"/>
      <c r="J64" s="1" t="s">
        <v>2</v>
      </c>
      <c r="K64" s="2">
        <v>29228</v>
      </c>
      <c r="L64" s="2">
        <v>39628</v>
      </c>
      <c r="M64" s="2">
        <v>37034</v>
      </c>
      <c r="N64" s="2"/>
    </row>
    <row r="65" spans="1:14" x14ac:dyDescent="0.35">
      <c r="A65" s="1" t="s">
        <v>65</v>
      </c>
      <c r="B65" s="3">
        <f>B63-B64</f>
        <v>-59117</v>
      </c>
      <c r="C65" s="3">
        <f t="shared" ref="C65:I65" si="42">C63-C64</f>
        <v>82686</v>
      </c>
      <c r="D65" s="3">
        <f t="shared" si="42"/>
        <v>30523</v>
      </c>
      <c r="E65" s="3">
        <f t="shared" si="42"/>
        <v>78437</v>
      </c>
      <c r="F65" s="3">
        <f t="shared" si="42"/>
        <v>12665</v>
      </c>
      <c r="G65" s="3">
        <f t="shared" si="42"/>
        <v>52470</v>
      </c>
      <c r="H65" s="3">
        <f t="shared" si="42"/>
        <v>51461</v>
      </c>
      <c r="I65" s="3">
        <f t="shared" si="42"/>
        <v>0</v>
      </c>
      <c r="J65" s="1" t="s">
        <v>2</v>
      </c>
      <c r="K65" s="3">
        <f t="shared" ref="K65:L65" si="43">K63-K64</f>
        <v>131542</v>
      </c>
      <c r="L65" s="3">
        <f t="shared" si="43"/>
        <v>154954</v>
      </c>
      <c r="M65" s="3">
        <f>M63-M64</f>
        <v>132529</v>
      </c>
      <c r="N65" s="3">
        <f t="shared" ref="N65" si="44">N63-N64</f>
        <v>0</v>
      </c>
    </row>
    <row r="66" spans="1:14" x14ac:dyDescent="0.35">
      <c r="A66" t="s">
        <v>136</v>
      </c>
      <c r="B66" s="2">
        <v>0</v>
      </c>
      <c r="C66" s="2">
        <v>0</v>
      </c>
      <c r="D66" s="2">
        <v>0</v>
      </c>
      <c r="E66" s="2">
        <f>+M66-SUM(B66:D66)</f>
        <v>0</v>
      </c>
      <c r="F66" s="2"/>
      <c r="G66" s="2"/>
      <c r="H66" s="2"/>
      <c r="I66" s="2"/>
      <c r="J66" s="1"/>
      <c r="K66" s="2">
        <v>4324</v>
      </c>
      <c r="L66" s="2">
        <v>12025</v>
      </c>
      <c r="M66" s="2">
        <v>0</v>
      </c>
      <c r="N66" s="2"/>
    </row>
    <row r="67" spans="1:14" s="1" customFormat="1" x14ac:dyDescent="0.35">
      <c r="A67" s="1" t="s">
        <v>65</v>
      </c>
      <c r="B67" s="3">
        <f t="shared" ref="B67:I67" si="45">B65+B66</f>
        <v>-59117</v>
      </c>
      <c r="C67" s="3">
        <f t="shared" si="45"/>
        <v>82686</v>
      </c>
      <c r="D67" s="3">
        <f t="shared" si="45"/>
        <v>30523</v>
      </c>
      <c r="E67" s="3">
        <f t="shared" si="45"/>
        <v>78437</v>
      </c>
      <c r="F67" s="3">
        <f t="shared" si="45"/>
        <v>12665</v>
      </c>
      <c r="G67" s="3">
        <f t="shared" si="45"/>
        <v>52470</v>
      </c>
      <c r="H67" s="3">
        <f t="shared" si="45"/>
        <v>51461</v>
      </c>
      <c r="I67" s="3">
        <f t="shared" si="45"/>
        <v>0</v>
      </c>
      <c r="J67" s="1" t="s">
        <v>2</v>
      </c>
      <c r="K67" s="3">
        <f t="shared" ref="K67" si="46">K65+K66</f>
        <v>135866</v>
      </c>
      <c r="L67" s="3">
        <f>L65+L66</f>
        <v>166979</v>
      </c>
      <c r="M67" s="3">
        <f t="shared" ref="M67:N67" si="47">M65+M66</f>
        <v>132529</v>
      </c>
      <c r="N67" s="3">
        <f t="shared" si="47"/>
        <v>0</v>
      </c>
    </row>
    <row r="68" spans="1:14" x14ac:dyDescent="0.35">
      <c r="A68" t="s">
        <v>23</v>
      </c>
      <c r="B68" s="2">
        <v>-44367</v>
      </c>
      <c r="C68" s="2">
        <v>27640</v>
      </c>
      <c r="D68" s="2">
        <v>20815</v>
      </c>
      <c r="E68" s="2">
        <f>+M68-SUM(B68:D68)</f>
        <v>27251</v>
      </c>
      <c r="F68" s="2">
        <v>7084</v>
      </c>
      <c r="G68" s="2">
        <v>16494</v>
      </c>
      <c r="H68" s="2">
        <v>24096</v>
      </c>
      <c r="I68" s="2"/>
      <c r="J68" s="1" t="s">
        <v>2</v>
      </c>
      <c r="K68" s="2">
        <v>31880</v>
      </c>
      <c r="L68" s="2">
        <v>35899</v>
      </c>
      <c r="M68" s="2">
        <v>31339</v>
      </c>
      <c r="N68" s="2"/>
    </row>
    <row r="69" spans="1:14" s="1" customFormat="1" x14ac:dyDescent="0.35">
      <c r="A69" s="1" t="s">
        <v>24</v>
      </c>
      <c r="B69" s="3">
        <f>B67-B68</f>
        <v>-14750</v>
      </c>
      <c r="C69" s="3">
        <f t="shared" ref="C69:G69" si="48">C67-C68</f>
        <v>55046</v>
      </c>
      <c r="D69" s="3">
        <f t="shared" si="48"/>
        <v>9708</v>
      </c>
      <c r="E69" s="3">
        <f t="shared" si="48"/>
        <v>51186</v>
      </c>
      <c r="F69" s="3">
        <f t="shared" si="48"/>
        <v>5581</v>
      </c>
      <c r="G69" s="3">
        <f t="shared" si="48"/>
        <v>35976</v>
      </c>
      <c r="H69" s="3">
        <f t="shared" ref="H69:I69" si="49">H67-H68</f>
        <v>27365</v>
      </c>
      <c r="I69" s="3">
        <f t="shared" si="49"/>
        <v>0</v>
      </c>
      <c r="J69" s="1" t="s">
        <v>2</v>
      </c>
      <c r="K69" s="3">
        <f t="shared" ref="K69:L69" si="50">K67-K68</f>
        <v>103986</v>
      </c>
      <c r="L69" s="3">
        <f t="shared" si="50"/>
        <v>131080</v>
      </c>
      <c r="M69" s="3">
        <f t="shared" ref="M69:N69" si="51">M67-M68</f>
        <v>101190</v>
      </c>
      <c r="N69" s="3">
        <f t="shared" si="51"/>
        <v>0</v>
      </c>
    </row>
    <row r="70" spans="1:14" x14ac:dyDescent="0.35">
      <c r="J70" s="1" t="s">
        <v>2</v>
      </c>
      <c r="K70" s="2"/>
      <c r="L70" s="2"/>
      <c r="M70" s="2"/>
      <c r="N70" s="2"/>
    </row>
    <row r="71" spans="1:14" x14ac:dyDescent="0.35">
      <c r="A71" t="s">
        <v>25</v>
      </c>
      <c r="B71" s="2">
        <v>33622</v>
      </c>
      <c r="C71" s="2">
        <v>33744</v>
      </c>
      <c r="D71" s="2">
        <v>33752</v>
      </c>
      <c r="E71" s="2">
        <v>33718</v>
      </c>
      <c r="F71" s="2">
        <v>33932</v>
      </c>
      <c r="G71" s="2">
        <v>34060</v>
      </c>
      <c r="H71" s="2">
        <v>34069</v>
      </c>
      <c r="J71" s="1" t="s">
        <v>2</v>
      </c>
      <c r="K71" s="2">
        <v>33279</v>
      </c>
      <c r="L71" s="2">
        <v>33731</v>
      </c>
      <c r="M71" s="2">
        <v>33718</v>
      </c>
      <c r="N71" s="2"/>
    </row>
    <row r="72" spans="1:14" x14ac:dyDescent="0.35">
      <c r="A72" t="s">
        <v>26</v>
      </c>
      <c r="B72" s="2">
        <v>33622</v>
      </c>
      <c r="C72" s="2">
        <v>34165</v>
      </c>
      <c r="D72" s="2">
        <v>34270</v>
      </c>
      <c r="E72" s="2">
        <v>34382</v>
      </c>
      <c r="F72" s="2">
        <v>34243</v>
      </c>
      <c r="G72" s="2">
        <v>34339</v>
      </c>
      <c r="H72" s="2">
        <v>34358</v>
      </c>
      <c r="J72" s="1" t="s">
        <v>2</v>
      </c>
      <c r="K72" s="2">
        <v>33855</v>
      </c>
      <c r="L72" s="2">
        <v>34422</v>
      </c>
      <c r="M72" s="2">
        <v>34382</v>
      </c>
      <c r="N72" s="2"/>
    </row>
    <row r="73" spans="1:14" s="1" customFormat="1" x14ac:dyDescent="0.35">
      <c r="A73" s="1" t="s">
        <v>27</v>
      </c>
      <c r="B73" s="4">
        <f>B69/B71</f>
        <v>-0.43870085063351377</v>
      </c>
      <c r="C73" s="4">
        <f t="shared" ref="C73:E73" si="52">C69/C71</f>
        <v>1.6312825983878616</v>
      </c>
      <c r="D73" s="4">
        <f t="shared" si="52"/>
        <v>0.28762739985778618</v>
      </c>
      <c r="E73" s="4">
        <f t="shared" si="52"/>
        <v>1.5180615694881072</v>
      </c>
      <c r="F73" s="4">
        <f t="shared" ref="F73:G73" si="53">F69/F71</f>
        <v>0.16447601084521984</v>
      </c>
      <c r="G73" s="4">
        <f t="shared" si="53"/>
        <v>1.0562536699941281</v>
      </c>
      <c r="H73" s="4">
        <f t="shared" ref="H73:I73" si="54">H69/H71</f>
        <v>0.80322287123191172</v>
      </c>
      <c r="I73" s="4" t="e">
        <f t="shared" si="54"/>
        <v>#DIV/0!</v>
      </c>
      <c r="J73" s="1" t="s">
        <v>2</v>
      </c>
      <c r="K73" s="4">
        <f t="shared" ref="K73:L73" si="55">K69/K71</f>
        <v>3.1246732173442711</v>
      </c>
      <c r="L73" s="4">
        <f t="shared" si="55"/>
        <v>3.8860395481900922</v>
      </c>
      <c r="M73" s="4">
        <f t="shared" ref="M73:N73" si="56">M69/M71</f>
        <v>3.0010676789845188</v>
      </c>
      <c r="N73" s="4" t="e">
        <f t="shared" si="56"/>
        <v>#DIV/0!</v>
      </c>
    </row>
    <row r="74" spans="1:14" s="1" customFormat="1" x14ac:dyDescent="0.35">
      <c r="A74" s="1" t="s">
        <v>28</v>
      </c>
      <c r="B74" s="4">
        <f>B69/B72</f>
        <v>-0.43870085063351377</v>
      </c>
      <c r="C74" s="4">
        <f t="shared" ref="C74:G74" si="57">C69/C72</f>
        <v>1.6111810332211327</v>
      </c>
      <c r="D74" s="4">
        <f t="shared" si="57"/>
        <v>0.28327983659177125</v>
      </c>
      <c r="E74" s="4">
        <f t="shared" si="57"/>
        <v>1.4887441102902681</v>
      </c>
      <c r="F74" s="4">
        <f t="shared" si="57"/>
        <v>0.16298221534328183</v>
      </c>
      <c r="G74" s="4">
        <f t="shared" si="57"/>
        <v>1.0476717434986458</v>
      </c>
      <c r="H74" s="4">
        <f t="shared" ref="H74:I74" si="58">H69/H72</f>
        <v>0.79646661621747483</v>
      </c>
      <c r="I74" s="4" t="e">
        <f t="shared" si="58"/>
        <v>#DIV/0!</v>
      </c>
      <c r="J74" s="1" t="s">
        <v>2</v>
      </c>
      <c r="K74" s="4">
        <f t="shared" ref="K74:L74" si="59">K69/K72</f>
        <v>3.0715108551174124</v>
      </c>
      <c r="L74" s="4">
        <f t="shared" si="59"/>
        <v>3.8080297484167103</v>
      </c>
      <c r="M74" s="4">
        <f t="shared" ref="M74:N74" si="60">M69/M72</f>
        <v>2.9431097667384098</v>
      </c>
      <c r="N74" s="4" t="e">
        <f t="shared" si="60"/>
        <v>#DIV/0!</v>
      </c>
    </row>
    <row r="75" spans="1:14" x14ac:dyDescent="0.35">
      <c r="J75" s="1" t="s">
        <v>2</v>
      </c>
    </row>
    <row r="76" spans="1:14" s="1" customFormat="1" x14ac:dyDescent="0.35">
      <c r="A76" s="1" t="s">
        <v>66</v>
      </c>
      <c r="B76" s="3">
        <f>B67</f>
        <v>-59117</v>
      </c>
      <c r="C76" s="3">
        <f>C67</f>
        <v>82686</v>
      </c>
      <c r="D76" s="3">
        <f>D67</f>
        <v>30523</v>
      </c>
      <c r="E76" s="3">
        <f>E67</f>
        <v>78437</v>
      </c>
      <c r="F76" s="3">
        <f>F67</f>
        <v>12665</v>
      </c>
      <c r="G76" s="3">
        <f>G67</f>
        <v>52470</v>
      </c>
      <c r="H76" s="3">
        <f>H67</f>
        <v>51461</v>
      </c>
      <c r="I76" s="3">
        <f>I67</f>
        <v>0</v>
      </c>
      <c r="J76" s="1" t="s">
        <v>2</v>
      </c>
      <c r="K76" s="3">
        <f>K67</f>
        <v>135866</v>
      </c>
      <c r="L76" s="3">
        <f>L67</f>
        <v>166979</v>
      </c>
      <c r="M76" s="3">
        <f>M67</f>
        <v>132529</v>
      </c>
      <c r="N76" s="3">
        <f>N67</f>
        <v>0</v>
      </c>
    </row>
    <row r="77" spans="1:14" x14ac:dyDescent="0.35">
      <c r="A77" t="s">
        <v>64</v>
      </c>
      <c r="B77" s="2">
        <v>-59117</v>
      </c>
      <c r="C77" s="2">
        <f>23569-B77</f>
        <v>82686</v>
      </c>
      <c r="D77" s="2">
        <f>54092-C77-B77</f>
        <v>30523</v>
      </c>
      <c r="E77" s="2">
        <f>+M77-SUM(B77:D77)</f>
        <v>78437</v>
      </c>
      <c r="F77" s="2">
        <v>12665</v>
      </c>
      <c r="G77" s="2">
        <f>65135-F77</f>
        <v>52470</v>
      </c>
      <c r="H77" s="2">
        <f>116596-G77-F77</f>
        <v>51461</v>
      </c>
      <c r="J77" s="1" t="s">
        <v>2</v>
      </c>
      <c r="K77" s="2">
        <v>135866</v>
      </c>
      <c r="L77" s="2">
        <v>166979</v>
      </c>
      <c r="M77" s="2">
        <v>132529</v>
      </c>
      <c r="N77" s="2">
        <f t="shared" ref="N77:N91" si="61">SUM(F77:I77)</f>
        <v>116596</v>
      </c>
    </row>
    <row r="78" spans="1:14" x14ac:dyDescent="0.35">
      <c r="A78" t="s">
        <v>68</v>
      </c>
      <c r="B78" s="2">
        <v>3220</v>
      </c>
      <c r="C78" s="2">
        <f>62585-B78</f>
        <v>59365</v>
      </c>
      <c r="D78" s="2">
        <f>93800-C78-B78</f>
        <v>31215</v>
      </c>
      <c r="E78" s="2">
        <f t="shared" ref="E78:E91" si="62">+M78-SUM(B78:D78)</f>
        <v>31306</v>
      </c>
      <c r="F78" s="2">
        <v>30949</v>
      </c>
      <c r="G78" s="2">
        <f>61218-F78</f>
        <v>30269</v>
      </c>
      <c r="H78" s="2">
        <f>91626-G78-F78</f>
        <v>30408</v>
      </c>
      <c r="J78" s="1" t="s">
        <v>2</v>
      </c>
      <c r="K78" s="2">
        <v>178934</v>
      </c>
      <c r="L78" s="2">
        <v>134742</v>
      </c>
      <c r="M78" s="2">
        <v>125106</v>
      </c>
      <c r="N78" s="2">
        <f t="shared" si="61"/>
        <v>91626</v>
      </c>
    </row>
    <row r="79" spans="1:14" x14ac:dyDescent="0.35">
      <c r="A79" t="s">
        <v>137</v>
      </c>
      <c r="B79" s="2"/>
      <c r="C79" s="2"/>
      <c r="D79" s="2"/>
      <c r="E79" s="2">
        <f t="shared" si="62"/>
        <v>11519</v>
      </c>
      <c r="F79" s="2"/>
      <c r="G79" s="2"/>
      <c r="H79" s="2"/>
      <c r="J79" s="1"/>
      <c r="K79" s="2">
        <v>237</v>
      </c>
      <c r="L79" s="2">
        <v>6001</v>
      </c>
      <c r="M79" s="2">
        <v>11519</v>
      </c>
      <c r="N79" s="2"/>
    </row>
    <row r="80" spans="1:14" x14ac:dyDescent="0.35">
      <c r="A80" t="s">
        <v>138</v>
      </c>
      <c r="B80" s="2"/>
      <c r="C80" s="2"/>
      <c r="D80" s="2"/>
      <c r="E80" s="2">
        <f t="shared" si="62"/>
        <v>12857</v>
      </c>
      <c r="F80" s="2"/>
      <c r="G80" s="2"/>
      <c r="H80" s="2"/>
      <c r="J80" s="1"/>
      <c r="K80" s="2">
        <v>11038</v>
      </c>
      <c r="L80" s="2">
        <v>11192</v>
      </c>
      <c r="M80" s="2">
        <v>12857</v>
      </c>
      <c r="N80" s="2"/>
    </row>
    <row r="81" spans="1:14" x14ac:dyDescent="0.35">
      <c r="A81" t="s">
        <v>139</v>
      </c>
      <c r="B81" s="2"/>
      <c r="C81" s="2"/>
      <c r="D81" s="2"/>
      <c r="E81" s="2">
        <f t="shared" si="62"/>
        <v>-1596</v>
      </c>
      <c r="F81" s="2"/>
      <c r="G81" s="2"/>
      <c r="H81" s="2"/>
      <c r="J81" s="1"/>
      <c r="K81" s="2">
        <v>-104618</v>
      </c>
      <c r="L81" s="2">
        <v>-20009</v>
      </c>
      <c r="M81" s="2">
        <v>-1596</v>
      </c>
      <c r="N81" s="2"/>
    </row>
    <row r="82" spans="1:14" x14ac:dyDescent="0.35">
      <c r="A82" t="s">
        <v>140</v>
      </c>
      <c r="B82" s="2"/>
      <c r="C82" s="2"/>
      <c r="D82" s="2"/>
      <c r="E82" s="2">
        <f t="shared" si="62"/>
        <v>-5643</v>
      </c>
      <c r="F82" s="2"/>
      <c r="G82" s="2"/>
      <c r="H82" s="2"/>
      <c r="J82" s="1"/>
      <c r="K82" s="2">
        <v>-14619</v>
      </c>
      <c r="L82" s="2">
        <v>0</v>
      </c>
      <c r="M82" s="2">
        <v>-5643</v>
      </c>
      <c r="N82" s="2"/>
    </row>
    <row r="83" spans="1:14" x14ac:dyDescent="0.35">
      <c r="A83" t="s">
        <v>17</v>
      </c>
      <c r="B83" s="2">
        <v>87156</v>
      </c>
      <c r="C83" s="2">
        <f>87156-B83</f>
        <v>0</v>
      </c>
      <c r="D83" s="2">
        <f>87156-C83-B83</f>
        <v>0</v>
      </c>
      <c r="E83" s="2">
        <f t="shared" si="62"/>
        <v>0</v>
      </c>
      <c r="F83" s="2">
        <v>0</v>
      </c>
      <c r="G83" s="2">
        <v>0</v>
      </c>
      <c r="H83" s="2">
        <f>0-G83-F83</f>
        <v>0</v>
      </c>
      <c r="J83" s="1" t="s">
        <v>2</v>
      </c>
      <c r="K83" s="2">
        <v>8947</v>
      </c>
      <c r="L83" s="2">
        <v>11818</v>
      </c>
      <c r="M83" s="2">
        <v>87156</v>
      </c>
      <c r="N83" s="2">
        <f>SUM(F83:I83)</f>
        <v>0</v>
      </c>
    </row>
    <row r="84" spans="1:14" x14ac:dyDescent="0.35">
      <c r="A84" t="s">
        <v>141</v>
      </c>
      <c r="B84" s="2"/>
      <c r="C84" s="2"/>
      <c r="D84" s="2"/>
      <c r="E84" s="2">
        <f t="shared" si="62"/>
        <v>0</v>
      </c>
      <c r="F84" s="2"/>
      <c r="G84" s="2"/>
      <c r="H84" s="2"/>
      <c r="J84" s="1"/>
      <c r="K84" s="2">
        <v>1491</v>
      </c>
      <c r="L84" s="2">
        <v>-27091</v>
      </c>
      <c r="M84" s="2">
        <v>0</v>
      </c>
      <c r="N84" s="2"/>
    </row>
    <row r="85" spans="1:14" x14ac:dyDescent="0.35">
      <c r="A85" t="s">
        <v>142</v>
      </c>
      <c r="E85" s="2">
        <f t="shared" si="62"/>
        <v>0</v>
      </c>
      <c r="K85" s="2">
        <v>0</v>
      </c>
      <c r="L85" s="2">
        <v>17328</v>
      </c>
      <c r="M85" s="2">
        <v>0</v>
      </c>
    </row>
    <row r="86" spans="1:14" x14ac:dyDescent="0.35">
      <c r="A86" t="s">
        <v>19</v>
      </c>
      <c r="B86" s="2">
        <v>-2230</v>
      </c>
      <c r="C86" s="2">
        <f>952-B86</f>
        <v>3182</v>
      </c>
      <c r="D86" s="2">
        <f>1347-C86-B86</f>
        <v>395</v>
      </c>
      <c r="E86" s="2">
        <f t="shared" si="62"/>
        <v>-12045</v>
      </c>
      <c r="F86" s="2">
        <v>4795</v>
      </c>
      <c r="G86" s="2">
        <f>10821-F86</f>
        <v>6026</v>
      </c>
      <c r="H86" s="2">
        <f>15146-G86-F86</f>
        <v>4325</v>
      </c>
      <c r="J86" s="1" t="s">
        <v>2</v>
      </c>
      <c r="K86" s="2">
        <v>-481</v>
      </c>
      <c r="L86" s="2">
        <v>14073</v>
      </c>
      <c r="M86" s="2">
        <v>-10698</v>
      </c>
      <c r="N86" s="2">
        <f t="shared" si="61"/>
        <v>15146</v>
      </c>
    </row>
    <row r="87" spans="1:14" x14ac:dyDescent="0.35">
      <c r="A87" t="s">
        <v>69</v>
      </c>
      <c r="B87" s="2">
        <v>125113</v>
      </c>
      <c r="C87" s="2">
        <f>207867-B87</f>
        <v>82754</v>
      </c>
      <c r="D87" s="2">
        <f>406263-C87-B87</f>
        <v>198396</v>
      </c>
      <c r="E87" s="2">
        <f t="shared" si="62"/>
        <v>62705</v>
      </c>
      <c r="F87" s="2">
        <v>57725</v>
      </c>
      <c r="G87" s="2">
        <f>15284-F87</f>
        <v>-42441</v>
      </c>
      <c r="H87" s="2">
        <f>3498-G87-F87</f>
        <v>-11786</v>
      </c>
      <c r="J87" s="1" t="s">
        <v>2</v>
      </c>
      <c r="K87" s="2">
        <v>-184002</v>
      </c>
      <c r="L87" s="2">
        <v>-391403</v>
      </c>
      <c r="M87" s="2">
        <v>468968</v>
      </c>
      <c r="N87" s="2">
        <f t="shared" si="61"/>
        <v>3498</v>
      </c>
    </row>
    <row r="88" spans="1:14" x14ac:dyDescent="0.35">
      <c r="A88" t="s">
        <v>70</v>
      </c>
      <c r="B88" s="2">
        <v>178010</v>
      </c>
      <c r="C88" s="2">
        <f>734855-B88</f>
        <v>556845</v>
      </c>
      <c r="D88" s="2">
        <f>748118-C88-B88</f>
        <v>13263</v>
      </c>
      <c r="E88" s="2">
        <f t="shared" si="62"/>
        <v>-175883</v>
      </c>
      <c r="F88" s="2">
        <v>169083</v>
      </c>
      <c r="G88" s="2">
        <f>477723-F88</f>
        <v>308640</v>
      </c>
      <c r="H88" s="2">
        <f>278947-G88-F88</f>
        <v>-198776</v>
      </c>
      <c r="J88" s="1" t="s">
        <v>2</v>
      </c>
      <c r="K88" s="2">
        <v>-528073</v>
      </c>
      <c r="L88" s="2">
        <v>56859</v>
      </c>
      <c r="M88" s="2">
        <v>572235</v>
      </c>
      <c r="N88" s="2">
        <f t="shared" si="61"/>
        <v>278947</v>
      </c>
    </row>
    <row r="89" spans="1:14" x14ac:dyDescent="0.35">
      <c r="A89" t="s">
        <v>71</v>
      </c>
      <c r="B89" s="2">
        <v>83148</v>
      </c>
      <c r="C89" s="2">
        <f>102753-B89</f>
        <v>19605</v>
      </c>
      <c r="D89" s="2">
        <f>99479-C89-B89</f>
        <v>-3274</v>
      </c>
      <c r="E89" s="2">
        <f t="shared" si="62"/>
        <v>12027</v>
      </c>
      <c r="F89" s="2">
        <v>-28498</v>
      </c>
      <c r="G89" s="2">
        <f>36010-F89</f>
        <v>64508</v>
      </c>
      <c r="H89" s="2">
        <f>49327-G89-F89</f>
        <v>13317</v>
      </c>
      <c r="J89" s="1" t="s">
        <v>2</v>
      </c>
      <c r="K89" s="2">
        <v>-107188</v>
      </c>
      <c r="L89" s="2">
        <v>65399</v>
      </c>
      <c r="M89" s="2">
        <v>111506</v>
      </c>
      <c r="N89" s="2">
        <f t="shared" si="61"/>
        <v>49327</v>
      </c>
    </row>
    <row r="90" spans="1:14" x14ac:dyDescent="0.35">
      <c r="A90" t="s">
        <v>72</v>
      </c>
      <c r="B90" s="2">
        <v>-17543</v>
      </c>
      <c r="C90" s="2">
        <f>-1247-B90</f>
        <v>16296</v>
      </c>
      <c r="D90" s="2">
        <f>2048-C90-B90</f>
        <v>3295</v>
      </c>
      <c r="E90" s="2">
        <f t="shared" si="62"/>
        <v>4481</v>
      </c>
      <c r="F90" s="2">
        <v>1923</v>
      </c>
      <c r="G90" s="2">
        <f>-50587-F90</f>
        <v>-52510</v>
      </c>
      <c r="H90" s="2">
        <f>-59376-G90-F90</f>
        <v>-8789</v>
      </c>
      <c r="J90" s="1" t="s">
        <v>2</v>
      </c>
      <c r="K90" s="2">
        <v>-116403</v>
      </c>
      <c r="L90" s="2">
        <v>10936</v>
      </c>
      <c r="M90" s="2">
        <v>6529</v>
      </c>
      <c r="N90" s="2">
        <f t="shared" si="61"/>
        <v>-59376</v>
      </c>
    </row>
    <row r="91" spans="1:14" x14ac:dyDescent="0.35">
      <c r="A91" t="s">
        <v>73</v>
      </c>
      <c r="B91" s="2">
        <v>-760292</v>
      </c>
      <c r="C91" s="2">
        <f>-1011086-B91</f>
        <v>-250794</v>
      </c>
      <c r="D91" s="2">
        <f>-796216-C91-B91</f>
        <v>214870</v>
      </c>
      <c r="E91" s="2">
        <f t="shared" si="62"/>
        <v>232498</v>
      </c>
      <c r="F91" s="2">
        <v>-488269</v>
      </c>
      <c r="G91" s="2">
        <f>-550797-F91</f>
        <v>-62528</v>
      </c>
      <c r="H91" s="2">
        <f>-433069-G91-F91</f>
        <v>117728</v>
      </c>
      <c r="J91" s="1" t="s">
        <v>2</v>
      </c>
      <c r="K91" s="2">
        <v>667821</v>
      </c>
      <c r="L91" s="2">
        <v>230293</v>
      </c>
      <c r="M91" s="2">
        <v>-563718</v>
      </c>
      <c r="N91" s="2">
        <f t="shared" si="61"/>
        <v>-433069</v>
      </c>
    </row>
    <row r="92" spans="1:14" s="1" customFormat="1" x14ac:dyDescent="0.35">
      <c r="A92" s="1" t="s">
        <v>67</v>
      </c>
      <c r="B92" s="3">
        <f>+SUM(B77:B91)</f>
        <v>-362535</v>
      </c>
      <c r="C92" s="3">
        <f>+SUM(C77:C91)</f>
        <v>569939</v>
      </c>
      <c r="D92" s="3">
        <f>+SUM(D77:D91)</f>
        <v>488683</v>
      </c>
      <c r="E92" s="3">
        <f>+SUM(E77:E91)</f>
        <v>250663</v>
      </c>
      <c r="F92" s="3">
        <f>+SUM(F77:F91)</f>
        <v>-239627</v>
      </c>
      <c r="G92" s="3">
        <f>+SUM(G77:G91)</f>
        <v>304434</v>
      </c>
      <c r="H92" s="3">
        <f>+SUM(H77:H91)</f>
        <v>-2112</v>
      </c>
      <c r="I92" s="3">
        <f>+SUM(I77:I91)</f>
        <v>0</v>
      </c>
      <c r="J92" s="1" t="s">
        <v>2</v>
      </c>
      <c r="K92" s="3">
        <f t="shared" ref="K92:L92" si="63">+SUM(K77:K91)</f>
        <v>-51050</v>
      </c>
      <c r="L92" s="3">
        <f t="shared" si="63"/>
        <v>287117</v>
      </c>
      <c r="M92" s="3">
        <f>+SUM(M77:M91)</f>
        <v>946750</v>
      </c>
      <c r="N92" s="3">
        <f>+SUM(N77:N91)</f>
        <v>62695</v>
      </c>
    </row>
    <row r="93" spans="1:14" s="1" customFormat="1" x14ac:dyDescent="0.35">
      <c r="B93" s="3"/>
      <c r="C93" s="3"/>
      <c r="D93" s="3"/>
      <c r="E93" s="3"/>
      <c r="F93" s="3"/>
      <c r="G93" s="3"/>
      <c r="H93" s="3"/>
      <c r="I93" s="3"/>
      <c r="J93" s="1" t="s">
        <v>2</v>
      </c>
      <c r="K93" s="3"/>
      <c r="L93" s="3"/>
      <c r="M93" s="3"/>
      <c r="N93" s="3"/>
    </row>
    <row r="94" spans="1:14" s="10" customFormat="1" x14ac:dyDescent="0.35">
      <c r="A94" s="10" t="s">
        <v>133</v>
      </c>
      <c r="B94" s="12"/>
      <c r="C94" s="12"/>
      <c r="D94" s="12"/>
      <c r="E94" s="12"/>
      <c r="F94" s="12"/>
      <c r="G94" s="12"/>
      <c r="H94" s="12"/>
      <c r="I94" s="12"/>
      <c r="J94" s="1" t="s">
        <v>2</v>
      </c>
      <c r="K94" s="12">
        <v>287117</v>
      </c>
      <c r="L94" s="12">
        <v>287117</v>
      </c>
      <c r="M94" s="12">
        <v>946750</v>
      </c>
      <c r="N94" s="12"/>
    </row>
    <row r="95" spans="1:14" s="10" customFormat="1" x14ac:dyDescent="0.35">
      <c r="A95" s="10" t="s">
        <v>134</v>
      </c>
      <c r="B95" s="12"/>
      <c r="C95" s="12"/>
      <c r="D95" s="12"/>
      <c r="E95" s="12"/>
      <c r="F95" s="12"/>
      <c r="G95" s="12"/>
      <c r="H95" s="12"/>
      <c r="I95" s="12"/>
      <c r="J95" s="1" t="s">
        <v>2</v>
      </c>
      <c r="K95" s="12">
        <v>-52902</v>
      </c>
      <c r="L95" s="12">
        <v>-52902</v>
      </c>
      <c r="M95" s="12">
        <v>-153879</v>
      </c>
      <c r="N95" s="12"/>
    </row>
    <row r="96" spans="1:14" s="10" customFormat="1" x14ac:dyDescent="0.35">
      <c r="A96" s="10" t="s">
        <v>135</v>
      </c>
      <c r="B96" s="12"/>
      <c r="C96" s="12"/>
      <c r="D96" s="12"/>
      <c r="E96" s="12"/>
      <c r="F96" s="12"/>
      <c r="G96" s="12"/>
      <c r="H96" s="12"/>
      <c r="I96" s="12"/>
      <c r="J96" s="1" t="s">
        <v>2</v>
      </c>
      <c r="K96" s="12">
        <v>-334730</v>
      </c>
      <c r="L96" s="12">
        <v>-334730</v>
      </c>
      <c r="M96" s="12">
        <v>-263993</v>
      </c>
      <c r="N96" s="12"/>
    </row>
    <row r="97" spans="1:14" x14ac:dyDescent="0.35">
      <c r="J97" s="1" t="s">
        <v>2</v>
      </c>
      <c r="M97" s="2"/>
      <c r="N97" s="2"/>
    </row>
    <row r="98" spans="1:14" s="1" customFormat="1" x14ac:dyDescent="0.35">
      <c r="B98" s="1" t="str">
        <f>B3</f>
        <v>Q123</v>
      </c>
      <c r="C98" s="1" t="str">
        <f>C3</f>
        <v>Q223</v>
      </c>
      <c r="D98" s="1" t="str">
        <f>D3</f>
        <v>Q323</v>
      </c>
      <c r="E98" s="1" t="str">
        <f>E3</f>
        <v>Q423</v>
      </c>
      <c r="F98" s="1" t="str">
        <f>F3</f>
        <v>Q124</v>
      </c>
      <c r="G98" s="1" t="str">
        <f>G3</f>
        <v>Q224</v>
      </c>
      <c r="H98" s="1" t="str">
        <f>H3</f>
        <v>Q324</v>
      </c>
      <c r="I98" s="1" t="str">
        <f>I3</f>
        <v>Q424</v>
      </c>
      <c r="J98" s="1" t="s">
        <v>2</v>
      </c>
      <c r="K98" s="1">
        <f>K3</f>
        <v>2021</v>
      </c>
      <c r="L98" s="1">
        <f>L3</f>
        <v>2022</v>
      </c>
      <c r="M98" s="1">
        <f>M3</f>
        <v>2023</v>
      </c>
      <c r="N98" s="1">
        <f>N3</f>
        <v>2024</v>
      </c>
    </row>
    <row r="99" spans="1:14" s="1" customFormat="1" x14ac:dyDescent="0.35">
      <c r="A99" s="1" t="s">
        <v>30</v>
      </c>
      <c r="J99" s="1" t="s">
        <v>2</v>
      </c>
    </row>
    <row r="100" spans="1:14" x14ac:dyDescent="0.35">
      <c r="A100" t="s">
        <v>29</v>
      </c>
      <c r="B100" s="2">
        <v>70853</v>
      </c>
      <c r="C100" s="2">
        <v>96293</v>
      </c>
      <c r="D100" s="2">
        <v>418055</v>
      </c>
      <c r="E100" s="2">
        <v>643854</v>
      </c>
      <c r="F100" s="2">
        <v>283902</v>
      </c>
      <c r="G100" s="2">
        <v>530386</v>
      </c>
      <c r="H100" s="2">
        <v>454065</v>
      </c>
      <c r="I100" s="2"/>
      <c r="J100" s="1" t="s">
        <v>2</v>
      </c>
      <c r="K100" s="2"/>
      <c r="L100" s="2">
        <v>115269</v>
      </c>
      <c r="M100" s="2">
        <v>643854</v>
      </c>
      <c r="N100" s="2"/>
    </row>
    <row r="101" spans="1:14" x14ac:dyDescent="0.35">
      <c r="A101" t="s">
        <v>40</v>
      </c>
      <c r="B101" s="2">
        <v>1125071</v>
      </c>
      <c r="C101" s="2">
        <v>1030271</v>
      </c>
      <c r="D101" s="2">
        <v>816686</v>
      </c>
      <c r="E101" s="2">
        <v>762549</v>
      </c>
      <c r="F101" s="2">
        <v>701706</v>
      </c>
      <c r="G101" s="2">
        <v>743550</v>
      </c>
      <c r="H101" s="2">
        <v>756618</v>
      </c>
      <c r="I101" s="2"/>
      <c r="J101" s="1" t="s">
        <v>2</v>
      </c>
      <c r="K101" s="2"/>
      <c r="L101" s="2">
        <v>1248878</v>
      </c>
      <c r="M101" s="2">
        <v>762549</v>
      </c>
      <c r="N101" s="2"/>
    </row>
    <row r="102" spans="1:14" x14ac:dyDescent="0.35">
      <c r="A102" t="s">
        <v>41</v>
      </c>
      <c r="B102" s="2">
        <v>1551101</v>
      </c>
      <c r="C102" s="2">
        <v>990789</v>
      </c>
      <c r="D102" s="2">
        <v>985292</v>
      </c>
      <c r="E102" s="2">
        <v>1166700</v>
      </c>
      <c r="F102" s="2">
        <v>994543</v>
      </c>
      <c r="G102" s="2">
        <v>686540</v>
      </c>
      <c r="H102" s="2">
        <v>884339</v>
      </c>
      <c r="I102" s="2"/>
      <c r="J102" s="1" t="s">
        <v>2</v>
      </c>
      <c r="K102" s="2"/>
      <c r="L102" s="2">
        <v>1731725</v>
      </c>
      <c r="M102" s="2">
        <v>1166700</v>
      </c>
      <c r="N102" s="2"/>
    </row>
    <row r="103" spans="1:14" x14ac:dyDescent="0.35">
      <c r="A103" t="s">
        <v>51</v>
      </c>
      <c r="B103" s="2">
        <v>222036</v>
      </c>
      <c r="C103" s="2">
        <v>347684</v>
      </c>
      <c r="D103" s="2">
        <v>239595</v>
      </c>
      <c r="E103" s="2">
        <v>178083</v>
      </c>
      <c r="F103" s="2">
        <v>178623</v>
      </c>
      <c r="G103" s="2">
        <v>180189</v>
      </c>
      <c r="H103" s="2">
        <v>122326</v>
      </c>
      <c r="I103" s="2"/>
      <c r="J103" s="1" t="s">
        <v>2</v>
      </c>
      <c r="K103" s="2"/>
      <c r="L103" s="2">
        <v>295588</v>
      </c>
      <c r="M103" s="2">
        <v>178083</v>
      </c>
      <c r="N103" s="2"/>
    </row>
    <row r="104" spans="1:14" x14ac:dyDescent="0.35">
      <c r="A104" t="s">
        <v>19</v>
      </c>
      <c r="B104" s="2">
        <v>81407</v>
      </c>
      <c r="C104" s="2">
        <v>72228</v>
      </c>
      <c r="D104" s="2">
        <v>67471</v>
      </c>
      <c r="E104" s="2">
        <v>55777</v>
      </c>
      <c r="F104" s="2">
        <v>55134</v>
      </c>
      <c r="G104" s="2">
        <v>108634</v>
      </c>
      <c r="H104" s="2">
        <v>113726</v>
      </c>
      <c r="I104" s="2"/>
      <c r="J104" s="1" t="s">
        <v>2</v>
      </c>
      <c r="K104" s="2"/>
      <c r="L104" s="2">
        <v>74493</v>
      </c>
      <c r="M104" s="2">
        <v>55777</v>
      </c>
      <c r="N104" s="2"/>
    </row>
    <row r="105" spans="1:14" s="1" customFormat="1" x14ac:dyDescent="0.35">
      <c r="A105" s="1" t="s">
        <v>31</v>
      </c>
      <c r="B105" s="3">
        <f>+SUM(B100:B104)</f>
        <v>3050468</v>
      </c>
      <c r="C105" s="3">
        <f t="shared" ref="C105:N105" si="64">+SUM(C100:C104)</f>
        <v>2537265</v>
      </c>
      <c r="D105" s="3">
        <f t="shared" si="64"/>
        <v>2527099</v>
      </c>
      <c r="E105" s="3">
        <f t="shared" si="64"/>
        <v>2806963</v>
      </c>
      <c r="F105" s="3">
        <f t="shared" si="64"/>
        <v>2213908</v>
      </c>
      <c r="G105" s="3">
        <f t="shared" si="64"/>
        <v>2249299</v>
      </c>
      <c r="H105" s="3">
        <f t="shared" si="64"/>
        <v>2331074</v>
      </c>
      <c r="I105" s="3">
        <f t="shared" si="64"/>
        <v>0</v>
      </c>
      <c r="J105" s="1" t="s">
        <v>2</v>
      </c>
      <c r="K105" s="3">
        <f t="shared" ref="K105:M105" si="65">+SUM(K100:K104)</f>
        <v>0</v>
      </c>
      <c r="L105" s="3">
        <f t="shared" si="65"/>
        <v>3465953</v>
      </c>
      <c r="M105" s="3">
        <f t="shared" si="65"/>
        <v>2806963</v>
      </c>
      <c r="N105" s="3">
        <f t="shared" si="64"/>
        <v>0</v>
      </c>
    </row>
    <row r="106" spans="1:14" x14ac:dyDescent="0.35">
      <c r="A106" t="s">
        <v>42</v>
      </c>
      <c r="B106" s="2">
        <v>129342</v>
      </c>
      <c r="C106" s="2"/>
      <c r="D106" s="2"/>
      <c r="E106" s="2">
        <v>127856</v>
      </c>
      <c r="F106" s="2">
        <v>127856</v>
      </c>
      <c r="I106" s="2"/>
      <c r="J106" s="1" t="s">
        <v>2</v>
      </c>
      <c r="K106" s="2"/>
      <c r="L106" s="2">
        <v>129342</v>
      </c>
      <c r="M106" s="2">
        <v>127856</v>
      </c>
      <c r="N106" s="2"/>
    </row>
    <row r="107" spans="1:14" x14ac:dyDescent="0.35">
      <c r="A107" t="s">
        <v>43</v>
      </c>
      <c r="B107" s="2">
        <v>95134</v>
      </c>
      <c r="C107" s="2"/>
      <c r="D107" s="2"/>
      <c r="E107" s="2">
        <v>85579</v>
      </c>
      <c r="F107" s="2">
        <v>80527</v>
      </c>
      <c r="G107" s="2"/>
      <c r="H107" s="2"/>
      <c r="I107" s="2"/>
      <c r="J107" s="1" t="s">
        <v>2</v>
      </c>
      <c r="K107" s="2"/>
      <c r="L107" s="2">
        <v>100907</v>
      </c>
      <c r="M107" s="2">
        <v>85579</v>
      </c>
      <c r="N107" s="2"/>
    </row>
    <row r="108" spans="1:14" x14ac:dyDescent="0.35">
      <c r="A108" t="s">
        <v>44</v>
      </c>
      <c r="B108" s="2">
        <v>59209</v>
      </c>
      <c r="C108" s="2"/>
      <c r="D108" s="2"/>
      <c r="E108" s="2">
        <v>54234</v>
      </c>
      <c r="F108" s="2">
        <v>52541</v>
      </c>
      <c r="G108" s="2"/>
      <c r="H108" s="2"/>
      <c r="I108" s="2"/>
      <c r="J108" s="1" t="s">
        <v>2</v>
      </c>
      <c r="K108" s="2"/>
      <c r="L108" s="2">
        <v>61890</v>
      </c>
      <c r="M108" s="2">
        <v>54234</v>
      </c>
      <c r="N108" s="2"/>
    </row>
    <row r="109" spans="1:14" x14ac:dyDescent="0.35">
      <c r="A109" t="s">
        <v>19</v>
      </c>
      <c r="B109" s="2">
        <v>89174</v>
      </c>
      <c r="C109" s="2">
        <v>369340</v>
      </c>
      <c r="D109" s="2">
        <v>380815</v>
      </c>
      <c r="E109" s="2">
        <v>87010</v>
      </c>
      <c r="F109" s="2">
        <v>97128</v>
      </c>
      <c r="G109" s="2">
        <v>356378</v>
      </c>
      <c r="H109" s="2">
        <v>347274</v>
      </c>
      <c r="I109" s="2"/>
      <c r="J109" s="1" t="s">
        <v>2</v>
      </c>
      <c r="K109" s="2"/>
      <c r="L109" s="2">
        <v>87175</v>
      </c>
      <c r="M109" s="2">
        <v>87010</v>
      </c>
      <c r="N109" s="2"/>
    </row>
    <row r="110" spans="1:14" x14ac:dyDescent="0.35">
      <c r="A110" t="s">
        <v>45</v>
      </c>
      <c r="B110" s="2">
        <v>678717</v>
      </c>
      <c r="C110" s="2">
        <v>663441</v>
      </c>
      <c r="D110" s="2">
        <v>680188</v>
      </c>
      <c r="E110" s="2">
        <v>693365</v>
      </c>
      <c r="F110" s="2">
        <v>689113</v>
      </c>
      <c r="G110" s="2">
        <v>694136</v>
      </c>
      <c r="H110" s="2">
        <v>709951</v>
      </c>
      <c r="I110" s="2"/>
      <c r="J110" s="1" t="s">
        <v>2</v>
      </c>
      <c r="K110" s="2"/>
      <c r="L110" s="2">
        <v>762729</v>
      </c>
      <c r="M110" s="2">
        <v>693365</v>
      </c>
      <c r="N110" s="2"/>
    </row>
    <row r="111" spans="1:14" s="1" customFormat="1" x14ac:dyDescent="0.35">
      <c r="A111" s="1" t="s">
        <v>32</v>
      </c>
      <c r="B111" s="3">
        <f>+SUM(B106:B110)</f>
        <v>1051576</v>
      </c>
      <c r="C111" s="3">
        <f t="shared" ref="C111:N111" si="66">+SUM(C106:C110)</f>
        <v>1032781</v>
      </c>
      <c r="D111" s="3">
        <f t="shared" si="66"/>
        <v>1061003</v>
      </c>
      <c r="E111" s="3">
        <f t="shared" si="66"/>
        <v>1048044</v>
      </c>
      <c r="F111" s="3">
        <f t="shared" si="66"/>
        <v>1047165</v>
      </c>
      <c r="G111" s="3">
        <f>+SUM(G107:G110)</f>
        <v>1050514</v>
      </c>
      <c r="H111" s="3">
        <f>+SUM(H107:H110)</f>
        <v>1057225</v>
      </c>
      <c r="I111" s="3">
        <f t="shared" si="66"/>
        <v>0</v>
      </c>
      <c r="J111" s="1" t="s">
        <v>2</v>
      </c>
      <c r="K111" s="3">
        <f t="shared" ref="K111:M111" si="67">+SUM(K106:K110)</f>
        <v>0</v>
      </c>
      <c r="L111" s="3">
        <f t="shared" si="67"/>
        <v>1142043</v>
      </c>
      <c r="M111" s="3">
        <f t="shared" si="67"/>
        <v>1048044</v>
      </c>
      <c r="N111" s="3">
        <f t="shared" si="66"/>
        <v>0</v>
      </c>
    </row>
    <row r="112" spans="1:14" s="1" customFormat="1" x14ac:dyDescent="0.35">
      <c r="A112" s="1" t="s">
        <v>46</v>
      </c>
      <c r="B112" s="3">
        <f>B111+B105</f>
        <v>4102044</v>
      </c>
      <c r="C112" s="3">
        <f t="shared" ref="C112:N112" si="68">C111+C105</f>
        <v>3570046</v>
      </c>
      <c r="D112" s="3">
        <f t="shared" si="68"/>
        <v>3588102</v>
      </c>
      <c r="E112" s="3">
        <f t="shared" si="68"/>
        <v>3855007</v>
      </c>
      <c r="F112" s="3">
        <f t="shared" si="68"/>
        <v>3261073</v>
      </c>
      <c r="G112" s="3">
        <f t="shared" si="68"/>
        <v>3299813</v>
      </c>
      <c r="H112" s="3">
        <f t="shared" si="68"/>
        <v>3388299</v>
      </c>
      <c r="I112" s="3">
        <f t="shared" si="68"/>
        <v>0</v>
      </c>
      <c r="J112" s="1" t="s">
        <v>2</v>
      </c>
      <c r="K112" s="3">
        <f t="shared" ref="K112:M112" si="69">K111+K105</f>
        <v>0</v>
      </c>
      <c r="L112" s="3">
        <f t="shared" si="69"/>
        <v>4607996</v>
      </c>
      <c r="M112" s="3">
        <f t="shared" si="69"/>
        <v>3855007</v>
      </c>
      <c r="N112" s="3">
        <f t="shared" si="68"/>
        <v>0</v>
      </c>
    </row>
    <row r="113" spans="1:14" s="1" customFormat="1" x14ac:dyDescent="0.35">
      <c r="A113" s="1" t="s">
        <v>34</v>
      </c>
      <c r="B113" s="3"/>
      <c r="C113" s="3"/>
      <c r="D113" s="3"/>
      <c r="E113" s="3"/>
      <c r="F113" s="3"/>
      <c r="G113" s="3"/>
      <c r="H113" s="3"/>
      <c r="I113" s="3"/>
      <c r="J113" s="1" t="s">
        <v>2</v>
      </c>
      <c r="K113" s="3"/>
      <c r="L113" s="3"/>
      <c r="M113" s="3"/>
      <c r="N113" s="3"/>
    </row>
    <row r="114" spans="1:14" x14ac:dyDescent="0.35">
      <c r="A114" t="s">
        <v>47</v>
      </c>
      <c r="B114" s="2">
        <v>638210</v>
      </c>
      <c r="C114" s="2">
        <v>102752</v>
      </c>
      <c r="D114" s="2">
        <v>14138</v>
      </c>
      <c r="E114" s="2">
        <v>43106</v>
      </c>
      <c r="F114" s="2">
        <v>10148</v>
      </c>
      <c r="G114" s="2">
        <v>4021</v>
      </c>
      <c r="H114" s="2">
        <v>14716</v>
      </c>
      <c r="J114" s="1" t="s">
        <v>2</v>
      </c>
      <c r="K114" s="2"/>
      <c r="L114" s="2">
        <v>272575</v>
      </c>
      <c r="M114" s="2">
        <v>43106</v>
      </c>
    </row>
    <row r="115" spans="1:14" x14ac:dyDescent="0.35">
      <c r="A115" t="s">
        <v>48</v>
      </c>
      <c r="B115" s="2">
        <v>768872</v>
      </c>
      <c r="C115" s="2">
        <v>641376</v>
      </c>
      <c r="D115" s="2">
        <v>822153</v>
      </c>
      <c r="E115" s="2">
        <v>1055473</v>
      </c>
      <c r="F115" s="2">
        <v>625836</v>
      </c>
      <c r="G115" s="2">
        <v>607083</v>
      </c>
      <c r="H115" s="2">
        <v>774347</v>
      </c>
      <c r="J115" s="1" t="s">
        <v>2</v>
      </c>
      <c r="K115" s="2"/>
      <c r="L115" s="2">
        <v>1423633</v>
      </c>
      <c r="M115" s="2">
        <v>1055473</v>
      </c>
    </row>
    <row r="116" spans="1:14" x14ac:dyDescent="0.35">
      <c r="A116" t="s">
        <v>49</v>
      </c>
      <c r="B116" s="2">
        <v>309546</v>
      </c>
      <c r="C116" s="2">
        <v>189947</v>
      </c>
      <c r="D116" s="2">
        <v>211867</v>
      </c>
      <c r="E116" s="2">
        <v>187054</v>
      </c>
      <c r="F116" s="2">
        <v>174651</v>
      </c>
      <c r="G116" s="2">
        <v>124424</v>
      </c>
      <c r="H116" s="2">
        <v>67899</v>
      </c>
      <c r="J116" s="1" t="s">
        <v>2</v>
      </c>
      <c r="K116" s="2"/>
      <c r="L116" s="2">
        <v>370524</v>
      </c>
      <c r="M116" s="2">
        <v>187054</v>
      </c>
    </row>
    <row r="117" spans="1:14" x14ac:dyDescent="0.35">
      <c r="A117" t="s">
        <v>50</v>
      </c>
      <c r="B117" s="2">
        <v>107983</v>
      </c>
      <c r="C117" s="2">
        <v>251101</v>
      </c>
      <c r="D117" s="2">
        <v>142511</v>
      </c>
      <c r="E117" s="2">
        <v>90849</v>
      </c>
      <c r="F117" s="2">
        <v>67079</v>
      </c>
      <c r="G117" s="2">
        <v>128847</v>
      </c>
      <c r="H117" s="2">
        <v>85640</v>
      </c>
      <c r="J117" s="1" t="s">
        <v>2</v>
      </c>
      <c r="K117" s="2"/>
      <c r="L117" s="2">
        <v>98519</v>
      </c>
      <c r="M117" s="2">
        <v>90849</v>
      </c>
    </row>
    <row r="118" spans="1:14" x14ac:dyDescent="0.35">
      <c r="A118" t="s">
        <v>52</v>
      </c>
      <c r="B118" s="2">
        <v>85567</v>
      </c>
      <c r="C118" s="2">
        <v>27511</v>
      </c>
      <c r="D118" s="2">
        <v>27535</v>
      </c>
      <c r="E118" s="2">
        <v>27561</v>
      </c>
      <c r="F118" s="2">
        <v>27617</v>
      </c>
      <c r="G118" s="2">
        <v>27671</v>
      </c>
      <c r="H118" s="2">
        <v>27727</v>
      </c>
      <c r="J118" s="1" t="s">
        <v>2</v>
      </c>
      <c r="K118" s="2"/>
      <c r="L118" s="2">
        <v>110155</v>
      </c>
      <c r="M118" s="2">
        <v>27561</v>
      </c>
    </row>
    <row r="119" spans="1:14" x14ac:dyDescent="0.35">
      <c r="A119" t="s">
        <v>53</v>
      </c>
      <c r="B119" s="2">
        <v>202133</v>
      </c>
      <c r="C119" s="2">
        <v>180552</v>
      </c>
      <c r="D119" s="2">
        <v>189430</v>
      </c>
      <c r="E119" s="2">
        <v>232288</v>
      </c>
      <c r="F119" s="2">
        <v>177953</v>
      </c>
      <c r="G119" s="2">
        <v>192683</v>
      </c>
      <c r="H119" s="2">
        <v>207543</v>
      </c>
      <c r="J119" s="1" t="s">
        <v>2</v>
      </c>
      <c r="K119" s="2"/>
      <c r="L119" s="2">
        <v>245916</v>
      </c>
      <c r="M119" s="2">
        <v>232288</v>
      </c>
    </row>
    <row r="120" spans="1:14" s="1" customFormat="1" x14ac:dyDescent="0.35">
      <c r="A120" s="1" t="s">
        <v>33</v>
      </c>
      <c r="B120" s="3">
        <f>+SUM(B114:B119)</f>
        <v>2112311</v>
      </c>
      <c r="C120" s="3">
        <f t="shared" ref="C120:N120" si="70">+SUM(C114:C119)</f>
        <v>1393239</v>
      </c>
      <c r="D120" s="3">
        <f t="shared" si="70"/>
        <v>1407634</v>
      </c>
      <c r="E120" s="3">
        <f t="shared" si="70"/>
        <v>1636331</v>
      </c>
      <c r="F120" s="3">
        <f t="shared" si="70"/>
        <v>1083284</v>
      </c>
      <c r="G120" s="3">
        <f t="shared" si="70"/>
        <v>1084729</v>
      </c>
      <c r="H120" s="3">
        <f t="shared" si="70"/>
        <v>1177872</v>
      </c>
      <c r="I120" s="3">
        <f t="shared" si="70"/>
        <v>0</v>
      </c>
      <c r="J120" s="1" t="s">
        <v>2</v>
      </c>
      <c r="K120" s="3">
        <f t="shared" ref="K120:M120" si="71">+SUM(K114:K119)</f>
        <v>0</v>
      </c>
      <c r="L120" s="3">
        <f t="shared" si="71"/>
        <v>2521322</v>
      </c>
      <c r="M120" s="3">
        <f t="shared" si="71"/>
        <v>1636331</v>
      </c>
      <c r="N120" s="3">
        <f t="shared" si="70"/>
        <v>0</v>
      </c>
    </row>
    <row r="121" spans="1:14" x14ac:dyDescent="0.35">
      <c r="A121" t="s">
        <v>54</v>
      </c>
      <c r="B121" s="2">
        <v>35727</v>
      </c>
      <c r="C121" s="2"/>
      <c r="D121" s="2"/>
      <c r="E121" s="2">
        <v>31659</v>
      </c>
      <c r="F121" s="2">
        <v>31223</v>
      </c>
      <c r="G121" s="2"/>
      <c r="J121" s="1" t="s">
        <v>2</v>
      </c>
      <c r="K121" s="2"/>
      <c r="L121" s="2">
        <v>37147</v>
      </c>
      <c r="M121" s="2">
        <v>31659</v>
      </c>
    </row>
    <row r="122" spans="1:14" x14ac:dyDescent="0.35">
      <c r="A122" t="s">
        <v>55</v>
      </c>
      <c r="B122" s="2">
        <v>486892</v>
      </c>
      <c r="C122" s="2">
        <v>576489</v>
      </c>
      <c r="D122" s="2">
        <v>569730</v>
      </c>
      <c r="E122" s="2">
        <v>562960</v>
      </c>
      <c r="F122" s="2">
        <v>556174</v>
      </c>
      <c r="G122" s="2">
        <v>549378</v>
      </c>
      <c r="H122" s="2">
        <v>542564</v>
      </c>
      <c r="J122" s="1" t="s">
        <v>2</v>
      </c>
      <c r="K122" s="2"/>
      <c r="L122" s="2">
        <v>492518</v>
      </c>
      <c r="M122" s="2">
        <v>562960</v>
      </c>
    </row>
    <row r="123" spans="1:14" x14ac:dyDescent="0.35">
      <c r="A123" t="s">
        <v>56</v>
      </c>
      <c r="B123" s="2">
        <v>54391</v>
      </c>
      <c r="C123" s="2"/>
      <c r="D123" s="2"/>
      <c r="E123" s="2">
        <v>58581</v>
      </c>
      <c r="F123" s="2">
        <v>59149</v>
      </c>
      <c r="G123" s="2"/>
      <c r="H123" s="2"/>
      <c r="J123" s="1" t="s">
        <v>2</v>
      </c>
      <c r="K123" s="2"/>
      <c r="L123" s="2">
        <v>64080</v>
      </c>
      <c r="M123" s="2">
        <v>58581</v>
      </c>
    </row>
    <row r="124" spans="1:14" x14ac:dyDescent="0.35">
      <c r="A124" t="s">
        <v>57</v>
      </c>
      <c r="B124" s="2">
        <v>66311</v>
      </c>
      <c r="C124" s="2">
        <v>161836</v>
      </c>
      <c r="D124" s="2">
        <v>161652</v>
      </c>
      <c r="E124" s="2">
        <v>49089</v>
      </c>
      <c r="F124" s="2">
        <v>55593</v>
      </c>
      <c r="G124" s="2">
        <v>145444</v>
      </c>
      <c r="H124" s="2">
        <v>144855</v>
      </c>
      <c r="J124" s="1" t="s">
        <v>2</v>
      </c>
      <c r="K124" s="2"/>
      <c r="L124" s="2">
        <v>63160</v>
      </c>
      <c r="M124" s="2">
        <v>49089</v>
      </c>
    </row>
    <row r="125" spans="1:14" s="1" customFormat="1" x14ac:dyDescent="0.35">
      <c r="A125" s="1" t="s">
        <v>35</v>
      </c>
      <c r="B125" s="3">
        <f>+SUM(B121:B124)</f>
        <v>643321</v>
      </c>
      <c r="C125" s="3">
        <f t="shared" ref="C125:N125" si="72">+SUM(C121:C124)</f>
        <v>738325</v>
      </c>
      <c r="D125" s="3">
        <f t="shared" si="72"/>
        <v>731382</v>
      </c>
      <c r="E125" s="3">
        <f t="shared" si="72"/>
        <v>702289</v>
      </c>
      <c r="F125" s="3">
        <f t="shared" si="72"/>
        <v>702139</v>
      </c>
      <c r="G125" s="3">
        <f t="shared" si="72"/>
        <v>694822</v>
      </c>
      <c r="H125" s="3">
        <f>+SUM(H121:H124)</f>
        <v>687419</v>
      </c>
      <c r="I125" s="3">
        <f t="shared" si="72"/>
        <v>0</v>
      </c>
      <c r="J125" s="1" t="s">
        <v>2</v>
      </c>
      <c r="K125" s="3">
        <f t="shared" ref="K125:M125" si="73">+SUM(K121:K124)</f>
        <v>0</v>
      </c>
      <c r="L125" s="3">
        <f t="shared" si="73"/>
        <v>656905</v>
      </c>
      <c r="M125" s="3">
        <f t="shared" si="73"/>
        <v>702289</v>
      </c>
      <c r="N125" s="3">
        <f t="shared" si="72"/>
        <v>0</v>
      </c>
    </row>
    <row r="126" spans="1:14" s="1" customFormat="1" x14ac:dyDescent="0.35">
      <c r="A126" s="1" t="s">
        <v>36</v>
      </c>
      <c r="B126" s="3">
        <f>+B125+B120</f>
        <v>2755632</v>
      </c>
      <c r="C126" s="3">
        <f t="shared" ref="C126:N126" si="74">+C125+C120</f>
        <v>2131564</v>
      </c>
      <c r="D126" s="3">
        <f t="shared" si="74"/>
        <v>2139016</v>
      </c>
      <c r="E126" s="3">
        <f t="shared" si="74"/>
        <v>2338620</v>
      </c>
      <c r="F126" s="3">
        <f t="shared" si="74"/>
        <v>1785423</v>
      </c>
      <c r="G126" s="3">
        <f t="shared" si="74"/>
        <v>1779551</v>
      </c>
      <c r="H126" s="3">
        <f t="shared" si="74"/>
        <v>1865291</v>
      </c>
      <c r="I126" s="3">
        <f t="shared" si="74"/>
        <v>0</v>
      </c>
      <c r="J126" s="1" t="s">
        <v>2</v>
      </c>
      <c r="K126" s="3">
        <f t="shared" ref="K126:M126" si="75">+K125+K120</f>
        <v>0</v>
      </c>
      <c r="L126" s="3">
        <f t="shared" si="75"/>
        <v>3178227</v>
      </c>
      <c r="M126" s="3">
        <f t="shared" si="75"/>
        <v>2338620</v>
      </c>
      <c r="N126" s="3">
        <f t="shared" si="74"/>
        <v>0</v>
      </c>
    </row>
    <row r="127" spans="1:14" x14ac:dyDescent="0.35">
      <c r="J127" s="1" t="s">
        <v>2</v>
      </c>
      <c r="K127" s="2"/>
      <c r="L127" s="2"/>
      <c r="M127" s="2"/>
    </row>
    <row r="128" spans="1:14" x14ac:dyDescent="0.35">
      <c r="A128" t="s">
        <v>58</v>
      </c>
      <c r="B128" s="2">
        <v>142</v>
      </c>
      <c r="C128" s="2">
        <v>142</v>
      </c>
      <c r="D128" s="2">
        <v>142</v>
      </c>
      <c r="E128" s="2">
        <v>142</v>
      </c>
      <c r="F128">
        <v>142</v>
      </c>
      <c r="G128" s="2">
        <v>143</v>
      </c>
      <c r="H128" s="2">
        <v>143</v>
      </c>
      <c r="I128" s="2"/>
      <c r="J128" s="1" t="s">
        <v>2</v>
      </c>
      <c r="K128" s="2"/>
      <c r="L128" s="2">
        <v>142</v>
      </c>
      <c r="M128" s="2">
        <v>142</v>
      </c>
      <c r="N128" s="2"/>
    </row>
    <row r="129" spans="1:14" x14ac:dyDescent="0.35">
      <c r="A129" t="s">
        <v>59</v>
      </c>
      <c r="B129" s="2">
        <v>377768</v>
      </c>
      <c r="C129" s="2">
        <v>380376</v>
      </c>
      <c r="D129" s="2">
        <v>383724</v>
      </c>
      <c r="E129" s="2">
        <v>387210</v>
      </c>
      <c r="F129" s="2">
        <v>375155</v>
      </c>
      <c r="G129" s="7"/>
      <c r="H129" s="2">
        <v>382009</v>
      </c>
      <c r="I129" s="2"/>
      <c r="J129" s="1" t="s">
        <v>2</v>
      </c>
      <c r="K129" s="2"/>
      <c r="L129" s="2">
        <v>385248</v>
      </c>
      <c r="M129" s="2">
        <v>387210</v>
      </c>
      <c r="N129" s="2"/>
    </row>
    <row r="130" spans="1:14" x14ac:dyDescent="0.35">
      <c r="A130" t="s">
        <v>60</v>
      </c>
      <c r="B130" s="2">
        <v>-11066</v>
      </c>
      <c r="C130" s="2">
        <v>-10270</v>
      </c>
      <c r="D130" s="2">
        <v>-10266</v>
      </c>
      <c r="E130" s="2">
        <v>-10261</v>
      </c>
      <c r="F130" s="2">
        <v>-631</v>
      </c>
      <c r="G130" s="7"/>
      <c r="H130" s="2">
        <v>-572</v>
      </c>
      <c r="I130" s="2"/>
      <c r="J130" s="1" t="s">
        <v>2</v>
      </c>
      <c r="K130" s="2"/>
      <c r="L130" s="2">
        <v>-15043</v>
      </c>
      <c r="M130" s="2">
        <v>-10261</v>
      </c>
      <c r="N130" s="2"/>
    </row>
    <row r="131" spans="1:14" x14ac:dyDescent="0.35">
      <c r="A131" t="s">
        <v>63</v>
      </c>
      <c r="B131" s="2">
        <v>16267</v>
      </c>
      <c r="C131" s="2">
        <v>25482</v>
      </c>
      <c r="D131" s="2">
        <v>28579</v>
      </c>
      <c r="E131" s="2">
        <v>22865</v>
      </c>
      <c r="F131" s="2">
        <v>23411</v>
      </c>
      <c r="G131" s="7"/>
      <c r="H131" s="2">
        <v>15376</v>
      </c>
      <c r="I131" s="2"/>
      <c r="J131" s="1" t="s">
        <v>2</v>
      </c>
      <c r="K131" s="2"/>
      <c r="L131" s="2">
        <v>20484</v>
      </c>
      <c r="M131" s="2">
        <v>22865</v>
      </c>
      <c r="N131" s="2"/>
    </row>
    <row r="132" spans="1:14" x14ac:dyDescent="0.35">
      <c r="A132" t="s">
        <v>61</v>
      </c>
      <c r="B132" s="2">
        <v>786420</v>
      </c>
      <c r="C132" s="2">
        <v>835256</v>
      </c>
      <c r="D132" s="2">
        <v>838556</v>
      </c>
      <c r="E132" s="2">
        <v>882943</v>
      </c>
      <c r="F132" s="2">
        <v>881911</v>
      </c>
      <c r="G132" s="7"/>
      <c r="H132" s="2">
        <v>932215</v>
      </c>
      <c r="I132" s="2"/>
      <c r="J132" s="1" t="s">
        <v>2</v>
      </c>
      <c r="K132" s="2"/>
      <c r="L132" s="2">
        <v>807770</v>
      </c>
      <c r="M132" s="2">
        <v>882943</v>
      </c>
      <c r="N132" s="2"/>
    </row>
    <row r="133" spans="1:14" s="1" customFormat="1" x14ac:dyDescent="0.35">
      <c r="A133" s="1" t="s">
        <v>37</v>
      </c>
      <c r="B133" s="3">
        <f>+SUM(B128:B132)</f>
        <v>1169531</v>
      </c>
      <c r="C133" s="3">
        <f t="shared" ref="C133:N133" si="76">+SUM(C128:C132)</f>
        <v>1230986</v>
      </c>
      <c r="D133" s="3">
        <f t="shared" si="76"/>
        <v>1240735</v>
      </c>
      <c r="E133" s="3">
        <f t="shared" si="76"/>
        <v>1282899</v>
      </c>
      <c r="F133" s="3">
        <f>+SUM(F128:F132)</f>
        <v>1279988</v>
      </c>
      <c r="G133" s="8">
        <f t="shared" si="76"/>
        <v>143</v>
      </c>
      <c r="H133" s="3">
        <f t="shared" si="76"/>
        <v>1329171</v>
      </c>
      <c r="I133" s="3">
        <f t="shared" si="76"/>
        <v>0</v>
      </c>
      <c r="J133" s="1" t="s">
        <v>2</v>
      </c>
      <c r="K133" s="3">
        <f t="shared" ref="K133:M133" si="77">+SUM(K128:K132)</f>
        <v>0</v>
      </c>
      <c r="L133" s="3">
        <f t="shared" si="77"/>
        <v>1198601</v>
      </c>
      <c r="M133" s="3">
        <f t="shared" si="77"/>
        <v>1282899</v>
      </c>
      <c r="N133" s="3">
        <f t="shared" si="76"/>
        <v>0</v>
      </c>
    </row>
    <row r="134" spans="1:14" x14ac:dyDescent="0.35">
      <c r="A134" t="s">
        <v>62</v>
      </c>
      <c r="B134" s="2">
        <v>176821</v>
      </c>
      <c r="C134" s="2">
        <v>207496</v>
      </c>
      <c r="D134" s="2">
        <v>208351</v>
      </c>
      <c r="E134" s="2">
        <v>233488</v>
      </c>
      <c r="F134" s="2">
        <v>195662</v>
      </c>
      <c r="G134" s="7"/>
      <c r="H134" s="2">
        <v>193837</v>
      </c>
      <c r="I134" s="2"/>
      <c r="J134" s="1" t="s">
        <v>2</v>
      </c>
      <c r="K134" s="2"/>
      <c r="L134" s="2">
        <v>231168</v>
      </c>
      <c r="M134" s="2">
        <v>233488</v>
      </c>
      <c r="N134" s="2"/>
    </row>
    <row r="135" spans="1:14" s="1" customFormat="1" x14ac:dyDescent="0.35">
      <c r="A135" s="1" t="s">
        <v>38</v>
      </c>
      <c r="B135" s="3">
        <f>+B133+B134</f>
        <v>1346352</v>
      </c>
      <c r="C135" s="3">
        <f>+C133+C134</f>
        <v>1438482</v>
      </c>
      <c r="D135" s="3">
        <f t="shared" ref="D135:N135" si="78">+D133+D134</f>
        <v>1449086</v>
      </c>
      <c r="E135" s="3">
        <f t="shared" si="78"/>
        <v>1516387</v>
      </c>
      <c r="F135" s="3">
        <f t="shared" si="78"/>
        <v>1475650</v>
      </c>
      <c r="G135" s="3">
        <f t="shared" si="78"/>
        <v>143</v>
      </c>
      <c r="H135" s="3">
        <f t="shared" si="78"/>
        <v>1523008</v>
      </c>
      <c r="I135" s="3">
        <f t="shared" si="78"/>
        <v>0</v>
      </c>
      <c r="J135" s="1" t="s">
        <v>2</v>
      </c>
      <c r="K135" s="3">
        <f t="shared" ref="K135:M135" si="79">+K133+K134</f>
        <v>0</v>
      </c>
      <c r="L135" s="3">
        <f t="shared" si="79"/>
        <v>1429769</v>
      </c>
      <c r="M135" s="3">
        <f t="shared" si="79"/>
        <v>1516387</v>
      </c>
      <c r="N135" s="3">
        <f t="shared" si="78"/>
        <v>0</v>
      </c>
    </row>
    <row r="136" spans="1:14" s="1" customFormat="1" x14ac:dyDescent="0.35">
      <c r="A136" s="1" t="s">
        <v>39</v>
      </c>
      <c r="B136" s="3">
        <f>+B135+B126</f>
        <v>4101984</v>
      </c>
      <c r="C136" s="3">
        <f t="shared" ref="C136:N136" si="80">+C135+C126</f>
        <v>3570046</v>
      </c>
      <c r="D136" s="3">
        <f t="shared" si="80"/>
        <v>3588102</v>
      </c>
      <c r="E136" s="3">
        <f t="shared" si="80"/>
        <v>3855007</v>
      </c>
      <c r="F136" s="3">
        <f t="shared" si="80"/>
        <v>3261073</v>
      </c>
      <c r="G136" s="3">
        <f t="shared" si="80"/>
        <v>1779694</v>
      </c>
      <c r="H136" s="3">
        <f t="shared" si="80"/>
        <v>3388299</v>
      </c>
      <c r="I136" s="3">
        <f t="shared" si="80"/>
        <v>0</v>
      </c>
      <c r="J136" s="1" t="s">
        <v>2</v>
      </c>
      <c r="K136" s="3">
        <f t="shared" ref="K136:M136" si="81">+K135+K126</f>
        <v>0</v>
      </c>
      <c r="L136" s="3">
        <f t="shared" si="81"/>
        <v>4607996</v>
      </c>
      <c r="M136" s="3">
        <f t="shared" si="81"/>
        <v>3855007</v>
      </c>
      <c r="N136" s="3">
        <f t="shared" si="80"/>
        <v>0</v>
      </c>
    </row>
    <row r="137" spans="1:14" s="1" customFormat="1" x14ac:dyDescent="0.35">
      <c r="B137" s="3"/>
      <c r="C137" s="3"/>
      <c r="D137" s="3"/>
      <c r="E137" s="3"/>
      <c r="F137" s="3"/>
      <c r="G137" s="3"/>
      <c r="H137" s="3"/>
      <c r="I137" s="3"/>
      <c r="J137" s="1" t="s">
        <v>2</v>
      </c>
      <c r="K137" s="3"/>
      <c r="L137" s="3"/>
      <c r="M137" s="3"/>
      <c r="N137" s="3"/>
    </row>
    <row r="138" spans="1:14" s="1" customFormat="1" x14ac:dyDescent="0.35">
      <c r="B138" s="1" t="str">
        <f>B98</f>
        <v>Q123</v>
      </c>
      <c r="C138" s="1" t="str">
        <f t="shared" ref="C138:N138" si="82">C98</f>
        <v>Q223</v>
      </c>
      <c r="D138" s="1" t="str">
        <f t="shared" si="82"/>
        <v>Q323</v>
      </c>
      <c r="E138" s="1" t="str">
        <f t="shared" si="82"/>
        <v>Q423</v>
      </c>
      <c r="F138" s="1" t="str">
        <f t="shared" si="82"/>
        <v>Q124</v>
      </c>
      <c r="G138" s="1" t="str">
        <f t="shared" si="82"/>
        <v>Q224</v>
      </c>
      <c r="H138" s="1" t="str">
        <f t="shared" si="82"/>
        <v>Q324</v>
      </c>
      <c r="I138" s="1" t="str">
        <f t="shared" si="82"/>
        <v>Q424</v>
      </c>
      <c r="J138" s="1" t="s">
        <v>2</v>
      </c>
      <c r="K138" s="1">
        <f t="shared" ref="K138:M138" si="83">K98</f>
        <v>2021</v>
      </c>
      <c r="L138" s="1">
        <f t="shared" si="83"/>
        <v>2022</v>
      </c>
      <c r="M138" s="1">
        <f t="shared" si="83"/>
        <v>2023</v>
      </c>
      <c r="N138" s="1">
        <f t="shared" si="82"/>
        <v>2024</v>
      </c>
    </row>
    <row r="139" spans="1:14" x14ac:dyDescent="0.35">
      <c r="A139" s="1" t="s">
        <v>41</v>
      </c>
      <c r="J139" s="1" t="s">
        <v>2</v>
      </c>
      <c r="K139" s="2"/>
      <c r="L139" s="2"/>
      <c r="M139" s="2"/>
    </row>
    <row r="140" spans="1:14" x14ac:dyDescent="0.35">
      <c r="A140" t="s">
        <v>74</v>
      </c>
      <c r="B140" s="2">
        <v>1112155</v>
      </c>
      <c r="C140" s="2">
        <v>707980</v>
      </c>
      <c r="D140" s="2">
        <v>718290</v>
      </c>
      <c r="E140" s="2">
        <v>886725</v>
      </c>
      <c r="F140" s="2">
        <v>669373</v>
      </c>
      <c r="G140" s="2">
        <v>452314</v>
      </c>
      <c r="H140" s="2">
        <v>648808</v>
      </c>
      <c r="J140" s="1" t="s">
        <v>2</v>
      </c>
      <c r="K140" s="2"/>
      <c r="L140" s="2">
        <v>1326531</v>
      </c>
      <c r="M140" s="2">
        <v>886725</v>
      </c>
    </row>
    <row r="141" spans="1:14" x14ac:dyDescent="0.35">
      <c r="A141" t="s">
        <v>75</v>
      </c>
      <c r="B141" s="2">
        <v>17641</v>
      </c>
      <c r="C141" s="2">
        <v>19564</v>
      </c>
      <c r="D141" s="2">
        <v>18939</v>
      </c>
      <c r="E141" s="2">
        <v>21705</v>
      </c>
      <c r="F141" s="2">
        <v>14454</v>
      </c>
      <c r="G141" s="2">
        <v>14085</v>
      </c>
      <c r="H141" s="2">
        <v>13688</v>
      </c>
      <c r="J141" s="1" t="s">
        <v>2</v>
      </c>
      <c r="K141" s="2"/>
      <c r="L141" s="2">
        <v>21084</v>
      </c>
      <c r="M141" s="2">
        <v>21705</v>
      </c>
    </row>
    <row r="142" spans="1:14" x14ac:dyDescent="0.35">
      <c r="A142" t="s">
        <v>76</v>
      </c>
      <c r="B142" s="2">
        <v>147275</v>
      </c>
      <c r="C142" s="2">
        <v>142978</v>
      </c>
      <c r="D142" s="2">
        <v>94375</v>
      </c>
      <c r="E142" s="2">
        <v>104349</v>
      </c>
      <c r="F142" s="2">
        <v>104878</v>
      </c>
      <c r="G142" s="2">
        <v>108407</v>
      </c>
      <c r="H142" s="2">
        <v>80577</v>
      </c>
      <c r="J142" s="1" t="s">
        <v>2</v>
      </c>
      <c r="K142" s="2"/>
      <c r="L142" s="2">
        <v>156341</v>
      </c>
      <c r="M142" s="2">
        <v>104349</v>
      </c>
    </row>
    <row r="143" spans="1:14" x14ac:dyDescent="0.35">
      <c r="A143" t="s">
        <v>77</v>
      </c>
      <c r="B143" s="2">
        <v>274030</v>
      </c>
      <c r="C143" s="2">
        <v>120267</v>
      </c>
      <c r="D143" s="2">
        <v>153688</v>
      </c>
      <c r="E143" s="2">
        <v>153921</v>
      </c>
      <c r="F143" s="2">
        <v>205838</v>
      </c>
      <c r="G143" s="2">
        <v>111734</v>
      </c>
      <c r="H143" s="2">
        <v>141266</v>
      </c>
      <c r="J143" s="1" t="s">
        <v>2</v>
      </c>
      <c r="K143" s="2"/>
      <c r="L143" s="2">
        <v>227769</v>
      </c>
      <c r="M143" s="2">
        <v>153921</v>
      </c>
    </row>
    <row r="144" spans="1:14" s="3" customFormat="1" x14ac:dyDescent="0.35">
      <c r="A144" s="3" t="s">
        <v>78</v>
      </c>
      <c r="B144" s="3">
        <f>+SUM(B140:B143)</f>
        <v>1551101</v>
      </c>
      <c r="C144" s="3">
        <f t="shared" ref="C144:H144" si="84">+SUM(C140:C143)</f>
        <v>990789</v>
      </c>
      <c r="D144" s="3">
        <f t="shared" si="84"/>
        <v>985292</v>
      </c>
      <c r="E144" s="3">
        <f t="shared" si="84"/>
        <v>1166700</v>
      </c>
      <c r="F144" s="3">
        <f t="shared" si="84"/>
        <v>994543</v>
      </c>
      <c r="G144" s="3">
        <f t="shared" si="84"/>
        <v>686540</v>
      </c>
      <c r="H144" s="3">
        <f t="shared" si="84"/>
        <v>884339</v>
      </c>
      <c r="I144" s="3">
        <f t="shared" ref="I144:M144" si="85">+SUM(I140:I143)</f>
        <v>0</v>
      </c>
      <c r="J144" s="3" t="s">
        <v>2</v>
      </c>
      <c r="K144" s="3">
        <f t="shared" ref="K144" si="86">+SUM(K140:K143)</f>
        <v>0</v>
      </c>
      <c r="L144" s="3">
        <f t="shared" si="85"/>
        <v>1731725</v>
      </c>
      <c r="M144" s="3">
        <f t="shared" si="85"/>
        <v>1166700</v>
      </c>
    </row>
    <row r="145" spans="1:13" x14ac:dyDescent="0.35">
      <c r="J145" s="1" t="s">
        <v>2</v>
      </c>
      <c r="K145" s="2"/>
      <c r="L145" s="2"/>
      <c r="M145" s="2"/>
    </row>
    <row r="146" spans="1:13" s="1" customFormat="1" x14ac:dyDescent="0.35">
      <c r="A146" s="1" t="s">
        <v>45</v>
      </c>
      <c r="J146" s="1" t="s">
        <v>2</v>
      </c>
      <c r="K146" s="3"/>
      <c r="L146" s="3"/>
      <c r="M146" s="3"/>
    </row>
    <row r="147" spans="1:13" x14ac:dyDescent="0.35">
      <c r="A147" t="s">
        <v>79</v>
      </c>
      <c r="B147" s="2">
        <v>38000</v>
      </c>
      <c r="C147" s="2">
        <v>31838</v>
      </c>
      <c r="D147" s="2">
        <v>30872</v>
      </c>
      <c r="E147" s="2">
        <v>30912</v>
      </c>
      <c r="F147" s="2">
        <v>30626</v>
      </c>
      <c r="G147" s="2">
        <v>31008</v>
      </c>
      <c r="H147" s="2">
        <v>30984</v>
      </c>
      <c r="I147" s="2"/>
      <c r="J147" s="1" t="s">
        <v>2</v>
      </c>
      <c r="K147" s="2"/>
      <c r="L147" s="2">
        <v>38689</v>
      </c>
      <c r="M147" s="2">
        <v>30912</v>
      </c>
    </row>
    <row r="148" spans="1:13" x14ac:dyDescent="0.35">
      <c r="A148" t="s">
        <v>80</v>
      </c>
      <c r="B148" s="2">
        <v>91503</v>
      </c>
      <c r="C148" s="2">
        <v>81470</v>
      </c>
      <c r="D148" s="2">
        <v>79829</v>
      </c>
      <c r="E148" s="2">
        <v>82438</v>
      </c>
      <c r="F148" s="2">
        <v>82541</v>
      </c>
      <c r="G148" s="2">
        <v>84019</v>
      </c>
      <c r="H148" s="2">
        <v>86206</v>
      </c>
      <c r="I148" s="2"/>
      <c r="J148" s="1" t="s">
        <v>2</v>
      </c>
      <c r="K148" s="2"/>
      <c r="L148" s="2">
        <v>92084</v>
      </c>
      <c r="M148" s="2">
        <v>82438</v>
      </c>
    </row>
    <row r="149" spans="1:13" x14ac:dyDescent="0.35">
      <c r="A149" t="s">
        <v>81</v>
      </c>
      <c r="B149" s="2">
        <v>362451</v>
      </c>
      <c r="C149" s="2">
        <v>349773</v>
      </c>
      <c r="D149" s="2">
        <v>360234</v>
      </c>
      <c r="E149" s="2">
        <v>365744</v>
      </c>
      <c r="F149" s="2">
        <v>366790</v>
      </c>
      <c r="G149" s="2">
        <v>370877</v>
      </c>
      <c r="H149" s="2">
        <v>379681</v>
      </c>
      <c r="I149" s="2"/>
      <c r="J149" s="1" t="s">
        <v>2</v>
      </c>
      <c r="K149" s="2"/>
      <c r="L149" s="2">
        <v>364721</v>
      </c>
      <c r="M149" s="2">
        <v>365744</v>
      </c>
    </row>
    <row r="150" spans="1:13" x14ac:dyDescent="0.35">
      <c r="A150" t="s">
        <v>82</v>
      </c>
      <c r="B150" s="2">
        <v>917269</v>
      </c>
      <c r="C150" s="2">
        <v>891368</v>
      </c>
      <c r="D150" s="2">
        <v>916552</v>
      </c>
      <c r="E150" s="2">
        <v>951544</v>
      </c>
      <c r="F150" s="2">
        <v>959920</v>
      </c>
      <c r="G150" s="2">
        <v>977948</v>
      </c>
      <c r="H150" s="2">
        <v>1004315</v>
      </c>
      <c r="I150" s="2"/>
      <c r="J150" s="1" t="s">
        <v>2</v>
      </c>
      <c r="K150" s="2"/>
      <c r="L150" s="2">
        <v>980159</v>
      </c>
      <c r="M150" s="2">
        <v>951544</v>
      </c>
    </row>
    <row r="151" spans="1:13" x14ac:dyDescent="0.35">
      <c r="A151" t="s">
        <v>83</v>
      </c>
      <c r="B151" s="2">
        <v>48158</v>
      </c>
      <c r="C151" s="2">
        <v>56578</v>
      </c>
      <c r="D151" s="2">
        <v>44420</v>
      </c>
      <c r="E151" s="2">
        <v>36541</v>
      </c>
      <c r="F151" s="2">
        <v>45327</v>
      </c>
      <c r="G151" s="2">
        <v>48771</v>
      </c>
      <c r="H151" s="2">
        <v>47656</v>
      </c>
      <c r="I151" s="2"/>
      <c r="J151" s="1" t="s">
        <v>2</v>
      </c>
      <c r="K151" s="2"/>
      <c r="L151" s="2">
        <v>41429</v>
      </c>
      <c r="M151" s="2">
        <v>36541</v>
      </c>
    </row>
    <row r="152" spans="1:13" x14ac:dyDescent="0.35">
      <c r="A152" t="s">
        <v>84</v>
      </c>
      <c r="B152" s="2">
        <v>778664</v>
      </c>
      <c r="C152" s="2">
        <v>747586</v>
      </c>
      <c r="D152" s="2">
        <v>751719</v>
      </c>
      <c r="E152" s="2">
        <v>773814</v>
      </c>
      <c r="F152" s="2">
        <v>796091</v>
      </c>
      <c r="G152" s="2">
        <v>818487</v>
      </c>
      <c r="H152" s="2">
        <v>838891</v>
      </c>
      <c r="I152" s="2"/>
      <c r="J152" s="1" t="s">
        <v>2</v>
      </c>
      <c r="K152" s="2"/>
      <c r="L152" s="2">
        <v>754353</v>
      </c>
      <c r="M152" s="2">
        <v>773814</v>
      </c>
    </row>
    <row r="153" spans="1:13" s="1" customFormat="1" x14ac:dyDescent="0.35">
      <c r="A153" s="1" t="s">
        <v>78</v>
      </c>
      <c r="B153" s="3">
        <f>+SUM(B147:B151)-B152</f>
        <v>678717</v>
      </c>
      <c r="C153" s="3">
        <f t="shared" ref="C153:H153" si="87">+SUM(C147:C151)-C152</f>
        <v>663441</v>
      </c>
      <c r="D153" s="3">
        <f t="shared" si="87"/>
        <v>680188</v>
      </c>
      <c r="E153" s="3">
        <f t="shared" si="87"/>
        <v>693365</v>
      </c>
      <c r="F153" s="3">
        <f t="shared" si="87"/>
        <v>689113</v>
      </c>
      <c r="G153" s="3">
        <f t="shared" si="87"/>
        <v>694136</v>
      </c>
      <c r="H153" s="3">
        <f t="shared" si="87"/>
        <v>709951</v>
      </c>
      <c r="I153" s="3">
        <f t="shared" ref="I153:M153" si="88">+SUM(I147:I151)-I152</f>
        <v>0</v>
      </c>
      <c r="J153" s="1" t="s">
        <v>2</v>
      </c>
      <c r="K153" s="3">
        <f t="shared" ref="K153" si="89">+SUM(K147:K151)-K152</f>
        <v>0</v>
      </c>
      <c r="L153" s="3">
        <f t="shared" si="88"/>
        <v>762729</v>
      </c>
      <c r="M153" s="3">
        <f t="shared" si="88"/>
        <v>693365</v>
      </c>
    </row>
  </sheetData>
  <hyperlinks>
    <hyperlink ref="A1" location="main!A1" display="main" xr:uid="{8764A514-1095-4EA3-9FCA-304DB6D5B28D}"/>
  </hyperlink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3FC8A-DAB2-479F-9997-7DB160CB2920}">
  <dimension ref="A1"/>
  <sheetViews>
    <sheetView workbookViewId="0">
      <selection activeCell="D35" sqref="D35"/>
    </sheetView>
  </sheetViews>
  <sheetFormatPr defaultRowHeight="14.5" x14ac:dyDescent="0.35"/>
  <sheetData>
    <row r="1" spans="1:1" x14ac:dyDescent="0.35">
      <c r="A1" s="6" t="s">
        <v>110</v>
      </c>
    </row>
  </sheetData>
  <hyperlinks>
    <hyperlink ref="A1" location="main!A1" display="main" xr:uid="{72EE51B9-0876-48F3-8DE7-CBE75AE4CA76}"/>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51E10-D7CD-42AC-96F4-5FACA6392B4E}">
  <dimension ref="A1"/>
  <sheetViews>
    <sheetView workbookViewId="0">
      <selection activeCell="B52" sqref="B52"/>
    </sheetView>
  </sheetViews>
  <sheetFormatPr defaultRowHeight="14.5" x14ac:dyDescent="0.35"/>
  <sheetData>
    <row r="1" spans="1:1" x14ac:dyDescent="0.35">
      <c r="A1" s="6" t="s">
        <v>110</v>
      </c>
    </row>
  </sheetData>
  <hyperlinks>
    <hyperlink ref="A1" location="main!A1" display="main" xr:uid="{EE25FE72-079E-4CE9-955F-713CD9E9B50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B3730-D680-4A2C-963A-88A858973547}">
  <dimension ref="A1:B34"/>
  <sheetViews>
    <sheetView workbookViewId="0">
      <selection activeCell="B35" sqref="B35"/>
    </sheetView>
  </sheetViews>
  <sheetFormatPr defaultRowHeight="14.5" x14ac:dyDescent="0.35"/>
  <sheetData>
    <row r="1" spans="1:1" x14ac:dyDescent="0.35">
      <c r="A1" s="6" t="s">
        <v>110</v>
      </c>
    </row>
    <row r="34" spans="2:2" x14ac:dyDescent="0.35">
      <c r="B34" t="s">
        <v>132</v>
      </c>
    </row>
  </sheetData>
  <hyperlinks>
    <hyperlink ref="A1" location="main!A1" display="main" xr:uid="{B0C41942-EFF8-40EA-BBE8-77FF135A3E6B}"/>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362DE-6500-4A18-9380-BFB78D223B6E}">
  <dimension ref="A1:B40"/>
  <sheetViews>
    <sheetView topLeftCell="A10" workbookViewId="0">
      <selection activeCell="B61" sqref="B61"/>
    </sheetView>
  </sheetViews>
  <sheetFormatPr defaultRowHeight="14.5" x14ac:dyDescent="0.35"/>
  <sheetData>
    <row r="1" spans="1:1" x14ac:dyDescent="0.35">
      <c r="A1" s="6" t="s">
        <v>110</v>
      </c>
    </row>
    <row r="40" spans="2:2" x14ac:dyDescent="0.35">
      <c r="B40" t="s">
        <v>132</v>
      </c>
    </row>
  </sheetData>
  <hyperlinks>
    <hyperlink ref="A1" location="main!A1" display="main" xr:uid="{3ADFA327-49B5-4CD8-B2BE-6466E1777C2C}"/>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08C36-FAF0-458D-A789-FBA2EC3B1A65}">
  <dimension ref="A1:B41"/>
  <sheetViews>
    <sheetView workbookViewId="0">
      <selection activeCell="C54" sqref="C54"/>
    </sheetView>
  </sheetViews>
  <sheetFormatPr defaultRowHeight="14.5" x14ac:dyDescent="0.35"/>
  <sheetData>
    <row r="1" spans="1:1" x14ac:dyDescent="0.35">
      <c r="A1" s="6" t="s">
        <v>110</v>
      </c>
    </row>
    <row r="41" spans="2:2" x14ac:dyDescent="0.35">
      <c r="B41" t="s">
        <v>132</v>
      </c>
    </row>
  </sheetData>
  <hyperlinks>
    <hyperlink ref="A1" location="main!A1" display="main" xr:uid="{E2A8B9DA-64C0-4D35-AE06-5D380E73B0FF}"/>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DD0DF-78FF-4ED5-A453-E652468951E6}">
  <dimension ref="A1"/>
  <sheetViews>
    <sheetView workbookViewId="0"/>
  </sheetViews>
  <sheetFormatPr defaultRowHeight="14.5" x14ac:dyDescent="0.35"/>
  <sheetData>
    <row r="1" spans="1:1" x14ac:dyDescent="0.35">
      <c r="A1" s="6" t="s">
        <v>110</v>
      </c>
    </row>
  </sheetData>
  <hyperlinks>
    <hyperlink ref="A1" location="main!A1" display="main" xr:uid="{F1B98040-F184-49DD-AB3A-49DD2F897BB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5544A-86AD-401F-8B31-824A17670DA1}">
  <dimension ref="A1"/>
  <sheetViews>
    <sheetView workbookViewId="0"/>
  </sheetViews>
  <sheetFormatPr defaultRowHeight="14.5" x14ac:dyDescent="0.35"/>
  <sheetData>
    <row r="1" spans="1:1" x14ac:dyDescent="0.35">
      <c r="A1" s="6" t="s">
        <v>110</v>
      </c>
    </row>
  </sheetData>
  <hyperlinks>
    <hyperlink ref="A1" location="main!A1" display="main" xr:uid="{B3A9EA72-FB6B-4A27-9522-E1DBCC0680F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main</vt:lpstr>
      <vt:lpstr>model</vt:lpstr>
      <vt:lpstr>Properties</vt:lpstr>
      <vt:lpstr>Risks</vt:lpstr>
      <vt:lpstr>Trade</vt:lpstr>
      <vt:lpstr>Renewables</vt:lpstr>
      <vt:lpstr>NutrientIndustrial</vt:lpstr>
      <vt:lpstr>AgSupplyChain</vt:lpstr>
      <vt:lpstr>EngineeredGranules</vt:lpstr>
      <vt:lpstr>SpecialtyLiquids</vt:lpstr>
      <vt:lpstr>Other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dc:creator>
  <cp:lastModifiedBy>Corey Christner</cp:lastModifiedBy>
  <dcterms:created xsi:type="dcterms:W3CDTF">2015-06-05T18:17:20Z</dcterms:created>
  <dcterms:modified xsi:type="dcterms:W3CDTF">2025-01-20T22:00:42Z</dcterms:modified>
</cp:coreProperties>
</file>