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961D4A69-B68E-4CDF-B89F-AAA21BED9545}" xr6:coauthVersionLast="47" xr6:coauthVersionMax="47" xr10:uidLastSave="{00000000-0000-0000-0000-000000000000}"/>
  <bookViews>
    <workbookView xWindow="2280" yWindow="2280" windowWidth="14400" windowHeight="7270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7" l="1"/>
  <c r="P118" i="7"/>
  <c r="P117" i="7"/>
  <c r="P115" i="7"/>
  <c r="P114" i="7"/>
  <c r="P112" i="7"/>
  <c r="P106" i="7"/>
  <c r="P103" i="7"/>
  <c r="P99" i="7"/>
  <c r="P92" i="7"/>
  <c r="P84" i="7"/>
  <c r="M118" i="7"/>
  <c r="M112" i="7"/>
  <c r="M114" i="7" s="1"/>
  <c r="M99" i="7"/>
  <c r="M103" i="7" s="1"/>
  <c r="M84" i="7"/>
  <c r="M72" i="7"/>
  <c r="M42" i="7"/>
  <c r="M35" i="7"/>
  <c r="M30" i="7"/>
  <c r="M74" i="7" s="1"/>
  <c r="M28" i="7"/>
  <c r="M20" i="7"/>
  <c r="L112" i="7"/>
  <c r="L114" i="7" s="1"/>
  <c r="L99" i="7"/>
  <c r="L103" i="7" s="1"/>
  <c r="L84" i="7"/>
  <c r="L72" i="7"/>
  <c r="L42" i="7"/>
  <c r="L37" i="7"/>
  <c r="L35" i="7"/>
  <c r="L30" i="7"/>
  <c r="L74" i="7" s="1"/>
  <c r="L28" i="7"/>
  <c r="L20" i="7"/>
  <c r="K112" i="7"/>
  <c r="K114" i="7" s="1"/>
  <c r="K99" i="7"/>
  <c r="K103" i="7" s="1"/>
  <c r="K84" i="7"/>
  <c r="K72" i="7"/>
  <c r="K42" i="7"/>
  <c r="K37" i="7"/>
  <c r="K35" i="7"/>
  <c r="K30" i="7"/>
  <c r="K74" i="7" s="1"/>
  <c r="K28" i="7"/>
  <c r="K20" i="7"/>
  <c r="J112" i="7"/>
  <c r="J114" i="7" s="1"/>
  <c r="J99" i="7"/>
  <c r="J103" i="7" s="1"/>
  <c r="J84" i="7"/>
  <c r="J119" i="7" s="1"/>
  <c r="J72" i="7"/>
  <c r="J42" i="7"/>
  <c r="J35" i="7"/>
  <c r="J30" i="7"/>
  <c r="J74" i="7" s="1"/>
  <c r="J28" i="7"/>
  <c r="J20" i="7"/>
  <c r="O113" i="7"/>
  <c r="O111" i="7"/>
  <c r="O110" i="7"/>
  <c r="O109" i="7"/>
  <c r="O108" i="7"/>
  <c r="O104" i="7"/>
  <c r="O102" i="7"/>
  <c r="O101" i="7"/>
  <c r="O100" i="7"/>
  <c r="O98" i="7"/>
  <c r="O97" i="7"/>
  <c r="O96" i="7"/>
  <c r="O95" i="7"/>
  <c r="O91" i="7"/>
  <c r="O90" i="7"/>
  <c r="O89" i="7"/>
  <c r="O88" i="7"/>
  <c r="O87" i="7"/>
  <c r="O86" i="7"/>
  <c r="O85" i="7"/>
  <c r="O83" i="7"/>
  <c r="O82" i="7"/>
  <c r="O81" i="7"/>
  <c r="O80" i="7"/>
  <c r="O79" i="7"/>
  <c r="O78" i="7"/>
  <c r="O77" i="7"/>
  <c r="O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P72" i="7"/>
  <c r="O72" i="7"/>
  <c r="P28" i="7"/>
  <c r="O28" i="7"/>
  <c r="O20" i="7"/>
  <c r="P30" i="7"/>
  <c r="P74" i="7" s="1"/>
  <c r="O30" i="7"/>
  <c r="O74" i="7" s="1"/>
  <c r="O41" i="7"/>
  <c r="O39" i="7"/>
  <c r="O54" i="7"/>
  <c r="O53" i="7"/>
  <c r="O47" i="7"/>
  <c r="O46" i="7"/>
  <c r="O44" i="7"/>
  <c r="O40" i="7"/>
  <c r="O38" i="7"/>
  <c r="O36" i="7"/>
  <c r="O34" i="7"/>
  <c r="O33" i="7"/>
  <c r="O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19" i="7" l="1"/>
  <c r="L115" i="7"/>
  <c r="K115" i="7"/>
  <c r="L119" i="7"/>
  <c r="J115" i="7"/>
  <c r="K119" i="7"/>
  <c r="M115" i="7"/>
  <c r="M92" i="7"/>
  <c r="M117" i="7" s="1"/>
  <c r="J43" i="7"/>
  <c r="J45" i="7" s="1"/>
  <c r="J48" i="7" s="1"/>
  <c r="J51" i="7" s="1"/>
  <c r="M43" i="7"/>
  <c r="M45" i="7" s="1"/>
  <c r="M48" i="7" s="1"/>
  <c r="M51" i="7" s="1"/>
  <c r="L43" i="7"/>
  <c r="L45" i="7" s="1"/>
  <c r="L48" i="7" s="1"/>
  <c r="L52" i="7" s="1"/>
  <c r="K43" i="7"/>
  <c r="K45" i="7" s="1"/>
  <c r="K48" i="7" s="1"/>
  <c r="K52" i="7" s="1"/>
  <c r="J37" i="7"/>
  <c r="M37" i="7"/>
  <c r="M106" i="7"/>
  <c r="L106" i="7"/>
  <c r="L92" i="7"/>
  <c r="L117" i="7" s="1"/>
  <c r="L118" i="7"/>
  <c r="K106" i="7"/>
  <c r="K118" i="7"/>
  <c r="K92" i="7"/>
  <c r="K117" i="7" s="1"/>
  <c r="J106" i="7"/>
  <c r="J92" i="7"/>
  <c r="J117" i="7" s="1"/>
  <c r="J118" i="7"/>
  <c r="F28" i="7"/>
  <c r="O99" i="7"/>
  <c r="O103" i="7" s="1"/>
  <c r="O106" i="7" s="1"/>
  <c r="O84" i="7"/>
  <c r="O92" i="7" s="1"/>
  <c r="I106" i="7" s="1"/>
  <c r="I117" i="7"/>
  <c r="E115" i="7"/>
  <c r="O112" i="7"/>
  <c r="O114" i="7" s="1"/>
  <c r="F20" i="7"/>
  <c r="F72" i="7"/>
  <c r="P20" i="7"/>
  <c r="P42" i="7"/>
  <c r="O42" i="7"/>
  <c r="P35" i="7"/>
  <c r="P37" i="7" s="1"/>
  <c r="O35" i="7"/>
  <c r="O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51" i="7" l="1"/>
  <c r="M52" i="7"/>
  <c r="L51" i="7"/>
  <c r="J52" i="7"/>
  <c r="O115" i="7"/>
  <c r="O118" i="7"/>
  <c r="O119" i="7"/>
  <c r="O43" i="7"/>
  <c r="O45" i="7" s="1"/>
  <c r="O48" i="7" s="1"/>
  <c r="O51" i="7" s="1"/>
  <c r="O117" i="7"/>
  <c r="P43" i="7"/>
  <c r="P45" i="7" s="1"/>
  <c r="P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O52" i="7" l="1"/>
  <c r="P52" i="7"/>
  <c r="P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<sst xmlns="http://schemas.openxmlformats.org/spreadsheetml/2006/main" count="506" uniqueCount="268">
  <si>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</si>
  <si>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</si>
  <si>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</si>
  <si>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</si>
  <si>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</si>
  <si>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</si>
  <si>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</si>
  <si>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</si>
  <si>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</si>
  <si>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</si>
  <si>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</si>
  <si>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</si>
  <si>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</si>
  <si>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</si>
  <si>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</si>
  <si>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</si>
  <si>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</si>
  <si>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</si>
  <si>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</si>
  <si>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</si>
  <si>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</si>
  <si>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</si>
  <si>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</si>
  <si>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</si>
  <si>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</si>
  <si>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</si>
  <si>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</si>
  <si>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</si>
  <si>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</si>
  <si>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</si>
  <si>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</si>
  <si>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</si>
  <si>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</si>
  <si>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</si>
  <si>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</si>
  <si>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</si>
  <si>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</si>
  <si>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</si>
  <si>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</si>
  <si>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</si>
  <si>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</si>
  <si>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</si>
  <si>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</si>
  <si>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</si>
  <si>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</si>
  <si>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</si>
  <si>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</si>
  <si>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</si>
  <si>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</si>
  <si>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</si>
  <si>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</si>
  <si>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</si>
  <si>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</si>
  <si>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</si>
  <si>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</si>
  <si>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</si>
  <si>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</si>
  <si>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</si>
  <si>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</si>
  <si>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</si>
  <si>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</si>
  <si>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</si>
  <si>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</si>
  <si>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</si>
  <si>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</si>
  <si>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</si>
  <si>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</si>
  <si>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</si>
  <si>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</si>
  <si>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</si>
  <si>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</si>
  <si>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</si>
  <si>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</si>
  <si>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</si>
  <si>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</si>
  <si>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</si>
  <si>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</si>
  <si>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</si>
  <si>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</si>
  <si>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</si>
  <si>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</si>
  <si>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</si>
  <si>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</si>
  <si>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</si>
  <si>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</si>
  <si>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</si>
  <si>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</si>
  <si>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</si>
  <si>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</si>
  <si>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</si>
  <si>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</si>
  <si>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</si>
  <si>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</si>
  <si>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</si>
  <si>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</si>
  <si>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</si>
  <si>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</si>
  <si>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</si>
  <si>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</si>
  <si>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</si>
  <si>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</si>
  <si>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</si>
  <si>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</si>
  <si>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</si>
  <si>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</si>
  <si>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</si>
  <si>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</si>
  <si>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</si>
  <si>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</si>
  <si>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</si>
  <si>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</si>
  <si>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</si>
  <si>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</si>
  <si>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</si>
  <si>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</si>
  <si>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</si>
  <si>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</si>
  <si>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</si>
  <si>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</si>
  <si>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</si>
  <si>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</si>
  <si>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</si>
  <si>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</si>
  <si>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</si>
  <si>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</si>
  <si>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</si>
  <si>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</si>
  <si>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</si>
  <si>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</si>
  <si>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</si>
  <si>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</si>
  <si>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</si>
  <si>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</si>
  <si>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</si>
  <si>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</si>
  <si>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</si>
  <si>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</si>
  <si>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</si>
  <si>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</si>
  <si>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</si>
  <si>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</si>
  <si>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</si>
  <si>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</si>
  <si>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</si>
  <si>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</si>
  <si>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</si>
  <si>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</si>
  <si>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</si>
  <si>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</si>
  <si>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</si>
  <si>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</si>
  <si>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</si>
  <si>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</si>
  <si>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</si>
  <si>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</si>
  <si>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</si>
  <si>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</si>
  <si>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</si>
  <si>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</si>
  <si>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</si>
  <si>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</si>
  <si>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</si>
  <si>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</si>
  <si>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</si>
  <si>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</si>
  <si>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</si>
  <si>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</si>
  <si>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</si>
  <si>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</si>
  <si>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</si>
  <si>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</si>
  <si>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</si>
  <si>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</si>
  <si>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</si>
  <si>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</si>
  <si>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</si>
  <si>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</si>
  <si>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</si>
  <si>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</si>
  <si>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</si>
  <si>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</si>
  <si>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</si>
  <si>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</si>
  <si>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</si>
  <si>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</si>
  <si>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</si>
  <si>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</si>
  <si>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</si>
  <si>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</si>
  <si>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</si>
  <si>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</si>
  <si>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</si>
  <si>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</si>
  <si>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</si>
  <si>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</si>
  <si>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</si>
  <si>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</si>
  <si>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</si>
  <si>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</si>
  <si>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</si>
  <si>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</si>
  <si>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</si>
  <si>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</si>
  <si>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</si>
  <si>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</si>
  <si>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</si>
  <si>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</si>
  <si>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</si>
  <si>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</si>
  <si>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</si>
  <si>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</si>
  <si>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</si>
  <si>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</si>
  <si>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</si>
  <si>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</si>
  <si>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</si>
  <si>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</si>
  <si>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</si>
  <si>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</si>
  <si>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</si>
  <si>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</si>
  <si>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</si>
  <si>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</si>
  <si>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</si>
  <si>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</si>
  <si>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</si>
  <si>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</si>
  <si>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</si>
  <si>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</si>
  <si>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</si>
  <si>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</si>
  <si>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</si>
  <si>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</si>
  <si>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</si>
  <si>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</si>
  <si>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</si>
  <si>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</si>
  <si>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</si>
  <si>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</si>
  <si>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</si>
  <si>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</si>
  <si>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</si>
  <si>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</si>
  <si>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</si>
  <si>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</si>
  <si>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</si>
  <si>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</si>
  <si>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</si>
  <si>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</si>
  <si>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</si>
  <si>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</si>
  <si>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</si>
  <si>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</si>
  <si>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</si>
  <si>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</si>
  <si>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</si>
  <si>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</si>
  <si>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</si>
  <si>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</si>
  <si>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</si>
  <si>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</si>
  <si>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</si>
  <si>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</si>
  <si>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</si>
  <si>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</si>
  <si>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</si>
  <si>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</si>
  <si>
    <t>2/13/2025: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</si>
</sst>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6" fillId="0" borderId="0" xfId="1" applyFont="1"/>
    <xf numFmtId="0" fontId="7" fillId="0" borderId="0" xfId="0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0" fontId="10" fillId="0" borderId="1" xfId="2" applyFont="1" applyBorder="1"/>
    <xf numFmtId="0" fontId="11" fillId="0" borderId="1" xfId="2" applyFont="1" applyBorder="1"/>
    <xf numFmtId="0" fontId="12" fillId="0" borderId="1" xfId="2" applyFont="1" applyBorder="1"/>
    <xf numFmtId="0" fontId="12" fillId="0" borderId="0" xfId="2" applyFont="1"/>
    <xf numFmtId="0" fontId="14" fillId="0" borderId="0" xfId="2" applyFont="1"/>
    <xf numFmtId="0" fontId="12" fillId="0" borderId="0" xfId="2" applyFont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0" xfId="2" applyFont="1" applyAlignment="1">
      <alignment horizontal="left"/>
    </xf>
    <xf numFmtId="165" fontId="12" fillId="0" borderId="0" xfId="3" applyNumberFormat="1" applyFont="1" applyFill="1" applyAlignment="1">
      <alignment horizontal="right"/>
    </xf>
    <xf numFmtId="165" fontId="12" fillId="0" borderId="0" xfId="2" applyNumberFormat="1" applyFont="1"/>
    <xf numFmtId="9" fontId="12" fillId="0" borderId="0" xfId="4" applyFont="1" applyFill="1"/>
    <xf numFmtId="0" fontId="11" fillId="0" borderId="0" xfId="2" applyFont="1" applyAlignment="1">
      <alignment vertical="center"/>
    </xf>
    <xf numFmtId="0" fontId="15" fillId="0" borderId="0" xfId="1" applyFont="1"/>
    <xf numFmtId="3" fontId="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0" xfId="0" applyNumberFormat="1" applyFont="1"/>
    <xf numFmtId="2" fontId="7" fillId="0" borderId="0" xfId="0" applyNumberFormat="1" applyFont="1" applyAlignment="1">
      <alignment horizontal="right"/>
    </xf>
    <xf numFmtId="4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164" fontId="7" fillId="0" borderId="0" xfId="0" applyNumberFormat="1" applyFont="1"/>
    <xf numFmtId="0" fontId="16" fillId="2" borderId="0" xfId="1" applyFont="1" applyFill="1"/>
    <xf numFmtId="0" fontId="2" fillId="0" borderId="0" xfId="1"/>
    <xf numFmtId="9" fontId="7" fillId="0" borderId="0" xfId="0" applyNumberFormat="1" applyFont="1"/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0" fontId="19" fillId="0" borderId="0" xfId="0" applyFont="1"/>
    <xf numFmtId="0" fontId="18" fillId="0" borderId="0" xfId="0" applyFont="1" applyAlignment="1">
      <alignment horizontal="center"/>
    </xf>
    <xf numFmtId="3" fontId="0" fillId="3" borderId="0" xfId="0" applyNumberFormat="1" applyFill="1"/>
    <xf numFmtId="0" fontId="18" fillId="4" borderId="0" xfId="0" applyFont="1" applyFill="1"/>
    <xf numFmtId="0" fontId="18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2" fontId="18" fillId="4" borderId="0" xfId="0" applyNumberFormat="1" applyFont="1" applyFill="1"/>
    <xf numFmtId="3" fontId="7" fillId="4" borderId="0" xfId="0" applyNumberFormat="1" applyFont="1" applyFill="1"/>
    <xf numFmtId="3" fontId="17" fillId="4" borderId="0" xfId="0" applyNumberFormat="1" applyFont="1" applyFill="1"/>
    <xf numFmtId="2" fontId="18" fillId="4" borderId="0" xfId="0" applyNumberFormat="1" applyFont="1" applyFill="1" applyAlignment="1">
      <alignment horizontal="center"/>
    </xf>
    <xf numFmtId="3" fontId="18" fillId="4" borderId="0" xfId="0" applyNumberFormat="1" applyFont="1" applyFill="1"/>
    <xf numFmtId="3" fontId="18" fillId="4" borderId="0" xfId="0" applyNumberFormat="1" applyFont="1" applyFill="1" applyAlignment="1">
      <alignment horizontal="center"/>
    </xf>
    <xf numFmtId="3" fontId="0" fillId="4" borderId="0" xfId="0" applyNumberFormat="1" applyFill="1"/>
    <xf numFmtId="3" fontId="18" fillId="3" borderId="0" xfId="0" applyNumberFormat="1" applyFont="1" applyFill="1" applyAlignment="1">
      <alignment horizontal="center"/>
    </xf>
    <xf numFmtId="3" fontId="18" fillId="3" borderId="0" xfId="0" applyNumberFormat="1" applyFont="1" applyFill="1"/>
    <xf numFmtId="3" fontId="18" fillId="0" borderId="0" xfId="0" applyNumberFormat="1" applyFont="1" applyAlignment="1">
      <alignment horizontal="center"/>
    </xf>
    <xf numFmtId="3" fontId="18" fillId="0" borderId="0" xfId="0" applyNumberFormat="1" applyFont="1"/>
  </cellXfs>
  <cellStyles count="5">
    <cellStyle name="Comma 4" xfId="3" xr:uid="{53160A16-4E56-4B37-B3A7-EE75BE0E2D5E}"/>
    <cellStyle name="Hyperlink" xfId="1" builtinId="8"/>
    <cellStyle name="Normal" xfId="0" builtinId="0"/>
    <cellStyle name="Normal 2" xfId="2" xr:uid="{D5FB3390-BAE4-4B58-BD02-26EA2F228DEC}"/>
    <cellStyle name="Percent 3" xfId="4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zoomScaleNormal="100" workbookViewId="0">
      <selection activeCell="K3" sqref="K3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492.6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134775.36000000002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184617.36000000002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3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 ht="13">
      <c r="B15" s="15" t="s">
        <v>74</v>
      </c>
      <c r="J15" s="48" t="s">
        <v>267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P119"/>
  <sheetViews>
    <sheetView zoomScale="90" zoomScaleNormal="90" workbookViewId="0">
      <pane xSplit="1" topLeftCell="E1" activePane="topRight" state="frozen"/>
      <selection pane="topRight" activeCell="R1" sqref="R1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4" max="14" width="8.7265625" style="49"/>
  </cols>
  <sheetData>
    <row r="1" spans="1:16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t="s">
        <v>263</v>
      </c>
      <c r="K1" t="s">
        <v>263</v>
      </c>
      <c r="L1" t="s">
        <v>263</v>
      </c>
      <c r="M1" t="s">
        <v>263</v>
      </c>
      <c r="N1" s="49" t="s">
        <v>261</v>
      </c>
      <c r="O1" t="s">
        <v>264</v>
      </c>
    </row>
    <row r="2" spans="1:16">
      <c r="B2" s="46">
        <v>44863</v>
      </c>
      <c r="F2" s="46">
        <v>45229</v>
      </c>
      <c r="N2" s="49" t="s">
        <v>261</v>
      </c>
    </row>
    <row r="3" spans="1:16" s="45" customFormat="1">
      <c r="A3" s="45" t="s">
        <v>265</v>
      </c>
      <c r="B3" s="45" t="s">
        <v>256</v>
      </c>
      <c r="C3" s="45" t="s">
        <v>227</v>
      </c>
      <c r="D3" s="45" t="s">
        <v>226</v>
      </c>
      <c r="E3" s="45" t="s">
        <v>31</v>
      </c>
      <c r="F3" s="45" t="s">
        <v>32</v>
      </c>
      <c r="G3" s="45" t="s">
        <v>202</v>
      </c>
      <c r="H3" s="45" t="s">
        <v>52</v>
      </c>
      <c r="I3" s="45" t="s">
        <v>53</v>
      </c>
      <c r="J3" s="45" t="s">
        <v>54</v>
      </c>
      <c r="K3" s="45" t="s">
        <v>55</v>
      </c>
      <c r="L3" s="45" t="s">
        <v>56</v>
      </c>
      <c r="M3" s="45" t="s">
        <v>57</v>
      </c>
      <c r="N3" s="49" t="s">
        <v>261</v>
      </c>
      <c r="O3" s="45">
        <v>2023</v>
      </c>
      <c r="P3" s="45">
        <v>2024</v>
      </c>
    </row>
    <row r="4" spans="1:16">
      <c r="N4" s="49" t="s">
        <v>261</v>
      </c>
    </row>
    <row r="5" spans="1:16" s="50" customFormat="1">
      <c r="A5" s="50" t="s">
        <v>259</v>
      </c>
      <c r="F5" s="50">
        <v>83000</v>
      </c>
      <c r="N5" s="62" t="s">
        <v>261</v>
      </c>
    </row>
    <row r="6" spans="1:16" s="50" customFormat="1">
      <c r="A6" s="50" t="s">
        <v>254</v>
      </c>
      <c r="F6" s="50">
        <v>2050</v>
      </c>
      <c r="N6" s="62" t="s">
        <v>261</v>
      </c>
    </row>
    <row r="7" spans="1:16" s="50" customFormat="1">
      <c r="A7" s="50" t="s">
        <v>255</v>
      </c>
      <c r="B7" s="50">
        <v>9700</v>
      </c>
      <c r="F7" s="50">
        <v>7900</v>
      </c>
      <c r="N7" s="62" t="s">
        <v>261</v>
      </c>
    </row>
    <row r="8" spans="1:16" s="50" customFormat="1">
      <c r="A8" s="50" t="s">
        <v>257</v>
      </c>
      <c r="B8" s="50">
        <v>4600</v>
      </c>
      <c r="F8" s="50">
        <v>3300</v>
      </c>
      <c r="N8" s="62" t="s">
        <v>261</v>
      </c>
    </row>
    <row r="9" spans="1:16" s="50" customFormat="1">
      <c r="A9" s="50" t="s">
        <v>258</v>
      </c>
      <c r="B9" s="50">
        <v>8200</v>
      </c>
      <c r="F9" s="50">
        <v>6400</v>
      </c>
      <c r="N9" s="62" t="s">
        <v>261</v>
      </c>
    </row>
    <row r="10" spans="1:16" s="50" customFormat="1">
      <c r="N10" s="62" t="s">
        <v>261</v>
      </c>
    </row>
    <row r="11" spans="1:16" s="50" customFormat="1">
      <c r="A11" s="50" t="s">
        <v>260</v>
      </c>
      <c r="C11" s="50">
        <v>5112</v>
      </c>
      <c r="D11" s="50">
        <v>7733</v>
      </c>
      <c r="E11" s="50">
        <v>6721</v>
      </c>
      <c r="F11" s="50">
        <f t="shared" ref="F11:F19" si="0">O11-E11-D11-C11</f>
        <v>6884</v>
      </c>
      <c r="G11" s="50">
        <v>4791</v>
      </c>
      <c r="H11" s="50">
        <v>6507</v>
      </c>
      <c r="I11" s="50">
        <v>5038</v>
      </c>
      <c r="J11" s="50">
        <v>4305</v>
      </c>
      <c r="N11" s="62" t="s">
        <v>261</v>
      </c>
      <c r="O11" s="50">
        <v>26450</v>
      </c>
    </row>
    <row r="12" spans="1:16" s="50" customFormat="1">
      <c r="A12" s="50" t="s">
        <v>64</v>
      </c>
      <c r="C12" s="50">
        <v>2194</v>
      </c>
      <c r="D12" s="50">
        <v>2952</v>
      </c>
      <c r="E12" s="50">
        <v>2688</v>
      </c>
      <c r="F12" s="50">
        <f t="shared" si="0"/>
        <v>2288</v>
      </c>
      <c r="G12" s="50">
        <v>1718</v>
      </c>
      <c r="H12" s="50">
        <v>2098</v>
      </c>
      <c r="I12" s="50">
        <v>2168</v>
      </c>
      <c r="J12" s="50">
        <v>2306</v>
      </c>
      <c r="N12" s="62" t="s">
        <v>261</v>
      </c>
      <c r="O12" s="50">
        <v>10122</v>
      </c>
    </row>
    <row r="13" spans="1:16" s="50" customFormat="1">
      <c r="A13" s="50" t="s">
        <v>65</v>
      </c>
      <c r="C13" s="50">
        <v>719</v>
      </c>
      <c r="D13" s="50">
        <v>1099</v>
      </c>
      <c r="E13" s="50">
        <v>964</v>
      </c>
      <c r="F13" s="50">
        <f t="shared" si="0"/>
        <v>723</v>
      </c>
      <c r="G13" s="50">
        <v>649</v>
      </c>
      <c r="H13" s="50">
        <v>1017</v>
      </c>
      <c r="I13" s="50">
        <v>825</v>
      </c>
      <c r="J13" s="50">
        <v>2664</v>
      </c>
      <c r="N13" s="62" t="s">
        <v>261</v>
      </c>
      <c r="O13" s="50">
        <v>3505</v>
      </c>
    </row>
    <row r="14" spans="1:16" s="50" customFormat="1">
      <c r="A14" s="50" t="s">
        <v>66</v>
      </c>
      <c r="C14" s="50">
        <v>1483</v>
      </c>
      <c r="D14" s="50">
        <v>1813</v>
      </c>
      <c r="E14" s="50">
        <v>1745</v>
      </c>
      <c r="F14" s="50">
        <f t="shared" si="0"/>
        <v>1801</v>
      </c>
      <c r="G14" s="50">
        <v>1483</v>
      </c>
      <c r="H14" s="50">
        <v>1736</v>
      </c>
      <c r="I14" s="50">
        <v>1308</v>
      </c>
      <c r="J14" s="50">
        <v>1522</v>
      </c>
      <c r="N14" s="62" t="s">
        <v>261</v>
      </c>
      <c r="O14" s="50">
        <v>6842</v>
      </c>
    </row>
    <row r="15" spans="1:16" s="50" customFormat="1">
      <c r="A15" s="50" t="s">
        <v>104</v>
      </c>
      <c r="C15" s="50">
        <v>473</v>
      </c>
      <c r="D15" s="50">
        <v>663</v>
      </c>
      <c r="E15" s="50">
        <v>614</v>
      </c>
      <c r="F15" s="50">
        <f t="shared" si="0"/>
        <v>701</v>
      </c>
      <c r="G15" s="50">
        <v>626</v>
      </c>
      <c r="H15" s="50">
        <v>695</v>
      </c>
      <c r="I15" s="50">
        <v>643</v>
      </c>
      <c r="J15" s="50">
        <v>346</v>
      </c>
      <c r="N15" s="62" t="s">
        <v>261</v>
      </c>
      <c r="O15" s="50">
        <v>2451</v>
      </c>
    </row>
    <row r="16" spans="1:16" s="50" customFormat="1">
      <c r="A16" s="50" t="s">
        <v>68</v>
      </c>
      <c r="C16" s="50">
        <v>818</v>
      </c>
      <c r="D16" s="50">
        <v>1134</v>
      </c>
      <c r="E16" s="50">
        <v>987</v>
      </c>
      <c r="F16" s="50">
        <f t="shared" si="0"/>
        <v>855</v>
      </c>
      <c r="G16" s="50">
        <v>763</v>
      </c>
      <c r="H16" s="50">
        <v>1080</v>
      </c>
      <c r="I16" s="50">
        <v>961</v>
      </c>
      <c r="N16" s="62" t="s">
        <v>261</v>
      </c>
      <c r="O16" s="50">
        <v>3794</v>
      </c>
    </row>
    <row r="17" spans="1:16" s="50" customFormat="1">
      <c r="A17" s="50" t="s">
        <v>69</v>
      </c>
      <c r="C17" s="50">
        <v>356</v>
      </c>
      <c r="D17" s="50">
        <v>429</v>
      </c>
      <c r="E17" s="50">
        <v>334</v>
      </c>
      <c r="F17" s="50">
        <f t="shared" si="0"/>
        <v>310</v>
      </c>
      <c r="G17" s="50">
        <v>292</v>
      </c>
      <c r="H17" s="50">
        <v>271</v>
      </c>
      <c r="I17" s="50">
        <v>269</v>
      </c>
      <c r="N17" s="62" t="s">
        <v>261</v>
      </c>
      <c r="O17" s="50">
        <v>1429</v>
      </c>
    </row>
    <row r="18" spans="1:16" s="50" customFormat="1">
      <c r="A18" s="50" t="s">
        <v>70</v>
      </c>
      <c r="C18" s="50">
        <v>1102</v>
      </c>
      <c r="D18" s="50">
        <v>1168</v>
      </c>
      <c r="E18" s="50">
        <v>1360</v>
      </c>
      <c r="F18" s="50">
        <f t="shared" si="0"/>
        <v>1464</v>
      </c>
      <c r="G18" s="50">
        <v>1480</v>
      </c>
      <c r="H18" s="50">
        <v>1483</v>
      </c>
      <c r="I18" s="50">
        <v>1595</v>
      </c>
      <c r="N18" s="62" t="s">
        <v>261</v>
      </c>
      <c r="O18" s="50">
        <v>5094</v>
      </c>
    </row>
    <row r="19" spans="1:16" s="50" customFormat="1">
      <c r="A19" s="50" t="s">
        <v>71</v>
      </c>
      <c r="C19" s="50">
        <v>395</v>
      </c>
      <c r="D19" s="50">
        <v>396</v>
      </c>
      <c r="E19" s="50">
        <v>388</v>
      </c>
      <c r="F19" s="50">
        <f t="shared" si="0"/>
        <v>385</v>
      </c>
      <c r="G19" s="50">
        <v>383</v>
      </c>
      <c r="H19" s="50">
        <v>348</v>
      </c>
      <c r="I19" s="50">
        <v>345</v>
      </c>
      <c r="N19" s="62" t="s">
        <v>261</v>
      </c>
      <c r="O19" s="50">
        <v>1564</v>
      </c>
    </row>
    <row r="20" spans="1:16" s="63" customFormat="1">
      <c r="A20" s="63" t="s">
        <v>163</v>
      </c>
      <c r="C20" s="63">
        <f t="shared" ref="C20:H20" si="1">SUM(C11:C19)</f>
        <v>12652</v>
      </c>
      <c r="D20" s="63">
        <f t="shared" si="1"/>
        <v>17387</v>
      </c>
      <c r="E20" s="63">
        <f t="shared" si="1"/>
        <v>15801</v>
      </c>
      <c r="F20" s="63">
        <f t="shared" si="1"/>
        <v>15411</v>
      </c>
      <c r="G20" s="63">
        <f t="shared" si="1"/>
        <v>12185</v>
      </c>
      <c r="H20" s="63">
        <f t="shared" si="1"/>
        <v>15235</v>
      </c>
      <c r="I20" s="63">
        <f>SUM(I11:I19)</f>
        <v>13152</v>
      </c>
      <c r="J20" s="63">
        <f>SUM(J11:J19)</f>
        <v>11143</v>
      </c>
      <c r="K20" s="63">
        <f>SUM(K11:K19)</f>
        <v>0</v>
      </c>
      <c r="L20" s="63">
        <f>SUM(L11:L19)</f>
        <v>0</v>
      </c>
      <c r="M20" s="63">
        <f>SUM(M11:M19)</f>
        <v>0</v>
      </c>
      <c r="N20" s="62" t="s">
        <v>261</v>
      </c>
      <c r="O20" s="63">
        <f>SUM(O11:O19)</f>
        <v>61251</v>
      </c>
      <c r="P20" s="63">
        <f>SUM(P11:P19)</f>
        <v>0</v>
      </c>
    </row>
    <row r="21" spans="1:16" s="50" customFormat="1">
      <c r="N21" s="62" t="s">
        <v>261</v>
      </c>
    </row>
    <row r="22" spans="1:16" s="50" customFormat="1">
      <c r="A22" s="50" t="s">
        <v>164</v>
      </c>
      <c r="C22" s="50">
        <v>6907</v>
      </c>
      <c r="D22" s="50">
        <v>9626</v>
      </c>
      <c r="E22" s="50">
        <v>8698</v>
      </c>
      <c r="F22" s="50">
        <f t="shared" ref="F22:F27" si="2">O22-E22-D22-C22</f>
        <v>8874</v>
      </c>
      <c r="G22" s="50">
        <v>7131</v>
      </c>
      <c r="H22" s="50">
        <v>9219</v>
      </c>
      <c r="I22" s="50">
        <v>7706</v>
      </c>
      <c r="N22" s="62" t="s">
        <v>261</v>
      </c>
      <c r="O22" s="50">
        <v>34105</v>
      </c>
    </row>
    <row r="23" spans="1:16" s="50" customFormat="1">
      <c r="A23" s="50" t="s">
        <v>165</v>
      </c>
      <c r="C23" s="50">
        <v>931</v>
      </c>
      <c r="D23" s="50">
        <v>1190</v>
      </c>
      <c r="E23" s="50">
        <v>1029</v>
      </c>
      <c r="F23" s="50">
        <f t="shared" si="2"/>
        <v>1137</v>
      </c>
      <c r="G23" s="50">
        <v>886</v>
      </c>
      <c r="H23" s="50">
        <v>1184</v>
      </c>
      <c r="I23" s="50">
        <v>1070</v>
      </c>
      <c r="N23" s="62" t="s">
        <v>261</v>
      </c>
      <c r="O23" s="50">
        <v>4287</v>
      </c>
    </row>
    <row r="24" spans="1:16" s="50" customFormat="1">
      <c r="A24" s="50" t="s">
        <v>166</v>
      </c>
      <c r="C24" s="50">
        <v>1459</v>
      </c>
      <c r="D24" s="50">
        <v>2169</v>
      </c>
      <c r="E24" s="50">
        <v>2091</v>
      </c>
      <c r="F24" s="50">
        <f t="shared" si="2"/>
        <v>1602</v>
      </c>
      <c r="G24" s="50">
        <v>1421</v>
      </c>
      <c r="H24" s="50">
        <v>1857</v>
      </c>
      <c r="I24" s="50">
        <v>1560</v>
      </c>
      <c r="N24" s="62" t="s">
        <v>261</v>
      </c>
      <c r="O24" s="50">
        <v>7321</v>
      </c>
    </row>
    <row r="25" spans="1:16" s="50" customFormat="1">
      <c r="A25" s="50" t="s">
        <v>167</v>
      </c>
      <c r="C25" s="50">
        <v>412</v>
      </c>
      <c r="D25" s="50">
        <v>703</v>
      </c>
      <c r="E25" s="50">
        <v>491</v>
      </c>
      <c r="F25" s="50">
        <f t="shared" si="2"/>
        <v>531</v>
      </c>
      <c r="G25" s="50">
        <v>354</v>
      </c>
      <c r="H25" s="50">
        <v>454</v>
      </c>
      <c r="I25" s="50">
        <v>389</v>
      </c>
      <c r="N25" s="62" t="s">
        <v>261</v>
      </c>
      <c r="O25" s="50">
        <v>2137</v>
      </c>
    </row>
    <row r="26" spans="1:16" s="50" customFormat="1">
      <c r="A26" s="50" t="s">
        <v>168</v>
      </c>
      <c r="C26" s="50">
        <v>1827</v>
      </c>
      <c r="D26" s="50">
        <v>2238</v>
      </c>
      <c r="E26" s="50">
        <v>2034</v>
      </c>
      <c r="F26" s="50">
        <f t="shared" si="2"/>
        <v>2098</v>
      </c>
      <c r="G26" s="50">
        <v>1303</v>
      </c>
      <c r="H26" s="50">
        <v>1409</v>
      </c>
      <c r="I26" s="50">
        <v>1365</v>
      </c>
      <c r="N26" s="62" t="s">
        <v>261</v>
      </c>
      <c r="O26" s="50">
        <v>8197</v>
      </c>
    </row>
    <row r="27" spans="1:16" s="50" customFormat="1">
      <c r="A27" s="50" t="s">
        <v>169</v>
      </c>
      <c r="C27" s="50">
        <v>1116</v>
      </c>
      <c r="D27" s="50">
        <v>1461</v>
      </c>
      <c r="E27" s="50">
        <v>1458</v>
      </c>
      <c r="F27" s="50">
        <f t="shared" si="2"/>
        <v>1169</v>
      </c>
      <c r="G27" s="50">
        <v>1090</v>
      </c>
      <c r="H27" s="50">
        <v>1112</v>
      </c>
      <c r="I27" s="50">
        <v>1062</v>
      </c>
      <c r="N27" s="62" t="s">
        <v>261</v>
      </c>
      <c r="O27" s="50">
        <v>5204</v>
      </c>
    </row>
    <row r="28" spans="1:16" s="63" customFormat="1">
      <c r="A28" s="63" t="s">
        <v>170</v>
      </c>
      <c r="C28" s="63">
        <f t="shared" ref="C28:H28" si="3">SUM(C22:C27)</f>
        <v>12652</v>
      </c>
      <c r="D28" s="63">
        <f t="shared" si="3"/>
        <v>17387</v>
      </c>
      <c r="E28" s="63">
        <f t="shared" si="3"/>
        <v>15801</v>
      </c>
      <c r="F28" s="63">
        <f t="shared" si="3"/>
        <v>15411</v>
      </c>
      <c r="G28" s="63">
        <f t="shared" si="3"/>
        <v>12185</v>
      </c>
      <c r="H28" s="63">
        <f t="shared" si="3"/>
        <v>15235</v>
      </c>
      <c r="I28" s="63">
        <f>SUM(I22:I27)</f>
        <v>13152</v>
      </c>
      <c r="J28" s="63">
        <f>SUM(J22:J27)</f>
        <v>0</v>
      </c>
      <c r="K28" s="63">
        <f>SUM(K22:K27)</f>
        <v>0</v>
      </c>
      <c r="L28" s="63">
        <f>SUM(L22:L27)</f>
        <v>0</v>
      </c>
      <c r="M28" s="63">
        <f>SUM(M22:M27)</f>
        <v>0</v>
      </c>
      <c r="N28" s="62" t="s">
        <v>261</v>
      </c>
      <c r="O28" s="63">
        <f>SUM(O22:O27)</f>
        <v>61251</v>
      </c>
      <c r="P28" s="63">
        <f>SUM(P22:P27)</f>
        <v>0</v>
      </c>
    </row>
    <row r="29" spans="1:16">
      <c r="N29" s="49" t="s">
        <v>261</v>
      </c>
    </row>
    <row r="30" spans="1:16" s="45" customFormat="1">
      <c r="C30" s="45" t="str">
        <f t="shared" ref="C30:D30" si="4">C3</f>
        <v>Q123</v>
      </c>
      <c r="D30" s="45" t="str">
        <f t="shared" si="4"/>
        <v>Q223</v>
      </c>
      <c r="E30" s="45" t="str">
        <f>E3</f>
        <v>Q323</v>
      </c>
      <c r="F30" s="45" t="str">
        <f t="shared" ref="F30:H30" si="5">F3</f>
        <v>Q423</v>
      </c>
      <c r="G30" s="45" t="str">
        <f t="shared" si="5"/>
        <v>Q124</v>
      </c>
      <c r="H30" s="45" t="str">
        <f t="shared" si="5"/>
        <v>Q224</v>
      </c>
      <c r="I30" s="45" t="str">
        <f>I3</f>
        <v>Q324</v>
      </c>
      <c r="J30" s="45" t="str">
        <f>J3</f>
        <v>Q424</v>
      </c>
      <c r="K30" s="45" t="str">
        <f>K3</f>
        <v>Q125</v>
      </c>
      <c r="L30" s="45" t="str">
        <f>L3</f>
        <v>Q225</v>
      </c>
      <c r="M30" s="45" t="str">
        <f>M3</f>
        <v>Q325</v>
      </c>
      <c r="N30" s="49" t="s">
        <v>261</v>
      </c>
      <c r="O30" s="45">
        <f t="shared" ref="O30:P30" si="6">O3</f>
        <v>2023</v>
      </c>
      <c r="P30" s="45">
        <f t="shared" si="6"/>
        <v>2024</v>
      </c>
    </row>
    <row r="31" spans="1:16" s="59" customFormat="1">
      <c r="A31" s="59" t="s">
        <v>159</v>
      </c>
      <c r="N31" s="60" t="s">
        <v>261</v>
      </c>
    </row>
    <row r="32" spans="1:16" s="61" customFormat="1">
      <c r="A32" s="61" t="s">
        <v>158</v>
      </c>
      <c r="C32" s="61">
        <v>11402</v>
      </c>
      <c r="D32" s="61">
        <v>16079</v>
      </c>
      <c r="E32" s="61">
        <v>14284</v>
      </c>
      <c r="F32" s="61">
        <v>13801</v>
      </c>
      <c r="G32" s="61">
        <v>10486</v>
      </c>
      <c r="H32" s="61">
        <v>13610</v>
      </c>
      <c r="I32" s="61">
        <v>11387</v>
      </c>
      <c r="N32" s="60" t="s">
        <v>261</v>
      </c>
      <c r="O32" s="61">
        <f>SUM(C32:F32)</f>
        <v>55566</v>
      </c>
      <c r="P32" s="61">
        <v>44759</v>
      </c>
    </row>
    <row r="33" spans="1:16" s="61" customFormat="1">
      <c r="A33" s="61" t="s">
        <v>160</v>
      </c>
      <c r="C33" s="61">
        <v>994</v>
      </c>
      <c r="D33" s="61">
        <v>1079</v>
      </c>
      <c r="E33" s="61">
        <v>1253</v>
      </c>
      <c r="F33" s="61">
        <v>1357</v>
      </c>
      <c r="G33" s="61">
        <v>1360</v>
      </c>
      <c r="H33" s="61">
        <v>1387</v>
      </c>
      <c r="I33" s="61">
        <v>1461</v>
      </c>
      <c r="N33" s="60" t="s">
        <v>261</v>
      </c>
      <c r="O33" s="61">
        <f>SUM(C33:F33)</f>
        <v>4683</v>
      </c>
      <c r="P33" s="61">
        <v>5759</v>
      </c>
    </row>
    <row r="34" spans="1:16" s="61" customFormat="1">
      <c r="A34" s="61" t="s">
        <v>161</v>
      </c>
      <c r="C34" s="61">
        <v>256</v>
      </c>
      <c r="D34" s="61">
        <v>229</v>
      </c>
      <c r="E34" s="61">
        <v>264</v>
      </c>
      <c r="F34" s="61">
        <v>254</v>
      </c>
      <c r="G34" s="61">
        <v>339</v>
      </c>
      <c r="H34" s="61">
        <v>238</v>
      </c>
      <c r="I34" s="61">
        <v>304</v>
      </c>
      <c r="N34" s="60" t="s">
        <v>261</v>
      </c>
      <c r="O34" s="61">
        <f>SUM(C34:F34)</f>
        <v>1003</v>
      </c>
      <c r="P34" s="61">
        <v>1198</v>
      </c>
    </row>
    <row r="35" spans="1:16" s="59" customFormat="1">
      <c r="A35" s="59" t="s">
        <v>162</v>
      </c>
      <c r="C35" s="59">
        <f t="shared" ref="C35:H35" si="7">SUM(C32:C34)</f>
        <v>12652</v>
      </c>
      <c r="D35" s="59">
        <f t="shared" si="7"/>
        <v>17387</v>
      </c>
      <c r="E35" s="59">
        <f t="shared" si="7"/>
        <v>15801</v>
      </c>
      <c r="F35" s="59">
        <f t="shared" si="7"/>
        <v>15412</v>
      </c>
      <c r="G35" s="59">
        <f t="shared" si="7"/>
        <v>12185</v>
      </c>
      <c r="H35" s="59">
        <f t="shared" si="7"/>
        <v>15235</v>
      </c>
      <c r="I35" s="59">
        <f>SUM(I32:I34)</f>
        <v>13152</v>
      </c>
      <c r="J35" s="59">
        <f>SUM(J32:J34)</f>
        <v>0</v>
      </c>
      <c r="K35" s="59">
        <f>SUM(K32:K34)</f>
        <v>0</v>
      </c>
      <c r="L35" s="59">
        <f>SUM(L32:L34)</f>
        <v>0</v>
      </c>
      <c r="M35" s="59">
        <f>SUM(M32:M34)</f>
        <v>0</v>
      </c>
      <c r="N35" s="60" t="s">
        <v>261</v>
      </c>
      <c r="O35" s="59">
        <f t="shared" ref="O35:P35" si="8">SUM(O32:O34)</f>
        <v>61252</v>
      </c>
      <c r="P35" s="59">
        <f t="shared" si="8"/>
        <v>51716</v>
      </c>
    </row>
    <row r="36" spans="1:16" s="61" customFormat="1">
      <c r="A36" s="61" t="s">
        <v>109</v>
      </c>
      <c r="C36" s="61">
        <v>7934</v>
      </c>
      <c r="D36" s="61">
        <v>10730</v>
      </c>
      <c r="E36" s="61">
        <v>9624</v>
      </c>
      <c r="F36" s="61">
        <v>9427</v>
      </c>
      <c r="G36" s="61">
        <v>7200</v>
      </c>
      <c r="H36" s="61">
        <v>9157</v>
      </c>
      <c r="I36" s="61">
        <v>7848</v>
      </c>
      <c r="N36" s="60" t="s">
        <v>261</v>
      </c>
      <c r="O36" s="61">
        <f>SUM(C36:F36)</f>
        <v>37715</v>
      </c>
      <c r="P36" s="61">
        <v>30775</v>
      </c>
    </row>
    <row r="37" spans="1:16" s="59" customFormat="1">
      <c r="A37" s="59" t="s">
        <v>171</v>
      </c>
      <c r="C37" s="59">
        <f t="shared" ref="C37:H37" si="9">C35-C36</f>
        <v>4718</v>
      </c>
      <c r="D37" s="59">
        <f t="shared" si="9"/>
        <v>6657</v>
      </c>
      <c r="E37" s="59">
        <f t="shared" si="9"/>
        <v>6177</v>
      </c>
      <c r="F37" s="59">
        <f t="shared" si="9"/>
        <v>5985</v>
      </c>
      <c r="G37" s="59">
        <f t="shared" si="9"/>
        <v>4985</v>
      </c>
      <c r="H37" s="59">
        <f t="shared" si="9"/>
        <v>6078</v>
      </c>
      <c r="I37" s="59">
        <f>I35-I36</f>
        <v>5304</v>
      </c>
      <c r="J37" s="59">
        <f>J35-J36</f>
        <v>0</v>
      </c>
      <c r="K37" s="59">
        <f>K35-K36</f>
        <v>0</v>
      </c>
      <c r="L37" s="59">
        <f>L35-L36</f>
        <v>0</v>
      </c>
      <c r="M37" s="59">
        <f>M35-M36</f>
        <v>0</v>
      </c>
      <c r="N37" s="60" t="s">
        <v>261</v>
      </c>
      <c r="O37" s="59">
        <f t="shared" ref="O37:P37" si="10">O35-O36</f>
        <v>23537</v>
      </c>
      <c r="P37" s="59">
        <f t="shared" si="10"/>
        <v>20941</v>
      </c>
    </row>
    <row r="38" spans="1:16" s="61" customFormat="1">
      <c r="A38" s="61" t="s">
        <v>266</v>
      </c>
      <c r="C38" s="61">
        <v>495</v>
      </c>
      <c r="D38" s="61">
        <v>547</v>
      </c>
      <c r="E38" s="61">
        <v>528</v>
      </c>
      <c r="F38" s="61">
        <v>606</v>
      </c>
      <c r="G38" s="61">
        <v>533</v>
      </c>
      <c r="H38" s="61">
        <v>565</v>
      </c>
      <c r="I38" s="61">
        <v>567</v>
      </c>
      <c r="N38" s="60" t="s">
        <v>261</v>
      </c>
      <c r="O38" s="61">
        <f>SUM(C38:F38)</f>
        <v>2176</v>
      </c>
      <c r="P38" s="61">
        <v>2290</v>
      </c>
    </row>
    <row r="39" spans="1:16" s="61" customFormat="1">
      <c r="A39" s="61" t="s">
        <v>173</v>
      </c>
      <c r="C39" s="61">
        <v>952</v>
      </c>
      <c r="D39" s="61">
        <v>1330</v>
      </c>
      <c r="E39" s="61">
        <v>1110</v>
      </c>
      <c r="F39" s="61">
        <v>1203</v>
      </c>
      <c r="G39" s="61">
        <v>1066</v>
      </c>
      <c r="H39" s="61">
        <v>1265</v>
      </c>
      <c r="I39" s="61">
        <v>1278</v>
      </c>
      <c r="N39" s="60" t="s">
        <v>261</v>
      </c>
      <c r="O39" s="61">
        <f>SUM(C39:F39)</f>
        <v>4595</v>
      </c>
      <c r="P39" s="61">
        <v>4840</v>
      </c>
    </row>
    <row r="40" spans="1:16" s="61" customFormat="1">
      <c r="A40" s="61" t="s">
        <v>174</v>
      </c>
      <c r="C40" s="61">
        <v>479</v>
      </c>
      <c r="D40" s="61">
        <v>569</v>
      </c>
      <c r="E40" s="61">
        <v>623</v>
      </c>
      <c r="F40" s="61">
        <v>781</v>
      </c>
      <c r="G40" s="61">
        <v>802</v>
      </c>
      <c r="H40" s="61">
        <v>836</v>
      </c>
      <c r="I40" s="61">
        <v>840</v>
      </c>
      <c r="N40" s="60" t="s">
        <v>261</v>
      </c>
      <c r="O40" s="61">
        <f>SUM(C40:F40)</f>
        <v>2452</v>
      </c>
      <c r="P40" s="61">
        <v>3348</v>
      </c>
    </row>
    <row r="41" spans="1:16" s="61" customFormat="1">
      <c r="A41" s="61" t="s">
        <v>175</v>
      </c>
      <c r="C41" s="61">
        <v>299</v>
      </c>
      <c r="D41" s="61">
        <v>363</v>
      </c>
      <c r="E41" s="61">
        <v>310</v>
      </c>
      <c r="F41" s="61">
        <v>322</v>
      </c>
      <c r="G41" s="61">
        <v>369</v>
      </c>
      <c r="H41" s="61">
        <v>295</v>
      </c>
      <c r="I41" s="61">
        <v>264</v>
      </c>
      <c r="N41" s="60" t="s">
        <v>261</v>
      </c>
      <c r="O41" s="61">
        <f>SUM(C41:F41)</f>
        <v>1294</v>
      </c>
      <c r="P41" s="61">
        <v>1257</v>
      </c>
    </row>
    <row r="42" spans="1:16" s="59" customFormat="1">
      <c r="A42" s="59" t="s">
        <v>172</v>
      </c>
      <c r="C42" s="59">
        <f t="shared" ref="C42:H42" si="11">SUM(C38:C41)+C36</f>
        <v>10159</v>
      </c>
      <c r="D42" s="59">
        <f t="shared" si="11"/>
        <v>13539</v>
      </c>
      <c r="E42" s="59">
        <f t="shared" si="11"/>
        <v>12195</v>
      </c>
      <c r="F42" s="59">
        <f t="shared" si="11"/>
        <v>12339</v>
      </c>
      <c r="G42" s="59">
        <f t="shared" si="11"/>
        <v>9970</v>
      </c>
      <c r="H42" s="59">
        <f t="shared" si="11"/>
        <v>12118</v>
      </c>
      <c r="I42" s="59">
        <f>SUM(I38:I41)+I36</f>
        <v>10797</v>
      </c>
      <c r="J42" s="59">
        <f>SUM(J38:J41)+J36</f>
        <v>0</v>
      </c>
      <c r="K42" s="59">
        <f>SUM(K38:K41)+K36</f>
        <v>0</v>
      </c>
      <c r="L42" s="59">
        <f>SUM(L38:L41)+L36</f>
        <v>0</v>
      </c>
      <c r="M42" s="59">
        <f>SUM(M38:M41)+M36</f>
        <v>0</v>
      </c>
      <c r="N42" s="60" t="s">
        <v>261</v>
      </c>
      <c r="O42" s="59">
        <f t="shared" ref="O42:P42" si="12">SUM(O38:O41)+O36</f>
        <v>48232</v>
      </c>
      <c r="P42" s="59">
        <f t="shared" si="12"/>
        <v>42510</v>
      </c>
    </row>
    <row r="43" spans="1:16" s="59" customFormat="1">
      <c r="A43" s="59" t="s">
        <v>178</v>
      </c>
      <c r="C43" s="59">
        <f t="shared" ref="C43:H43" si="13">C35-C42</f>
        <v>2493</v>
      </c>
      <c r="D43" s="59">
        <f t="shared" si="13"/>
        <v>3848</v>
      </c>
      <c r="E43" s="59">
        <f t="shared" si="13"/>
        <v>3606</v>
      </c>
      <c r="F43" s="59">
        <f t="shared" si="13"/>
        <v>3073</v>
      </c>
      <c r="G43" s="59">
        <f t="shared" si="13"/>
        <v>2215</v>
      </c>
      <c r="H43" s="59">
        <f t="shared" si="13"/>
        <v>3117</v>
      </c>
      <c r="I43" s="59">
        <f>I35-I42</f>
        <v>2355</v>
      </c>
      <c r="J43" s="59">
        <f>J35-J42</f>
        <v>0</v>
      </c>
      <c r="K43" s="59">
        <f>K35-K42</f>
        <v>0</v>
      </c>
      <c r="L43" s="59">
        <f>L35-L42</f>
        <v>0</v>
      </c>
      <c r="M43" s="59">
        <f>M35-M42</f>
        <v>0</v>
      </c>
      <c r="N43" s="60" t="s">
        <v>261</v>
      </c>
      <c r="O43" s="59">
        <f t="shared" ref="O43:P43" si="14">O35-O42</f>
        <v>13020</v>
      </c>
      <c r="P43" s="59">
        <f t="shared" si="14"/>
        <v>9206</v>
      </c>
    </row>
    <row r="44" spans="1:16" s="61" customFormat="1">
      <c r="A44" s="61" t="s">
        <v>177</v>
      </c>
      <c r="C44" s="61">
        <v>537</v>
      </c>
      <c r="D44" s="61">
        <v>991</v>
      </c>
      <c r="E44" s="61">
        <v>636</v>
      </c>
      <c r="F44" s="61">
        <v>707</v>
      </c>
      <c r="G44" s="61">
        <v>469</v>
      </c>
      <c r="H44" s="61">
        <v>751</v>
      </c>
      <c r="I44" s="61">
        <v>625</v>
      </c>
      <c r="N44" s="60" t="s">
        <v>261</v>
      </c>
      <c r="O44" s="61">
        <f>SUM(C44:F44)</f>
        <v>2871</v>
      </c>
      <c r="P44" s="61">
        <v>2094</v>
      </c>
    </row>
    <row r="45" spans="1:16" s="59" customFormat="1">
      <c r="A45" s="59" t="s">
        <v>176</v>
      </c>
      <c r="C45" s="59">
        <f t="shared" ref="C45:H45" si="15">C43-C44</f>
        <v>1956</v>
      </c>
      <c r="D45" s="59">
        <f t="shared" si="15"/>
        <v>2857</v>
      </c>
      <c r="E45" s="59">
        <f t="shared" si="15"/>
        <v>2970</v>
      </c>
      <c r="F45" s="59">
        <f t="shared" si="15"/>
        <v>2366</v>
      </c>
      <c r="G45" s="59">
        <f t="shared" si="15"/>
        <v>1746</v>
      </c>
      <c r="H45" s="59">
        <f t="shared" si="15"/>
        <v>2366</v>
      </c>
      <c r="I45" s="59">
        <f>I43-I44</f>
        <v>1730</v>
      </c>
      <c r="J45" s="59">
        <f>J43-J44</f>
        <v>0</v>
      </c>
      <c r="K45" s="59">
        <f>K43-K44</f>
        <v>0</v>
      </c>
      <c r="L45" s="59">
        <f>L43-L44</f>
        <v>0</v>
      </c>
      <c r="M45" s="59">
        <f>M43-M44</f>
        <v>0</v>
      </c>
      <c r="N45" s="60" t="s">
        <v>261</v>
      </c>
      <c r="O45" s="59">
        <f t="shared" ref="O45:P45" si="16">O43-O44</f>
        <v>10149</v>
      </c>
      <c r="P45" s="59">
        <f t="shared" si="16"/>
        <v>7112</v>
      </c>
    </row>
    <row r="46" spans="1:16" s="61" customFormat="1">
      <c r="A46" s="61" t="s">
        <v>181</v>
      </c>
      <c r="C46" s="61">
        <v>1</v>
      </c>
      <c r="D46" s="61">
        <v>2</v>
      </c>
      <c r="E46" s="61">
        <v>2</v>
      </c>
      <c r="F46" s="61">
        <v>2</v>
      </c>
      <c r="G46" s="61">
        <v>2</v>
      </c>
      <c r="H46" s="61">
        <v>2</v>
      </c>
      <c r="I46" s="61">
        <v>1</v>
      </c>
      <c r="N46" s="60" t="s">
        <v>261</v>
      </c>
      <c r="O46" s="61">
        <f>SUM(C46:F46)</f>
        <v>7</v>
      </c>
      <c r="P46" s="61">
        <v>-24</v>
      </c>
    </row>
    <row r="47" spans="1:16" s="61" customFormat="1">
      <c r="A47" s="61" t="s">
        <v>180</v>
      </c>
      <c r="C47" s="61">
        <v>-2</v>
      </c>
      <c r="D47" s="61">
        <v>-1</v>
      </c>
      <c r="E47" s="61">
        <v>-6</v>
      </c>
      <c r="F47" s="61">
        <v>-1</v>
      </c>
      <c r="G47" s="61">
        <v>-3</v>
      </c>
      <c r="H47" s="61">
        <v>-2</v>
      </c>
      <c r="I47" s="61">
        <v>-3</v>
      </c>
      <c r="N47" s="60" t="s">
        <v>261</v>
      </c>
      <c r="O47" s="61">
        <f>SUM(C47:F47)</f>
        <v>-10</v>
      </c>
      <c r="P47" s="61">
        <v>-12</v>
      </c>
    </row>
    <row r="48" spans="1:16" s="59" customFormat="1">
      <c r="A48" s="59" t="s">
        <v>179</v>
      </c>
      <c r="C48" s="59">
        <f t="shared" ref="C48:H48" si="17">C45+C46-C47</f>
        <v>1959</v>
      </c>
      <c r="D48" s="59">
        <f t="shared" si="17"/>
        <v>2860</v>
      </c>
      <c r="E48" s="59">
        <f t="shared" si="17"/>
        <v>2978</v>
      </c>
      <c r="F48" s="59">
        <f t="shared" si="17"/>
        <v>2369</v>
      </c>
      <c r="G48" s="59">
        <f t="shared" si="17"/>
        <v>1751</v>
      </c>
      <c r="H48" s="59">
        <f t="shared" si="17"/>
        <v>2370</v>
      </c>
      <c r="I48" s="59">
        <f>I45+I46-I47</f>
        <v>1734</v>
      </c>
      <c r="J48" s="59">
        <f>J45+J46-J47</f>
        <v>0</v>
      </c>
      <c r="K48" s="59">
        <f>K45+K46-K47</f>
        <v>0</v>
      </c>
      <c r="L48" s="59">
        <f>L45+L46-L47</f>
        <v>0</v>
      </c>
      <c r="M48" s="59">
        <f>M45+M46-M47</f>
        <v>0</v>
      </c>
      <c r="N48" s="60" t="s">
        <v>261</v>
      </c>
      <c r="O48" s="59">
        <f t="shared" ref="O48:P48" si="18">O45+O46-O47</f>
        <v>10166</v>
      </c>
      <c r="P48" s="59">
        <f t="shared" si="18"/>
        <v>7100</v>
      </c>
    </row>
    <row r="49" spans="1:16" s="53" customFormat="1">
      <c r="N49" s="52" t="s">
        <v>261</v>
      </c>
    </row>
    <row r="50" spans="1:16" s="51" customFormat="1">
      <c r="A50" s="51" t="s">
        <v>182</v>
      </c>
      <c r="N50" s="52" t="s">
        <v>261</v>
      </c>
    </row>
    <row r="51" spans="1:16" s="55" customFormat="1">
      <c r="A51" s="55" t="s">
        <v>183</v>
      </c>
      <c r="C51" s="55">
        <f t="shared" ref="C51:H51" si="19">C48/C57</f>
        <v>6.5826612903225801</v>
      </c>
      <c r="D51" s="55">
        <f t="shared" si="19"/>
        <v>9.6916299559471355</v>
      </c>
      <c r="E51" s="55">
        <f t="shared" si="19"/>
        <v>10.240715268225584</v>
      </c>
      <c r="F51" s="55">
        <f t="shared" si="19"/>
        <v>8.2977232924693514</v>
      </c>
      <c r="G51" s="55">
        <f t="shared" si="19"/>
        <v>6.2558056448731696</v>
      </c>
      <c r="H51" s="55">
        <f t="shared" si="19"/>
        <v>8.5621387283236992</v>
      </c>
      <c r="I51" s="55">
        <f>I48/I57</f>
        <v>6.3169398907103824</v>
      </c>
      <c r="J51" s="55" t="e">
        <f>J48/J57</f>
        <v>#DIV/0!</v>
      </c>
      <c r="K51" s="55" t="e">
        <f>K48/K57</f>
        <v>#DIV/0!</v>
      </c>
      <c r="L51" s="55" t="e">
        <f>L48/L57</f>
        <v>#DIV/0!</v>
      </c>
      <c r="M51" s="55" t="e">
        <f>M48/M57</f>
        <v>#DIV/0!</v>
      </c>
      <c r="N51" s="58" t="s">
        <v>261</v>
      </c>
      <c r="O51" s="55">
        <f t="shared" ref="O51:P51" si="20">O48/O57</f>
        <v>34.791238877481177</v>
      </c>
      <c r="P51" s="55">
        <f t="shared" si="20"/>
        <v>25.724637681159422</v>
      </c>
    </row>
    <row r="52" spans="1:16" s="55" customFormat="1">
      <c r="A52" s="55" t="s">
        <v>184</v>
      </c>
      <c r="C52" s="55">
        <f t="shared" ref="C52:H52" si="21">C48/C58</f>
        <v>6.549648946840521</v>
      </c>
      <c r="D52" s="55">
        <f t="shared" si="21"/>
        <v>9.6458684654300164</v>
      </c>
      <c r="E52" s="55">
        <f t="shared" si="21"/>
        <v>10.195138651146866</v>
      </c>
      <c r="F52" s="55">
        <f t="shared" si="21"/>
        <v>8.257232485186476</v>
      </c>
      <c r="G52" s="55">
        <f t="shared" si="21"/>
        <v>6.2290999644254708</v>
      </c>
      <c r="H52" s="55">
        <f t="shared" si="21"/>
        <v>8.5282475710687304</v>
      </c>
      <c r="I52" s="55">
        <f>I48/I58</f>
        <v>6.3146394756008739</v>
      </c>
      <c r="J52" s="55" t="e">
        <f>J48/J58</f>
        <v>#DIV/0!</v>
      </c>
      <c r="K52" s="55" t="e">
        <f>K48/K58</f>
        <v>#DIV/0!</v>
      </c>
      <c r="L52" s="55" t="e">
        <f>L48/L58</f>
        <v>#DIV/0!</v>
      </c>
      <c r="M52" s="55" t="e">
        <f>M48/M58</f>
        <v>#DIV/0!</v>
      </c>
      <c r="N52" s="58" t="s">
        <v>261</v>
      </c>
      <c r="O52" s="55">
        <f t="shared" ref="O52:P52" si="22">O48/O58</f>
        <v>34.625340599455036</v>
      </c>
      <c r="P52" s="55">
        <f t="shared" si="22"/>
        <v>25.622518946228798</v>
      </c>
    </row>
    <row r="53" spans="1:16" s="54" customFormat="1">
      <c r="A53" s="54" t="s">
        <v>185</v>
      </c>
      <c r="C53" s="54">
        <v>1.2</v>
      </c>
      <c r="D53" s="54">
        <v>1.25</v>
      </c>
      <c r="E53" s="54">
        <v>1.25</v>
      </c>
      <c r="F53" s="54">
        <v>1.35</v>
      </c>
      <c r="G53" s="54">
        <v>1.47</v>
      </c>
      <c r="H53" s="54">
        <v>1.47</v>
      </c>
      <c r="I53" s="54">
        <v>1.47</v>
      </c>
      <c r="N53" s="58" t="s">
        <v>261</v>
      </c>
      <c r="O53" s="54">
        <f>SUM(C53:F53)</f>
        <v>5.0500000000000007</v>
      </c>
      <c r="P53" s="54">
        <v>5.88</v>
      </c>
    </row>
    <row r="54" spans="1:16" s="54" customFormat="1">
      <c r="A54" s="54" t="s">
        <v>186</v>
      </c>
      <c r="C54" s="54">
        <v>1.1299999999999999</v>
      </c>
      <c r="D54" s="54">
        <v>1.2</v>
      </c>
      <c r="E54" s="54">
        <v>1.25</v>
      </c>
      <c r="F54" s="54">
        <v>1.25</v>
      </c>
      <c r="G54" s="54">
        <v>1.35</v>
      </c>
      <c r="H54" s="54">
        <v>1.47</v>
      </c>
      <c r="I54" s="54">
        <v>1.47</v>
      </c>
      <c r="N54" s="58" t="s">
        <v>261</v>
      </c>
      <c r="O54" s="54">
        <f>SUM(C54:F54)</f>
        <v>4.83</v>
      </c>
      <c r="P54" s="54">
        <v>5.76</v>
      </c>
    </row>
    <row r="55" spans="1:16" s="53" customFormat="1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2" t="s">
        <v>261</v>
      </c>
    </row>
    <row r="56" spans="1:16" s="51" customFormat="1">
      <c r="A56" s="51" t="s">
        <v>187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2" t="s">
        <v>261</v>
      </c>
    </row>
    <row r="57" spans="1:16" s="53" customFormat="1">
      <c r="A57" s="53" t="s">
        <v>183</v>
      </c>
      <c r="C57" s="54">
        <v>297.60000000000002</v>
      </c>
      <c r="D57" s="54">
        <v>295.10000000000002</v>
      </c>
      <c r="E57" s="54">
        <v>290.8</v>
      </c>
      <c r="F57" s="54">
        <v>285.5</v>
      </c>
      <c r="G57" s="54">
        <v>279.89999999999998</v>
      </c>
      <c r="H57" s="54">
        <v>276.8</v>
      </c>
      <c r="I57" s="54">
        <v>274.5</v>
      </c>
      <c r="J57" s="54"/>
      <c r="K57" s="54"/>
      <c r="L57" s="54"/>
      <c r="M57" s="54"/>
      <c r="N57" s="52" t="s">
        <v>261</v>
      </c>
      <c r="O57" s="53">
        <v>292.2</v>
      </c>
      <c r="P57" s="53">
        <v>276</v>
      </c>
    </row>
    <row r="58" spans="1:16" s="53" customFormat="1">
      <c r="A58" s="53" t="s">
        <v>184</v>
      </c>
      <c r="C58" s="54">
        <v>299.10000000000002</v>
      </c>
      <c r="D58" s="54">
        <v>296.5</v>
      </c>
      <c r="E58" s="54">
        <v>292.10000000000002</v>
      </c>
      <c r="F58" s="54">
        <v>286.89999999999998</v>
      </c>
      <c r="G58" s="54">
        <v>281.10000000000002</v>
      </c>
      <c r="H58" s="54">
        <v>277.89999999999998</v>
      </c>
      <c r="I58" s="54">
        <v>274.60000000000002</v>
      </c>
      <c r="J58" s="54"/>
      <c r="K58" s="54"/>
      <c r="L58" s="54"/>
      <c r="M58" s="54"/>
      <c r="N58" s="52" t="s">
        <v>261</v>
      </c>
      <c r="O58" s="53">
        <v>293.60000000000002</v>
      </c>
      <c r="P58" s="53">
        <v>277.10000000000002</v>
      </c>
    </row>
    <row r="59" spans="1:16">
      <c r="N59" s="49" t="s">
        <v>261</v>
      </c>
    </row>
    <row r="60" spans="1:16" s="61" customFormat="1">
      <c r="A60" s="56" t="s">
        <v>14</v>
      </c>
      <c r="B60" s="56"/>
      <c r="C60" s="61">
        <v>1957</v>
      </c>
      <c r="D60" s="61">
        <f>4815-C60</f>
        <v>2858</v>
      </c>
      <c r="E60" s="61">
        <f>7787-D60-C60</f>
        <v>2972</v>
      </c>
      <c r="F60" s="61">
        <f t="shared" ref="F60:F71" si="23">O60-E60-D60-C60</f>
        <v>2368</v>
      </c>
      <c r="G60" s="61">
        <v>1748</v>
      </c>
      <c r="H60" s="61">
        <f>4116-G60</f>
        <v>2368</v>
      </c>
      <c r="I60" s="61">
        <f>5846-H60-G60</f>
        <v>1730</v>
      </c>
      <c r="N60" s="60" t="s">
        <v>261</v>
      </c>
      <c r="O60" s="61">
        <v>10155</v>
      </c>
    </row>
    <row r="61" spans="1:16" s="61" customFormat="1">
      <c r="A61" s="56" t="s">
        <v>150</v>
      </c>
      <c r="B61" s="56"/>
      <c r="C61" s="61">
        <v>-130</v>
      </c>
      <c r="D61" s="61">
        <f>-89-C61</f>
        <v>41</v>
      </c>
      <c r="E61" s="61">
        <f>-64-D61-C61</f>
        <v>25</v>
      </c>
      <c r="F61" s="61">
        <f t="shared" si="23"/>
        <v>48</v>
      </c>
      <c r="G61" s="61">
        <v>31</v>
      </c>
      <c r="H61" s="61">
        <f>131-G61</f>
        <v>100</v>
      </c>
      <c r="I61" s="61">
        <f>222-H61-G61</f>
        <v>91</v>
      </c>
      <c r="N61" s="60" t="s">
        <v>261</v>
      </c>
      <c r="O61" s="61">
        <v>-16</v>
      </c>
    </row>
    <row r="62" spans="1:16" s="61" customFormat="1">
      <c r="A62" s="56" t="s">
        <v>16</v>
      </c>
      <c r="B62" s="56"/>
      <c r="C62" s="61">
        <v>494</v>
      </c>
      <c r="D62" s="61">
        <f>995-C62</f>
        <v>501</v>
      </c>
      <c r="E62" s="61">
        <f>1527-D62-C62</f>
        <v>532</v>
      </c>
      <c r="F62" s="61">
        <f t="shared" si="23"/>
        <v>477</v>
      </c>
      <c r="G62" s="61">
        <v>520</v>
      </c>
      <c r="H62" s="61">
        <f>1045-G62</f>
        <v>525</v>
      </c>
      <c r="I62" s="61">
        <f>1598-H62-G62</f>
        <v>553</v>
      </c>
      <c r="N62" s="60" t="s">
        <v>261</v>
      </c>
      <c r="O62" s="61">
        <v>2004</v>
      </c>
    </row>
    <row r="63" spans="1:16" s="61" customFormat="1">
      <c r="A63" s="56" t="s">
        <v>228</v>
      </c>
      <c r="B63" s="56"/>
      <c r="C63" s="61">
        <v>0</v>
      </c>
      <c r="D63" s="61">
        <v>173</v>
      </c>
      <c r="E63" s="61">
        <v>0</v>
      </c>
      <c r="F63" s="61">
        <f t="shared" si="23"/>
        <v>18</v>
      </c>
      <c r="I63" s="61">
        <f>53-H63-G63</f>
        <v>53</v>
      </c>
      <c r="N63" s="60" t="s">
        <v>261</v>
      </c>
      <c r="O63" s="61">
        <v>191</v>
      </c>
    </row>
    <row r="64" spans="1:16" s="61" customFormat="1">
      <c r="A64" s="56" t="s">
        <v>143</v>
      </c>
      <c r="B64" s="56"/>
      <c r="C64" s="61">
        <v>23</v>
      </c>
      <c r="D64" s="61">
        <f>54-C64</f>
        <v>31</v>
      </c>
      <c r="E64" s="61">
        <f>112-D64-C64</f>
        <v>58</v>
      </c>
      <c r="F64" s="61">
        <f t="shared" si="23"/>
        <v>18</v>
      </c>
      <c r="G64" s="61">
        <v>46</v>
      </c>
      <c r="H64" s="61">
        <f>104-G64</f>
        <v>58</v>
      </c>
      <c r="I64" s="61">
        <f>159-H64-G64</f>
        <v>55</v>
      </c>
      <c r="N64" s="60" t="s">
        <v>261</v>
      </c>
      <c r="O64" s="61">
        <v>130</v>
      </c>
    </row>
    <row r="65" spans="1:16" s="61" customFormat="1">
      <c r="A65" s="56" t="s">
        <v>152</v>
      </c>
      <c r="B65" s="56"/>
      <c r="C65" s="61">
        <v>-56</v>
      </c>
      <c r="D65" s="61">
        <f>+-377-C65</f>
        <v>-321</v>
      </c>
      <c r="E65" s="61">
        <f>-429-D65-C65</f>
        <v>-52</v>
      </c>
      <c r="F65" s="61">
        <f t="shared" si="23"/>
        <v>-361</v>
      </c>
      <c r="G65" s="61">
        <v>27</v>
      </c>
      <c r="H65" s="61">
        <f>-120-G65</f>
        <v>-147</v>
      </c>
      <c r="I65" s="61">
        <f>-125-H65-G65</f>
        <v>-5</v>
      </c>
      <c r="N65" s="60" t="s">
        <v>261</v>
      </c>
      <c r="O65" s="61">
        <v>-790</v>
      </c>
    </row>
    <row r="66" spans="1:16" s="61" customFormat="1">
      <c r="A66" s="56" t="s">
        <v>153</v>
      </c>
      <c r="B66" s="56"/>
      <c r="C66" s="61">
        <v>-1015</v>
      </c>
      <c r="D66" s="61">
        <f>+-4407-C66</f>
        <v>-3392</v>
      </c>
      <c r="E66" s="61">
        <f>-5059-D66-C66</f>
        <v>-652</v>
      </c>
      <c r="F66" s="61">
        <f t="shared" si="23"/>
        <v>806</v>
      </c>
      <c r="G66" s="61">
        <v>-277</v>
      </c>
      <c r="H66" s="61">
        <f>-2469-G66</f>
        <v>-2192</v>
      </c>
      <c r="I66" s="61">
        <f>-2446-H66-G66</f>
        <v>23</v>
      </c>
      <c r="N66" s="60" t="s">
        <v>261</v>
      </c>
      <c r="O66" s="61">
        <v>-4253</v>
      </c>
    </row>
    <row r="67" spans="1:16" s="61" customFormat="1">
      <c r="A67" s="56" t="s">
        <v>154</v>
      </c>
      <c r="B67" s="56"/>
      <c r="C67" s="61">
        <v>-1279</v>
      </c>
      <c r="D67" s="61">
        <f>+-982-C67</f>
        <v>297</v>
      </c>
      <c r="E67" s="61">
        <f>-663-D67-C67</f>
        <v>319</v>
      </c>
      <c r="F67" s="61">
        <f t="shared" si="23"/>
        <v>942</v>
      </c>
      <c r="G67" s="61">
        <v>-723</v>
      </c>
      <c r="H67" s="61">
        <f>-409-G67</f>
        <v>314</v>
      </c>
      <c r="I67" s="61">
        <f>234-H67-G67</f>
        <v>643</v>
      </c>
      <c r="N67" s="60" t="s">
        <v>261</v>
      </c>
      <c r="O67" s="61">
        <v>279</v>
      </c>
    </row>
    <row r="68" spans="1:16" s="61" customFormat="1">
      <c r="A68" s="56" t="s">
        <v>155</v>
      </c>
      <c r="B68" s="56"/>
      <c r="C68" s="61">
        <v>-1577</v>
      </c>
      <c r="D68" s="61">
        <f>-313-C68</f>
        <v>1264</v>
      </c>
      <c r="E68" s="61">
        <f>47-D68-C68</f>
        <v>360</v>
      </c>
      <c r="F68" s="61">
        <f t="shared" si="23"/>
        <v>783</v>
      </c>
      <c r="G68" s="61">
        <v>-2327</v>
      </c>
      <c r="H68" s="61">
        <f>-1300-G68</f>
        <v>1027</v>
      </c>
      <c r="I68" s="61">
        <f>-1015-H68-G68</f>
        <v>285</v>
      </c>
      <c r="N68" s="60" t="s">
        <v>261</v>
      </c>
      <c r="O68" s="61">
        <v>830</v>
      </c>
    </row>
    <row r="69" spans="1:16" s="61" customFormat="1">
      <c r="A69" s="56" t="s">
        <v>156</v>
      </c>
      <c r="B69" s="56"/>
      <c r="C69" s="61">
        <v>199</v>
      </c>
      <c r="D69" s="61">
        <f>-96-C69</f>
        <v>-295</v>
      </c>
      <c r="E69" s="61">
        <f>-595-D69-C69</f>
        <v>-499</v>
      </c>
      <c r="F69" s="61">
        <f t="shared" si="23"/>
        <v>572</v>
      </c>
      <c r="G69" s="61">
        <v>183</v>
      </c>
      <c r="H69" s="61">
        <f>-29-G69</f>
        <v>-212</v>
      </c>
      <c r="I69" s="61">
        <f>31-H69-G69</f>
        <v>60</v>
      </c>
      <c r="N69" s="60" t="s">
        <v>261</v>
      </c>
      <c r="O69" s="61">
        <v>-23</v>
      </c>
    </row>
    <row r="70" spans="1:16" s="61" customFormat="1">
      <c r="A70" s="56" t="s">
        <v>157</v>
      </c>
      <c r="B70" s="56"/>
      <c r="C70" s="61">
        <v>-48</v>
      </c>
      <c r="D70" s="61">
        <f>-68-C70</f>
        <v>-20</v>
      </c>
      <c r="E70" s="61">
        <f>-116-D70-C70</f>
        <v>-48</v>
      </c>
      <c r="F70" s="61">
        <f t="shared" si="23"/>
        <v>-54</v>
      </c>
      <c r="G70" s="61">
        <v>-129</v>
      </c>
      <c r="H70" s="61">
        <f>-208-G70</f>
        <v>-79</v>
      </c>
      <c r="I70" s="61">
        <f>-246-H70-G70</f>
        <v>-38</v>
      </c>
      <c r="N70" s="60" t="s">
        <v>261</v>
      </c>
      <c r="O70" s="61">
        <v>-170</v>
      </c>
    </row>
    <row r="71" spans="1:16" s="61" customFormat="1">
      <c r="A71" s="56" t="s">
        <v>71</v>
      </c>
      <c r="B71" s="56"/>
      <c r="C71" s="61">
        <v>186</v>
      </c>
      <c r="D71" s="61">
        <f>148-C71</f>
        <v>-38</v>
      </c>
      <c r="E71" s="61">
        <f>176-D71-C71</f>
        <v>28</v>
      </c>
      <c r="F71" s="61">
        <f t="shared" si="23"/>
        <v>76</v>
      </c>
      <c r="G71" s="61">
        <v>-7</v>
      </c>
      <c r="H71" s="61">
        <f>83-G71</f>
        <v>90</v>
      </c>
      <c r="I71" s="61">
        <f>-172-H71-G71</f>
        <v>-255</v>
      </c>
      <c r="N71" s="60" t="s">
        <v>261</v>
      </c>
      <c r="O71" s="61">
        <v>252</v>
      </c>
    </row>
    <row r="72" spans="1:16" s="59" customFormat="1">
      <c r="A72" s="57" t="s">
        <v>20</v>
      </c>
      <c r="B72" s="57"/>
      <c r="C72" s="59">
        <f t="shared" ref="C72:I72" si="24">SUM(C60:C71)</f>
        <v>-1246</v>
      </c>
      <c r="D72" s="59">
        <f t="shared" si="24"/>
        <v>1099</v>
      </c>
      <c r="E72" s="59">
        <f t="shared" si="24"/>
        <v>3043</v>
      </c>
      <c r="F72" s="59">
        <f t="shared" si="24"/>
        <v>5693</v>
      </c>
      <c r="G72" s="59">
        <f t="shared" si="24"/>
        <v>-908</v>
      </c>
      <c r="H72" s="59">
        <f t="shared" si="24"/>
        <v>1852</v>
      </c>
      <c r="I72" s="59">
        <f t="shared" si="24"/>
        <v>3195</v>
      </c>
      <c r="J72" s="59">
        <f t="shared" ref="J72:M72" si="25">SUM(J60:J71)</f>
        <v>0</v>
      </c>
      <c r="K72" s="59">
        <f t="shared" si="25"/>
        <v>0</v>
      </c>
      <c r="L72" s="59">
        <f t="shared" si="25"/>
        <v>0</v>
      </c>
      <c r="M72" s="59">
        <f t="shared" si="25"/>
        <v>0</v>
      </c>
      <c r="N72" s="60" t="s">
        <v>261</v>
      </c>
      <c r="O72" s="59">
        <f t="shared" ref="O72:P72" si="26">SUM(O60:O71)</f>
        <v>8589</v>
      </c>
      <c r="P72" s="59">
        <f t="shared" si="26"/>
        <v>0</v>
      </c>
    </row>
    <row r="73" spans="1:16" s="47" customFormat="1">
      <c r="N73" s="64" t="s">
        <v>261</v>
      </c>
    </row>
    <row r="74" spans="1:16" s="65" customFormat="1">
      <c r="C74" s="65" t="str">
        <f t="shared" ref="C74:D74" si="27">C30</f>
        <v>Q123</v>
      </c>
      <c r="D74" s="65" t="str">
        <f t="shared" si="27"/>
        <v>Q223</v>
      </c>
      <c r="E74" s="65" t="str">
        <f>E30</f>
        <v>Q323</v>
      </c>
      <c r="F74" s="65" t="str">
        <f t="shared" ref="F74:H74" si="28">F30</f>
        <v>Q423</v>
      </c>
      <c r="G74" s="65" t="str">
        <f t="shared" si="28"/>
        <v>Q124</v>
      </c>
      <c r="H74" s="65" t="str">
        <f t="shared" si="28"/>
        <v>Q224</v>
      </c>
      <c r="I74" s="65" t="str">
        <f>I30</f>
        <v>Q324</v>
      </c>
      <c r="J74" s="65" t="str">
        <f>J30</f>
        <v>Q424</v>
      </c>
      <c r="K74" s="65" t="str">
        <f>K30</f>
        <v>Q125</v>
      </c>
      <c r="L74" s="65" t="str">
        <f>L30</f>
        <v>Q225</v>
      </c>
      <c r="M74" s="65" t="str">
        <f>M30</f>
        <v>Q325</v>
      </c>
      <c r="N74" s="64" t="s">
        <v>261</v>
      </c>
      <c r="O74" s="65">
        <f>O30</f>
        <v>2023</v>
      </c>
      <c r="P74" s="65">
        <f>P30</f>
        <v>2024</v>
      </c>
    </row>
    <row r="75" spans="1:16" s="59" customFormat="1">
      <c r="A75" s="59" t="s">
        <v>24</v>
      </c>
      <c r="N75" s="60" t="s">
        <v>261</v>
      </c>
    </row>
    <row r="76" spans="1:16" s="61" customFormat="1">
      <c r="A76" s="61" t="s">
        <v>188</v>
      </c>
      <c r="C76" s="61">
        <v>3976</v>
      </c>
      <c r="D76" s="61">
        <v>5267</v>
      </c>
      <c r="E76" s="61">
        <v>6576</v>
      </c>
      <c r="F76" s="61">
        <v>7458</v>
      </c>
      <c r="G76" s="61">
        <v>5137</v>
      </c>
      <c r="H76" s="61">
        <v>5553</v>
      </c>
      <c r="I76" s="61">
        <v>7004</v>
      </c>
      <c r="N76" s="60" t="s">
        <v>261</v>
      </c>
      <c r="O76" s="61">
        <f t="shared" ref="O76:O83" si="29">F76</f>
        <v>7458</v>
      </c>
      <c r="P76" s="61">
        <v>7324</v>
      </c>
    </row>
    <row r="77" spans="1:16" s="61" customFormat="1">
      <c r="A77" s="61" t="s">
        <v>189</v>
      </c>
      <c r="C77" s="61">
        <v>852</v>
      </c>
      <c r="D77" s="61">
        <v>856</v>
      </c>
      <c r="E77" s="61">
        <v>841</v>
      </c>
      <c r="F77" s="61">
        <v>946</v>
      </c>
      <c r="G77" s="61">
        <v>1136</v>
      </c>
      <c r="H77" s="61">
        <v>1094</v>
      </c>
      <c r="I77" s="61">
        <v>1140</v>
      </c>
      <c r="N77" s="60" t="s">
        <v>261</v>
      </c>
      <c r="O77" s="61">
        <f t="shared" si="29"/>
        <v>946</v>
      </c>
      <c r="P77" s="61">
        <v>1154</v>
      </c>
    </row>
    <row r="78" spans="1:16" s="61" customFormat="1">
      <c r="A78" s="61" t="s">
        <v>190</v>
      </c>
      <c r="C78" s="61">
        <v>7609</v>
      </c>
      <c r="D78" s="61">
        <v>9971</v>
      </c>
      <c r="E78" s="61">
        <v>9297</v>
      </c>
      <c r="F78" s="61">
        <v>7739</v>
      </c>
      <c r="G78" s="61">
        <v>7795</v>
      </c>
      <c r="H78" s="61">
        <v>8880</v>
      </c>
      <c r="I78" s="61">
        <v>7469</v>
      </c>
      <c r="N78" s="60" t="s">
        <v>261</v>
      </c>
      <c r="O78" s="61">
        <f t="shared" si="29"/>
        <v>7739</v>
      </c>
      <c r="P78" s="61">
        <v>5326</v>
      </c>
    </row>
    <row r="79" spans="1:16" s="61" customFormat="1">
      <c r="A79" s="61" t="s">
        <v>191</v>
      </c>
      <c r="C79" s="61">
        <v>36882</v>
      </c>
      <c r="D79" s="61">
        <v>38954</v>
      </c>
      <c r="E79" s="61">
        <v>41302</v>
      </c>
      <c r="F79" s="61">
        <v>43673</v>
      </c>
      <c r="G79" s="61">
        <v>43708</v>
      </c>
      <c r="H79" s="61">
        <v>45278</v>
      </c>
      <c r="I79" s="61">
        <v>43896</v>
      </c>
      <c r="N79" s="60" t="s">
        <v>261</v>
      </c>
      <c r="O79" s="61">
        <f t="shared" si="29"/>
        <v>43673</v>
      </c>
      <c r="P79" s="61">
        <v>44309</v>
      </c>
    </row>
    <row r="80" spans="1:16" s="61" customFormat="1">
      <c r="A80" s="61" t="s">
        <v>201</v>
      </c>
      <c r="C80" s="61">
        <v>5089</v>
      </c>
      <c r="D80" s="61">
        <v>5659</v>
      </c>
      <c r="E80" s="61">
        <v>7001</v>
      </c>
      <c r="F80" s="61">
        <v>7335</v>
      </c>
      <c r="G80" s="61">
        <v>6400</v>
      </c>
      <c r="H80" s="61">
        <v>7262</v>
      </c>
      <c r="I80" s="61">
        <v>8274</v>
      </c>
      <c r="N80" s="60" t="s">
        <v>261</v>
      </c>
      <c r="O80" s="61">
        <f t="shared" si="29"/>
        <v>7335</v>
      </c>
      <c r="P80" s="61">
        <v>8723</v>
      </c>
    </row>
    <row r="81" spans="1:16" s="61" customFormat="1">
      <c r="A81" s="61" t="s">
        <v>192</v>
      </c>
      <c r="C81" s="61">
        <v>1992</v>
      </c>
      <c r="D81" s="61">
        <v>2593</v>
      </c>
      <c r="E81" s="61">
        <v>3118</v>
      </c>
      <c r="F81" s="61">
        <v>2623</v>
      </c>
      <c r="G81" s="61">
        <v>2017</v>
      </c>
      <c r="H81" s="61">
        <v>2535</v>
      </c>
      <c r="I81" s="61">
        <v>2270</v>
      </c>
      <c r="N81" s="60" t="s">
        <v>261</v>
      </c>
      <c r="O81" s="61">
        <f t="shared" si="29"/>
        <v>2623</v>
      </c>
      <c r="P81" s="61">
        <v>2545</v>
      </c>
    </row>
    <row r="82" spans="1:16" s="61" customFormat="1">
      <c r="A82" s="61" t="s">
        <v>193</v>
      </c>
      <c r="C82" s="61">
        <v>6502</v>
      </c>
      <c r="D82" s="61">
        <v>6524</v>
      </c>
      <c r="E82" s="61">
        <v>6709</v>
      </c>
      <c r="F82" s="61">
        <v>6917</v>
      </c>
      <c r="G82" s="61">
        <v>6751</v>
      </c>
      <c r="H82" s="61">
        <v>6965</v>
      </c>
      <c r="I82" s="61">
        <v>7118</v>
      </c>
      <c r="N82" s="60" t="s">
        <v>261</v>
      </c>
      <c r="O82" s="61">
        <f t="shared" si="29"/>
        <v>6917</v>
      </c>
      <c r="P82" s="61">
        <v>7451</v>
      </c>
    </row>
    <row r="83" spans="1:16" s="61" customFormat="1">
      <c r="A83" s="61" t="s">
        <v>125</v>
      </c>
      <c r="C83" s="61">
        <v>10056</v>
      </c>
      <c r="D83" s="61">
        <v>9713</v>
      </c>
      <c r="E83" s="61">
        <v>9350</v>
      </c>
      <c r="F83" s="61">
        <v>8160</v>
      </c>
      <c r="G83" s="61">
        <v>8937</v>
      </c>
      <c r="H83" s="61">
        <v>8443</v>
      </c>
      <c r="I83" s="61">
        <v>7696</v>
      </c>
      <c r="N83" s="60" t="s">
        <v>261</v>
      </c>
      <c r="O83" s="61">
        <f t="shared" si="29"/>
        <v>8160</v>
      </c>
      <c r="P83" s="61">
        <v>7093</v>
      </c>
    </row>
    <row r="84" spans="1:16" s="59" customFormat="1">
      <c r="A84" s="59" t="s">
        <v>194</v>
      </c>
      <c r="C84" s="59">
        <f t="shared" ref="C84:H84" si="30">SUM(C75:C83)</f>
        <v>72958</v>
      </c>
      <c r="D84" s="59">
        <f t="shared" si="30"/>
        <v>79537</v>
      </c>
      <c r="E84" s="59">
        <f t="shared" si="30"/>
        <v>84194</v>
      </c>
      <c r="F84" s="59">
        <f t="shared" si="30"/>
        <v>84851</v>
      </c>
      <c r="G84" s="59">
        <f t="shared" si="30"/>
        <v>81881</v>
      </c>
      <c r="H84" s="59">
        <f t="shared" si="30"/>
        <v>86010</v>
      </c>
      <c r="I84" s="59">
        <f>SUM(I75:I83)</f>
        <v>84867</v>
      </c>
      <c r="J84" s="59">
        <f>SUM(J75:J83)</f>
        <v>0</v>
      </c>
      <c r="K84" s="59">
        <f>SUM(K75:K83)</f>
        <v>0</v>
      </c>
      <c r="L84" s="59">
        <f>SUM(L75:L83)</f>
        <v>0</v>
      </c>
      <c r="M84" s="59">
        <f>SUM(M75:M83)</f>
        <v>0</v>
      </c>
      <c r="N84" s="60" t="s">
        <v>261</v>
      </c>
      <c r="O84" s="59">
        <f>SUM(O75:O83)</f>
        <v>84851</v>
      </c>
      <c r="P84" s="59">
        <f>SUM(P75:P83)</f>
        <v>83925</v>
      </c>
    </row>
    <row r="85" spans="1:16" s="61" customFormat="1">
      <c r="A85" s="61" t="s">
        <v>195</v>
      </c>
      <c r="C85" s="61">
        <v>6212</v>
      </c>
      <c r="D85" s="61">
        <v>6288</v>
      </c>
      <c r="E85" s="61">
        <v>6418</v>
      </c>
      <c r="F85" s="61">
        <v>6879</v>
      </c>
      <c r="G85" s="61">
        <v>6914</v>
      </c>
      <c r="H85" s="61">
        <v>7034</v>
      </c>
      <c r="I85" s="61">
        <v>7092</v>
      </c>
      <c r="N85" s="60" t="s">
        <v>261</v>
      </c>
      <c r="O85" s="61">
        <f t="shared" ref="O85:O91" si="31">F85</f>
        <v>6879</v>
      </c>
      <c r="P85" s="61">
        <v>7580</v>
      </c>
    </row>
    <row r="86" spans="1:16" s="61" customFormat="1">
      <c r="A86" s="61" t="s">
        <v>23</v>
      </c>
      <c r="C86" s="61">
        <v>3891</v>
      </c>
      <c r="D86" s="61">
        <v>3963</v>
      </c>
      <c r="E86" s="61">
        <v>3994</v>
      </c>
      <c r="F86" s="61">
        <v>3900</v>
      </c>
      <c r="G86" s="61">
        <v>3966</v>
      </c>
      <c r="H86" s="61">
        <v>3936</v>
      </c>
      <c r="I86" s="61">
        <v>3960</v>
      </c>
      <c r="N86" s="60" t="s">
        <v>261</v>
      </c>
      <c r="O86" s="61">
        <f t="shared" si="31"/>
        <v>3900</v>
      </c>
      <c r="P86" s="61">
        <v>3959</v>
      </c>
    </row>
    <row r="87" spans="1:16" s="61" customFormat="1">
      <c r="A87" s="61" t="s">
        <v>196</v>
      </c>
      <c r="C87" s="61">
        <v>1255</v>
      </c>
      <c r="D87" s="61">
        <v>1222</v>
      </c>
      <c r="E87" s="61">
        <v>1199</v>
      </c>
      <c r="F87" s="61">
        <v>1133</v>
      </c>
      <c r="G87" s="61">
        <v>1112</v>
      </c>
      <c r="H87" s="61">
        <v>1064</v>
      </c>
      <c r="I87" s="61">
        <v>1030</v>
      </c>
      <c r="N87" s="60" t="s">
        <v>261</v>
      </c>
      <c r="O87" s="61">
        <f t="shared" si="31"/>
        <v>1133</v>
      </c>
      <c r="P87" s="61">
        <v>999</v>
      </c>
    </row>
    <row r="88" spans="1:16" s="61" customFormat="1">
      <c r="A88" s="61" t="s">
        <v>197</v>
      </c>
      <c r="C88" s="61">
        <v>3793</v>
      </c>
      <c r="D88" s="61">
        <v>3519</v>
      </c>
      <c r="E88" s="61">
        <v>3573</v>
      </c>
      <c r="F88" s="61">
        <v>3007</v>
      </c>
      <c r="G88" s="61">
        <v>3087</v>
      </c>
      <c r="H88" s="61">
        <v>3056</v>
      </c>
      <c r="I88" s="61">
        <v>3126</v>
      </c>
      <c r="N88" s="60" t="s">
        <v>261</v>
      </c>
      <c r="O88" s="61">
        <f t="shared" si="31"/>
        <v>3007</v>
      </c>
      <c r="P88" s="61">
        <v>2921</v>
      </c>
    </row>
    <row r="89" spans="1:16" s="61" customFormat="1">
      <c r="A89" s="61" t="s">
        <v>198</v>
      </c>
      <c r="C89" s="61">
        <v>914</v>
      </c>
      <c r="D89" s="61">
        <v>1308</v>
      </c>
      <c r="E89" s="61">
        <v>1360</v>
      </c>
      <c r="F89" s="61">
        <v>1814</v>
      </c>
      <c r="G89" s="61">
        <v>1833</v>
      </c>
      <c r="H89" s="61">
        <v>1936</v>
      </c>
      <c r="I89" s="61">
        <v>1898</v>
      </c>
      <c r="N89" s="60" t="s">
        <v>261</v>
      </c>
      <c r="O89" s="61">
        <f t="shared" si="31"/>
        <v>1814</v>
      </c>
      <c r="P89" s="61">
        <v>2086</v>
      </c>
    </row>
    <row r="90" spans="1:16" s="61" customFormat="1">
      <c r="A90" s="61" t="s">
        <v>129</v>
      </c>
      <c r="C90" s="61">
        <v>2597</v>
      </c>
      <c r="D90" s="61">
        <v>2510</v>
      </c>
      <c r="E90" s="61">
        <v>2659</v>
      </c>
      <c r="F90" s="61">
        <v>2503</v>
      </c>
      <c r="G90" s="61">
        <v>2578</v>
      </c>
      <c r="H90" s="61">
        <v>2592</v>
      </c>
      <c r="I90" s="61">
        <v>2903</v>
      </c>
      <c r="N90" s="60" t="s">
        <v>261</v>
      </c>
      <c r="O90" s="61">
        <f t="shared" si="31"/>
        <v>2503</v>
      </c>
      <c r="P90" s="61">
        <v>2906</v>
      </c>
    </row>
    <row r="91" spans="1:16" s="61" customFormat="1">
      <c r="A91" s="61" t="s">
        <v>199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2965</v>
      </c>
      <c r="N91" s="60" t="s">
        <v>261</v>
      </c>
      <c r="O91" s="61">
        <f t="shared" si="31"/>
        <v>0</v>
      </c>
      <c r="P91" s="61">
        <v>2944</v>
      </c>
    </row>
    <row r="92" spans="1:16" s="59" customFormat="1">
      <c r="A92" s="59" t="s">
        <v>200</v>
      </c>
      <c r="C92" s="59">
        <f t="shared" ref="C92:I92" si="32">SUM(C84:C91)</f>
        <v>91620</v>
      </c>
      <c r="D92" s="59">
        <f t="shared" si="32"/>
        <v>98347</v>
      </c>
      <c r="E92" s="59">
        <f t="shared" si="32"/>
        <v>103397</v>
      </c>
      <c r="F92" s="59">
        <f t="shared" si="32"/>
        <v>104087</v>
      </c>
      <c r="G92" s="59">
        <f t="shared" si="32"/>
        <v>101371</v>
      </c>
      <c r="H92" s="59">
        <f t="shared" si="32"/>
        <v>105628</v>
      </c>
      <c r="I92" s="59">
        <f t="shared" si="32"/>
        <v>107841</v>
      </c>
      <c r="J92" s="59">
        <f t="shared" ref="J92:M92" si="33">SUM(J84:J91)</f>
        <v>0</v>
      </c>
      <c r="K92" s="59">
        <f t="shared" si="33"/>
        <v>0</v>
      </c>
      <c r="L92" s="59">
        <f t="shared" si="33"/>
        <v>0</v>
      </c>
      <c r="M92" s="59">
        <f t="shared" si="33"/>
        <v>0</v>
      </c>
      <c r="N92" s="60" t="s">
        <v>261</v>
      </c>
      <c r="O92" s="59">
        <f t="shared" ref="O92:P92" si="34">SUM(O84:O91)</f>
        <v>104087</v>
      </c>
      <c r="P92" s="59">
        <f t="shared" si="34"/>
        <v>107320</v>
      </c>
    </row>
    <row r="93" spans="1:16" s="61" customFormat="1">
      <c r="N93" s="60" t="s">
        <v>261</v>
      </c>
    </row>
    <row r="94" spans="1:16" s="59" customFormat="1">
      <c r="A94" s="59" t="s">
        <v>203</v>
      </c>
      <c r="N94" s="60" t="s">
        <v>261</v>
      </c>
    </row>
    <row r="95" spans="1:16" s="61" customFormat="1">
      <c r="A95" s="61" t="s">
        <v>204</v>
      </c>
      <c r="C95" s="61">
        <v>14129</v>
      </c>
      <c r="D95" s="61">
        <v>17109</v>
      </c>
      <c r="E95" s="61">
        <v>17143</v>
      </c>
      <c r="F95" s="61">
        <v>17939</v>
      </c>
      <c r="G95" s="61">
        <v>17117</v>
      </c>
      <c r="H95" s="61">
        <v>17699</v>
      </c>
      <c r="I95" s="61">
        <v>15294</v>
      </c>
      <c r="N95" s="60" t="s">
        <v>261</v>
      </c>
      <c r="O95" s="61">
        <f>F95</f>
        <v>17939</v>
      </c>
      <c r="P95" s="61">
        <v>13533</v>
      </c>
    </row>
    <row r="96" spans="1:16" s="61" customFormat="1">
      <c r="A96" s="61" t="s">
        <v>205</v>
      </c>
      <c r="C96" s="61">
        <v>4864</v>
      </c>
      <c r="D96" s="61">
        <v>5379</v>
      </c>
      <c r="E96" s="61">
        <v>6608</v>
      </c>
      <c r="F96" s="61">
        <v>6995</v>
      </c>
      <c r="G96" s="61">
        <v>6116</v>
      </c>
      <c r="H96" s="61">
        <v>6976</v>
      </c>
      <c r="I96" s="61">
        <v>7869</v>
      </c>
      <c r="N96" s="60" t="s">
        <v>261</v>
      </c>
      <c r="O96" s="61">
        <f>F96</f>
        <v>6995</v>
      </c>
      <c r="P96" s="61">
        <v>8431</v>
      </c>
    </row>
    <row r="97" spans="1:16" s="61" customFormat="1">
      <c r="A97" s="61" t="s">
        <v>206</v>
      </c>
      <c r="C97" s="61">
        <v>13108</v>
      </c>
      <c r="D97" s="61">
        <v>14716</v>
      </c>
      <c r="E97" s="61">
        <v>15340</v>
      </c>
      <c r="F97" s="61">
        <v>16130</v>
      </c>
      <c r="G97" s="61">
        <v>13361</v>
      </c>
      <c r="H97" s="61">
        <v>14609</v>
      </c>
      <c r="I97" s="61">
        <v>14397</v>
      </c>
      <c r="N97" s="60" t="s">
        <v>261</v>
      </c>
      <c r="O97" s="61">
        <f>F97</f>
        <v>16130</v>
      </c>
      <c r="P97" s="61">
        <v>14543</v>
      </c>
    </row>
    <row r="98" spans="1:16" s="61" customFormat="1">
      <c r="A98" s="61" t="s">
        <v>198</v>
      </c>
      <c r="C98" s="61">
        <v>519</v>
      </c>
      <c r="D98" s="61">
        <v>511</v>
      </c>
      <c r="E98" s="61">
        <v>506</v>
      </c>
      <c r="F98" s="61">
        <v>520</v>
      </c>
      <c r="G98" s="61">
        <v>550</v>
      </c>
      <c r="H98" s="61">
        <v>491</v>
      </c>
      <c r="I98" s="61">
        <v>481</v>
      </c>
      <c r="N98" s="60" t="s">
        <v>261</v>
      </c>
      <c r="O98" s="61">
        <f>F98</f>
        <v>520</v>
      </c>
      <c r="P98" s="61">
        <v>478</v>
      </c>
    </row>
    <row r="99" spans="1:16" s="59" customFormat="1">
      <c r="A99" s="59" t="s">
        <v>210</v>
      </c>
      <c r="C99" s="59">
        <f t="shared" ref="C99:H99" si="35">SUM(C95:C98)</f>
        <v>32620</v>
      </c>
      <c r="D99" s="59">
        <f t="shared" si="35"/>
        <v>37715</v>
      </c>
      <c r="E99" s="59">
        <f t="shared" si="35"/>
        <v>39597</v>
      </c>
      <c r="F99" s="59">
        <f t="shared" si="35"/>
        <v>41584</v>
      </c>
      <c r="G99" s="59">
        <f t="shared" si="35"/>
        <v>37144</v>
      </c>
      <c r="H99" s="59">
        <f t="shared" si="35"/>
        <v>39775</v>
      </c>
      <c r="I99" s="59">
        <f>SUM(I95:I98)</f>
        <v>38041</v>
      </c>
      <c r="J99" s="59">
        <f>SUM(J95:J98)</f>
        <v>0</v>
      </c>
      <c r="K99" s="59">
        <f>SUM(K95:K98)</f>
        <v>0</v>
      </c>
      <c r="L99" s="59">
        <f>SUM(L95:L98)</f>
        <v>0</v>
      </c>
      <c r="M99" s="59">
        <f>SUM(M95:M98)</f>
        <v>0</v>
      </c>
      <c r="N99" s="60" t="s">
        <v>261</v>
      </c>
      <c r="O99" s="59">
        <f>SUM(O95:O98)</f>
        <v>41584</v>
      </c>
      <c r="P99" s="59">
        <f>SUM(P95:P98)</f>
        <v>36985</v>
      </c>
    </row>
    <row r="100" spans="1:16" s="61" customFormat="1">
      <c r="A100" s="61" t="s">
        <v>207</v>
      </c>
      <c r="C100" s="61">
        <v>35071</v>
      </c>
      <c r="D100" s="61">
        <v>35611</v>
      </c>
      <c r="E100" s="61">
        <v>38112</v>
      </c>
      <c r="F100" s="61">
        <v>38477</v>
      </c>
      <c r="G100" s="61">
        <v>39933</v>
      </c>
      <c r="H100" s="61">
        <v>40962</v>
      </c>
      <c r="I100" s="61">
        <v>42692</v>
      </c>
      <c r="N100" s="60" t="s">
        <v>261</v>
      </c>
      <c r="O100" s="61">
        <f>F100</f>
        <v>38477</v>
      </c>
      <c r="P100" s="61">
        <v>43229</v>
      </c>
    </row>
    <row r="101" spans="1:16" s="61" customFormat="1">
      <c r="A101" s="61" t="s">
        <v>208</v>
      </c>
      <c r="C101" s="61">
        <v>2493</v>
      </c>
      <c r="D101" s="61">
        <v>2520</v>
      </c>
      <c r="E101" s="61">
        <v>2536</v>
      </c>
      <c r="F101" s="61">
        <v>2140</v>
      </c>
      <c r="G101" s="61">
        <v>2115</v>
      </c>
      <c r="H101" s="61">
        <v>2105</v>
      </c>
      <c r="I101" s="61">
        <v>2156</v>
      </c>
      <c r="N101" s="60" t="s">
        <v>261</v>
      </c>
      <c r="O101" s="61">
        <f>F101</f>
        <v>2140</v>
      </c>
      <c r="P101" s="61">
        <v>2354</v>
      </c>
    </row>
    <row r="102" spans="1:16" s="61" customFormat="1">
      <c r="A102" s="61" t="s">
        <v>209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1803</v>
      </c>
      <c r="N102" s="60" t="s">
        <v>261</v>
      </c>
      <c r="O102" s="61">
        <f>F102</f>
        <v>0</v>
      </c>
      <c r="P102" s="61">
        <v>1827</v>
      </c>
    </row>
    <row r="103" spans="1:16" s="59" customFormat="1">
      <c r="A103" s="59" t="s">
        <v>211</v>
      </c>
      <c r="C103" s="59">
        <f t="shared" ref="C103:H103" si="36">SUM(C99:C102)</f>
        <v>70184</v>
      </c>
      <c r="D103" s="59">
        <f t="shared" si="36"/>
        <v>75846</v>
      </c>
      <c r="E103" s="59">
        <f t="shared" si="36"/>
        <v>80245</v>
      </c>
      <c r="F103" s="59">
        <f t="shared" si="36"/>
        <v>82201</v>
      </c>
      <c r="G103" s="59">
        <f t="shared" si="36"/>
        <v>79192</v>
      </c>
      <c r="H103" s="59">
        <f t="shared" si="36"/>
        <v>82842</v>
      </c>
      <c r="I103" s="59">
        <f>SUM(I99:I102)</f>
        <v>84692</v>
      </c>
      <c r="J103" s="59">
        <f>SUM(J99:J102)</f>
        <v>0</v>
      </c>
      <c r="K103" s="59">
        <f>SUM(K99:K102)</f>
        <v>0</v>
      </c>
      <c r="L103" s="59">
        <f>SUM(L99:L102)</f>
        <v>0</v>
      </c>
      <c r="M103" s="59">
        <f>SUM(M99:M102)</f>
        <v>0</v>
      </c>
      <c r="N103" s="60" t="s">
        <v>261</v>
      </c>
      <c r="O103" s="59">
        <f>SUM(O99:O102)</f>
        <v>82201</v>
      </c>
      <c r="P103" s="59">
        <f>SUM(P99:P102)</f>
        <v>84395</v>
      </c>
    </row>
    <row r="104" spans="1:16" s="61" customFormat="1">
      <c r="A104" s="61" t="s">
        <v>214</v>
      </c>
      <c r="C104" s="61">
        <v>100</v>
      </c>
      <c r="D104" s="61">
        <v>102</v>
      </c>
      <c r="E104" s="61">
        <v>101</v>
      </c>
      <c r="F104" s="61">
        <v>97</v>
      </c>
      <c r="G104" s="61">
        <v>100</v>
      </c>
      <c r="H104" s="61">
        <v>98</v>
      </c>
      <c r="I104" s="61">
        <v>84</v>
      </c>
      <c r="N104" s="60" t="s">
        <v>261</v>
      </c>
      <c r="O104" s="61">
        <f>F104</f>
        <v>97</v>
      </c>
      <c r="P104" s="61">
        <v>82</v>
      </c>
    </row>
    <row r="105" spans="1:16" s="61" customFormat="1">
      <c r="N105" s="60" t="s">
        <v>261</v>
      </c>
    </row>
    <row r="106" spans="1:16" s="59" customFormat="1">
      <c r="A106" s="59" t="s">
        <v>212</v>
      </c>
      <c r="C106" s="59">
        <f t="shared" ref="C106:H106" si="37">C92-C103-C104</f>
        <v>21336</v>
      </c>
      <c r="D106" s="59">
        <f t="shared" si="37"/>
        <v>22399</v>
      </c>
      <c r="E106" s="59">
        <f t="shared" si="37"/>
        <v>23051</v>
      </c>
      <c r="F106" s="59">
        <f t="shared" si="37"/>
        <v>21789</v>
      </c>
      <c r="G106" s="59">
        <f t="shared" si="37"/>
        <v>22079</v>
      </c>
      <c r="H106" s="59">
        <f t="shared" si="37"/>
        <v>22688</v>
      </c>
      <c r="I106" s="59">
        <f>O92-I103-I104</f>
        <v>19311</v>
      </c>
      <c r="J106" s="59">
        <f>P92-J103-J104</f>
        <v>107320</v>
      </c>
      <c r="K106" s="59">
        <f>Q92-K103-K104</f>
        <v>0</v>
      </c>
      <c r="L106" s="59">
        <f>R92-L103-L104</f>
        <v>0</v>
      </c>
      <c r="M106" s="59">
        <f>S92-M103-M104</f>
        <v>0</v>
      </c>
      <c r="N106" s="60" t="s">
        <v>261</v>
      </c>
      <c r="O106" s="59">
        <f>T92-O103-O104</f>
        <v>-82298</v>
      </c>
      <c r="P106" s="59">
        <f>U92-P103-P104</f>
        <v>-84477</v>
      </c>
    </row>
    <row r="107" spans="1:16" s="59" customFormat="1">
      <c r="A107" s="59" t="s">
        <v>213</v>
      </c>
      <c r="N107" s="60" t="s">
        <v>261</v>
      </c>
    </row>
    <row r="108" spans="1:16" s="61" customFormat="1">
      <c r="A108" s="61" t="s">
        <v>215</v>
      </c>
      <c r="C108" s="61">
        <v>5191</v>
      </c>
      <c r="D108" s="61">
        <v>5227</v>
      </c>
      <c r="E108" s="61">
        <v>5272</v>
      </c>
      <c r="F108" s="61">
        <v>5303</v>
      </c>
      <c r="G108" s="61">
        <v>5335</v>
      </c>
      <c r="H108" s="61">
        <v>5391</v>
      </c>
      <c r="I108" s="61">
        <v>5441</v>
      </c>
      <c r="N108" s="60" t="s">
        <v>261</v>
      </c>
      <c r="O108" s="61">
        <f>F108</f>
        <v>5303</v>
      </c>
      <c r="P108" s="61">
        <v>5489</v>
      </c>
    </row>
    <row r="109" spans="1:16" s="61" customFormat="1">
      <c r="A109" s="61" t="s">
        <v>216</v>
      </c>
      <c r="C109" s="61">
        <v>-25333</v>
      </c>
      <c r="D109" s="61">
        <v>-26630</v>
      </c>
      <c r="E109" s="61">
        <v>-28760</v>
      </c>
      <c r="F109" s="61">
        <v>-31335</v>
      </c>
      <c r="G109" s="61">
        <v>-32663</v>
      </c>
      <c r="H109" s="61">
        <v>-33764</v>
      </c>
      <c r="I109" s="61">
        <v>-34570</v>
      </c>
      <c r="N109" s="60" t="s">
        <v>261</v>
      </c>
      <c r="O109" s="61">
        <f>F109</f>
        <v>-31335</v>
      </c>
      <c r="P109" s="61">
        <v>-35349</v>
      </c>
    </row>
    <row r="110" spans="1:16" s="61" customFormat="1">
      <c r="A110" s="61" t="s">
        <v>217</v>
      </c>
      <c r="C110" s="61">
        <v>43846</v>
      </c>
      <c r="D110" s="61">
        <v>46336</v>
      </c>
      <c r="E110" s="61">
        <v>48947</v>
      </c>
      <c r="F110" s="61">
        <v>50931</v>
      </c>
      <c r="G110" s="61">
        <v>52266</v>
      </c>
      <c r="H110" s="61">
        <v>54228</v>
      </c>
      <c r="I110" s="61">
        <v>55559</v>
      </c>
      <c r="N110" s="60" t="s">
        <v>261</v>
      </c>
      <c r="O110" s="61">
        <f>F110</f>
        <v>50931</v>
      </c>
      <c r="P110" s="61">
        <v>56402</v>
      </c>
    </row>
    <row r="111" spans="1:16" s="61" customFormat="1">
      <c r="A111" s="61" t="s">
        <v>218</v>
      </c>
      <c r="C111" s="61">
        <v>-2372</v>
      </c>
      <c r="D111" s="61">
        <v>-2538</v>
      </c>
      <c r="E111" s="61">
        <v>-2411</v>
      </c>
      <c r="F111" s="61">
        <v>-3114</v>
      </c>
      <c r="G111" s="61">
        <v>-2863</v>
      </c>
      <c r="H111" s="61">
        <v>-3171</v>
      </c>
      <c r="I111" s="61">
        <v>-3368</v>
      </c>
      <c r="N111" s="60" t="s">
        <v>261</v>
      </c>
      <c r="O111" s="61">
        <f>F111</f>
        <v>-3114</v>
      </c>
      <c r="P111" s="61">
        <v>-3706</v>
      </c>
    </row>
    <row r="112" spans="1:16" s="59" customFormat="1">
      <c r="A112" s="59" t="s">
        <v>219</v>
      </c>
      <c r="C112" s="59">
        <f t="shared" ref="C112:H112" si="38">SUM(C108:C111)</f>
        <v>21332</v>
      </c>
      <c r="D112" s="59">
        <f t="shared" si="38"/>
        <v>22395</v>
      </c>
      <c r="E112" s="59">
        <f t="shared" si="38"/>
        <v>23048</v>
      </c>
      <c r="F112" s="59">
        <f t="shared" si="38"/>
        <v>21785</v>
      </c>
      <c r="G112" s="59">
        <f t="shared" si="38"/>
        <v>22075</v>
      </c>
      <c r="H112" s="59">
        <f t="shared" si="38"/>
        <v>22684</v>
      </c>
      <c r="I112" s="59">
        <f>SUM(I108:I111)</f>
        <v>23062</v>
      </c>
      <c r="J112" s="59">
        <f>SUM(J108:J111)</f>
        <v>0</v>
      </c>
      <c r="K112" s="59">
        <f>SUM(K108:K111)</f>
        <v>0</v>
      </c>
      <c r="L112" s="59">
        <f>SUM(L108:L111)</f>
        <v>0</v>
      </c>
      <c r="M112" s="59">
        <f>SUM(M108:M111)</f>
        <v>0</v>
      </c>
      <c r="N112" s="60" t="s">
        <v>261</v>
      </c>
      <c r="O112" s="59">
        <f>SUM(O108:O111)</f>
        <v>21785</v>
      </c>
      <c r="P112" s="59">
        <f>SUM(P108:P111)</f>
        <v>22836</v>
      </c>
    </row>
    <row r="113" spans="1:16" s="61" customFormat="1">
      <c r="A113" s="61" t="s">
        <v>220</v>
      </c>
      <c r="C113" s="61">
        <v>4</v>
      </c>
      <c r="D113" s="61">
        <v>4</v>
      </c>
      <c r="E113" s="61">
        <v>3</v>
      </c>
      <c r="F113" s="61">
        <v>4</v>
      </c>
      <c r="G113" s="61">
        <v>4</v>
      </c>
      <c r="H113" s="61">
        <v>4</v>
      </c>
      <c r="I113" s="61">
        <v>3</v>
      </c>
      <c r="N113" s="60" t="s">
        <v>261</v>
      </c>
      <c r="O113" s="61">
        <f>F113</f>
        <v>4</v>
      </c>
      <c r="P113" s="61">
        <v>7</v>
      </c>
    </row>
    <row r="114" spans="1:16" s="59" customFormat="1">
      <c r="A114" s="59" t="s">
        <v>221</v>
      </c>
      <c r="C114" s="59">
        <f t="shared" ref="C114:H114" si="39">C113+C112</f>
        <v>21336</v>
      </c>
      <c r="D114" s="59">
        <f t="shared" si="39"/>
        <v>22399</v>
      </c>
      <c r="E114" s="59">
        <f t="shared" si="39"/>
        <v>23051</v>
      </c>
      <c r="F114" s="59">
        <f t="shared" si="39"/>
        <v>21789</v>
      </c>
      <c r="G114" s="59">
        <f t="shared" si="39"/>
        <v>22079</v>
      </c>
      <c r="H114" s="59">
        <f t="shared" si="39"/>
        <v>22688</v>
      </c>
      <c r="I114" s="59">
        <f>I113+I112</f>
        <v>23065</v>
      </c>
      <c r="J114" s="59">
        <f>J113+J112</f>
        <v>0</v>
      </c>
      <c r="K114" s="59">
        <f>K113+K112</f>
        <v>0</v>
      </c>
      <c r="L114" s="59">
        <f>L113+L112</f>
        <v>0</v>
      </c>
      <c r="M114" s="59">
        <f>M113+M112</f>
        <v>0</v>
      </c>
      <c r="N114" s="60" t="s">
        <v>261</v>
      </c>
      <c r="O114" s="59">
        <f>O113+O112</f>
        <v>21789</v>
      </c>
      <c r="P114" s="59">
        <f>P113+P112</f>
        <v>22843</v>
      </c>
    </row>
    <row r="115" spans="1:16" s="59" customFormat="1">
      <c r="A115" s="59" t="s">
        <v>222</v>
      </c>
      <c r="C115" s="59">
        <f>C114+C103+C104</f>
        <v>91620</v>
      </c>
      <c r="D115" s="59">
        <f t="shared" ref="D115:I115" si="40">D114+D103+D104</f>
        <v>98347</v>
      </c>
      <c r="E115" s="59">
        <f t="shared" si="40"/>
        <v>103397</v>
      </c>
      <c r="F115" s="59">
        <f t="shared" si="40"/>
        <v>104087</v>
      </c>
      <c r="G115" s="59">
        <f t="shared" si="40"/>
        <v>101371</v>
      </c>
      <c r="H115" s="59">
        <f t="shared" si="40"/>
        <v>105628</v>
      </c>
      <c r="I115" s="59">
        <f t="shared" si="40"/>
        <v>107841</v>
      </c>
      <c r="J115" s="59">
        <f t="shared" ref="J115:M115" si="41">J114+J103+J104</f>
        <v>0</v>
      </c>
      <c r="K115" s="59">
        <f t="shared" si="41"/>
        <v>0</v>
      </c>
      <c r="L115" s="59">
        <f t="shared" si="41"/>
        <v>0</v>
      </c>
      <c r="M115" s="59">
        <f t="shared" si="41"/>
        <v>0</v>
      </c>
      <c r="N115" s="60" t="s">
        <v>261</v>
      </c>
      <c r="O115" s="59">
        <f t="shared" ref="O115:P115" si="42">O114+O103+O104</f>
        <v>104087</v>
      </c>
      <c r="P115" s="59">
        <f t="shared" si="42"/>
        <v>107320</v>
      </c>
    </row>
    <row r="116" spans="1:16" s="53" customFormat="1">
      <c r="N116" s="52" t="s">
        <v>261</v>
      </c>
    </row>
    <row r="117" spans="1:16" s="51" customFormat="1">
      <c r="A117" s="51" t="s">
        <v>223</v>
      </c>
      <c r="C117" s="55">
        <f t="shared" ref="C117:I117" si="43">C103/C92</f>
        <v>0.76603361711416718</v>
      </c>
      <c r="D117" s="55">
        <f t="shared" si="43"/>
        <v>0.77120806938696651</v>
      </c>
      <c r="E117" s="55">
        <f t="shared" si="43"/>
        <v>0.77608634679923016</v>
      </c>
      <c r="F117" s="55">
        <f t="shared" si="43"/>
        <v>0.78973358824829232</v>
      </c>
      <c r="G117" s="55">
        <f t="shared" si="43"/>
        <v>0.78120961616241336</v>
      </c>
      <c r="H117" s="55">
        <f t="shared" si="43"/>
        <v>0.78428068315219446</v>
      </c>
      <c r="I117" s="55">
        <f t="shared" si="43"/>
        <v>0.7853413822201204</v>
      </c>
      <c r="J117" s="55" t="e">
        <f t="shared" ref="J117:M117" si="44">J103/J92</f>
        <v>#DIV/0!</v>
      </c>
      <c r="K117" s="55" t="e">
        <f t="shared" si="44"/>
        <v>#DIV/0!</v>
      </c>
      <c r="L117" s="55" t="e">
        <f t="shared" si="44"/>
        <v>#DIV/0!</v>
      </c>
      <c r="M117" s="55" t="e">
        <f t="shared" si="44"/>
        <v>#DIV/0!</v>
      </c>
      <c r="N117" s="52" t="s">
        <v>261</v>
      </c>
      <c r="O117" s="55">
        <f t="shared" ref="O117:P117" si="45">O103/O92</f>
        <v>0.78973358824829232</v>
      </c>
      <c r="P117" s="55">
        <f t="shared" si="45"/>
        <v>0.78638650764070073</v>
      </c>
    </row>
    <row r="118" spans="1:16" s="51" customFormat="1">
      <c r="A118" s="51" t="s">
        <v>224</v>
      </c>
      <c r="C118" s="55">
        <f t="shared" ref="C118:H118" si="46">C84/C99</f>
        <v>2.2366033108522378</v>
      </c>
      <c r="D118" s="55">
        <f t="shared" si="46"/>
        <v>2.1088956648548325</v>
      </c>
      <c r="E118" s="55">
        <f t="shared" si="46"/>
        <v>2.1262721923378032</v>
      </c>
      <c r="F118" s="55">
        <f t="shared" si="46"/>
        <v>2.0404722970373221</v>
      </c>
      <c r="G118" s="55">
        <f t="shared" si="46"/>
        <v>2.2044206332112859</v>
      </c>
      <c r="H118" s="55">
        <f t="shared" si="46"/>
        <v>2.1624135763670647</v>
      </c>
      <c r="I118" s="55">
        <f>I84/I99</f>
        <v>2.2309350437685653</v>
      </c>
      <c r="J118" s="55" t="e">
        <f>J84/J99</f>
        <v>#DIV/0!</v>
      </c>
      <c r="K118" s="55" t="e">
        <f>K84/K99</f>
        <v>#DIV/0!</v>
      </c>
      <c r="L118" s="55" t="e">
        <f>L84/L99</f>
        <v>#DIV/0!</v>
      </c>
      <c r="M118" s="55" t="e">
        <f>M84/M99</f>
        <v>#DIV/0!</v>
      </c>
      <c r="N118" s="52" t="s">
        <v>261</v>
      </c>
      <c r="O118" s="55">
        <f>O84/O99</f>
        <v>2.0404722970373221</v>
      </c>
      <c r="P118" s="55">
        <f>P84/P99</f>
        <v>2.2691631742598353</v>
      </c>
    </row>
    <row r="119" spans="1:16" s="59" customFormat="1">
      <c r="A119" s="59" t="s">
        <v>225</v>
      </c>
      <c r="C119" s="59">
        <f t="shared" ref="C119:H119" si="47">C84-C99</f>
        <v>40338</v>
      </c>
      <c r="D119" s="59">
        <f t="shared" si="47"/>
        <v>41822</v>
      </c>
      <c r="E119" s="59">
        <f t="shared" si="47"/>
        <v>44597</v>
      </c>
      <c r="F119" s="59">
        <f t="shared" si="47"/>
        <v>43267</v>
      </c>
      <c r="G119" s="59">
        <f t="shared" si="47"/>
        <v>44737</v>
      </c>
      <c r="H119" s="59">
        <f t="shared" si="47"/>
        <v>46235</v>
      </c>
      <c r="I119" s="59">
        <f>I84-I99</f>
        <v>46826</v>
      </c>
      <c r="J119" s="59">
        <f>J84-J99</f>
        <v>0</v>
      </c>
      <c r="K119" s="59">
        <f>K84-K99</f>
        <v>0</v>
      </c>
      <c r="L119" s="59">
        <f>L84-L99</f>
        <v>0</v>
      </c>
      <c r="M119" s="59">
        <f>M84-M99</f>
        <v>0</v>
      </c>
      <c r="N119" s="60" t="s">
        <v>261</v>
      </c>
      <c r="O119" s="59">
        <f>O84-O99</f>
        <v>43267</v>
      </c>
      <c r="P119" s="59">
        <f>P84-P99</f>
        <v>46940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E17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5">
      <c r="A1" s="18" t="s">
        <v>85</v>
      </c>
      <c r="B1" s="19"/>
      <c r="C1" s="19"/>
      <c r="D1" s="20"/>
      <c r="E1" s="19"/>
    </row>
    <row r="2" spans="1:5" ht="16.5">
      <c r="A2" s="21"/>
      <c r="B2" s="18" t="s">
        <v>94</v>
      </c>
      <c r="C2" s="20"/>
      <c r="D2" s="20"/>
      <c r="E2" s="20"/>
    </row>
    <row r="3" spans="1:5">
      <c r="A3" s="21"/>
      <c r="B3" s="21"/>
      <c r="C3" s="21"/>
      <c r="D3" s="21"/>
      <c r="E3" s="21"/>
    </row>
    <row r="4" spans="1:5">
      <c r="A4" s="22"/>
      <c r="B4" s="23"/>
      <c r="C4" s="23" t="s">
        <v>86</v>
      </c>
      <c r="D4" s="23" t="s">
        <v>87</v>
      </c>
      <c r="E4" s="23" t="s">
        <v>88</v>
      </c>
    </row>
    <row r="5" spans="1:5">
      <c r="A5" s="22"/>
      <c r="B5" s="24" t="s">
        <v>89</v>
      </c>
      <c r="C5" s="24" t="s">
        <v>90</v>
      </c>
      <c r="D5" s="24" t="s">
        <v>91</v>
      </c>
      <c r="E5" s="24" t="s">
        <v>92</v>
      </c>
    </row>
    <row r="6" spans="1:5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</row>
    <row r="7" spans="1:5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</row>
    <row r="8" spans="1:5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</row>
    <row r="9" spans="1:5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</row>
    <row r="10" spans="1:5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</row>
    <row r="11" spans="1:5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</row>
    <row r="12" spans="1:5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</row>
    <row r="13" spans="1:5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</row>
    <row r="14" spans="1:5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</row>
    <row r="15" spans="1:5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</row>
    <row r="17" spans="2:2">
      <c r="B17" s="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0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2" customFormat="1" ht="13">
      <c r="A11" s="42" t="s">
        <v>117</v>
      </c>
      <c r="B11" s="32" t="s">
        <v>96</v>
      </c>
      <c r="C11" s="34">
        <f>+C23</f>
        <v>15801</v>
      </c>
      <c r="D11" s="34"/>
      <c r="E11" s="34">
        <f>+E23</f>
        <v>15801</v>
      </c>
      <c r="F11" s="34"/>
      <c r="G11" s="34">
        <f t="shared" ref="G11:J11" si="6">+G23</f>
        <v>0</v>
      </c>
      <c r="H11" s="34">
        <f t="shared" si="6"/>
        <v>0</v>
      </c>
      <c r="I11" s="34"/>
      <c r="J11" s="34">
        <f t="shared" si="6"/>
        <v>13152</v>
      </c>
      <c r="K11" s="34"/>
      <c r="L11" s="33"/>
      <c r="M11" s="33"/>
      <c r="N11" s="33"/>
      <c r="O11" s="33"/>
      <c r="P11" s="33"/>
      <c r="Q11" s="33"/>
      <c r="S11" s="35">
        <f>+S14</f>
        <v>13442</v>
      </c>
      <c r="T11" s="35" t="e">
        <f>+T14</f>
        <v>#REF!</v>
      </c>
    </row>
    <row r="12" spans="1:31">
      <c r="A12" s="5"/>
      <c r="C12" s="31"/>
      <c r="D12" s="31"/>
      <c r="E12" s="31"/>
      <c r="F12" s="31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1">
        <v>6721</v>
      </c>
      <c r="D14" s="31"/>
      <c r="E14" s="31">
        <v>6721</v>
      </c>
      <c r="F14" s="31"/>
      <c r="G14" s="31"/>
      <c r="H14" s="31"/>
      <c r="I14" s="31"/>
      <c r="J14" s="31">
        <v>5038</v>
      </c>
      <c r="K14" s="31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1">
        <v>2688</v>
      </c>
      <c r="D15" s="31"/>
      <c r="E15" s="31">
        <v>2688</v>
      </c>
      <c r="F15" s="31"/>
      <c r="G15" s="31"/>
      <c r="H15" s="31"/>
      <c r="I15" s="31"/>
      <c r="J15" s="31">
        <v>2168</v>
      </c>
      <c r="K15" s="31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1">
        <v>964</v>
      </c>
      <c r="D16" s="31"/>
      <c r="E16" s="31">
        <v>964</v>
      </c>
      <c r="F16" s="31"/>
      <c r="G16" s="31"/>
      <c r="H16" s="31"/>
      <c r="I16" s="31"/>
      <c r="J16" s="31">
        <v>825</v>
      </c>
      <c r="K16" s="31"/>
      <c r="L16" s="6"/>
      <c r="M16" s="6"/>
      <c r="N16" s="6"/>
      <c r="O16" s="6"/>
      <c r="P16" s="6"/>
      <c r="Q16" s="6"/>
    </row>
    <row r="17" spans="2:31" s="3" customFormat="1">
      <c r="B17" s="14" t="s">
        <v>66</v>
      </c>
      <c r="C17" s="31">
        <v>1745</v>
      </c>
      <c r="D17" s="31"/>
      <c r="E17" s="31">
        <v>1745</v>
      </c>
      <c r="F17" s="31"/>
      <c r="G17" s="31"/>
      <c r="H17" s="31"/>
      <c r="I17" s="31"/>
      <c r="J17" s="31">
        <v>1308</v>
      </c>
      <c r="K17" s="31"/>
      <c r="L17" s="6"/>
      <c r="M17" s="6"/>
      <c r="N17" s="6"/>
      <c r="O17" s="6"/>
      <c r="P17" s="6"/>
      <c r="Q17" s="6"/>
    </row>
    <row r="18" spans="2:31" s="3" customFormat="1">
      <c r="B18" s="14" t="s">
        <v>104</v>
      </c>
      <c r="C18" s="31">
        <v>614</v>
      </c>
      <c r="D18" s="31"/>
      <c r="E18" s="31">
        <v>614</v>
      </c>
      <c r="F18" s="31"/>
      <c r="G18" s="31"/>
      <c r="H18" s="31"/>
      <c r="I18" s="31"/>
      <c r="J18" s="31">
        <v>643</v>
      </c>
      <c r="K18" s="31"/>
      <c r="L18" s="6"/>
      <c r="M18" s="6"/>
      <c r="N18" s="6"/>
      <c r="O18" s="6"/>
      <c r="P18" s="6"/>
      <c r="Q18" s="6"/>
    </row>
    <row r="19" spans="2:31" s="3" customFormat="1">
      <c r="B19" s="14" t="s">
        <v>68</v>
      </c>
      <c r="C19" s="31">
        <v>987</v>
      </c>
      <c r="D19" s="31"/>
      <c r="E19" s="31">
        <v>987</v>
      </c>
      <c r="F19" s="31"/>
      <c r="G19" s="31"/>
      <c r="H19" s="31"/>
      <c r="I19" s="31"/>
      <c r="J19" s="31">
        <v>961</v>
      </c>
      <c r="K19" s="31"/>
      <c r="L19" s="6"/>
      <c r="M19" s="6"/>
      <c r="N19" s="6"/>
      <c r="O19" s="6"/>
      <c r="P19" s="6"/>
      <c r="Q19" s="6"/>
    </row>
    <row r="20" spans="2:31" s="3" customFormat="1">
      <c r="B20" s="14" t="s">
        <v>69</v>
      </c>
      <c r="C20" s="31">
        <v>334</v>
      </c>
      <c r="D20" s="31"/>
      <c r="E20" s="31">
        <v>334</v>
      </c>
      <c r="F20" s="31"/>
      <c r="G20" s="31"/>
      <c r="H20" s="31"/>
      <c r="I20" s="31"/>
      <c r="J20" s="31">
        <v>269</v>
      </c>
      <c r="K20" s="31"/>
      <c r="L20" s="6"/>
      <c r="M20" s="6"/>
      <c r="N20" s="6"/>
      <c r="O20" s="6"/>
      <c r="P20" s="6"/>
      <c r="Q20" s="6"/>
    </row>
    <row r="21" spans="2:31" s="3" customFormat="1">
      <c r="B21" s="14" t="s">
        <v>70</v>
      </c>
      <c r="C21" s="31">
        <v>1360</v>
      </c>
      <c r="D21" s="31"/>
      <c r="E21" s="31">
        <v>1360</v>
      </c>
      <c r="F21" s="31"/>
      <c r="G21" s="31"/>
      <c r="H21" s="31"/>
      <c r="I21" s="31"/>
      <c r="J21" s="31">
        <v>1595</v>
      </c>
      <c r="K21" s="31"/>
      <c r="L21" s="6"/>
      <c r="M21" s="6"/>
      <c r="N21" s="6"/>
      <c r="O21" s="6"/>
      <c r="P21" s="6"/>
      <c r="Q21" s="6"/>
    </row>
    <row r="22" spans="2:31" s="3" customFormat="1">
      <c r="B22" s="14" t="s">
        <v>71</v>
      </c>
      <c r="C22" s="31">
        <v>388</v>
      </c>
      <c r="D22" s="31"/>
      <c r="E22" s="31">
        <v>388</v>
      </c>
      <c r="F22" s="31"/>
      <c r="G22" s="31"/>
      <c r="H22" s="31"/>
      <c r="I22" s="31"/>
      <c r="J22" s="31">
        <v>345</v>
      </c>
      <c r="K22" s="31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2:31" s="8" customFormat="1" ht="13">
      <c r="B23" s="35" t="s">
        <v>105</v>
      </c>
      <c r="C23" s="34">
        <f t="shared" ref="C23:L23" si="7">SUM(C14:C22)</f>
        <v>15801</v>
      </c>
      <c r="D23" s="34"/>
      <c r="E23" s="34">
        <f t="shared" ref="E23" si="8">SUM(E14:E22)</f>
        <v>15801</v>
      </c>
      <c r="F23" s="34"/>
      <c r="G23" s="34"/>
      <c r="H23" s="34"/>
      <c r="I23" s="34"/>
      <c r="J23" s="34">
        <f>SUM(J14:J22)</f>
        <v>13152</v>
      </c>
      <c r="K23" s="34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2:31" s="3" customFormat="1">
      <c r="B24" s="14" t="s">
        <v>106</v>
      </c>
      <c r="C24" s="31">
        <v>8698</v>
      </c>
      <c r="D24" s="31"/>
      <c r="E24" s="31">
        <v>8698</v>
      </c>
      <c r="F24" s="31"/>
      <c r="G24" s="31"/>
      <c r="H24" s="31"/>
      <c r="I24" s="31"/>
      <c r="J24" s="31">
        <v>7706</v>
      </c>
      <c r="K24" s="31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2:31" s="3" customFormat="1">
      <c r="B25" s="14" t="s">
        <v>107</v>
      </c>
      <c r="C25" s="31">
        <f>C23-C24</f>
        <v>7103</v>
      </c>
      <c r="D25" s="31"/>
      <c r="E25" s="31">
        <f>E23-E24</f>
        <v>7103</v>
      </c>
      <c r="F25" s="31"/>
      <c r="G25" s="31"/>
      <c r="H25" s="31"/>
      <c r="I25" s="31"/>
      <c r="J25" s="31">
        <f>J23-J24</f>
        <v>5446</v>
      </c>
      <c r="K25" s="31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2:31" s="8" customFormat="1" ht="13">
      <c r="B26" s="35" t="s">
        <v>108</v>
      </c>
      <c r="C26" s="34">
        <f>C25+C24</f>
        <v>15801</v>
      </c>
      <c r="D26" s="34"/>
      <c r="E26" s="34">
        <f>E25+E24</f>
        <v>15801</v>
      </c>
      <c r="F26" s="34"/>
      <c r="G26" s="34"/>
      <c r="H26" s="34"/>
      <c r="I26" s="34"/>
      <c r="J26" s="34">
        <f>J25+J24</f>
        <v>13152</v>
      </c>
      <c r="K26" s="34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2:31" s="3" customFormat="1">
      <c r="B27" s="14" t="s">
        <v>109</v>
      </c>
      <c r="C27" s="31">
        <v>9624</v>
      </c>
      <c r="D27" s="31"/>
      <c r="E27" s="31">
        <v>9624</v>
      </c>
      <c r="F27" s="31"/>
      <c r="G27" s="31"/>
      <c r="H27" s="31"/>
      <c r="I27" s="31"/>
      <c r="J27" s="31">
        <v>7848</v>
      </c>
      <c r="K27" s="31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2:31" s="3" customFormat="1">
      <c r="B28" s="14" t="s">
        <v>7</v>
      </c>
      <c r="C28" s="31">
        <f>C23-C27</f>
        <v>6177</v>
      </c>
      <c r="D28" s="31"/>
      <c r="E28" s="31">
        <f>E23-E27</f>
        <v>6177</v>
      </c>
      <c r="F28" s="31"/>
      <c r="G28" s="31"/>
      <c r="H28" s="31"/>
      <c r="I28" s="31"/>
      <c r="J28" s="31">
        <f>J23-J27</f>
        <v>5304</v>
      </c>
      <c r="K28" s="31"/>
      <c r="L28" s="31" t="e">
        <f>L23-L27</f>
        <v>#REF!</v>
      </c>
      <c r="M28" s="31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2:31" s="14" customFormat="1">
      <c r="B29" s="14" t="s">
        <v>8</v>
      </c>
      <c r="C29" s="31">
        <v>528</v>
      </c>
      <c r="D29" s="31"/>
      <c r="E29" s="31">
        <v>528</v>
      </c>
      <c r="F29" s="31"/>
      <c r="G29" s="31"/>
      <c r="H29" s="31"/>
      <c r="I29" s="31"/>
      <c r="J29" s="31">
        <v>567</v>
      </c>
      <c r="K29" s="31"/>
      <c r="L29" s="31">
        <f>+E29*1.1</f>
        <v>580.80000000000007</v>
      </c>
      <c r="M29" s="31"/>
      <c r="N29" s="31"/>
      <c r="O29" s="31"/>
      <c r="P29" s="31"/>
      <c r="Q29" s="31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2:31" s="14" customFormat="1">
      <c r="B30" s="14" t="s">
        <v>9</v>
      </c>
      <c r="C30" s="31">
        <v>1110</v>
      </c>
      <c r="D30" s="31"/>
      <c r="E30" s="31">
        <v>1110</v>
      </c>
      <c r="F30" s="31"/>
      <c r="G30" s="31"/>
      <c r="H30" s="31"/>
      <c r="I30" s="31"/>
      <c r="J30" s="31">
        <v>1278</v>
      </c>
      <c r="K30" s="31"/>
      <c r="L30" s="31">
        <f>+E30*1.1</f>
        <v>1221</v>
      </c>
      <c r="M30" s="31"/>
      <c r="N30" s="31"/>
      <c r="O30" s="31"/>
      <c r="P30" s="31"/>
      <c r="Q30" s="31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2:31" s="14" customFormat="1">
      <c r="B31" s="14" t="s">
        <v>11</v>
      </c>
      <c r="C31" s="31">
        <v>623</v>
      </c>
      <c r="D31" s="31"/>
      <c r="E31" s="31">
        <v>623</v>
      </c>
      <c r="F31" s="31"/>
      <c r="G31" s="31"/>
      <c r="H31" s="31"/>
      <c r="I31" s="31"/>
      <c r="J31" s="31">
        <v>840</v>
      </c>
      <c r="K31" s="31"/>
      <c r="L31" s="31"/>
      <c r="M31" s="31"/>
      <c r="N31" s="31"/>
      <c r="O31" s="31"/>
      <c r="P31" s="31"/>
      <c r="Q31" s="31"/>
      <c r="S31" s="14">
        <f t="shared" si="17"/>
        <v>1246</v>
      </c>
    </row>
    <row r="32" spans="2:31" s="14" customFormat="1">
      <c r="B32" s="14" t="s">
        <v>110</v>
      </c>
      <c r="C32" s="31">
        <v>310</v>
      </c>
      <c r="D32" s="31"/>
      <c r="E32" s="31">
        <v>310</v>
      </c>
      <c r="F32" s="31"/>
      <c r="G32" s="31"/>
      <c r="H32" s="31"/>
      <c r="I32" s="31"/>
      <c r="J32" s="31">
        <v>264</v>
      </c>
      <c r="K32" s="31"/>
      <c r="L32" s="31"/>
      <c r="M32" s="31"/>
      <c r="N32" s="31"/>
      <c r="O32" s="31"/>
      <c r="P32" s="31"/>
      <c r="Q32" s="31"/>
      <c r="S32" s="14">
        <f t="shared" si="17"/>
        <v>620</v>
      </c>
    </row>
    <row r="33" spans="2:31" s="14" customFormat="1">
      <c r="B33" s="14" t="s">
        <v>10</v>
      </c>
      <c r="C33" s="31">
        <f>C29+C30+C31+C32</f>
        <v>2571</v>
      </c>
      <c r="D33" s="31"/>
      <c r="E33" s="31">
        <f>E29+E30+E31+E32</f>
        <v>2571</v>
      </c>
      <c r="F33" s="31"/>
      <c r="G33" s="31"/>
      <c r="H33" s="31"/>
      <c r="I33" s="31"/>
      <c r="J33" s="31">
        <f t="shared" ref="J33:L33" si="23">J29+J30+J31+J32</f>
        <v>2949</v>
      </c>
      <c r="K33" s="31"/>
      <c r="L33" s="31">
        <f t="shared" si="23"/>
        <v>1801.8000000000002</v>
      </c>
      <c r="M33" s="31"/>
      <c r="N33" s="31"/>
      <c r="O33" s="31"/>
      <c r="P33" s="31"/>
      <c r="Q33" s="31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1">
        <f>C33+C27</f>
        <v>12195</v>
      </c>
      <c r="D34" s="31"/>
      <c r="E34" s="31">
        <f>E33+E27</f>
        <v>12195</v>
      </c>
      <c r="F34" s="31"/>
      <c r="G34" s="31"/>
      <c r="H34" s="31"/>
      <c r="I34" s="31"/>
      <c r="J34" s="31">
        <f>J33+J27</f>
        <v>10797</v>
      </c>
      <c r="K34" s="31"/>
      <c r="L34" s="31" t="e">
        <f>L33+L27</f>
        <v>#REF!</v>
      </c>
      <c r="M34" s="31"/>
      <c r="N34" s="31"/>
      <c r="O34" s="31"/>
      <c r="P34" s="31"/>
      <c r="Q34" s="31"/>
    </row>
    <row r="35" spans="2:31" s="14" customFormat="1">
      <c r="B35" s="14" t="s">
        <v>112</v>
      </c>
      <c r="C35" s="31">
        <f t="shared" ref="C35:E35" si="27">C28-C33</f>
        <v>3606</v>
      </c>
      <c r="D35" s="31"/>
      <c r="E35" s="31">
        <f t="shared" si="27"/>
        <v>3606</v>
      </c>
      <c r="F35" s="31"/>
      <c r="G35" s="31"/>
      <c r="H35" s="31"/>
      <c r="I35" s="31"/>
      <c r="J35" s="31">
        <f t="shared" ref="J35:L35" si="28">J28-J33</f>
        <v>2355</v>
      </c>
      <c r="K35" s="31"/>
      <c r="L35" s="31" t="e">
        <f t="shared" si="28"/>
        <v>#REF!</v>
      </c>
      <c r="M35" s="31"/>
      <c r="N35" s="31"/>
      <c r="O35" s="31"/>
      <c r="P35" s="31"/>
      <c r="Q35" s="31"/>
      <c r="S35" s="31">
        <f t="shared" ref="S35" si="29">S28-S33</f>
        <v>9078</v>
      </c>
      <c r="T35" s="31" t="e">
        <f t="shared" ref="T35:Z35" si="30">T28-T33</f>
        <v>#REF!</v>
      </c>
      <c r="U35" s="31" t="e">
        <f>U28-U33</f>
        <v>#REF!</v>
      </c>
      <c r="V35" s="31" t="e">
        <f t="shared" si="30"/>
        <v>#REF!</v>
      </c>
      <c r="W35" s="31" t="e">
        <f t="shared" si="30"/>
        <v>#REF!</v>
      </c>
      <c r="X35" s="31" t="e">
        <f t="shared" si="30"/>
        <v>#REF!</v>
      </c>
      <c r="Y35" s="31" t="e">
        <f t="shared" si="30"/>
        <v>#REF!</v>
      </c>
      <c r="Z35" s="31" t="e">
        <f t="shared" si="30"/>
        <v>#REF!</v>
      </c>
      <c r="AA35" s="31" t="e">
        <f t="shared" ref="AA35:AE35" si="31">AA28-AA33</f>
        <v>#REF!</v>
      </c>
      <c r="AB35" s="31" t="e">
        <f t="shared" si="31"/>
        <v>#REF!</v>
      </c>
      <c r="AC35" s="31" t="e">
        <f t="shared" si="31"/>
        <v>#REF!</v>
      </c>
      <c r="AD35" s="31" t="e">
        <f t="shared" si="31"/>
        <v>#REF!</v>
      </c>
      <c r="AE35" s="31" t="e">
        <f t="shared" si="31"/>
        <v>#REF!</v>
      </c>
    </row>
    <row r="36" spans="2:31" s="14" customFormat="1">
      <c r="B36" s="14" t="s">
        <v>12</v>
      </c>
      <c r="C36" s="31">
        <v>636</v>
      </c>
      <c r="D36" s="31"/>
      <c r="E36" s="31">
        <v>636</v>
      </c>
      <c r="F36" s="31"/>
      <c r="G36" s="31"/>
      <c r="H36" s="31"/>
      <c r="I36" s="31"/>
      <c r="J36" s="31">
        <v>625</v>
      </c>
      <c r="K36" s="31"/>
      <c r="L36" s="31" t="e">
        <f>+#REF!*0.2</f>
        <v>#REF!</v>
      </c>
      <c r="M36" s="31"/>
      <c r="N36" s="31"/>
      <c r="O36" s="31"/>
      <c r="P36" s="31"/>
      <c r="Q36" s="31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1">
        <f>C35-C36+C37</f>
        <v>2978</v>
      </c>
      <c r="D38" s="31"/>
      <c r="E38" s="31">
        <f>E35-E36+E37</f>
        <v>2978</v>
      </c>
      <c r="F38" s="31"/>
      <c r="G38" s="13"/>
      <c r="H38" s="13"/>
      <c r="I38" s="13"/>
      <c r="J38" s="31">
        <f>J35-J36+J37</f>
        <v>1734</v>
      </c>
      <c r="K38" s="31"/>
      <c r="L38" s="31" t="e">
        <f>L35-L36+L37</f>
        <v>#REF!</v>
      </c>
      <c r="M38" s="31"/>
      <c r="N38" s="13"/>
      <c r="O38" s="13"/>
      <c r="P38" s="13"/>
      <c r="Q38" s="13"/>
    </row>
    <row r="39" spans="2:31" s="15" customFormat="1">
      <c r="B39" s="15" t="s">
        <v>13</v>
      </c>
      <c r="C39" s="36">
        <f>C38/C41</f>
        <v>10.240715268225584</v>
      </c>
      <c r="D39" s="36"/>
      <c r="E39" s="36">
        <f>E38/E41</f>
        <v>10.240715268225584</v>
      </c>
      <c r="F39" s="36"/>
      <c r="G39" s="36"/>
      <c r="H39" s="36"/>
      <c r="I39" s="36"/>
      <c r="J39" s="36">
        <f>J38/J41</f>
        <v>6.3169398907103824</v>
      </c>
      <c r="K39" s="36"/>
      <c r="L39" s="36" t="e">
        <f>L38/L41</f>
        <v>#REF!</v>
      </c>
      <c r="M39" s="36"/>
      <c r="N39" s="36"/>
      <c r="O39" s="36"/>
      <c r="P39" s="36"/>
      <c r="Q39" s="36"/>
      <c r="S39" s="37" t="e">
        <f>+#REF!/S42</f>
        <v>#REF!</v>
      </c>
      <c r="T39" s="37" t="e">
        <f>+#REF!/T42</f>
        <v>#REF!</v>
      </c>
      <c r="U39" s="37" t="e">
        <f>+#REF!/U42</f>
        <v>#REF!</v>
      </c>
      <c r="V39" s="37" t="e">
        <f>+#REF!/V42</f>
        <v>#REF!</v>
      </c>
      <c r="W39" s="37" t="e">
        <f>+#REF!/W42</f>
        <v>#REF!</v>
      </c>
      <c r="X39" s="37" t="e">
        <f>+#REF!/X42</f>
        <v>#REF!</v>
      </c>
      <c r="Y39" s="37" t="e">
        <f>+#REF!/Y42</f>
        <v>#REF!</v>
      </c>
      <c r="Z39" s="37" t="e">
        <f>+#REF!/Z42</f>
        <v>#REF!</v>
      </c>
      <c r="AA39" s="37" t="e">
        <f>+#REF!/AA42</f>
        <v>#REF!</v>
      </c>
      <c r="AB39" s="37" t="e">
        <f>+#REF!/AB42</f>
        <v>#REF!</v>
      </c>
      <c r="AC39" s="37" t="e">
        <f>+#REF!/AC42</f>
        <v>#REF!</v>
      </c>
      <c r="AD39" s="37" t="e">
        <f>+#REF!/AD42</f>
        <v>#REF!</v>
      </c>
      <c r="AE39" s="37" t="e">
        <f>+#REF!/AE42</f>
        <v>#REF!</v>
      </c>
    </row>
    <row r="40" spans="2:31" s="15" customFormat="1">
      <c r="B40" s="15" t="s">
        <v>116</v>
      </c>
      <c r="C40" s="36">
        <f>C38/C42</f>
        <v>10.195138651146866</v>
      </c>
      <c r="D40" s="36"/>
      <c r="E40" s="36">
        <f>E38/E42</f>
        <v>10.195138651146866</v>
      </c>
      <c r="F40" s="36"/>
      <c r="G40" s="36"/>
      <c r="H40" s="36"/>
      <c r="I40" s="36"/>
      <c r="J40" s="36">
        <f>J38/J42</f>
        <v>6.2917271407837436</v>
      </c>
      <c r="K40" s="36"/>
      <c r="L40" s="36" t="e">
        <f>L38/L42</f>
        <v>#REF!</v>
      </c>
      <c r="M40" s="36"/>
      <c r="N40" s="36"/>
      <c r="O40" s="36"/>
      <c r="P40" s="36"/>
      <c r="Q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2:31" s="15" customFormat="1">
      <c r="B41" s="14" t="s">
        <v>1</v>
      </c>
      <c r="C41" s="31">
        <v>290.8</v>
      </c>
      <c r="D41" s="31"/>
      <c r="E41" s="31">
        <v>290.8</v>
      </c>
      <c r="F41" s="31"/>
      <c r="G41" s="36"/>
      <c r="H41" s="36"/>
      <c r="I41" s="36"/>
      <c r="J41" s="36">
        <v>274.5</v>
      </c>
      <c r="K41" s="36"/>
      <c r="L41" s="36"/>
      <c r="M41" s="36"/>
      <c r="N41" s="36"/>
      <c r="O41" s="36"/>
      <c r="P41" s="36"/>
      <c r="Q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2:31" s="14" customFormat="1">
      <c r="B42" s="14" t="s">
        <v>115</v>
      </c>
      <c r="C42" s="31">
        <v>292.10000000000002</v>
      </c>
      <c r="D42" s="31"/>
      <c r="E42" s="31">
        <v>292.10000000000002</v>
      </c>
      <c r="F42" s="31"/>
      <c r="G42" s="31"/>
      <c r="H42" s="31"/>
      <c r="I42" s="31"/>
      <c r="J42" s="31">
        <v>275.60000000000002</v>
      </c>
      <c r="K42" s="31"/>
      <c r="L42" s="31"/>
      <c r="M42" s="31"/>
      <c r="N42" s="31"/>
      <c r="O42" s="31"/>
      <c r="P42" s="31"/>
      <c r="Q42" s="31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2" customFormat="1" ht="13">
      <c r="B44" s="32" t="s">
        <v>33</v>
      </c>
      <c r="C44" s="39" t="s">
        <v>133</v>
      </c>
      <c r="D44" s="39"/>
      <c r="E44" s="39" t="s">
        <v>133</v>
      </c>
      <c r="F44" s="39"/>
      <c r="G44" s="39"/>
      <c r="H44" s="39"/>
      <c r="I44" s="39"/>
      <c r="J44" s="39">
        <f>J26/C26-1</f>
        <v>-0.16764761723941524</v>
      </c>
      <c r="K44" s="39"/>
      <c r="L44" s="39" t="e">
        <f>L26/E26-1</f>
        <v>#REF!</v>
      </c>
      <c r="M44" s="39"/>
      <c r="N44" s="39"/>
      <c r="O44" s="39"/>
      <c r="P44" s="39"/>
      <c r="Q44" s="39"/>
      <c r="S44" s="40" t="e">
        <f>+S26/#REF!-1</f>
        <v>#REF!</v>
      </c>
      <c r="T44" s="40" t="e">
        <f t="shared" ref="T44:AE44" si="39">+T26/S26-1</f>
        <v>#REF!</v>
      </c>
      <c r="U44" s="40" t="e">
        <f t="shared" si="39"/>
        <v>#REF!</v>
      </c>
      <c r="V44" s="40" t="e">
        <f t="shared" si="39"/>
        <v>#REF!</v>
      </c>
      <c r="W44" s="40" t="e">
        <f t="shared" si="39"/>
        <v>#REF!</v>
      </c>
      <c r="X44" s="40" t="e">
        <f t="shared" si="39"/>
        <v>#REF!</v>
      </c>
      <c r="Y44" s="40" t="e">
        <f t="shared" si="39"/>
        <v>#REF!</v>
      </c>
      <c r="Z44" s="40" t="e">
        <f t="shared" si="39"/>
        <v>#REF!</v>
      </c>
      <c r="AA44" s="40" t="e">
        <f t="shared" si="39"/>
        <v>#REF!</v>
      </c>
      <c r="AB44" s="40" t="e">
        <f t="shared" si="39"/>
        <v>#REF!</v>
      </c>
      <c r="AC44" s="40" t="e">
        <f t="shared" si="39"/>
        <v>#REF!</v>
      </c>
      <c r="AD44" s="40" t="e">
        <f t="shared" si="39"/>
        <v>#REF!</v>
      </c>
      <c r="AE44" s="40" t="e">
        <f t="shared" si="39"/>
        <v>#REF!</v>
      </c>
    </row>
    <row r="45" spans="2:31" s="15" customFormat="1">
      <c r="B45" s="14" t="s">
        <v>103</v>
      </c>
      <c r="C45" s="38" t="s">
        <v>133</v>
      </c>
      <c r="D45" s="38"/>
      <c r="E45" s="38" t="s">
        <v>133</v>
      </c>
      <c r="F45" s="38"/>
      <c r="G45" s="38"/>
      <c r="H45" s="38"/>
      <c r="I45" s="38"/>
      <c r="J45" s="38">
        <f t="shared" ref="J45:J53" si="40">J14/C14-1</f>
        <v>-0.25040916530278234</v>
      </c>
      <c r="K45" s="38"/>
      <c r="L45" s="38" t="e">
        <f>L14/E14-1</f>
        <v>#REF!</v>
      </c>
      <c r="M45" s="38"/>
      <c r="N45" s="38"/>
      <c r="O45" s="38"/>
      <c r="P45" s="38"/>
      <c r="Q45" s="38"/>
    </row>
    <row r="46" spans="2:31" s="15" customFormat="1">
      <c r="B46" s="14" t="s">
        <v>64</v>
      </c>
      <c r="C46" s="38" t="s">
        <v>133</v>
      </c>
      <c r="D46" s="38"/>
      <c r="E46" s="38" t="s">
        <v>133</v>
      </c>
      <c r="F46" s="38"/>
      <c r="G46" s="38"/>
      <c r="H46" s="38"/>
      <c r="I46" s="38"/>
      <c r="J46" s="38">
        <f t="shared" si="40"/>
        <v>-0.19345238095238093</v>
      </c>
      <c r="K46" s="38"/>
      <c r="L46" s="38"/>
      <c r="M46" s="38"/>
      <c r="N46" s="38"/>
      <c r="O46" s="38"/>
      <c r="P46" s="38"/>
      <c r="Q46" s="38"/>
    </row>
    <row r="47" spans="2:31" s="15" customFormat="1">
      <c r="B47" s="14" t="s">
        <v>65</v>
      </c>
      <c r="C47" s="38" t="s">
        <v>133</v>
      </c>
      <c r="D47" s="38"/>
      <c r="E47" s="38" t="s">
        <v>133</v>
      </c>
      <c r="F47" s="38"/>
      <c r="G47" s="38"/>
      <c r="H47" s="38"/>
      <c r="I47" s="38"/>
      <c r="J47" s="38">
        <f t="shared" si="40"/>
        <v>-0.14419087136929465</v>
      </c>
      <c r="K47" s="38"/>
      <c r="L47" s="38"/>
      <c r="M47" s="38"/>
      <c r="N47" s="38"/>
      <c r="O47" s="38"/>
      <c r="P47" s="38"/>
      <c r="Q47" s="38"/>
    </row>
    <row r="48" spans="2:31" s="15" customFormat="1">
      <c r="B48" s="14" t="s">
        <v>66</v>
      </c>
      <c r="C48" s="38" t="s">
        <v>133</v>
      </c>
      <c r="D48" s="38"/>
      <c r="E48" s="38" t="s">
        <v>133</v>
      </c>
      <c r="F48" s="38"/>
      <c r="G48" s="38"/>
      <c r="H48" s="38"/>
      <c r="I48" s="38"/>
      <c r="J48" s="38">
        <f t="shared" si="40"/>
        <v>-0.25042979942693411</v>
      </c>
      <c r="K48" s="38"/>
      <c r="L48" s="38"/>
      <c r="M48" s="38"/>
      <c r="N48" s="38"/>
      <c r="O48" s="38"/>
      <c r="P48" s="38"/>
      <c r="Q48" s="38"/>
    </row>
    <row r="49" spans="2:35" s="15" customFormat="1">
      <c r="B49" s="14" t="s">
        <v>104</v>
      </c>
      <c r="C49" s="38" t="s">
        <v>133</v>
      </c>
      <c r="D49" s="38"/>
      <c r="E49" s="38" t="s">
        <v>133</v>
      </c>
      <c r="F49" s="38"/>
      <c r="G49" s="38"/>
      <c r="H49" s="38"/>
      <c r="I49" s="38"/>
      <c r="J49" s="38">
        <f t="shared" si="40"/>
        <v>4.723127035830621E-2</v>
      </c>
      <c r="K49" s="38"/>
      <c r="L49" s="38"/>
      <c r="M49" s="38"/>
      <c r="N49" s="38"/>
      <c r="O49" s="38"/>
      <c r="P49" s="38"/>
      <c r="Q49" s="38"/>
    </row>
    <row r="50" spans="2:35" s="15" customFormat="1">
      <c r="B50" s="14" t="s">
        <v>68</v>
      </c>
      <c r="C50" s="38" t="s">
        <v>133</v>
      </c>
      <c r="D50" s="38"/>
      <c r="E50" s="38" t="s">
        <v>133</v>
      </c>
      <c r="F50" s="38"/>
      <c r="G50" s="38"/>
      <c r="H50" s="38"/>
      <c r="I50" s="38"/>
      <c r="J50" s="38">
        <f t="shared" si="40"/>
        <v>-2.634245187436679E-2</v>
      </c>
      <c r="K50" s="38"/>
      <c r="L50" s="38"/>
      <c r="M50" s="38"/>
      <c r="N50" s="38"/>
      <c r="O50" s="38"/>
      <c r="P50" s="38"/>
      <c r="Q50" s="38"/>
    </row>
    <row r="51" spans="2:35" s="15" customFormat="1">
      <c r="B51" s="14" t="s">
        <v>69</v>
      </c>
      <c r="C51" s="38" t="s">
        <v>133</v>
      </c>
      <c r="D51" s="38"/>
      <c r="E51" s="38" t="s">
        <v>133</v>
      </c>
      <c r="F51" s="38"/>
      <c r="G51" s="38"/>
      <c r="H51" s="38"/>
      <c r="I51" s="38"/>
      <c r="J51" s="38">
        <f t="shared" si="40"/>
        <v>-0.19461077844311381</v>
      </c>
      <c r="K51" s="38"/>
      <c r="L51" s="38"/>
      <c r="M51" s="38"/>
      <c r="N51" s="38"/>
      <c r="O51" s="38"/>
      <c r="P51" s="38"/>
      <c r="Q51" s="38"/>
    </row>
    <row r="52" spans="2:35" s="15" customFormat="1">
      <c r="B52" s="14" t="s">
        <v>70</v>
      </c>
      <c r="C52" s="38" t="s">
        <v>133</v>
      </c>
      <c r="D52" s="38"/>
      <c r="E52" s="38" t="s">
        <v>133</v>
      </c>
      <c r="F52" s="38"/>
      <c r="G52" s="38"/>
      <c r="H52" s="38"/>
      <c r="I52" s="38"/>
      <c r="J52" s="38">
        <f t="shared" si="40"/>
        <v>0.17279411764705888</v>
      </c>
      <c r="K52" s="38"/>
      <c r="L52" s="38"/>
      <c r="M52" s="38"/>
      <c r="N52" s="38"/>
      <c r="O52" s="38"/>
      <c r="P52" s="38"/>
      <c r="Q52" s="38"/>
    </row>
    <row r="53" spans="2:35" s="15" customFormat="1">
      <c r="B53" s="14" t="s">
        <v>71</v>
      </c>
      <c r="C53" s="38" t="s">
        <v>133</v>
      </c>
      <c r="D53" s="38"/>
      <c r="E53" s="38" t="s">
        <v>133</v>
      </c>
      <c r="F53" s="38"/>
      <c r="G53" s="38"/>
      <c r="H53" s="38"/>
      <c r="I53" s="38"/>
      <c r="J53" s="38">
        <f t="shared" si="40"/>
        <v>-0.11082474226804129</v>
      </c>
      <c r="K53" s="38"/>
      <c r="L53" s="38"/>
      <c r="M53" s="38"/>
      <c r="N53" s="38"/>
      <c r="O53" s="38"/>
      <c r="P53" s="38"/>
      <c r="Q53" s="38"/>
    </row>
    <row r="54" spans="2:35" s="15" customFormat="1">
      <c r="B54" s="15" t="s">
        <v>7</v>
      </c>
      <c r="C54" s="38" t="s">
        <v>133</v>
      </c>
      <c r="D54" s="38"/>
      <c r="E54" s="38" t="s">
        <v>133</v>
      </c>
      <c r="F54" s="38"/>
      <c r="G54" s="38"/>
      <c r="H54" s="38"/>
      <c r="I54" s="38"/>
      <c r="J54" s="38">
        <f>+J28/J26</f>
        <v>0.40328467153284669</v>
      </c>
      <c r="K54" s="38"/>
      <c r="L54" s="38" t="e">
        <f>+L28/L26</f>
        <v>#REF!</v>
      </c>
      <c r="M54" s="38"/>
      <c r="N54" s="38"/>
      <c r="O54" s="38"/>
      <c r="P54" s="38"/>
      <c r="Q54" s="38"/>
      <c r="S54" s="38">
        <f t="shared" ref="S54:AE54" si="41">+S28/S26</f>
        <v>0.24130791468083443</v>
      </c>
      <c r="T54" s="38" t="e">
        <f t="shared" si="41"/>
        <v>#REF!</v>
      </c>
      <c r="U54" s="38" t="e">
        <f t="shared" si="41"/>
        <v>#REF!</v>
      </c>
      <c r="V54" s="38" t="e">
        <f t="shared" si="41"/>
        <v>#REF!</v>
      </c>
      <c r="W54" s="38" t="e">
        <f t="shared" si="41"/>
        <v>#REF!</v>
      </c>
      <c r="X54" s="38" t="e">
        <f t="shared" si="41"/>
        <v>#REF!</v>
      </c>
      <c r="Y54" s="38" t="e">
        <f t="shared" si="41"/>
        <v>#REF!</v>
      </c>
      <c r="Z54" s="38" t="e">
        <f t="shared" si="41"/>
        <v>#REF!</v>
      </c>
      <c r="AA54" s="38" t="e">
        <f t="shared" si="41"/>
        <v>#REF!</v>
      </c>
      <c r="AB54" s="38" t="e">
        <f t="shared" si="41"/>
        <v>#REF!</v>
      </c>
      <c r="AC54" s="38" t="e">
        <f t="shared" si="41"/>
        <v>#REF!</v>
      </c>
      <c r="AD54" s="38" t="e">
        <f t="shared" si="41"/>
        <v>#REF!</v>
      </c>
      <c r="AE54" s="38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1">
        <f t="shared" ref="C57:Q57" si="42">C38</f>
        <v>2978</v>
      </c>
      <c r="D57" s="31"/>
      <c r="E57" s="31">
        <f t="shared" ref="E57" si="43">E38</f>
        <v>2978</v>
      </c>
      <c r="F57" s="31"/>
      <c r="G57" s="31">
        <f t="shared" si="42"/>
        <v>0</v>
      </c>
      <c r="H57" s="31">
        <f t="shared" si="42"/>
        <v>0</v>
      </c>
      <c r="I57" s="31"/>
      <c r="J57" s="31">
        <f t="shared" si="42"/>
        <v>1734</v>
      </c>
      <c r="K57" s="31"/>
      <c r="L57" s="31" t="e">
        <f t="shared" si="42"/>
        <v>#REF!</v>
      </c>
      <c r="M57" s="31"/>
      <c r="N57" s="31">
        <f t="shared" si="42"/>
        <v>0</v>
      </c>
      <c r="O57" s="31">
        <f t="shared" si="42"/>
        <v>0</v>
      </c>
      <c r="P57" s="31">
        <f t="shared" si="42"/>
        <v>0</v>
      </c>
      <c r="Q57" s="31">
        <f t="shared" si="42"/>
        <v>0</v>
      </c>
      <c r="AF57" s="15" t="s">
        <v>47</v>
      </c>
      <c r="AG57" s="41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1"/>
      <c r="K58" s="31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1"/>
      <c r="K59" s="31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1"/>
      <c r="K60" s="31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1"/>
      <c r="K61" s="31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1"/>
      <c r="K62" s="31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1"/>
      <c r="K63" s="31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1"/>
      <c r="K64" s="31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1"/>
      <c r="K65" s="31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1"/>
      <c r="K66" s="31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1"/>
      <c r="K67" s="31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1"/>
      <c r="K68" s="31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1"/>
      <c r="K69" s="31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1">
        <f>SUM(J58:J69)</f>
        <v>0</v>
      </c>
      <c r="K70" s="31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AF74" s="15" t="s">
        <v>50</v>
      </c>
      <c r="AG74" s="44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1">
        <f t="shared" ref="C87:H87" si="45">C88-C104-C105-C108</f>
        <v>-54446</v>
      </c>
      <c r="D87" s="31"/>
      <c r="E87" s="31">
        <f t="shared" si="45"/>
        <v>-54446</v>
      </c>
      <c r="F87" s="31"/>
      <c r="G87" s="31">
        <f t="shared" si="45"/>
        <v>0</v>
      </c>
      <c r="H87" s="31">
        <f t="shared" si="45"/>
        <v>0</v>
      </c>
      <c r="I87" s="31"/>
      <c r="J87" s="31">
        <f>J88-J104-J105-J108</f>
        <v>-57711</v>
      </c>
      <c r="K87" s="31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1">
        <f>6576+841</f>
        <v>7417</v>
      </c>
      <c r="D88" s="31"/>
      <c r="E88" s="31">
        <f>6576+841</f>
        <v>7417</v>
      </c>
      <c r="F88" s="31"/>
      <c r="G88" s="31"/>
      <c r="H88" s="31"/>
      <c r="I88" s="31"/>
      <c r="J88" s="31">
        <f>7004+1140</f>
        <v>8144</v>
      </c>
      <c r="K88" s="31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1">
        <v>9297</v>
      </c>
      <c r="D89" s="31"/>
      <c r="E89" s="31">
        <v>9297</v>
      </c>
      <c r="F89" s="31"/>
      <c r="G89" s="31"/>
      <c r="H89" s="31"/>
      <c r="I89" s="31"/>
      <c r="J89" s="31">
        <v>7469</v>
      </c>
      <c r="K89" s="31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1">
        <v>41302</v>
      </c>
      <c r="D90" s="31"/>
      <c r="E90" s="31">
        <v>41302</v>
      </c>
      <c r="F90" s="31"/>
      <c r="G90" s="31"/>
      <c r="H90" s="31"/>
      <c r="I90" s="31"/>
      <c r="J90" s="31">
        <v>43869</v>
      </c>
      <c r="K90" s="31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1">
        <v>7001</v>
      </c>
      <c r="D91" s="31"/>
      <c r="E91" s="31">
        <v>7001</v>
      </c>
      <c r="F91" s="31"/>
      <c r="G91" s="31"/>
      <c r="H91" s="31"/>
      <c r="I91" s="31"/>
      <c r="J91" s="31">
        <v>8274</v>
      </c>
      <c r="K91" s="31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1">
        <v>3118</v>
      </c>
      <c r="D92" s="31"/>
      <c r="E92" s="31">
        <v>3118</v>
      </c>
      <c r="F92" s="31"/>
      <c r="G92" s="31"/>
      <c r="H92" s="31"/>
      <c r="I92" s="31"/>
      <c r="J92" s="31">
        <v>2270</v>
      </c>
      <c r="K92" s="31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1">
        <v>6709</v>
      </c>
      <c r="D93" s="31"/>
      <c r="E93" s="31">
        <v>6709</v>
      </c>
      <c r="F93" s="31"/>
      <c r="G93" s="31"/>
      <c r="H93" s="31"/>
      <c r="I93" s="31"/>
      <c r="J93" s="31">
        <v>7118</v>
      </c>
      <c r="K93" s="31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1">
        <v>9350</v>
      </c>
      <c r="D94" s="31"/>
      <c r="E94" s="31">
        <v>9350</v>
      </c>
      <c r="F94" s="31"/>
      <c r="G94" s="31"/>
      <c r="H94" s="31"/>
      <c r="I94" s="31"/>
      <c r="J94" s="31">
        <v>7696</v>
      </c>
      <c r="K94" s="31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1">
        <v>6418</v>
      </c>
      <c r="D95" s="31"/>
      <c r="E95" s="31">
        <v>6418</v>
      </c>
      <c r="F95" s="31"/>
      <c r="G95" s="31"/>
      <c r="H95" s="31"/>
      <c r="I95" s="31"/>
      <c r="J95" s="31">
        <v>7092</v>
      </c>
      <c r="K95" s="31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1">
        <v>3994</v>
      </c>
      <c r="D96" s="31"/>
      <c r="E96" s="31">
        <v>3994</v>
      </c>
      <c r="F96" s="31"/>
      <c r="G96" s="31"/>
      <c r="H96" s="31"/>
      <c r="I96" s="31"/>
      <c r="J96" s="31">
        <v>3960</v>
      </c>
      <c r="K96" s="31"/>
      <c r="L96" s="6"/>
      <c r="M96" s="6"/>
      <c r="N96" s="6"/>
      <c r="O96" s="6"/>
      <c r="P96" s="6"/>
      <c r="Q96" s="6"/>
    </row>
    <row r="97" spans="2:10" s="3" customFormat="1">
      <c r="B97" s="14" t="s">
        <v>126</v>
      </c>
      <c r="C97" s="31">
        <v>1199</v>
      </c>
      <c r="D97" s="31"/>
      <c r="E97" s="31">
        <v>1199</v>
      </c>
      <c r="F97" s="31"/>
      <c r="G97" s="31"/>
      <c r="H97" s="31"/>
      <c r="I97" s="31"/>
      <c r="J97" s="31">
        <v>1030</v>
      </c>
    </row>
    <row r="98" spans="2:10" s="3" customFormat="1">
      <c r="B98" s="14" t="s">
        <v>127</v>
      </c>
      <c r="C98" s="31">
        <v>3573</v>
      </c>
      <c r="D98" s="31"/>
      <c r="E98" s="31">
        <v>3573</v>
      </c>
      <c r="F98" s="31"/>
      <c r="G98" s="31"/>
      <c r="H98" s="31"/>
      <c r="I98" s="31"/>
      <c r="J98" s="31">
        <v>3126</v>
      </c>
    </row>
    <row r="99" spans="2:10" s="3" customFormat="1">
      <c r="B99" s="14" t="s">
        <v>128</v>
      </c>
      <c r="C99" s="31">
        <v>1360</v>
      </c>
      <c r="D99" s="31"/>
      <c r="E99" s="31">
        <v>1360</v>
      </c>
      <c r="F99" s="31"/>
      <c r="G99" s="31"/>
      <c r="H99" s="31"/>
      <c r="I99" s="31"/>
      <c r="J99" s="31">
        <v>1898</v>
      </c>
    </row>
    <row r="100" spans="2:10" s="3" customFormat="1">
      <c r="B100" s="14" t="s">
        <v>129</v>
      </c>
      <c r="C100" s="31">
        <v>2659</v>
      </c>
      <c r="D100" s="31"/>
      <c r="E100" s="31">
        <v>2659</v>
      </c>
      <c r="F100" s="31"/>
      <c r="G100" s="31"/>
      <c r="H100" s="31"/>
      <c r="I100" s="31"/>
      <c r="J100" s="31">
        <v>2903</v>
      </c>
    </row>
    <row r="101" spans="2:10" s="3" customFormat="1">
      <c r="B101" s="14" t="s">
        <v>130</v>
      </c>
      <c r="G101" s="31"/>
      <c r="H101" s="31"/>
      <c r="I101" s="31"/>
      <c r="J101" s="31">
        <v>2965</v>
      </c>
    </row>
    <row r="102" spans="2:10" s="3" customFormat="1">
      <c r="B102" s="14" t="s">
        <v>24</v>
      </c>
      <c r="C102" s="31">
        <f>SUM(C88:C100)</f>
        <v>103397</v>
      </c>
      <c r="D102" s="31"/>
      <c r="E102" s="31">
        <f>SUM(E88:E100)</f>
        <v>103397</v>
      </c>
      <c r="F102" s="31"/>
      <c r="G102" s="31">
        <f t="shared" ref="G102:J102" si="46">SUM(G88:G101)</f>
        <v>0</v>
      </c>
      <c r="H102" s="31">
        <f t="shared" si="46"/>
        <v>0</v>
      </c>
      <c r="I102" s="31"/>
      <c r="J102" s="31">
        <f t="shared" si="46"/>
        <v>107814</v>
      </c>
    </row>
    <row r="103" spans="2:10">
      <c r="G103" s="6"/>
      <c r="H103" s="6"/>
      <c r="I103" s="6"/>
    </row>
    <row r="104" spans="2:10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</row>
    <row r="105" spans="2:10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</row>
    <row r="106" spans="2:10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</row>
    <row r="107" spans="2:10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</row>
    <row r="108" spans="2:10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</row>
    <row r="109" spans="2:10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</row>
    <row r="110" spans="2:10" s="15" customFormat="1">
      <c r="B110" s="15" t="s">
        <v>140</v>
      </c>
      <c r="C110" s="13"/>
      <c r="D110" s="13"/>
      <c r="E110" s="13"/>
      <c r="F110" s="13"/>
      <c r="G110" s="31"/>
      <c r="H110" s="31"/>
      <c r="I110" s="31"/>
      <c r="J110" s="13">
        <v>1803</v>
      </c>
    </row>
    <row r="111" spans="2:10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1"/>
      <c r="H111" s="31"/>
      <c r="I111" s="31"/>
      <c r="J111" s="13">
        <f>SUM(J104:J110)</f>
        <v>84692</v>
      </c>
    </row>
    <row r="112" spans="2:10" s="15" customFormat="1">
      <c r="B112" s="15" t="s">
        <v>142</v>
      </c>
      <c r="C112" s="13">
        <v>101</v>
      </c>
      <c r="D112" s="13"/>
      <c r="E112" s="13">
        <v>101</v>
      </c>
      <c r="F112" s="13"/>
      <c r="G112" s="31"/>
      <c r="H112" s="31"/>
      <c r="I112" s="31"/>
      <c r="J112" s="13">
        <v>84</v>
      </c>
    </row>
    <row r="113" spans="2:10" s="15" customFormat="1">
      <c r="B113" s="15" t="s">
        <v>25</v>
      </c>
      <c r="C113" s="31">
        <f>C102-C111-C112</f>
        <v>23051</v>
      </c>
      <c r="D113" s="31"/>
      <c r="E113" s="31">
        <f>E102-E111-E112</f>
        <v>23051</v>
      </c>
      <c r="F113" s="31"/>
      <c r="G113" s="31"/>
      <c r="H113" s="31"/>
      <c r="I113" s="31"/>
      <c r="J113" s="31">
        <f>J102-J111-J112</f>
        <v>23038</v>
      </c>
    </row>
    <row r="114" spans="2:10" s="15" customFormat="1">
      <c r="B114" s="15" t="s">
        <v>26</v>
      </c>
      <c r="C114" s="31">
        <f>C113+C111</f>
        <v>103296</v>
      </c>
      <c r="D114" s="31"/>
      <c r="E114" s="31">
        <f>E113+E111</f>
        <v>103296</v>
      </c>
      <c r="F114" s="31"/>
      <c r="G114" s="31"/>
      <c r="H114" s="31"/>
      <c r="I114" s="31"/>
      <c r="J114" s="31">
        <f>J113+J111</f>
        <v>107730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2025-05-10T02:48:19Z</dcterms:modified>
  <cp:category/>
  <cp:contentStatus/>
</cp:coreProperties>
</file>