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2906c935fa0eb4f/models/CNH/"/>
    </mc:Choice>
  </mc:AlternateContent>
  <xr:revisionPtr revIDLastSave="762" documentId="11_F25DC773A252ABDACC104889191A52245ADE58E6" xr6:coauthVersionLast="47" xr6:coauthVersionMax="47" xr10:uidLastSave="{9F23EC8C-EC0D-45E7-BE15-ED64401FB15F}"/>
  <bookViews>
    <workbookView xWindow="18390" yWindow="3650" windowWidth="17190" windowHeight="15850" xr2:uid="{00000000-000D-0000-FFFF-FFFF00000000}"/>
  </bookViews>
  <sheets>
    <sheet name="main" sheetId="2" r:id="rId1"/>
    <sheet name="model" sheetId="1" r:id="rId2"/>
    <sheet name="notes" sheetId="4" r:id="rId3"/>
    <sheet name="todo" sheetId="5" r:id="rId4"/>
    <sheet name="M&amp;A,Ptshp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1" l="1"/>
  <c r="H62" i="1" s="1"/>
  <c r="L62" i="1" s="1"/>
  <c r="G61" i="1"/>
  <c r="H61" i="1" s="1"/>
  <c r="L61" i="1" s="1"/>
  <c r="G60" i="1"/>
  <c r="G59" i="1"/>
  <c r="G58" i="1"/>
  <c r="H58" i="1" s="1"/>
  <c r="L58" i="1" s="1"/>
  <c r="G57" i="1"/>
  <c r="H57" i="1" s="1"/>
  <c r="L57" i="1" s="1"/>
  <c r="G56" i="1"/>
  <c r="H56" i="1" s="1"/>
  <c r="L56" i="1" s="1"/>
  <c r="G55" i="1"/>
  <c r="G54" i="1"/>
  <c r="H54" i="1" s="1"/>
  <c r="L54" i="1" s="1"/>
  <c r="G53" i="1"/>
  <c r="G52" i="1"/>
  <c r="H52" i="1" s="1"/>
  <c r="L52" i="1" s="1"/>
  <c r="G51" i="1"/>
  <c r="C56" i="1"/>
  <c r="D56" i="1" s="1"/>
  <c r="K56" i="1" s="1"/>
  <c r="C62" i="1"/>
  <c r="D62" i="1" s="1"/>
  <c r="K62" i="1" s="1"/>
  <c r="C61" i="1"/>
  <c r="D61" i="1" s="1"/>
  <c r="K61" i="1" s="1"/>
  <c r="C60" i="1"/>
  <c r="D60" i="1" s="1"/>
  <c r="K60" i="1" s="1"/>
  <c r="C59" i="1"/>
  <c r="D59" i="1" s="1"/>
  <c r="K59" i="1" s="1"/>
  <c r="C58" i="1"/>
  <c r="D58" i="1" s="1"/>
  <c r="K58" i="1" s="1"/>
  <c r="C57" i="1"/>
  <c r="D57" i="1" s="1"/>
  <c r="K57" i="1" s="1"/>
  <c r="C55" i="1"/>
  <c r="D55" i="1" s="1"/>
  <c r="K55" i="1" s="1"/>
  <c r="C54" i="1"/>
  <c r="D54" i="1" s="1"/>
  <c r="K54" i="1" s="1"/>
  <c r="C53" i="1"/>
  <c r="D53" i="1" s="1"/>
  <c r="K53" i="1" s="1"/>
  <c r="C52" i="1"/>
  <c r="D52" i="1" s="1"/>
  <c r="K52" i="1" s="1"/>
  <c r="C51" i="1"/>
  <c r="E93" i="1"/>
  <c r="E83" i="1"/>
  <c r="B34" i="1"/>
  <c r="B26" i="1"/>
  <c r="B35" i="1" s="1"/>
  <c r="B39" i="1" s="1"/>
  <c r="G34" i="1"/>
  <c r="G26" i="1"/>
  <c r="G28" i="1" s="1"/>
  <c r="L49" i="1"/>
  <c r="K49" i="1"/>
  <c r="I49" i="1"/>
  <c r="H49" i="1"/>
  <c r="H65" i="1" s="1"/>
  <c r="G49" i="1"/>
  <c r="G65" i="1" s="1"/>
  <c r="F49" i="1"/>
  <c r="E49" i="1"/>
  <c r="D49" i="1"/>
  <c r="D65" i="1" s="1"/>
  <c r="C49" i="1"/>
  <c r="L65" i="1"/>
  <c r="K65" i="1"/>
  <c r="I65" i="1"/>
  <c r="F65" i="1"/>
  <c r="E65" i="1"/>
  <c r="C65" i="1"/>
  <c r="B65" i="1"/>
  <c r="B49" i="1"/>
  <c r="L13" i="1"/>
  <c r="L12" i="1"/>
  <c r="L11" i="1"/>
  <c r="L10" i="1"/>
  <c r="K13" i="1"/>
  <c r="K12" i="1"/>
  <c r="K11" i="1"/>
  <c r="K10" i="1"/>
  <c r="I14" i="1"/>
  <c r="H14" i="1"/>
  <c r="G14" i="1"/>
  <c r="F14" i="1"/>
  <c r="E14" i="1"/>
  <c r="C14" i="1"/>
  <c r="B14" i="1"/>
  <c r="D14" i="1"/>
  <c r="L3" i="1"/>
  <c r="L2" i="1"/>
  <c r="L6" i="1"/>
  <c r="L5" i="1"/>
  <c r="L17" i="1"/>
  <c r="L16" i="1"/>
  <c r="L20" i="1"/>
  <c r="L19" i="1"/>
  <c r="K3" i="1"/>
  <c r="K2" i="1"/>
  <c r="K6" i="1"/>
  <c r="K5" i="1"/>
  <c r="K16" i="1"/>
  <c r="K17" i="1"/>
  <c r="K19" i="1"/>
  <c r="K20" i="1"/>
  <c r="I18" i="1"/>
  <c r="I21" i="1" s="1"/>
  <c r="H18" i="1"/>
  <c r="H21" i="1" s="1"/>
  <c r="G18" i="1"/>
  <c r="G21" i="1" s="1"/>
  <c r="F18" i="1"/>
  <c r="F21" i="1" s="1"/>
  <c r="E18" i="1"/>
  <c r="E21" i="1" s="1"/>
  <c r="C18" i="1"/>
  <c r="C21" i="1" s="1"/>
  <c r="B18" i="1"/>
  <c r="B21" i="1" s="1"/>
  <c r="D18" i="1"/>
  <c r="D21" i="1" s="1"/>
  <c r="I4" i="1"/>
  <c r="I7" i="1" s="1"/>
  <c r="H4" i="1"/>
  <c r="H7" i="1" s="1"/>
  <c r="G4" i="1"/>
  <c r="G7" i="1" s="1"/>
  <c r="F4" i="1"/>
  <c r="F7" i="1" s="1"/>
  <c r="E4" i="1"/>
  <c r="E7" i="1" s="1"/>
  <c r="C4" i="1"/>
  <c r="C7" i="1" s="1"/>
  <c r="B4" i="1"/>
  <c r="B7" i="1" s="1"/>
  <c r="D4" i="1"/>
  <c r="D7" i="1" s="1"/>
  <c r="L68" i="1"/>
  <c r="H60" i="1"/>
  <c r="L60" i="1" s="1"/>
  <c r="H59" i="1"/>
  <c r="L59" i="1" s="1"/>
  <c r="H55" i="1"/>
  <c r="L55" i="1" s="1"/>
  <c r="H53" i="1"/>
  <c r="L53" i="1" s="1"/>
  <c r="I104" i="1"/>
  <c r="H104" i="1"/>
  <c r="G104" i="1"/>
  <c r="F104" i="1"/>
  <c r="E104" i="1"/>
  <c r="C104" i="1"/>
  <c r="B104" i="1"/>
  <c r="I93" i="1"/>
  <c r="H93" i="1"/>
  <c r="G93" i="1"/>
  <c r="F93" i="1"/>
  <c r="C93" i="1"/>
  <c r="B93" i="1"/>
  <c r="I74" i="1"/>
  <c r="I83" i="1" s="1"/>
  <c r="H74" i="1"/>
  <c r="H83" i="1" s="1"/>
  <c r="G74" i="1"/>
  <c r="G83" i="1" s="1"/>
  <c r="F74" i="1"/>
  <c r="F83" i="1" s="1"/>
  <c r="E74" i="1"/>
  <c r="C74" i="1"/>
  <c r="C83" i="1" s="1"/>
  <c r="B74" i="1"/>
  <c r="B83" i="1" s="1"/>
  <c r="I34" i="1"/>
  <c r="H34" i="1"/>
  <c r="F34" i="1"/>
  <c r="E34" i="1"/>
  <c r="C34" i="1"/>
  <c r="I26" i="1"/>
  <c r="H26" i="1"/>
  <c r="F26" i="1"/>
  <c r="F28" i="1" s="1"/>
  <c r="E26" i="1"/>
  <c r="E28" i="1" s="1"/>
  <c r="C26" i="1"/>
  <c r="C28" i="1" s="1"/>
  <c r="I63" i="1"/>
  <c r="F63" i="1"/>
  <c r="E63" i="1"/>
  <c r="B63" i="1"/>
  <c r="L103" i="1"/>
  <c r="L102" i="1"/>
  <c r="L101" i="1"/>
  <c r="L100" i="1"/>
  <c r="L99" i="1"/>
  <c r="L98" i="1"/>
  <c r="L94" i="1"/>
  <c r="L92" i="1"/>
  <c r="L91" i="1"/>
  <c r="L90" i="1"/>
  <c r="L89" i="1"/>
  <c r="L88" i="1"/>
  <c r="L87" i="1"/>
  <c r="L86" i="1"/>
  <c r="L82" i="1"/>
  <c r="L81" i="1"/>
  <c r="L80" i="1"/>
  <c r="L79" i="1"/>
  <c r="L78" i="1"/>
  <c r="L77" i="1"/>
  <c r="L76" i="1"/>
  <c r="L73" i="1"/>
  <c r="L72" i="1"/>
  <c r="L71" i="1"/>
  <c r="L70" i="1"/>
  <c r="L69" i="1"/>
  <c r="L75" i="1"/>
  <c r="L47" i="1"/>
  <c r="L45" i="1"/>
  <c r="L44" i="1"/>
  <c r="L38" i="1"/>
  <c r="L37" i="1"/>
  <c r="L36" i="1"/>
  <c r="L33" i="1"/>
  <c r="L32" i="1"/>
  <c r="L31" i="1"/>
  <c r="L30" i="1"/>
  <c r="L29" i="1"/>
  <c r="L27" i="1"/>
  <c r="L25" i="1"/>
  <c r="L24" i="1"/>
  <c r="K103" i="1"/>
  <c r="K102" i="1"/>
  <c r="K101" i="1"/>
  <c r="K100" i="1"/>
  <c r="K99" i="1"/>
  <c r="K98" i="1"/>
  <c r="K95" i="1"/>
  <c r="K94" i="1"/>
  <c r="K92" i="1"/>
  <c r="K91" i="1"/>
  <c r="K90" i="1"/>
  <c r="K89" i="1"/>
  <c r="K88" i="1"/>
  <c r="K87" i="1"/>
  <c r="K86" i="1"/>
  <c r="K82" i="1"/>
  <c r="K81" i="1"/>
  <c r="K80" i="1"/>
  <c r="K79" i="1"/>
  <c r="K78" i="1"/>
  <c r="K77" i="1"/>
  <c r="K76" i="1"/>
  <c r="K73" i="1"/>
  <c r="K72" i="1"/>
  <c r="K71" i="1"/>
  <c r="K70" i="1"/>
  <c r="K69" i="1"/>
  <c r="K75" i="1"/>
  <c r="K68" i="1"/>
  <c r="K47" i="1"/>
  <c r="K45" i="1"/>
  <c r="K44" i="1"/>
  <c r="K38" i="1"/>
  <c r="K37" i="1"/>
  <c r="K36" i="1"/>
  <c r="K33" i="1"/>
  <c r="K32" i="1"/>
  <c r="K31" i="1"/>
  <c r="K30" i="1"/>
  <c r="K29" i="1"/>
  <c r="K27" i="1"/>
  <c r="K25" i="1"/>
  <c r="K24" i="1"/>
  <c r="D104" i="1"/>
  <c r="D93" i="1"/>
  <c r="D74" i="1"/>
  <c r="D83" i="1" s="1"/>
  <c r="H51" i="1" l="1"/>
  <c r="G63" i="1"/>
  <c r="L51" i="1"/>
  <c r="L63" i="1" s="1"/>
  <c r="C63" i="1"/>
  <c r="D51" i="1"/>
  <c r="K51" i="1" s="1"/>
  <c r="K63" i="1" s="1"/>
  <c r="G35" i="1"/>
  <c r="G39" i="1" s="1"/>
  <c r="B28" i="1"/>
  <c r="L14" i="1"/>
  <c r="K14" i="1"/>
  <c r="K4" i="1"/>
  <c r="K7" i="1" s="1"/>
  <c r="L4" i="1"/>
  <c r="L7" i="1" s="1"/>
  <c r="L18" i="1"/>
  <c r="L21" i="1" s="1"/>
  <c r="K18" i="1"/>
  <c r="K21" i="1" s="1"/>
  <c r="I35" i="1"/>
  <c r="I39" i="1" s="1"/>
  <c r="I42" i="1" s="1"/>
  <c r="B96" i="1"/>
  <c r="C96" i="1"/>
  <c r="E96" i="1"/>
  <c r="K26" i="1"/>
  <c r="K28" i="1" s="1"/>
  <c r="G96" i="1"/>
  <c r="I96" i="1"/>
  <c r="F96" i="1"/>
  <c r="H96" i="1"/>
  <c r="L104" i="1"/>
  <c r="E35" i="1"/>
  <c r="E39" i="1" s="1"/>
  <c r="E42" i="1" s="1"/>
  <c r="B105" i="1"/>
  <c r="B42" i="1"/>
  <c r="L26" i="1"/>
  <c r="L28" i="1" s="1"/>
  <c r="H35" i="1"/>
  <c r="H39" i="1" s="1"/>
  <c r="H42" i="1" s="1"/>
  <c r="K74" i="1"/>
  <c r="K83" i="1" s="1"/>
  <c r="F35" i="1"/>
  <c r="F39" i="1" s="1"/>
  <c r="F41" i="1" s="1"/>
  <c r="K34" i="1"/>
  <c r="K93" i="1"/>
  <c r="D96" i="1"/>
  <c r="K104" i="1"/>
  <c r="C35" i="1"/>
  <c r="C39" i="1" s="1"/>
  <c r="C42" i="1" s="1"/>
  <c r="L34" i="1"/>
  <c r="L93" i="1"/>
  <c r="I28" i="1"/>
  <c r="G105" i="1"/>
  <c r="H105" i="1"/>
  <c r="C105" i="1"/>
  <c r="I105" i="1"/>
  <c r="E105" i="1"/>
  <c r="F105" i="1"/>
  <c r="L74" i="1"/>
  <c r="L83" i="1" s="1"/>
  <c r="H63" i="1"/>
  <c r="D105" i="1"/>
  <c r="D34" i="1"/>
  <c r="D63" i="1" l="1"/>
  <c r="I41" i="1"/>
  <c r="L105" i="1"/>
  <c r="E41" i="1"/>
  <c r="K35" i="1"/>
  <c r="K39" i="1" s="1"/>
  <c r="K42" i="1" s="1"/>
  <c r="K105" i="1"/>
  <c r="C41" i="1"/>
  <c r="B41" i="1"/>
  <c r="F42" i="1"/>
  <c r="L35" i="1"/>
  <c r="L39" i="1" s="1"/>
  <c r="L42" i="1" s="1"/>
  <c r="H41" i="1"/>
  <c r="L96" i="1"/>
  <c r="K96" i="1"/>
  <c r="G42" i="1"/>
  <c r="G41" i="1"/>
  <c r="K41" i="1" l="1"/>
  <c r="L41" i="1"/>
  <c r="D26" i="1" l="1"/>
  <c r="D28" i="1" s="1"/>
  <c r="H28" i="1" l="1"/>
  <c r="D35" i="1"/>
  <c r="D39" i="1" l="1"/>
  <c r="D41" i="1" l="1"/>
  <c r="D42" i="1"/>
</calcChain>
</file>

<file path=xl/sharedStrings.xml><?xml version="1.0" encoding="utf-8"?>
<sst xmlns="http://schemas.openxmlformats.org/spreadsheetml/2006/main" count="160" uniqueCount="145">
  <si>
    <t>Revenues</t>
  </si>
  <si>
    <t>Sales</t>
  </si>
  <si>
    <t>Finance, Int, Other Inc.</t>
  </si>
  <si>
    <t>Total Rev</t>
  </si>
  <si>
    <t>Q323</t>
  </si>
  <si>
    <t>Q324</t>
  </si>
  <si>
    <t>COGS</t>
  </si>
  <si>
    <t>GM</t>
  </si>
  <si>
    <t>SGA</t>
  </si>
  <si>
    <t>R&amp;D</t>
  </si>
  <si>
    <t>Restructuring Exp</t>
  </si>
  <si>
    <t>Int</t>
  </si>
  <si>
    <t>Other, net</t>
  </si>
  <si>
    <t>Total Exp w/ COGS</t>
  </si>
  <si>
    <t>OpInc PreTax</t>
  </si>
  <si>
    <t>Tax</t>
  </si>
  <si>
    <t>Inc affiliates</t>
  </si>
  <si>
    <t>Loss affiliates</t>
  </si>
  <si>
    <t>NI attributable to CNH</t>
  </si>
  <si>
    <t>EPS - Basic</t>
  </si>
  <si>
    <t>EPS - Diluted</t>
  </si>
  <si>
    <t>Shares - Diluted</t>
  </si>
  <si>
    <t>Shares - Basic</t>
  </si>
  <si>
    <t>Dividends Declared</t>
  </si>
  <si>
    <t>Assets</t>
  </si>
  <si>
    <t>Cash</t>
  </si>
  <si>
    <t>Restricted Cash</t>
  </si>
  <si>
    <t>Trade AR</t>
  </si>
  <si>
    <t>Financing AR</t>
  </si>
  <si>
    <t>Financing AR - Iveco Group N.V.</t>
  </si>
  <si>
    <t>Inventories</t>
  </si>
  <si>
    <t>Current Assets</t>
  </si>
  <si>
    <t>PPE</t>
  </si>
  <si>
    <t>Equip on OpLease</t>
  </si>
  <si>
    <t>Goodwill</t>
  </si>
  <si>
    <t>Other Intangible</t>
  </si>
  <si>
    <t>Def tax assets</t>
  </si>
  <si>
    <t>Derivative assets</t>
  </si>
  <si>
    <t>Other assets</t>
  </si>
  <si>
    <t>Total Assets</t>
  </si>
  <si>
    <t>Investment in affiliates</t>
  </si>
  <si>
    <t>Liabilities</t>
  </si>
  <si>
    <t>Debt</t>
  </si>
  <si>
    <t>Iveco Group N.V. AP</t>
  </si>
  <si>
    <t>AP</t>
  </si>
  <si>
    <t>Def IncTax</t>
  </si>
  <si>
    <t>Pension and Ret</t>
  </si>
  <si>
    <t>Derivative libs</t>
  </si>
  <si>
    <t>Other libs</t>
  </si>
  <si>
    <t>Total libs</t>
  </si>
  <si>
    <t>Noncontrolling interest</t>
  </si>
  <si>
    <t>Calc Equity</t>
  </si>
  <si>
    <t>Equity</t>
  </si>
  <si>
    <t>Common Shares</t>
  </si>
  <si>
    <t>Treasury Stock</t>
  </si>
  <si>
    <t>Paid in Cap</t>
  </si>
  <si>
    <t>Ret Earnings</t>
  </si>
  <si>
    <t>Accum other inc</t>
  </si>
  <si>
    <t>Total Equity</t>
  </si>
  <si>
    <t>Lib+Equity</t>
  </si>
  <si>
    <t>Q123</t>
  </si>
  <si>
    <t>Q223</t>
  </si>
  <si>
    <t>Q423</t>
  </si>
  <si>
    <t>Q124</t>
  </si>
  <si>
    <t>Q224</t>
  </si>
  <si>
    <t>Q424</t>
  </si>
  <si>
    <t>Model NI</t>
  </si>
  <si>
    <t>D&amp;A</t>
  </si>
  <si>
    <t>D&amp;A - under op lease</t>
  </si>
  <si>
    <t>Gain on Disposal of assets</t>
  </si>
  <si>
    <t>Undistributed income of subsidiaries</t>
  </si>
  <si>
    <t>Other non-cash items</t>
  </si>
  <si>
    <t>Delta Provisions</t>
  </si>
  <si>
    <t>Delta Def IncTax</t>
  </si>
  <si>
    <t>Delta Trade AR</t>
  </si>
  <si>
    <t>Delta Inventories</t>
  </si>
  <si>
    <t>Delta Trade AP</t>
  </si>
  <si>
    <t>Delta other assets</t>
  </si>
  <si>
    <t>CFFO</t>
  </si>
  <si>
    <t>Agriculture</t>
  </si>
  <si>
    <t>Construction</t>
  </si>
  <si>
    <t>Industrial Activities Total</t>
  </si>
  <si>
    <t>Financial services</t>
  </si>
  <si>
    <t>Eliminations</t>
  </si>
  <si>
    <t>Total Revenues</t>
  </si>
  <si>
    <t>Sale of Goods</t>
  </si>
  <si>
    <t>Services</t>
  </si>
  <si>
    <t>Goods and Services</t>
  </si>
  <si>
    <t>Finance and interest</t>
  </si>
  <si>
    <t>Rents and lease income</t>
  </si>
  <si>
    <t>Notes:</t>
  </si>
  <si>
    <t xml:space="preserve">Purchase of Hemisphere, global satellite nav tech leader for $181M. Advances in-house precision, automation, and autonomy tech for ag and construction. </t>
  </si>
  <si>
    <t xml:space="preserve">Controlling interest in Bennamann LTD purchased for $51M. Bio-methane equipment and technology production, custom builds (covering for manure lagoons, processing into bio-methane). </t>
  </si>
  <si>
    <t>Purchased Augmenta Holdings SAS for $80M. "Sense and Act" tech - machine vision for sprayers. Will operate uner "Raven" brand - subset of precision tech.</t>
  </si>
  <si>
    <t>Operating segments:</t>
  </si>
  <si>
    <t>Financial Services</t>
  </si>
  <si>
    <t>2 &amp; 4 wheel drive tractors</t>
  </si>
  <si>
    <t>Crawler tractors</t>
  </si>
  <si>
    <t>Combines</t>
  </si>
  <si>
    <t>Grape and sugar cane harvesters</t>
  </si>
  <si>
    <t>Hay and forage equip</t>
  </si>
  <si>
    <t>Planting and seeding equip</t>
  </si>
  <si>
    <t>Soil prep and cultivation</t>
  </si>
  <si>
    <t>Material handling equip</t>
  </si>
  <si>
    <t>Precision technology</t>
  </si>
  <si>
    <t>Brands:</t>
  </si>
  <si>
    <t>Agriculture:</t>
  </si>
  <si>
    <t>Excavators</t>
  </si>
  <si>
    <t>Crawler dozers</t>
  </si>
  <si>
    <t>Graders</t>
  </si>
  <si>
    <t>Wheel loaders</t>
  </si>
  <si>
    <t>Backhoe loaders</t>
  </si>
  <si>
    <t>Skid steer</t>
  </si>
  <si>
    <t>Compact track loaders</t>
  </si>
  <si>
    <t>CASE Construction Equip, New Holland</t>
  </si>
  <si>
    <t>CaseIH and New Holland</t>
  </si>
  <si>
    <t>Regionally focused brands: STEYR, Flexi-Coil, Miller, Raven</t>
  </si>
  <si>
    <t>End user financing</t>
  </si>
  <si>
    <t>Wholesale financings for dealers</t>
  </si>
  <si>
    <t>Trade rec for subsidiaries</t>
  </si>
  <si>
    <t>Iveco Group</t>
  </si>
  <si>
    <t>Related Parties:</t>
  </si>
  <si>
    <t xml:space="preserve">EXOR NV holds 45% of voting power - EXOR also controls Stellantis, Ferrari, and Iveco, Philips, Juventus FC, The Economist. </t>
  </si>
  <si>
    <t>Iveco Group - spun off from CNH in 2022. Produces light, medium, and heavy duty trucks. Post Demerger: Iveco still selling off-road engines to CNH (Diesel, CNG, LNG).</t>
  </si>
  <si>
    <t>Incorporated: Netherlands</t>
  </si>
  <si>
    <t>Corporate seat: Amsterdam</t>
  </si>
  <si>
    <t>Headquarters: Basildon, England, UK</t>
  </si>
  <si>
    <t>Ag Sales</t>
  </si>
  <si>
    <t>North America</t>
  </si>
  <si>
    <t>Europe, MidEast, Africa</t>
  </si>
  <si>
    <t>South America</t>
  </si>
  <si>
    <t>Asia Pacific</t>
  </si>
  <si>
    <t>Total</t>
  </si>
  <si>
    <t>Q322</t>
  </si>
  <si>
    <t>North America Tractors over 140 HP down 17%.</t>
  </si>
  <si>
    <t>North America Tractors under 140 HP down 18%.</t>
  </si>
  <si>
    <t>Eur,MidE,Africa(EMEA) tractor and combines down 20% and 50%.</t>
  </si>
  <si>
    <t>North America combines down 29%.</t>
  </si>
  <si>
    <t>Forward looking</t>
  </si>
  <si>
    <t>Ag sales down 23%.</t>
  </si>
  <si>
    <t>Construction down 22%.</t>
  </si>
  <si>
    <t xml:space="preserve">FCF = outflow of $100M-$300M, previously inflow of $700M-$900M mainly due to decreased equipment deliveries and lower production levels. </t>
  </si>
  <si>
    <t>Ptshp with Intelsat, large integrated satellite and terrestrial comms network, to provide farmers access to internet via ruggedized sat comms service. Multi-orbin internet access to connect CNH equipment working in remote locations and easy-to-use sat terminals for farm environment. Roll-out in Brazil (19% of ag acreage had internet access).</t>
  </si>
  <si>
    <t>Fill in all quarters back to q122</t>
  </si>
  <si>
    <t>De-merged from Iveco Group - starting Q122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</si>
</sst>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315A-F4FF-44A5-BD4C-9EF1E6AE5117}">
  <dimension ref="B2:D42"/>
  <sheetViews>
    <sheetView tabSelected="1" workbookViewId="0">
      <selection activeCell="B5" sqref="B5"/>
    </sheetView>
  </sheetViews>
  <sheetFormatPr defaultRowHeight="14.5" x14ac:dyDescent="0.35"/>
  <sheetData>
    <row r="2" spans="2:4" x14ac:dyDescent="0.35">
      <c r="B2" t="s">
        <v>90</v>
      </c>
    </row>
    <row r="4" spans="2:4" x14ac:dyDescent="0.35">
      <c r="B4" t="s">
        <v>144</v>
      </c>
    </row>
    <row r="6" spans="2:4" x14ac:dyDescent="0.35">
      <c r="B6" t="s">
        <v>126</v>
      </c>
    </row>
    <row r="7" spans="2:4" x14ac:dyDescent="0.35">
      <c r="B7" t="s">
        <v>125</v>
      </c>
    </row>
    <row r="8" spans="2:4" x14ac:dyDescent="0.35">
      <c r="B8" t="s">
        <v>124</v>
      </c>
    </row>
    <row r="10" spans="2:4" x14ac:dyDescent="0.35">
      <c r="B10" t="s">
        <v>94</v>
      </c>
    </row>
    <row r="11" spans="2:4" x14ac:dyDescent="0.35">
      <c r="C11" t="s">
        <v>106</v>
      </c>
    </row>
    <row r="12" spans="2:4" x14ac:dyDescent="0.35">
      <c r="D12" t="s">
        <v>96</v>
      </c>
    </row>
    <row r="13" spans="2:4" x14ac:dyDescent="0.35">
      <c r="D13" t="s">
        <v>97</v>
      </c>
    </row>
    <row r="14" spans="2:4" x14ac:dyDescent="0.35">
      <c r="D14" t="s">
        <v>98</v>
      </c>
    </row>
    <row r="15" spans="2:4" x14ac:dyDescent="0.35">
      <c r="D15" t="s">
        <v>99</v>
      </c>
    </row>
    <row r="16" spans="2:4" x14ac:dyDescent="0.35">
      <c r="D16" t="s">
        <v>100</v>
      </c>
    </row>
    <row r="17" spans="3:4" x14ac:dyDescent="0.35">
      <c r="D17" t="s">
        <v>101</v>
      </c>
    </row>
    <row r="18" spans="3:4" x14ac:dyDescent="0.35">
      <c r="D18" t="s">
        <v>102</v>
      </c>
    </row>
    <row r="19" spans="3:4" x14ac:dyDescent="0.35">
      <c r="D19" t="s">
        <v>103</v>
      </c>
    </row>
    <row r="20" spans="3:4" x14ac:dyDescent="0.35">
      <c r="D20" t="s">
        <v>104</v>
      </c>
    </row>
    <row r="21" spans="3:4" x14ac:dyDescent="0.35">
      <c r="C21" t="s">
        <v>105</v>
      </c>
    </row>
    <row r="22" spans="3:4" x14ac:dyDescent="0.35">
      <c r="D22" t="s">
        <v>115</v>
      </c>
    </row>
    <row r="23" spans="3:4" x14ac:dyDescent="0.35">
      <c r="D23" t="s">
        <v>116</v>
      </c>
    </row>
    <row r="24" spans="3:4" x14ac:dyDescent="0.35">
      <c r="C24" t="s">
        <v>80</v>
      </c>
    </row>
    <row r="25" spans="3:4" x14ac:dyDescent="0.35">
      <c r="D25" t="s">
        <v>107</v>
      </c>
    </row>
    <row r="26" spans="3:4" x14ac:dyDescent="0.35">
      <c r="D26" t="s">
        <v>108</v>
      </c>
    </row>
    <row r="27" spans="3:4" x14ac:dyDescent="0.35">
      <c r="D27" t="s">
        <v>109</v>
      </c>
    </row>
    <row r="28" spans="3:4" x14ac:dyDescent="0.35">
      <c r="D28" t="s">
        <v>110</v>
      </c>
    </row>
    <row r="29" spans="3:4" x14ac:dyDescent="0.35">
      <c r="D29" t="s">
        <v>111</v>
      </c>
    </row>
    <row r="30" spans="3:4" x14ac:dyDescent="0.35">
      <c r="D30" t="s">
        <v>112</v>
      </c>
    </row>
    <row r="31" spans="3:4" x14ac:dyDescent="0.35">
      <c r="D31" t="s">
        <v>113</v>
      </c>
    </row>
    <row r="32" spans="3:4" x14ac:dyDescent="0.35">
      <c r="C32" t="s">
        <v>105</v>
      </c>
    </row>
    <row r="33" spans="2:4" x14ac:dyDescent="0.35">
      <c r="D33" t="s">
        <v>114</v>
      </c>
    </row>
    <row r="34" spans="2:4" x14ac:dyDescent="0.35">
      <c r="C34" t="s">
        <v>95</v>
      </c>
    </row>
    <row r="35" spans="2:4" x14ac:dyDescent="0.35">
      <c r="D35" t="s">
        <v>117</v>
      </c>
    </row>
    <row r="36" spans="2:4" x14ac:dyDescent="0.35">
      <c r="D36" t="s">
        <v>118</v>
      </c>
    </row>
    <row r="37" spans="2:4" x14ac:dyDescent="0.35">
      <c r="D37" t="s">
        <v>119</v>
      </c>
    </row>
    <row r="38" spans="2:4" x14ac:dyDescent="0.35">
      <c r="D38" t="s">
        <v>120</v>
      </c>
    </row>
    <row r="40" spans="2:4" x14ac:dyDescent="0.35">
      <c r="B40" t="s">
        <v>121</v>
      </c>
    </row>
    <row r="41" spans="2:4" x14ac:dyDescent="0.35">
      <c r="C41" t="s">
        <v>122</v>
      </c>
    </row>
    <row r="42" spans="2:4" x14ac:dyDescent="0.35">
      <c r="C4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"/>
  <sheetViews>
    <sheetView zoomScale="85" zoomScaleNormal="85" workbookViewId="0">
      <pane xSplit="1" topLeftCell="B1" activePane="topRight" state="frozen"/>
      <selection pane="topRight" activeCell="H13" sqref="H13"/>
    </sheetView>
  </sheetViews>
  <sheetFormatPr defaultRowHeight="14.5" x14ac:dyDescent="0.35"/>
  <cols>
    <col min="1" max="1" width="31.7265625" bestFit="1" customWidth="1"/>
  </cols>
  <sheetData>
    <row r="1" spans="1:12" s="1" customFormat="1" x14ac:dyDescent="0.35">
      <c r="B1" s="1" t="s">
        <v>60</v>
      </c>
      <c r="C1" s="1" t="s">
        <v>61</v>
      </c>
      <c r="D1" s="1" t="s">
        <v>4</v>
      </c>
      <c r="E1" s="1" t="s">
        <v>62</v>
      </c>
      <c r="F1" s="1" t="s">
        <v>63</v>
      </c>
      <c r="G1" s="1" t="s">
        <v>64</v>
      </c>
      <c r="H1" s="1" t="s">
        <v>5</v>
      </c>
      <c r="I1" s="1" t="s">
        <v>65</v>
      </c>
      <c r="K1" s="1">
        <v>2023</v>
      </c>
      <c r="L1" s="1">
        <v>2024</v>
      </c>
    </row>
    <row r="2" spans="1:12" x14ac:dyDescent="0.35">
      <c r="A2" t="s">
        <v>79</v>
      </c>
      <c r="B2" s="3"/>
      <c r="C2" s="3"/>
      <c r="D2" s="3">
        <v>4384</v>
      </c>
      <c r="E2" s="3"/>
      <c r="F2" s="3"/>
      <c r="G2" s="3"/>
      <c r="H2" s="3">
        <v>3310</v>
      </c>
      <c r="I2" s="3"/>
      <c r="J2" s="3"/>
      <c r="K2" s="3">
        <f t="shared" ref="K2:K3" si="0">SUM(B2:E2)</f>
        <v>4384</v>
      </c>
      <c r="L2" s="3">
        <f t="shared" ref="L2:L3" si="1">SUM(F2:I2)</f>
        <v>3310</v>
      </c>
    </row>
    <row r="3" spans="1:12" x14ac:dyDescent="0.35">
      <c r="A3" t="s">
        <v>80</v>
      </c>
      <c r="B3" s="3"/>
      <c r="C3" s="3"/>
      <c r="D3" s="3">
        <v>948</v>
      </c>
      <c r="E3" s="3"/>
      <c r="F3" s="3"/>
      <c r="G3" s="3"/>
      <c r="H3" s="3">
        <v>687</v>
      </c>
      <c r="I3" s="3"/>
      <c r="J3" s="3"/>
      <c r="K3" s="3">
        <f t="shared" si="0"/>
        <v>948</v>
      </c>
      <c r="L3" s="3">
        <f t="shared" si="1"/>
        <v>687</v>
      </c>
    </row>
    <row r="4" spans="1:12" s="1" customFormat="1" x14ac:dyDescent="0.35">
      <c r="A4" s="1" t="s">
        <v>81</v>
      </c>
      <c r="B4" s="4">
        <f t="shared" ref="B4:C4" si="2">SUM(B2:B3)</f>
        <v>0</v>
      </c>
      <c r="C4" s="4">
        <f t="shared" si="2"/>
        <v>0</v>
      </c>
      <c r="D4" s="4">
        <f>SUM(D2:D3)</f>
        <v>5332</v>
      </c>
      <c r="E4" s="4">
        <f t="shared" ref="E4:L4" si="3">SUM(E2:E3)</f>
        <v>0</v>
      </c>
      <c r="F4" s="4">
        <f t="shared" si="3"/>
        <v>0</v>
      </c>
      <c r="G4" s="4">
        <f t="shared" si="3"/>
        <v>0</v>
      </c>
      <c r="H4" s="4">
        <f t="shared" si="3"/>
        <v>3997</v>
      </c>
      <c r="I4" s="4">
        <f t="shared" si="3"/>
        <v>0</v>
      </c>
      <c r="J4" s="4"/>
      <c r="K4" s="4">
        <f t="shared" si="3"/>
        <v>5332</v>
      </c>
      <c r="L4" s="4">
        <f t="shared" si="3"/>
        <v>3997</v>
      </c>
    </row>
    <row r="5" spans="1:12" x14ac:dyDescent="0.35">
      <c r="A5" t="s">
        <v>82</v>
      </c>
      <c r="B5" s="3"/>
      <c r="C5" s="3"/>
      <c r="D5" s="3">
        <v>653</v>
      </c>
      <c r="E5" s="3"/>
      <c r="F5" s="3"/>
      <c r="G5" s="3"/>
      <c r="H5" s="3">
        <v>659</v>
      </c>
      <c r="I5" s="3"/>
      <c r="J5" s="3"/>
      <c r="K5" s="3">
        <f t="shared" ref="K5:K6" si="4">SUM(B5:E5)</f>
        <v>653</v>
      </c>
      <c r="L5" s="3">
        <f t="shared" ref="L5:L6" si="5">SUM(F5:I5)</f>
        <v>659</v>
      </c>
    </row>
    <row r="6" spans="1:12" x14ac:dyDescent="0.35">
      <c r="A6" t="s">
        <v>83</v>
      </c>
      <c r="B6" s="3"/>
      <c r="C6" s="3"/>
      <c r="D6" s="3">
        <v>1</v>
      </c>
      <c r="E6" s="3"/>
      <c r="F6" s="3"/>
      <c r="G6" s="3"/>
      <c r="H6" s="3">
        <v>-2</v>
      </c>
      <c r="I6" s="3"/>
      <c r="J6" s="3"/>
      <c r="K6" s="3">
        <f t="shared" si="4"/>
        <v>1</v>
      </c>
      <c r="L6" s="3">
        <f t="shared" si="5"/>
        <v>-2</v>
      </c>
    </row>
    <row r="7" spans="1:12" s="1" customFormat="1" x14ac:dyDescent="0.35">
      <c r="A7" s="1" t="s">
        <v>84</v>
      </c>
      <c r="B7" s="4">
        <f t="shared" ref="B7:C7" si="6">SUM(B4:B6)</f>
        <v>0</v>
      </c>
      <c r="C7" s="4">
        <f t="shared" si="6"/>
        <v>0</v>
      </c>
      <c r="D7" s="4">
        <f>SUM(D4:D6)</f>
        <v>5986</v>
      </c>
      <c r="E7" s="4">
        <f t="shared" ref="E7:L7" si="7">SUM(E4:E6)</f>
        <v>0</v>
      </c>
      <c r="F7" s="4">
        <f t="shared" si="7"/>
        <v>0</v>
      </c>
      <c r="G7" s="4">
        <f t="shared" si="7"/>
        <v>0</v>
      </c>
      <c r="H7" s="4">
        <f t="shared" si="7"/>
        <v>4654</v>
      </c>
      <c r="I7" s="4">
        <f t="shared" si="7"/>
        <v>0</v>
      </c>
      <c r="J7" s="4"/>
      <c r="K7" s="4">
        <f t="shared" si="7"/>
        <v>5986</v>
      </c>
      <c r="L7" s="4">
        <f t="shared" si="7"/>
        <v>4654</v>
      </c>
    </row>
    <row r="8" spans="1:12" s="1" customFormat="1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35">
      <c r="A9" t="s">
        <v>127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35">
      <c r="A10" t="s">
        <v>128</v>
      </c>
      <c r="B10" s="3"/>
      <c r="C10" s="3"/>
      <c r="D10" s="3">
        <v>1807</v>
      </c>
      <c r="E10" s="3"/>
      <c r="F10" s="3"/>
      <c r="G10" s="3"/>
      <c r="H10" s="3">
        <v>1402</v>
      </c>
      <c r="I10" s="3"/>
      <c r="J10" s="3"/>
      <c r="K10" s="3">
        <f t="shared" ref="K10:K13" si="8">SUM(B10:E10)</f>
        <v>1807</v>
      </c>
      <c r="L10" s="3">
        <f t="shared" ref="L10:L13" si="9">SUM(F10:I10)</f>
        <v>1402</v>
      </c>
    </row>
    <row r="11" spans="1:12" x14ac:dyDescent="0.35">
      <c r="A11" t="s">
        <v>129</v>
      </c>
      <c r="B11" s="3"/>
      <c r="C11" s="3"/>
      <c r="D11" s="3">
        <v>1202</v>
      </c>
      <c r="E11" s="3"/>
      <c r="F11" s="3"/>
      <c r="G11" s="3"/>
      <c r="H11" s="3">
        <v>905</v>
      </c>
      <c r="I11" s="3"/>
      <c r="J11" s="3"/>
      <c r="K11" s="3">
        <f t="shared" si="8"/>
        <v>1202</v>
      </c>
      <c r="L11" s="3">
        <f t="shared" si="9"/>
        <v>905</v>
      </c>
    </row>
    <row r="12" spans="1:12" x14ac:dyDescent="0.35">
      <c r="A12" t="s">
        <v>130</v>
      </c>
      <c r="B12" s="3"/>
      <c r="C12" s="3"/>
      <c r="D12" s="3">
        <v>830</v>
      </c>
      <c r="E12" s="3"/>
      <c r="F12" s="3"/>
      <c r="G12" s="3"/>
      <c r="H12" s="3">
        <v>582</v>
      </c>
      <c r="I12" s="3"/>
      <c r="J12" s="3"/>
      <c r="K12" s="3">
        <f t="shared" si="8"/>
        <v>830</v>
      </c>
      <c r="L12" s="3">
        <f t="shared" si="9"/>
        <v>582</v>
      </c>
    </row>
    <row r="13" spans="1:12" x14ac:dyDescent="0.35">
      <c r="A13" t="s">
        <v>131</v>
      </c>
      <c r="B13" s="3"/>
      <c r="C13" s="3"/>
      <c r="D13" s="3">
        <v>545</v>
      </c>
      <c r="E13" s="3"/>
      <c r="F13" s="3"/>
      <c r="G13" s="3"/>
      <c r="H13" s="3">
        <v>421</v>
      </c>
      <c r="I13" s="3"/>
      <c r="J13" s="3"/>
      <c r="K13" s="3">
        <f t="shared" si="8"/>
        <v>545</v>
      </c>
      <c r="L13" s="3">
        <f t="shared" si="9"/>
        <v>421</v>
      </c>
    </row>
    <row r="14" spans="1:12" s="1" customFormat="1" x14ac:dyDescent="0.35">
      <c r="A14" s="1" t="s">
        <v>132</v>
      </c>
      <c r="B14" s="4">
        <f t="shared" ref="B14:C14" si="10">SUM(B10:B13)</f>
        <v>0</v>
      </c>
      <c r="C14" s="4">
        <f t="shared" si="10"/>
        <v>0</v>
      </c>
      <c r="D14" s="4">
        <f>SUM(D10:D13)</f>
        <v>4384</v>
      </c>
      <c r="E14" s="4">
        <f t="shared" ref="E14:I14" si="11">SUM(E10:E13)</f>
        <v>0</v>
      </c>
      <c r="F14" s="4">
        <f t="shared" si="11"/>
        <v>0</v>
      </c>
      <c r="G14" s="4">
        <f t="shared" si="11"/>
        <v>0</v>
      </c>
      <c r="H14" s="4">
        <f t="shared" si="11"/>
        <v>3310</v>
      </c>
      <c r="I14" s="4">
        <f t="shared" si="11"/>
        <v>0</v>
      </c>
      <c r="J14" s="4"/>
      <c r="K14" s="4">
        <f t="shared" ref="K14:L14" si="12">SUM(K10:K13)</f>
        <v>4384</v>
      </c>
      <c r="L14" s="4">
        <f t="shared" si="12"/>
        <v>3310</v>
      </c>
    </row>
    <row r="15" spans="1:12" s="1" customFormat="1" x14ac:dyDescent="0.35">
      <c r="B15" s="4"/>
      <c r="C15" s="4"/>
      <c r="D15" s="4"/>
      <c r="E15" s="4"/>
      <c r="F15" s="4"/>
      <c r="G15" s="4"/>
      <c r="H15" s="4"/>
      <c r="I15" s="4"/>
      <c r="J15" s="4"/>
      <c r="K15" s="3"/>
      <c r="L15" s="4"/>
    </row>
    <row r="16" spans="1:12" x14ac:dyDescent="0.35">
      <c r="A16" t="s">
        <v>85</v>
      </c>
      <c r="B16" s="3"/>
      <c r="C16" s="3"/>
      <c r="D16" s="3">
        <v>5322</v>
      </c>
      <c r="E16" s="3"/>
      <c r="F16" s="3"/>
      <c r="G16" s="3"/>
      <c r="H16" s="3">
        <v>3986</v>
      </c>
      <c r="I16" s="3"/>
      <c r="J16" s="3"/>
      <c r="K16" s="3">
        <f>SUM(B16:E16)</f>
        <v>5322</v>
      </c>
      <c r="L16" s="3">
        <f t="shared" ref="L16:L17" si="13">SUM(F16:I16)</f>
        <v>3986</v>
      </c>
    </row>
    <row r="17" spans="1:12" x14ac:dyDescent="0.35">
      <c r="A17" t="s">
        <v>86</v>
      </c>
      <c r="B17" s="3"/>
      <c r="C17" s="3"/>
      <c r="D17" s="3">
        <v>10</v>
      </c>
      <c r="E17" s="3"/>
      <c r="F17" s="3"/>
      <c r="G17" s="3"/>
      <c r="H17" s="3">
        <v>11</v>
      </c>
      <c r="I17" s="3"/>
      <c r="J17" s="3"/>
      <c r="K17" s="3">
        <f>SUM(B17:E17)</f>
        <v>10</v>
      </c>
      <c r="L17" s="3">
        <f t="shared" si="13"/>
        <v>11</v>
      </c>
    </row>
    <row r="18" spans="1:12" s="1" customFormat="1" x14ac:dyDescent="0.35">
      <c r="A18" s="1" t="s">
        <v>87</v>
      </c>
      <c r="B18" s="4">
        <f t="shared" ref="B18:C18" si="14">B16+B17</f>
        <v>0</v>
      </c>
      <c r="C18" s="4">
        <f t="shared" si="14"/>
        <v>0</v>
      </c>
      <c r="D18" s="4">
        <f>D16+D17</f>
        <v>5332</v>
      </c>
      <c r="E18" s="4">
        <f t="shared" ref="E18:L18" si="15">E16+E17</f>
        <v>0</v>
      </c>
      <c r="F18" s="4">
        <f t="shared" si="15"/>
        <v>0</v>
      </c>
      <c r="G18" s="4">
        <f t="shared" si="15"/>
        <v>0</v>
      </c>
      <c r="H18" s="4">
        <f t="shared" si="15"/>
        <v>3997</v>
      </c>
      <c r="I18" s="4">
        <f t="shared" si="15"/>
        <v>0</v>
      </c>
      <c r="J18" s="4"/>
      <c r="K18" s="4">
        <f t="shared" si="15"/>
        <v>5332</v>
      </c>
      <c r="L18" s="4">
        <f t="shared" si="15"/>
        <v>3997</v>
      </c>
    </row>
    <row r="19" spans="1:12" x14ac:dyDescent="0.35">
      <c r="A19" t="s">
        <v>88</v>
      </c>
      <c r="B19" s="3"/>
      <c r="C19" s="3"/>
      <c r="D19" s="3">
        <v>491</v>
      </c>
      <c r="E19" s="3"/>
      <c r="F19" s="3"/>
      <c r="G19" s="3"/>
      <c r="H19" s="3">
        <v>519</v>
      </c>
      <c r="I19" s="3"/>
      <c r="J19" s="3"/>
      <c r="K19" s="3">
        <f>SUM(B19:E19)</f>
        <v>491</v>
      </c>
      <c r="L19" s="3">
        <f t="shared" ref="L19:L20" si="16">SUM(F19:I19)</f>
        <v>519</v>
      </c>
    </row>
    <row r="20" spans="1:12" x14ac:dyDescent="0.35">
      <c r="A20" t="s">
        <v>89</v>
      </c>
      <c r="B20" s="3"/>
      <c r="C20" s="3"/>
      <c r="D20" s="3">
        <v>163</v>
      </c>
      <c r="E20" s="3"/>
      <c r="F20" s="3"/>
      <c r="G20" s="3"/>
      <c r="H20" s="3">
        <v>138</v>
      </c>
      <c r="I20" s="3"/>
      <c r="J20" s="3"/>
      <c r="K20" s="3">
        <f>SUM(B20:E20)</f>
        <v>163</v>
      </c>
      <c r="L20" s="3">
        <f t="shared" si="16"/>
        <v>138</v>
      </c>
    </row>
    <row r="21" spans="1:12" s="1" customFormat="1" x14ac:dyDescent="0.35">
      <c r="A21" s="1" t="s">
        <v>84</v>
      </c>
      <c r="B21" s="4">
        <f t="shared" ref="B21:C21" si="17">+B19+B20+B18</f>
        <v>0</v>
      </c>
      <c r="C21" s="4">
        <f t="shared" si="17"/>
        <v>0</v>
      </c>
      <c r="D21" s="4">
        <f>+D19+D20+D18</f>
        <v>5986</v>
      </c>
      <c r="E21" s="4">
        <f t="shared" ref="E21:L21" si="18">+E19+E20+E18</f>
        <v>0</v>
      </c>
      <c r="F21" s="4">
        <f t="shared" si="18"/>
        <v>0</v>
      </c>
      <c r="G21" s="4">
        <f t="shared" si="18"/>
        <v>0</v>
      </c>
      <c r="H21" s="4">
        <f t="shared" si="18"/>
        <v>4654</v>
      </c>
      <c r="I21" s="4">
        <f t="shared" si="18"/>
        <v>0</v>
      </c>
      <c r="J21" s="4"/>
      <c r="K21" s="4">
        <f t="shared" si="18"/>
        <v>5986</v>
      </c>
      <c r="L21" s="4">
        <f t="shared" si="18"/>
        <v>4654</v>
      </c>
    </row>
    <row r="22" spans="1:12" s="1" customFormat="1" x14ac:dyDescent="0.35"/>
    <row r="23" spans="1:12" s="1" customFormat="1" x14ac:dyDescent="0.35">
      <c r="A23" s="1" t="s">
        <v>0</v>
      </c>
    </row>
    <row r="24" spans="1:12" x14ac:dyDescent="0.35">
      <c r="A24" t="s">
        <v>1</v>
      </c>
      <c r="C24" s="3">
        <v>5954</v>
      </c>
      <c r="D24" s="3">
        <v>5332</v>
      </c>
      <c r="E24" s="3"/>
      <c r="F24" s="3"/>
      <c r="G24" s="3">
        <v>4803</v>
      </c>
      <c r="H24" s="3">
        <v>3997</v>
      </c>
      <c r="I24" s="3"/>
      <c r="K24" s="3">
        <f>SUM(B24:E24)</f>
        <v>11286</v>
      </c>
      <c r="L24" s="3">
        <f>SUM(F24:I24)</f>
        <v>8800</v>
      </c>
    </row>
    <row r="25" spans="1:12" x14ac:dyDescent="0.35">
      <c r="A25" t="s">
        <v>2</v>
      </c>
      <c r="C25" s="3">
        <v>613</v>
      </c>
      <c r="D25" s="3">
        <v>654</v>
      </c>
      <c r="E25" s="3"/>
      <c r="F25" s="3"/>
      <c r="G25" s="3">
        <v>685</v>
      </c>
      <c r="H25" s="3">
        <v>657</v>
      </c>
      <c r="I25" s="3"/>
      <c r="K25" s="3">
        <f>SUM(B25:E25)</f>
        <v>1267</v>
      </c>
      <c r="L25" s="3">
        <f>SUM(F25:I25)</f>
        <v>1342</v>
      </c>
    </row>
    <row r="26" spans="1:12" s="1" customFormat="1" x14ac:dyDescent="0.35">
      <c r="A26" s="1" t="s">
        <v>3</v>
      </c>
      <c r="B26" s="4">
        <f t="shared" ref="B26:C26" si="19">SUM(B24:B25)</f>
        <v>0</v>
      </c>
      <c r="C26" s="4">
        <f t="shared" si="19"/>
        <v>6567</v>
      </c>
      <c r="D26" s="4">
        <f>SUM(D24:D25)</f>
        <v>5986</v>
      </c>
      <c r="E26" s="4">
        <f t="shared" ref="E26:L26" si="20">SUM(E24:E25)</f>
        <v>0</v>
      </c>
      <c r="F26" s="4">
        <f t="shared" si="20"/>
        <v>0</v>
      </c>
      <c r="G26" s="4">
        <f t="shared" si="20"/>
        <v>5488</v>
      </c>
      <c r="H26" s="4">
        <f t="shared" si="20"/>
        <v>4654</v>
      </c>
      <c r="I26" s="4">
        <f t="shared" si="20"/>
        <v>0</v>
      </c>
      <c r="J26" s="4"/>
      <c r="K26" s="4">
        <f t="shared" si="20"/>
        <v>12553</v>
      </c>
      <c r="L26" s="4">
        <f t="shared" si="20"/>
        <v>10142</v>
      </c>
    </row>
    <row r="27" spans="1:12" x14ac:dyDescent="0.35">
      <c r="A27" t="s">
        <v>6</v>
      </c>
      <c r="C27" s="3">
        <v>4463</v>
      </c>
      <c r="D27" s="3">
        <v>4059</v>
      </c>
      <c r="E27" s="3"/>
      <c r="F27" s="3"/>
      <c r="G27" s="3">
        <v>3702</v>
      </c>
      <c r="H27" s="3">
        <v>3130</v>
      </c>
      <c r="I27" s="3"/>
      <c r="K27" s="3">
        <f>SUM(B27:E27)</f>
        <v>8522</v>
      </c>
      <c r="L27" s="3">
        <f>SUM(F27:I27)</f>
        <v>6832</v>
      </c>
    </row>
    <row r="28" spans="1:12" s="1" customFormat="1" x14ac:dyDescent="0.35">
      <c r="A28" s="1" t="s">
        <v>7</v>
      </c>
      <c r="B28" s="4">
        <f t="shared" ref="B28:G28" si="21">B26-B27</f>
        <v>0</v>
      </c>
      <c r="C28" s="4">
        <f t="shared" si="21"/>
        <v>2104</v>
      </c>
      <c r="D28" s="4">
        <f t="shared" si="21"/>
        <v>1927</v>
      </c>
      <c r="E28" s="4">
        <f t="shared" si="21"/>
        <v>0</v>
      </c>
      <c r="F28" s="4">
        <f t="shared" si="21"/>
        <v>0</v>
      </c>
      <c r="G28" s="4">
        <f t="shared" si="21"/>
        <v>1786</v>
      </c>
      <c r="H28" s="4">
        <f>H26-H27</f>
        <v>1524</v>
      </c>
      <c r="I28" s="4">
        <f t="shared" ref="I28:L28" si="22">I26-I27</f>
        <v>0</v>
      </c>
      <c r="J28" s="4"/>
      <c r="K28" s="4">
        <f t="shared" si="22"/>
        <v>4031</v>
      </c>
      <c r="L28" s="4">
        <f t="shared" si="22"/>
        <v>3310</v>
      </c>
    </row>
    <row r="29" spans="1:12" x14ac:dyDescent="0.35">
      <c r="A29" t="s">
        <v>8</v>
      </c>
      <c r="C29" s="3">
        <v>485</v>
      </c>
      <c r="D29" s="3">
        <v>462</v>
      </c>
      <c r="E29" s="3"/>
      <c r="F29" s="3"/>
      <c r="G29" s="3">
        <v>461</v>
      </c>
      <c r="H29" s="3">
        <v>426</v>
      </c>
      <c r="I29" s="3"/>
      <c r="K29" s="3">
        <f>SUM(B29:E29)</f>
        <v>947</v>
      </c>
      <c r="L29" s="3">
        <f>SUM(F29:I29)</f>
        <v>887</v>
      </c>
    </row>
    <row r="30" spans="1:12" x14ac:dyDescent="0.35">
      <c r="A30" t="s">
        <v>9</v>
      </c>
      <c r="C30" s="3">
        <v>269</v>
      </c>
      <c r="D30" s="3">
        <v>266</v>
      </c>
      <c r="E30" s="3"/>
      <c r="F30" s="3"/>
      <c r="G30" s="3">
        <v>237</v>
      </c>
      <c r="H30" s="3">
        <v>221</v>
      </c>
      <c r="I30" s="3"/>
      <c r="K30" s="3">
        <f>SUM(B30:E30)</f>
        <v>535</v>
      </c>
      <c r="L30" s="3">
        <f>SUM(F30:I30)</f>
        <v>458</v>
      </c>
    </row>
    <row r="31" spans="1:12" x14ac:dyDescent="0.35">
      <c r="A31" t="s">
        <v>10</v>
      </c>
      <c r="C31" s="3">
        <v>2</v>
      </c>
      <c r="D31" s="3">
        <v>5</v>
      </c>
      <c r="E31" s="3"/>
      <c r="F31" s="3"/>
      <c r="G31" s="3">
        <v>51</v>
      </c>
      <c r="H31" s="3">
        <v>12</v>
      </c>
      <c r="I31" s="3"/>
      <c r="K31" s="3">
        <f>SUM(B31:E31)</f>
        <v>7</v>
      </c>
      <c r="L31" s="3">
        <f>SUM(F31:I31)</f>
        <v>63</v>
      </c>
    </row>
    <row r="32" spans="1:12" x14ac:dyDescent="0.35">
      <c r="A32" t="s">
        <v>11</v>
      </c>
      <c r="C32" s="3">
        <v>323</v>
      </c>
      <c r="D32" s="3">
        <v>346</v>
      </c>
      <c r="E32" s="3"/>
      <c r="F32" s="3"/>
      <c r="G32" s="3">
        <v>418</v>
      </c>
      <c r="H32" s="3">
        <v>378</v>
      </c>
      <c r="I32" s="3"/>
      <c r="K32" s="3">
        <f>SUM(B32:E32)</f>
        <v>669</v>
      </c>
      <c r="L32" s="3">
        <f>SUM(F32:I32)</f>
        <v>796</v>
      </c>
    </row>
    <row r="33" spans="1:12" x14ac:dyDescent="0.35">
      <c r="A33" t="s">
        <v>12</v>
      </c>
      <c r="C33" s="3">
        <v>187</v>
      </c>
      <c r="D33" s="3">
        <v>186</v>
      </c>
      <c r="E33" s="3"/>
      <c r="F33" s="3"/>
      <c r="G33" s="3">
        <v>165</v>
      </c>
      <c r="H33" s="3">
        <v>127</v>
      </c>
      <c r="I33" s="3"/>
      <c r="K33" s="3">
        <f>SUM(B33:E33)</f>
        <v>373</v>
      </c>
      <c r="L33" s="3">
        <f>SUM(F33:I33)</f>
        <v>292</v>
      </c>
    </row>
    <row r="34" spans="1:12" s="1" customFormat="1" x14ac:dyDescent="0.35">
      <c r="A34" s="1" t="s">
        <v>13</v>
      </c>
      <c r="B34" s="4">
        <f t="shared" ref="B34:C34" si="23">SUM(B29:B33)+B27</f>
        <v>0</v>
      </c>
      <c r="C34" s="4">
        <f t="shared" si="23"/>
        <v>5729</v>
      </c>
      <c r="D34" s="4">
        <f>SUM(D29:D33)+D27</f>
        <v>5324</v>
      </c>
      <c r="E34" s="4">
        <f t="shared" ref="E34:L34" si="24">SUM(E29:E33)+E27</f>
        <v>0</v>
      </c>
      <c r="F34" s="4">
        <f t="shared" si="24"/>
        <v>0</v>
      </c>
      <c r="G34" s="4">
        <f t="shared" ref="G34" si="25">SUM(G29:G33)+G27</f>
        <v>5034</v>
      </c>
      <c r="H34" s="4">
        <f t="shared" si="24"/>
        <v>4294</v>
      </c>
      <c r="I34" s="4">
        <f t="shared" si="24"/>
        <v>0</v>
      </c>
      <c r="J34" s="4"/>
      <c r="K34" s="4">
        <f t="shared" si="24"/>
        <v>11053</v>
      </c>
      <c r="L34" s="4">
        <f t="shared" si="24"/>
        <v>9328</v>
      </c>
    </row>
    <row r="35" spans="1:12" s="1" customFormat="1" x14ac:dyDescent="0.35">
      <c r="A35" s="1" t="s">
        <v>14</v>
      </c>
      <c r="B35" s="4">
        <f t="shared" ref="B35:C35" si="26">B26-B34</f>
        <v>0</v>
      </c>
      <c r="C35" s="4">
        <f t="shared" si="26"/>
        <v>838</v>
      </c>
      <c r="D35" s="4">
        <f>D26-D34</f>
        <v>662</v>
      </c>
      <c r="E35" s="4">
        <f t="shared" ref="E35:L35" si="27">E26-E34</f>
        <v>0</v>
      </c>
      <c r="F35" s="4">
        <f t="shared" si="27"/>
        <v>0</v>
      </c>
      <c r="G35" s="4">
        <f t="shared" ref="G35" si="28">G26-G34</f>
        <v>454</v>
      </c>
      <c r="H35" s="4">
        <f t="shared" si="27"/>
        <v>360</v>
      </c>
      <c r="I35" s="4">
        <f t="shared" si="27"/>
        <v>0</v>
      </c>
      <c r="J35" s="4"/>
      <c r="K35" s="4">
        <f t="shared" si="27"/>
        <v>1500</v>
      </c>
      <c r="L35" s="4">
        <f t="shared" si="27"/>
        <v>814</v>
      </c>
    </row>
    <row r="36" spans="1:12" x14ac:dyDescent="0.35">
      <c r="A36" t="s">
        <v>15</v>
      </c>
      <c r="C36" s="3">
        <v>-192</v>
      </c>
      <c r="D36" s="3">
        <v>-171</v>
      </c>
      <c r="E36" s="3"/>
      <c r="F36" s="3"/>
      <c r="G36" s="3">
        <v>-95</v>
      </c>
      <c r="H36" s="3">
        <v>-75</v>
      </c>
      <c r="I36" s="3"/>
      <c r="K36" s="3">
        <f>SUM(B36:E36)</f>
        <v>-363</v>
      </c>
      <c r="L36" s="3">
        <f>SUM(F36:I36)</f>
        <v>-170</v>
      </c>
    </row>
    <row r="37" spans="1:12" x14ac:dyDescent="0.35">
      <c r="A37" t="s">
        <v>16</v>
      </c>
      <c r="C37" s="3">
        <v>64</v>
      </c>
      <c r="D37" s="3">
        <v>49</v>
      </c>
      <c r="E37" s="3"/>
      <c r="F37" s="3"/>
      <c r="G37" s="3">
        <v>79</v>
      </c>
      <c r="H37" s="3">
        <v>25</v>
      </c>
      <c r="I37" s="3"/>
      <c r="K37" s="3">
        <f>SUM(B37:E37)</f>
        <v>113</v>
      </c>
      <c r="L37" s="3">
        <f>SUM(F37:I37)</f>
        <v>104</v>
      </c>
    </row>
    <row r="38" spans="1:12" x14ac:dyDescent="0.35">
      <c r="A38" t="s">
        <v>17</v>
      </c>
      <c r="C38" s="3">
        <v>4</v>
      </c>
      <c r="D38" s="3">
        <v>3</v>
      </c>
      <c r="E38" s="3"/>
      <c r="F38" s="3"/>
      <c r="G38" s="3">
        <v>5</v>
      </c>
      <c r="H38" s="3">
        <v>4</v>
      </c>
      <c r="I38" s="3"/>
      <c r="K38" s="3">
        <f>SUM(B38:E38)</f>
        <v>7</v>
      </c>
      <c r="L38" s="3">
        <f>SUM(F38:I38)</f>
        <v>9</v>
      </c>
    </row>
    <row r="39" spans="1:12" s="1" customFormat="1" x14ac:dyDescent="0.35">
      <c r="A39" s="1" t="s">
        <v>18</v>
      </c>
      <c r="B39" s="4">
        <f t="shared" ref="B39:C39" si="29">B35+B36+B37-B38</f>
        <v>0</v>
      </c>
      <c r="C39" s="4">
        <f t="shared" si="29"/>
        <v>706</v>
      </c>
      <c r="D39" s="4">
        <f>D35+D36+D37-D38</f>
        <v>537</v>
      </c>
      <c r="E39" s="4">
        <f t="shared" ref="E39:L39" si="30">E35+E36+E37-E38</f>
        <v>0</v>
      </c>
      <c r="F39" s="4">
        <f t="shared" si="30"/>
        <v>0</v>
      </c>
      <c r="G39" s="4">
        <f t="shared" si="30"/>
        <v>433</v>
      </c>
      <c r="H39" s="4">
        <f t="shared" si="30"/>
        <v>306</v>
      </c>
      <c r="I39" s="4">
        <f t="shared" si="30"/>
        <v>0</v>
      </c>
      <c r="J39" s="4"/>
      <c r="K39" s="4">
        <f t="shared" si="30"/>
        <v>1243</v>
      </c>
      <c r="L39" s="4">
        <f t="shared" si="30"/>
        <v>739</v>
      </c>
    </row>
    <row r="41" spans="1:12" s="1" customFormat="1" x14ac:dyDescent="0.35">
      <c r="A41" s="1" t="s">
        <v>19</v>
      </c>
      <c r="B41" s="2" t="e">
        <f t="shared" ref="B41:C41" si="31">B39/B44</f>
        <v>#DIV/0!</v>
      </c>
      <c r="C41" s="2">
        <f t="shared" si="31"/>
        <v>0.52765321375186847</v>
      </c>
      <c r="D41" s="2">
        <f>D39/D44</f>
        <v>0.42822966507177035</v>
      </c>
      <c r="E41" s="2" t="e">
        <f t="shared" ref="E41:L41" si="32">E39/E44</f>
        <v>#DIV/0!</v>
      </c>
      <c r="F41" s="2" t="e">
        <f t="shared" si="32"/>
        <v>#DIV/0!</v>
      </c>
      <c r="G41" s="2">
        <f t="shared" si="32"/>
        <v>0.34474522292993631</v>
      </c>
      <c r="H41" s="2">
        <f t="shared" si="32"/>
        <v>0.22972972972972974</v>
      </c>
      <c r="I41" s="2" t="e">
        <f t="shared" si="32"/>
        <v>#DIV/0!</v>
      </c>
      <c r="J41" s="2"/>
      <c r="K41" s="2">
        <f t="shared" si="32"/>
        <v>0.47955246913580246</v>
      </c>
      <c r="L41" s="2">
        <f t="shared" si="32"/>
        <v>0.28554868624420404</v>
      </c>
    </row>
    <row r="42" spans="1:12" s="1" customFormat="1" x14ac:dyDescent="0.35">
      <c r="A42" s="1" t="s">
        <v>20</v>
      </c>
      <c r="B42" s="2" t="e">
        <f t="shared" ref="B42:C42" si="33">B39/B45</f>
        <v>#DIV/0!</v>
      </c>
      <c r="C42" s="2">
        <f t="shared" si="33"/>
        <v>0.52103321033210337</v>
      </c>
      <c r="D42" s="2">
        <f>D39/D45</f>
        <v>0.42822966507177035</v>
      </c>
      <c r="E42" s="2" t="e">
        <f t="shared" ref="E42:L42" si="34">E39/E45</f>
        <v>#DIV/0!</v>
      </c>
      <c r="F42" s="2" t="e">
        <f t="shared" si="34"/>
        <v>#DIV/0!</v>
      </c>
      <c r="G42" s="2">
        <f t="shared" si="34"/>
        <v>0.34365079365079365</v>
      </c>
      <c r="H42" s="2">
        <f t="shared" si="34"/>
        <v>0.22649888971132495</v>
      </c>
      <c r="I42" s="2" t="e">
        <f t="shared" si="34"/>
        <v>#DIV/0!</v>
      </c>
      <c r="J42" s="2"/>
      <c r="K42" s="2">
        <f t="shared" si="34"/>
        <v>0.47642775009582217</v>
      </c>
      <c r="L42" s="2">
        <f t="shared" si="34"/>
        <v>0.28303332056683261</v>
      </c>
    </row>
    <row r="44" spans="1:12" x14ac:dyDescent="0.35">
      <c r="A44" t="s">
        <v>22</v>
      </c>
      <c r="C44">
        <v>1338</v>
      </c>
      <c r="D44">
        <v>1254</v>
      </c>
      <c r="G44">
        <v>1256</v>
      </c>
      <c r="H44">
        <v>1332</v>
      </c>
      <c r="K44">
        <f>SUM(B44:E44)</f>
        <v>2592</v>
      </c>
      <c r="L44">
        <f>SUM(F44:I44)</f>
        <v>2588</v>
      </c>
    </row>
    <row r="45" spans="1:12" x14ac:dyDescent="0.35">
      <c r="A45" t="s">
        <v>21</v>
      </c>
      <c r="C45">
        <v>1355</v>
      </c>
      <c r="D45">
        <v>1254</v>
      </c>
      <c r="G45">
        <v>1260</v>
      </c>
      <c r="H45">
        <v>1351</v>
      </c>
      <c r="K45">
        <f>SUM(B45:E45)</f>
        <v>2609</v>
      </c>
      <c r="L45">
        <f>SUM(F45:I45)</f>
        <v>2611</v>
      </c>
    </row>
    <row r="47" spans="1:12" x14ac:dyDescent="0.35">
      <c r="A47" t="s">
        <v>23</v>
      </c>
      <c r="D47">
        <v>0</v>
      </c>
      <c r="H47">
        <v>0</v>
      </c>
      <c r="K47">
        <f>SUM(B47:E47)</f>
        <v>0</v>
      </c>
      <c r="L47">
        <f>SUM(F47:I47)</f>
        <v>0</v>
      </c>
    </row>
    <row r="49" spans="1:12" s="1" customFormat="1" x14ac:dyDescent="0.35">
      <c r="B49" s="1" t="str">
        <f>B1</f>
        <v>Q123</v>
      </c>
      <c r="C49" s="1" t="str">
        <f t="shared" ref="C49:L49" si="35">C1</f>
        <v>Q223</v>
      </c>
      <c r="D49" s="1" t="str">
        <f t="shared" si="35"/>
        <v>Q323</v>
      </c>
      <c r="E49" s="1" t="str">
        <f t="shared" si="35"/>
        <v>Q423</v>
      </c>
      <c r="F49" s="1" t="str">
        <f t="shared" si="35"/>
        <v>Q124</v>
      </c>
      <c r="G49" s="1" t="str">
        <f t="shared" si="35"/>
        <v>Q224</v>
      </c>
      <c r="H49" s="1" t="str">
        <f t="shared" si="35"/>
        <v>Q324</v>
      </c>
      <c r="I49" s="1" t="str">
        <f t="shared" si="35"/>
        <v>Q424</v>
      </c>
      <c r="K49" s="1">
        <f t="shared" si="35"/>
        <v>2023</v>
      </c>
      <c r="L49" s="1">
        <f t="shared" si="35"/>
        <v>2024</v>
      </c>
    </row>
    <row r="51" spans="1:12" x14ac:dyDescent="0.35">
      <c r="A51" t="s">
        <v>66</v>
      </c>
      <c r="B51" s="3"/>
      <c r="C51" s="3">
        <f>1196-B51</f>
        <v>1196</v>
      </c>
      <c r="D51" s="3">
        <f>1704-C52-B52</f>
        <v>1526</v>
      </c>
      <c r="E51" s="3"/>
      <c r="F51" s="3"/>
      <c r="G51" s="3">
        <f>840-F51</f>
        <v>840</v>
      </c>
      <c r="H51" s="3">
        <f>1083-G52-F52</f>
        <v>876</v>
      </c>
      <c r="I51" s="3"/>
      <c r="J51" s="3"/>
      <c r="K51" s="3">
        <f t="shared" ref="K51:K62" si="36">SUM(B51:E51)</f>
        <v>2722</v>
      </c>
      <c r="L51" s="3">
        <f t="shared" ref="L51:L62" si="37">SUM(F51:I51)</f>
        <v>1716</v>
      </c>
    </row>
    <row r="52" spans="1:12" x14ac:dyDescent="0.35">
      <c r="A52" t="s">
        <v>67</v>
      </c>
      <c r="B52" s="3"/>
      <c r="C52" s="3">
        <f>178-B52</f>
        <v>178</v>
      </c>
      <c r="D52" s="3">
        <f>276-C52-B52</f>
        <v>98</v>
      </c>
      <c r="E52" s="3"/>
      <c r="F52" s="3"/>
      <c r="G52" s="3">
        <f>207-F52</f>
        <v>207</v>
      </c>
      <c r="H52" s="3">
        <f>315-G52-F52</f>
        <v>108</v>
      </c>
      <c r="I52" s="3"/>
      <c r="J52" s="3"/>
      <c r="K52" s="3">
        <f t="shared" si="36"/>
        <v>276</v>
      </c>
      <c r="L52" s="3">
        <f t="shared" si="37"/>
        <v>315</v>
      </c>
    </row>
    <row r="53" spans="1:12" x14ac:dyDescent="0.35">
      <c r="A53" t="s">
        <v>68</v>
      </c>
      <c r="B53" s="3"/>
      <c r="C53" s="3">
        <f>92-B53</f>
        <v>92</v>
      </c>
      <c r="D53" s="3">
        <f>140-C53-B53</f>
        <v>48</v>
      </c>
      <c r="E53" s="3"/>
      <c r="F53" s="3"/>
      <c r="G53" s="3">
        <f>92-F53</f>
        <v>92</v>
      </c>
      <c r="H53" s="3">
        <f>139-G53-F53</f>
        <v>47</v>
      </c>
      <c r="I53" s="3"/>
      <c r="J53" s="3"/>
      <c r="K53" s="3">
        <f t="shared" si="36"/>
        <v>140</v>
      </c>
      <c r="L53" s="3">
        <f t="shared" si="37"/>
        <v>139</v>
      </c>
    </row>
    <row r="54" spans="1:12" x14ac:dyDescent="0.35">
      <c r="A54" t="s">
        <v>69</v>
      </c>
      <c r="B54" s="3"/>
      <c r="C54" s="3">
        <f>20-B54</f>
        <v>20</v>
      </c>
      <c r="D54" s="3">
        <f>21-C54-B54</f>
        <v>1</v>
      </c>
      <c r="E54" s="3"/>
      <c r="F54" s="3"/>
      <c r="G54" s="3">
        <f>7-F54</f>
        <v>7</v>
      </c>
      <c r="H54" s="3">
        <f>7-G54-F54</f>
        <v>0</v>
      </c>
      <c r="I54" s="3"/>
      <c r="J54" s="3"/>
      <c r="K54" s="3">
        <f t="shared" si="36"/>
        <v>21</v>
      </c>
      <c r="L54" s="3">
        <f t="shared" si="37"/>
        <v>7</v>
      </c>
    </row>
    <row r="55" spans="1:12" x14ac:dyDescent="0.35">
      <c r="A55" t="s">
        <v>70</v>
      </c>
      <c r="B55" s="3"/>
      <c r="C55" s="3">
        <f>-46-B55</f>
        <v>-46</v>
      </c>
      <c r="D55" s="3">
        <f>-63-SUM(B55:C55)</f>
        <v>-17</v>
      </c>
      <c r="E55" s="3"/>
      <c r="F55" s="3"/>
      <c r="G55" s="3">
        <f>-79-F55</f>
        <v>-79</v>
      </c>
      <c r="H55" s="3">
        <f>-31-SUM(F55:G55)</f>
        <v>48</v>
      </c>
      <c r="I55" s="3"/>
      <c r="J55" s="3"/>
      <c r="K55" s="3">
        <f t="shared" si="36"/>
        <v>-63</v>
      </c>
      <c r="L55" s="3">
        <f t="shared" si="37"/>
        <v>-31</v>
      </c>
    </row>
    <row r="56" spans="1:12" x14ac:dyDescent="0.35">
      <c r="A56" t="s">
        <v>71</v>
      </c>
      <c r="B56" s="3"/>
      <c r="C56" s="3">
        <f>78-B56</f>
        <v>78</v>
      </c>
      <c r="D56" s="3">
        <f>136-C56-B56</f>
        <v>58</v>
      </c>
      <c r="E56" s="3"/>
      <c r="F56" s="3"/>
      <c r="G56" s="3">
        <f>130-F56</f>
        <v>130</v>
      </c>
      <c r="H56" s="3">
        <f>276-G56-F56</f>
        <v>146</v>
      </c>
      <c r="I56" s="3"/>
      <c r="J56" s="3"/>
      <c r="K56" s="3">
        <f t="shared" si="36"/>
        <v>136</v>
      </c>
      <c r="L56" s="3">
        <f t="shared" si="37"/>
        <v>276</v>
      </c>
    </row>
    <row r="57" spans="1:12" x14ac:dyDescent="0.35">
      <c r="A57" t="s">
        <v>72</v>
      </c>
      <c r="B57" s="3"/>
      <c r="C57" s="3">
        <f>445-B57</f>
        <v>445</v>
      </c>
      <c r="D57" s="3">
        <f>618-C57-B57</f>
        <v>173</v>
      </c>
      <c r="E57" s="3"/>
      <c r="F57" s="3"/>
      <c r="G57" s="3">
        <f>105-F57</f>
        <v>105</v>
      </c>
      <c r="H57" s="3">
        <f>52-G57-F57</f>
        <v>-53</v>
      </c>
      <c r="I57" s="3"/>
      <c r="J57" s="3"/>
      <c r="K57" s="3">
        <f t="shared" si="36"/>
        <v>618</v>
      </c>
      <c r="L57" s="3">
        <f t="shared" si="37"/>
        <v>52</v>
      </c>
    </row>
    <row r="58" spans="1:12" x14ac:dyDescent="0.35">
      <c r="A58" t="s">
        <v>73</v>
      </c>
      <c r="B58" s="3"/>
      <c r="C58" s="3">
        <f>-188-B58</f>
        <v>-188</v>
      </c>
      <c r="D58" s="3">
        <f>-319-C58-B58</f>
        <v>-131</v>
      </c>
      <c r="E58" s="3"/>
      <c r="F58" s="3"/>
      <c r="G58" s="3">
        <f>-24-F58</f>
        <v>-24</v>
      </c>
      <c r="H58" s="3">
        <f>-31-G58-F58</f>
        <v>-7</v>
      </c>
      <c r="I58" s="3"/>
      <c r="J58" s="3"/>
      <c r="K58" s="3">
        <f t="shared" si="36"/>
        <v>-319</v>
      </c>
      <c r="L58" s="3">
        <f t="shared" si="37"/>
        <v>-31</v>
      </c>
    </row>
    <row r="59" spans="1:12" x14ac:dyDescent="0.35">
      <c r="A59" t="s">
        <v>74</v>
      </c>
      <c r="B59" s="3"/>
      <c r="C59" s="3">
        <f>-1380-B59</f>
        <v>-1380</v>
      </c>
      <c r="D59" s="3">
        <f>-1602-C59-B59</f>
        <v>-222</v>
      </c>
      <c r="E59" s="3"/>
      <c r="F59" s="3"/>
      <c r="G59" s="3">
        <f>-136-F59</f>
        <v>-136</v>
      </c>
      <c r="H59" s="3">
        <f>482-G59-F59</f>
        <v>618</v>
      </c>
      <c r="I59" s="3"/>
      <c r="J59" s="3"/>
      <c r="K59" s="3">
        <f t="shared" si="36"/>
        <v>-1602</v>
      </c>
      <c r="L59" s="3">
        <f t="shared" si="37"/>
        <v>482</v>
      </c>
    </row>
    <row r="60" spans="1:12" x14ac:dyDescent="0.35">
      <c r="A60" t="s">
        <v>75</v>
      </c>
      <c r="B60" s="3"/>
      <c r="C60" s="3">
        <f>-1379-B60</f>
        <v>-1379</v>
      </c>
      <c r="D60" s="3">
        <f>-1443-C60-B60</f>
        <v>-64</v>
      </c>
      <c r="E60" s="3"/>
      <c r="F60" s="3"/>
      <c r="G60" s="3">
        <f>-495-F60</f>
        <v>-495</v>
      </c>
      <c r="H60" s="3">
        <f>-256-G60-F60</f>
        <v>239</v>
      </c>
      <c r="I60" s="3"/>
      <c r="J60" s="3"/>
      <c r="K60" s="3">
        <f t="shared" si="36"/>
        <v>-1443</v>
      </c>
      <c r="L60" s="3">
        <f t="shared" si="37"/>
        <v>-256</v>
      </c>
    </row>
    <row r="61" spans="1:12" x14ac:dyDescent="0.35">
      <c r="A61" t="s">
        <v>76</v>
      </c>
      <c r="B61" s="3"/>
      <c r="C61" s="3">
        <f>202-B61</f>
        <v>202</v>
      </c>
      <c r="D61" s="3">
        <f>-101-C61-B61</f>
        <v>-303</v>
      </c>
      <c r="E61" s="3"/>
      <c r="F61" s="3"/>
      <c r="G61" s="3">
        <f>-638-F61</f>
        <v>-638</v>
      </c>
      <c r="H61" s="3">
        <f>-1217-G61-F61</f>
        <v>-579</v>
      </c>
      <c r="I61" s="3"/>
      <c r="J61" s="3"/>
      <c r="K61" s="3">
        <f t="shared" si="36"/>
        <v>-101</v>
      </c>
      <c r="L61" s="3">
        <f t="shared" si="37"/>
        <v>-1217</v>
      </c>
    </row>
    <row r="62" spans="1:12" x14ac:dyDescent="0.35">
      <c r="A62" t="s">
        <v>77</v>
      </c>
      <c r="B62" s="3"/>
      <c r="C62" s="3">
        <f>-58-B62</f>
        <v>-58</v>
      </c>
      <c r="D62" s="3">
        <f>25-C62-B62</f>
        <v>83</v>
      </c>
      <c r="E62" s="3"/>
      <c r="F62" s="3"/>
      <c r="G62" s="3">
        <f>-524-F62</f>
        <v>-524</v>
      </c>
      <c r="H62" s="3">
        <f>-543-G62-F62</f>
        <v>-19</v>
      </c>
      <c r="I62" s="3"/>
      <c r="J62" s="3"/>
      <c r="K62" s="3">
        <f t="shared" si="36"/>
        <v>25</v>
      </c>
      <c r="L62" s="3">
        <f t="shared" si="37"/>
        <v>-543</v>
      </c>
    </row>
    <row r="63" spans="1:12" s="1" customFormat="1" x14ac:dyDescent="0.35">
      <c r="A63" s="1" t="s">
        <v>78</v>
      </c>
      <c r="B63" s="4">
        <f t="shared" ref="B63:C63" si="38">SUM(B51:B62)</f>
        <v>0</v>
      </c>
      <c r="C63" s="4">
        <f t="shared" si="38"/>
        <v>-840</v>
      </c>
      <c r="D63" s="4">
        <f>SUM(D51:D62)</f>
        <v>1250</v>
      </c>
      <c r="E63" s="4">
        <f t="shared" ref="E63:L63" si="39">SUM(E51:E62)</f>
        <v>0</v>
      </c>
      <c r="F63" s="4">
        <f t="shared" si="39"/>
        <v>0</v>
      </c>
      <c r="G63" s="4">
        <f t="shared" si="39"/>
        <v>-515</v>
      </c>
      <c r="H63" s="4">
        <f t="shared" si="39"/>
        <v>1424</v>
      </c>
      <c r="I63" s="4">
        <f t="shared" si="39"/>
        <v>0</v>
      </c>
      <c r="J63" s="4"/>
      <c r="K63" s="4">
        <f t="shared" si="39"/>
        <v>410</v>
      </c>
      <c r="L63" s="4">
        <f t="shared" si="39"/>
        <v>909</v>
      </c>
    </row>
    <row r="65" spans="1:12" s="1" customFormat="1" x14ac:dyDescent="0.35">
      <c r="B65" s="1" t="str">
        <f>B49</f>
        <v>Q123</v>
      </c>
      <c r="C65" s="1" t="str">
        <f t="shared" ref="C65:L65" si="40">C49</f>
        <v>Q223</v>
      </c>
      <c r="D65" s="1" t="str">
        <f t="shared" si="40"/>
        <v>Q323</v>
      </c>
      <c r="E65" s="1" t="str">
        <f t="shared" si="40"/>
        <v>Q423</v>
      </c>
      <c r="F65" s="1" t="str">
        <f t="shared" si="40"/>
        <v>Q124</v>
      </c>
      <c r="G65" s="1" t="str">
        <f t="shared" si="40"/>
        <v>Q224</v>
      </c>
      <c r="H65" s="1" t="str">
        <f t="shared" si="40"/>
        <v>Q324</v>
      </c>
      <c r="I65" s="1" t="str">
        <f t="shared" si="40"/>
        <v>Q424</v>
      </c>
      <c r="K65" s="1">
        <f t="shared" si="40"/>
        <v>2023</v>
      </c>
      <c r="L65" s="1">
        <f t="shared" si="40"/>
        <v>2024</v>
      </c>
    </row>
    <row r="67" spans="1:12" s="1" customFormat="1" x14ac:dyDescent="0.35">
      <c r="A67" s="1" t="s">
        <v>24</v>
      </c>
    </row>
    <row r="68" spans="1:12" x14ac:dyDescent="0.35">
      <c r="A68" t="s">
        <v>25</v>
      </c>
      <c r="B68" s="3"/>
      <c r="C68" s="3"/>
      <c r="D68" s="3"/>
      <c r="E68" s="3">
        <v>4322</v>
      </c>
      <c r="F68" s="3"/>
      <c r="G68" s="3">
        <v>2002</v>
      </c>
      <c r="H68" s="3">
        <v>1801</v>
      </c>
      <c r="I68" s="3"/>
      <c r="K68" s="3">
        <f t="shared" ref="K68:K73" si="41">SUM(B68:E68)</f>
        <v>4322</v>
      </c>
      <c r="L68" s="3">
        <f t="shared" ref="L68:L73" si="42">SUM(F68:I68)</f>
        <v>3803</v>
      </c>
    </row>
    <row r="69" spans="1:12" x14ac:dyDescent="0.35">
      <c r="A69" t="s">
        <v>27</v>
      </c>
      <c r="B69" s="3"/>
      <c r="C69" s="3"/>
      <c r="D69" s="3"/>
      <c r="E69" s="3">
        <v>133</v>
      </c>
      <c r="F69" s="3"/>
      <c r="G69">
        <v>246</v>
      </c>
      <c r="H69" s="3">
        <v>212</v>
      </c>
      <c r="I69" s="3"/>
      <c r="K69" s="3">
        <f t="shared" si="41"/>
        <v>133</v>
      </c>
      <c r="L69" s="3">
        <f t="shared" si="42"/>
        <v>458</v>
      </c>
    </row>
    <row r="70" spans="1:12" x14ac:dyDescent="0.35">
      <c r="A70" t="s">
        <v>28</v>
      </c>
      <c r="B70" s="3"/>
      <c r="C70" s="3"/>
      <c r="D70" s="3"/>
      <c r="E70" s="3">
        <v>24249</v>
      </c>
      <c r="F70" s="3"/>
      <c r="G70" s="3">
        <v>23868</v>
      </c>
      <c r="H70" s="3">
        <v>24062</v>
      </c>
      <c r="I70" s="3"/>
      <c r="K70" s="3">
        <f t="shared" si="41"/>
        <v>24249</v>
      </c>
      <c r="L70" s="3">
        <f t="shared" si="42"/>
        <v>47930</v>
      </c>
    </row>
    <row r="71" spans="1:12" x14ac:dyDescent="0.35">
      <c r="A71" t="s">
        <v>29</v>
      </c>
      <c r="B71" s="3"/>
      <c r="C71" s="3"/>
      <c r="D71" s="3"/>
      <c r="E71" s="3">
        <v>380</v>
      </c>
      <c r="F71" s="3"/>
      <c r="G71" s="3">
        <v>230</v>
      </c>
      <c r="H71" s="3">
        <v>274</v>
      </c>
      <c r="I71" s="3"/>
      <c r="K71" s="3">
        <f t="shared" si="41"/>
        <v>380</v>
      </c>
      <c r="L71" s="3">
        <f t="shared" si="42"/>
        <v>504</v>
      </c>
    </row>
    <row r="72" spans="1:12" x14ac:dyDescent="0.35">
      <c r="A72" t="s">
        <v>30</v>
      </c>
      <c r="B72" s="3"/>
      <c r="C72" s="3"/>
      <c r="D72" s="3"/>
      <c r="E72" s="3">
        <v>5545</v>
      </c>
      <c r="F72" s="3"/>
      <c r="G72" s="3">
        <v>5951</v>
      </c>
      <c r="H72" s="3">
        <v>5930</v>
      </c>
      <c r="I72" s="3"/>
      <c r="K72" s="3">
        <f t="shared" si="41"/>
        <v>5545</v>
      </c>
      <c r="L72" s="3">
        <f t="shared" si="42"/>
        <v>11881</v>
      </c>
    </row>
    <row r="73" spans="1:12" x14ac:dyDescent="0.35">
      <c r="A73" t="s">
        <v>33</v>
      </c>
      <c r="B73" s="3"/>
      <c r="C73" s="3"/>
      <c r="D73" s="3"/>
      <c r="E73" s="3">
        <v>1417</v>
      </c>
      <c r="F73" s="3"/>
      <c r="G73" s="3">
        <v>1354</v>
      </c>
      <c r="H73" s="3">
        <v>1406</v>
      </c>
      <c r="I73" s="3"/>
      <c r="K73" s="3">
        <f t="shared" si="41"/>
        <v>1417</v>
      </c>
      <c r="L73" s="3">
        <f t="shared" si="42"/>
        <v>2760</v>
      </c>
    </row>
    <row r="74" spans="1:12" s="1" customFormat="1" x14ac:dyDescent="0.35">
      <c r="A74" s="1" t="s">
        <v>31</v>
      </c>
      <c r="B74" s="4">
        <f t="shared" ref="B74:I74" si="43">SUM(B68:B73)</f>
        <v>0</v>
      </c>
      <c r="C74" s="4">
        <f t="shared" si="43"/>
        <v>0</v>
      </c>
      <c r="D74" s="4">
        <f>SUM(D68:D73)</f>
        <v>0</v>
      </c>
      <c r="E74" s="4">
        <f>SUM(E68:E73)</f>
        <v>36046</v>
      </c>
      <c r="F74" s="4">
        <f t="shared" si="43"/>
        <v>0</v>
      </c>
      <c r="G74" s="4">
        <f t="shared" si="43"/>
        <v>33651</v>
      </c>
      <c r="H74" s="4">
        <f t="shared" si="43"/>
        <v>33685</v>
      </c>
      <c r="I74" s="4">
        <f t="shared" si="43"/>
        <v>0</v>
      </c>
      <c r="J74" s="4"/>
      <c r="K74" s="4">
        <f>SUM(K68:K73)</f>
        <v>36046</v>
      </c>
      <c r="L74" s="4">
        <f>SUM(L68:L73)</f>
        <v>67336</v>
      </c>
    </row>
    <row r="75" spans="1:12" x14ac:dyDescent="0.35">
      <c r="A75" t="s">
        <v>26</v>
      </c>
      <c r="B75" s="3"/>
      <c r="C75" s="3"/>
      <c r="D75" s="3"/>
      <c r="E75" s="3">
        <v>723</v>
      </c>
      <c r="F75" s="3"/>
      <c r="G75" s="3">
        <v>645</v>
      </c>
      <c r="H75" s="3">
        <v>649</v>
      </c>
      <c r="I75" s="3"/>
      <c r="K75" s="3">
        <f t="shared" ref="K75:K82" si="44">SUM(B75:E75)</f>
        <v>723</v>
      </c>
      <c r="L75" s="3">
        <f t="shared" ref="L75:L82" si="45">SUM(F75:I75)</f>
        <v>1294</v>
      </c>
    </row>
    <row r="76" spans="1:12" s="1" customFormat="1" x14ac:dyDescent="0.35">
      <c r="A76" t="s">
        <v>32</v>
      </c>
      <c r="B76" s="3"/>
      <c r="C76" s="3"/>
      <c r="D76" s="3"/>
      <c r="E76" s="3">
        <v>1913</v>
      </c>
      <c r="F76" s="3"/>
      <c r="G76" s="3">
        <v>1909</v>
      </c>
      <c r="H76" s="3">
        <v>1980</v>
      </c>
      <c r="I76" s="3"/>
      <c r="K76" s="3">
        <f t="shared" si="44"/>
        <v>1913</v>
      </c>
      <c r="L76" s="3">
        <f t="shared" si="45"/>
        <v>3889</v>
      </c>
    </row>
    <row r="77" spans="1:12" x14ac:dyDescent="0.35">
      <c r="A77" t="s">
        <v>40</v>
      </c>
      <c r="B77" s="3"/>
      <c r="C77" s="3"/>
      <c r="D77" s="3"/>
      <c r="E77" s="3">
        <v>479</v>
      </c>
      <c r="F77" s="3"/>
      <c r="G77" s="3">
        <v>615</v>
      </c>
      <c r="H77" s="3">
        <v>532</v>
      </c>
      <c r="I77" s="3"/>
      <c r="K77" s="3">
        <f t="shared" si="44"/>
        <v>479</v>
      </c>
      <c r="L77" s="3">
        <f t="shared" si="45"/>
        <v>1147</v>
      </c>
    </row>
    <row r="78" spans="1:12" x14ac:dyDescent="0.35">
      <c r="A78" t="s">
        <v>34</v>
      </c>
      <c r="B78" s="3"/>
      <c r="C78" s="3"/>
      <c r="D78" s="3"/>
      <c r="E78" s="3">
        <v>3614</v>
      </c>
      <c r="F78" s="3"/>
      <c r="G78" s="3">
        <v>3599</v>
      </c>
      <c r="H78" s="3">
        <v>3615</v>
      </c>
      <c r="I78" s="3"/>
      <c r="K78" s="3">
        <f t="shared" si="44"/>
        <v>3614</v>
      </c>
      <c r="L78" s="3">
        <f t="shared" si="45"/>
        <v>7214</v>
      </c>
    </row>
    <row r="79" spans="1:12" x14ac:dyDescent="0.35">
      <c r="A79" t="s">
        <v>35</v>
      </c>
      <c r="B79" s="3"/>
      <c r="C79" s="3"/>
      <c r="D79" s="3"/>
      <c r="E79" s="3">
        <v>1292</v>
      </c>
      <c r="F79" s="3"/>
      <c r="G79" s="3">
        <v>1247</v>
      </c>
      <c r="H79" s="3">
        <v>1251</v>
      </c>
      <c r="I79" s="3"/>
      <c r="K79" s="3">
        <f t="shared" si="44"/>
        <v>1292</v>
      </c>
      <c r="L79" s="3">
        <f t="shared" si="45"/>
        <v>2498</v>
      </c>
    </row>
    <row r="80" spans="1:12" x14ac:dyDescent="0.35">
      <c r="A80" t="s">
        <v>36</v>
      </c>
      <c r="B80" s="3"/>
      <c r="C80" s="3"/>
      <c r="D80" s="3"/>
      <c r="E80" s="3">
        <v>979</v>
      </c>
      <c r="F80" s="3"/>
      <c r="G80" s="3">
        <v>942</v>
      </c>
      <c r="H80" s="3">
        <v>957</v>
      </c>
      <c r="I80" s="3"/>
      <c r="K80" s="3">
        <f t="shared" si="44"/>
        <v>979</v>
      </c>
      <c r="L80" s="3">
        <f t="shared" si="45"/>
        <v>1899</v>
      </c>
    </row>
    <row r="81" spans="1:12" x14ac:dyDescent="0.35">
      <c r="A81" t="s">
        <v>37</v>
      </c>
      <c r="B81" s="3"/>
      <c r="C81" s="3"/>
      <c r="D81" s="3"/>
      <c r="E81" s="3">
        <v>136</v>
      </c>
      <c r="F81" s="3"/>
      <c r="G81" s="3">
        <v>133</v>
      </c>
      <c r="H81" s="3">
        <v>159</v>
      </c>
      <c r="I81" s="3"/>
      <c r="K81" s="3">
        <f t="shared" si="44"/>
        <v>136</v>
      </c>
      <c r="L81" s="3">
        <f t="shared" si="45"/>
        <v>292</v>
      </c>
    </row>
    <row r="82" spans="1:12" x14ac:dyDescent="0.35">
      <c r="A82" t="s">
        <v>38</v>
      </c>
      <c r="B82" s="3"/>
      <c r="C82" s="3"/>
      <c r="D82" s="3"/>
      <c r="E82" s="3">
        <v>1085</v>
      </c>
      <c r="F82" s="3"/>
      <c r="G82" s="3">
        <v>1218</v>
      </c>
      <c r="H82" s="3">
        <v>1205</v>
      </c>
      <c r="I82" s="3"/>
      <c r="K82" s="3">
        <f t="shared" si="44"/>
        <v>1085</v>
      </c>
      <c r="L82" s="3">
        <f t="shared" si="45"/>
        <v>2423</v>
      </c>
    </row>
    <row r="83" spans="1:12" s="1" customFormat="1" x14ac:dyDescent="0.35">
      <c r="A83" s="1" t="s">
        <v>39</v>
      </c>
      <c r="B83" s="4">
        <f t="shared" ref="B83:C83" si="46">SUM(B74:B82)</f>
        <v>0</v>
      </c>
      <c r="C83" s="4">
        <f t="shared" si="46"/>
        <v>0</v>
      </c>
      <c r="D83" s="4">
        <f t="shared" ref="D83:I83" si="47">SUM(D74:D82)</f>
        <v>0</v>
      </c>
      <c r="E83" s="4">
        <f t="shared" ref="E83" si="48">SUM(E74:E82)</f>
        <v>46267</v>
      </c>
      <c r="F83" s="4">
        <f t="shared" si="47"/>
        <v>0</v>
      </c>
      <c r="G83" s="4">
        <f t="shared" si="47"/>
        <v>43959</v>
      </c>
      <c r="H83" s="4">
        <f t="shared" si="47"/>
        <v>44033</v>
      </c>
      <c r="I83" s="4">
        <f t="shared" si="47"/>
        <v>0</v>
      </c>
      <c r="J83" s="4"/>
      <c r="K83" s="4">
        <f>SUM(K74:K82)</f>
        <v>46267</v>
      </c>
      <c r="L83" s="4">
        <f>SUM(L74:L82)</f>
        <v>87992</v>
      </c>
    </row>
    <row r="85" spans="1:12" s="1" customFormat="1" x14ac:dyDescent="0.35">
      <c r="A85" s="1" t="s">
        <v>41</v>
      </c>
    </row>
    <row r="86" spans="1:12" x14ac:dyDescent="0.35">
      <c r="A86" t="s">
        <v>42</v>
      </c>
      <c r="B86" s="3"/>
      <c r="C86" s="3"/>
      <c r="D86" s="3"/>
      <c r="E86" s="3">
        <v>27326</v>
      </c>
      <c r="F86" s="3"/>
      <c r="G86" s="3">
        <v>26808</v>
      </c>
      <c r="H86" s="3">
        <v>27300</v>
      </c>
      <c r="I86" s="3"/>
      <c r="K86" s="3">
        <f t="shared" ref="K86:K92" si="49">SUM(B86:E86)</f>
        <v>27326</v>
      </c>
      <c r="L86" s="3">
        <f t="shared" ref="L86:L92" si="50">SUM(F86:I86)</f>
        <v>54108</v>
      </c>
    </row>
    <row r="87" spans="1:12" x14ac:dyDescent="0.35">
      <c r="A87" t="s">
        <v>43</v>
      </c>
      <c r="B87" s="3"/>
      <c r="C87" s="3"/>
      <c r="D87" s="3"/>
      <c r="E87" s="3">
        <v>146</v>
      </c>
      <c r="F87" s="3"/>
      <c r="G87" s="3">
        <v>60</v>
      </c>
      <c r="H87" s="3">
        <v>48</v>
      </c>
      <c r="I87" s="3"/>
      <c r="K87" s="3">
        <f t="shared" si="49"/>
        <v>146</v>
      </c>
      <c r="L87" s="3">
        <f t="shared" si="50"/>
        <v>108</v>
      </c>
    </row>
    <row r="88" spans="1:12" x14ac:dyDescent="0.35">
      <c r="A88" t="s">
        <v>44</v>
      </c>
      <c r="B88" s="3"/>
      <c r="C88" s="3"/>
      <c r="D88" s="3"/>
      <c r="E88" s="3">
        <v>3611</v>
      </c>
      <c r="F88" s="3"/>
      <c r="G88" s="3">
        <v>2911</v>
      </c>
      <c r="H88" s="3">
        <v>2409</v>
      </c>
      <c r="I88" s="3"/>
      <c r="K88" s="3">
        <f t="shared" si="49"/>
        <v>3611</v>
      </c>
      <c r="L88" s="3">
        <f t="shared" si="50"/>
        <v>5320</v>
      </c>
    </row>
    <row r="89" spans="1:12" x14ac:dyDescent="0.35">
      <c r="A89" t="s">
        <v>45</v>
      </c>
      <c r="B89" s="3"/>
      <c r="C89" s="3"/>
      <c r="D89" s="3"/>
      <c r="E89" s="3">
        <v>35</v>
      </c>
      <c r="F89" s="3"/>
      <c r="G89" s="3">
        <v>44</v>
      </c>
      <c r="H89" s="3">
        <v>36</v>
      </c>
      <c r="I89" s="3"/>
      <c r="K89" s="3">
        <f t="shared" si="49"/>
        <v>35</v>
      </c>
      <c r="L89" s="3">
        <f t="shared" si="50"/>
        <v>80</v>
      </c>
    </row>
    <row r="90" spans="1:12" x14ac:dyDescent="0.35">
      <c r="A90" t="s">
        <v>46</v>
      </c>
      <c r="B90" s="3"/>
      <c r="C90" s="3"/>
      <c r="D90" s="3"/>
      <c r="E90" s="3">
        <v>476</v>
      </c>
      <c r="F90" s="3"/>
      <c r="G90" s="3">
        <v>443</v>
      </c>
      <c r="H90" s="3">
        <v>450</v>
      </c>
      <c r="I90" s="3"/>
      <c r="K90" s="3">
        <f t="shared" si="49"/>
        <v>476</v>
      </c>
      <c r="L90" s="3">
        <f t="shared" si="50"/>
        <v>893</v>
      </c>
    </row>
    <row r="91" spans="1:12" x14ac:dyDescent="0.35">
      <c r="A91" t="s">
        <v>47</v>
      </c>
      <c r="B91" s="3"/>
      <c r="C91" s="3"/>
      <c r="D91" s="3"/>
      <c r="E91" s="3">
        <v>216</v>
      </c>
      <c r="F91" s="3"/>
      <c r="G91" s="3">
        <v>178</v>
      </c>
      <c r="H91" s="3">
        <v>145</v>
      </c>
      <c r="I91" s="3"/>
      <c r="K91" s="3">
        <f t="shared" si="49"/>
        <v>216</v>
      </c>
      <c r="L91" s="3">
        <f t="shared" si="50"/>
        <v>323</v>
      </c>
    </row>
    <row r="92" spans="1:12" x14ac:dyDescent="0.35">
      <c r="A92" t="s">
        <v>48</v>
      </c>
      <c r="B92" s="3"/>
      <c r="C92" s="3"/>
      <c r="D92" s="3"/>
      <c r="E92" s="3">
        <v>6307</v>
      </c>
      <c r="F92" s="3"/>
      <c r="G92" s="3">
        <v>5853</v>
      </c>
      <c r="H92" s="3">
        <v>5876</v>
      </c>
      <c r="I92" s="3"/>
      <c r="K92" s="3">
        <f t="shared" si="49"/>
        <v>6307</v>
      </c>
      <c r="L92" s="3">
        <f t="shared" si="50"/>
        <v>11729</v>
      </c>
    </row>
    <row r="93" spans="1:12" s="1" customFormat="1" x14ac:dyDescent="0.35">
      <c r="A93" s="1" t="s">
        <v>49</v>
      </c>
      <c r="B93" s="4">
        <f t="shared" ref="B93:C93" si="51">SUM(B86:B92)</f>
        <v>0</v>
      </c>
      <c r="C93" s="4">
        <f t="shared" si="51"/>
        <v>0</v>
      </c>
      <c r="D93" s="4">
        <f>SUM(D86:D92)</f>
        <v>0</v>
      </c>
      <c r="E93" s="4">
        <f>SUM(E86:E92)</f>
        <v>38117</v>
      </c>
      <c r="F93" s="4">
        <f t="shared" ref="F93:L93" si="52">SUM(F86:F92)</f>
        <v>0</v>
      </c>
      <c r="G93" s="4">
        <f t="shared" si="52"/>
        <v>36297</v>
      </c>
      <c r="H93" s="4">
        <f t="shared" si="52"/>
        <v>36264</v>
      </c>
      <c r="I93" s="4">
        <f t="shared" si="52"/>
        <v>0</v>
      </c>
      <c r="J93" s="4"/>
      <c r="K93" s="4">
        <f t="shared" si="52"/>
        <v>38117</v>
      </c>
      <c r="L93" s="4">
        <f t="shared" si="52"/>
        <v>72561</v>
      </c>
    </row>
    <row r="94" spans="1:12" x14ac:dyDescent="0.35">
      <c r="A94" t="s">
        <v>50</v>
      </c>
      <c r="B94" s="3"/>
      <c r="C94" s="3"/>
      <c r="D94" s="3"/>
      <c r="E94" s="3">
        <v>54</v>
      </c>
      <c r="F94" s="3"/>
      <c r="G94" s="3"/>
      <c r="H94" s="3">
        <v>57</v>
      </c>
      <c r="I94" s="3"/>
      <c r="K94" s="3">
        <f>SUM(B94:E94)</f>
        <v>54</v>
      </c>
      <c r="L94" s="3">
        <f>SUM(F94:I94)</f>
        <v>57</v>
      </c>
    </row>
    <row r="95" spans="1:12" x14ac:dyDescent="0.35">
      <c r="B95" s="3"/>
      <c r="C95" s="3"/>
      <c r="D95" s="3"/>
      <c r="E95" s="3"/>
      <c r="F95" s="3"/>
      <c r="G95" s="3"/>
      <c r="H95" s="3"/>
      <c r="I95" s="3"/>
      <c r="K95" s="3">
        <f>SUM(B95:E95)</f>
        <v>0</v>
      </c>
      <c r="L95" s="3"/>
    </row>
    <row r="96" spans="1:12" s="1" customFormat="1" x14ac:dyDescent="0.35">
      <c r="A96" s="1" t="s">
        <v>51</v>
      </c>
      <c r="B96" s="4">
        <f t="shared" ref="B96:C96" si="53">B83-B93-B94</f>
        <v>0</v>
      </c>
      <c r="C96" s="4">
        <f t="shared" si="53"/>
        <v>0</v>
      </c>
      <c r="D96" s="4">
        <f>D83-D93-D94</f>
        <v>0</v>
      </c>
      <c r="E96" s="4">
        <f t="shared" ref="E96:L96" si="54">E83-E93-E94</f>
        <v>8096</v>
      </c>
      <c r="F96" s="4">
        <f t="shared" si="54"/>
        <v>0</v>
      </c>
      <c r="G96" s="4">
        <f t="shared" si="54"/>
        <v>7662</v>
      </c>
      <c r="H96" s="4">
        <f t="shared" si="54"/>
        <v>7712</v>
      </c>
      <c r="I96" s="4">
        <f t="shared" si="54"/>
        <v>0</v>
      </c>
      <c r="J96" s="4"/>
      <c r="K96" s="4">
        <f t="shared" si="54"/>
        <v>8096</v>
      </c>
      <c r="L96" s="4">
        <f t="shared" si="54"/>
        <v>15374</v>
      </c>
    </row>
    <row r="97" spans="1:12" s="1" customFormat="1" x14ac:dyDescent="0.35">
      <c r="A97" s="1" t="s">
        <v>52</v>
      </c>
      <c r="B97" s="4"/>
      <c r="C97" s="4"/>
      <c r="D97" s="4"/>
      <c r="E97" s="4"/>
      <c r="F97" s="4"/>
      <c r="G97" s="4"/>
      <c r="H97" s="4"/>
      <c r="I97" s="4"/>
      <c r="K97" s="4"/>
      <c r="L97" s="4"/>
    </row>
    <row r="98" spans="1:12" x14ac:dyDescent="0.35">
      <c r="A98" t="s">
        <v>53</v>
      </c>
      <c r="B98" s="3"/>
      <c r="C98" s="3"/>
      <c r="D98" s="3"/>
      <c r="E98" s="3">
        <v>25</v>
      </c>
      <c r="F98" s="3"/>
      <c r="G98" s="3">
        <v>25</v>
      </c>
      <c r="H98" s="3">
        <v>25</v>
      </c>
      <c r="I98" s="3"/>
      <c r="K98" s="3">
        <f t="shared" ref="K98:K103" si="55">SUM(B98:E98)</f>
        <v>25</v>
      </c>
      <c r="L98" s="3">
        <f t="shared" ref="L98:L103" si="56">SUM(F98:I98)</f>
        <v>50</v>
      </c>
    </row>
    <row r="99" spans="1:12" x14ac:dyDescent="0.35">
      <c r="A99" t="s">
        <v>54</v>
      </c>
      <c r="B99" s="3"/>
      <c r="C99" s="3"/>
      <c r="D99" s="3"/>
      <c r="E99" s="3">
        <v>-865</v>
      </c>
      <c r="F99" s="3"/>
      <c r="G99" s="3">
        <v>-1317</v>
      </c>
      <c r="H99" s="3">
        <v>-1376</v>
      </c>
      <c r="I99" s="3"/>
      <c r="K99" s="3">
        <f t="shared" si="55"/>
        <v>-865</v>
      </c>
      <c r="L99" s="3">
        <f t="shared" si="56"/>
        <v>-2693</v>
      </c>
    </row>
    <row r="100" spans="1:12" x14ac:dyDescent="0.35">
      <c r="A100" t="s">
        <v>55</v>
      </c>
      <c r="B100" s="3"/>
      <c r="C100" s="3"/>
      <c r="D100" s="3"/>
      <c r="E100" s="3">
        <v>1578</v>
      </c>
      <c r="F100" s="3"/>
      <c r="G100" s="3">
        <v>1401</v>
      </c>
      <c r="H100" s="3">
        <v>1415</v>
      </c>
      <c r="I100" s="3"/>
      <c r="K100" s="3">
        <f t="shared" si="55"/>
        <v>1578</v>
      </c>
      <c r="L100" s="3">
        <f t="shared" si="56"/>
        <v>2816</v>
      </c>
    </row>
    <row r="101" spans="1:12" x14ac:dyDescent="0.35">
      <c r="A101" t="s">
        <v>56</v>
      </c>
      <c r="B101" s="3"/>
      <c r="C101" s="3"/>
      <c r="D101" s="3"/>
      <c r="E101" s="3">
        <v>9654</v>
      </c>
      <c r="F101" s="3"/>
      <c r="G101" s="3">
        <v>9993</v>
      </c>
      <c r="H101" s="3">
        <v>10136</v>
      </c>
      <c r="I101" s="3"/>
      <c r="K101" s="3">
        <f t="shared" si="55"/>
        <v>9654</v>
      </c>
      <c r="L101" s="3">
        <f t="shared" si="56"/>
        <v>20129</v>
      </c>
    </row>
    <row r="102" spans="1:12" x14ac:dyDescent="0.35">
      <c r="A102" t="s">
        <v>57</v>
      </c>
      <c r="B102" s="3"/>
      <c r="C102" s="3"/>
      <c r="D102" s="3"/>
      <c r="E102" s="3">
        <v>-2362</v>
      </c>
      <c r="F102" s="3"/>
      <c r="G102" s="3">
        <v>-2564</v>
      </c>
      <c r="H102" s="3">
        <v>-2557</v>
      </c>
      <c r="I102" s="3"/>
      <c r="K102" s="3">
        <f t="shared" si="55"/>
        <v>-2362</v>
      </c>
      <c r="L102" s="3">
        <f t="shared" si="56"/>
        <v>-5121</v>
      </c>
    </row>
    <row r="103" spans="1:12" x14ac:dyDescent="0.35">
      <c r="A103" t="s">
        <v>50</v>
      </c>
      <c r="B103" s="3"/>
      <c r="C103" s="3"/>
      <c r="D103" s="3"/>
      <c r="E103" s="3">
        <v>66</v>
      </c>
      <c r="F103" s="3"/>
      <c r="G103" s="3">
        <v>64</v>
      </c>
      <c r="H103" s="3">
        <v>69</v>
      </c>
      <c r="I103" s="3"/>
      <c r="K103" s="3">
        <f t="shared" si="55"/>
        <v>66</v>
      </c>
      <c r="L103" s="3">
        <f t="shared" si="56"/>
        <v>133</v>
      </c>
    </row>
    <row r="104" spans="1:12" s="1" customFormat="1" x14ac:dyDescent="0.35">
      <c r="A104" s="1" t="s">
        <v>58</v>
      </c>
      <c r="B104" s="4">
        <f t="shared" ref="B104:C104" si="57">SUM(B98:B103)</f>
        <v>0</v>
      </c>
      <c r="C104" s="4">
        <f t="shared" si="57"/>
        <v>0</v>
      </c>
      <c r="D104" s="4">
        <f>SUM(D98:D103)</f>
        <v>0</v>
      </c>
      <c r="E104" s="4">
        <f t="shared" ref="E104:L104" si="58">SUM(E98:E103)</f>
        <v>8096</v>
      </c>
      <c r="F104" s="4">
        <f t="shared" si="58"/>
        <v>0</v>
      </c>
      <c r="G104" s="4">
        <f t="shared" si="58"/>
        <v>7602</v>
      </c>
      <c r="H104" s="4">
        <f t="shared" si="58"/>
        <v>7712</v>
      </c>
      <c r="I104" s="4">
        <f t="shared" si="58"/>
        <v>0</v>
      </c>
      <c r="J104" s="4"/>
      <c r="K104" s="4">
        <f t="shared" si="58"/>
        <v>8096</v>
      </c>
      <c r="L104" s="4">
        <f t="shared" si="58"/>
        <v>15314</v>
      </c>
    </row>
    <row r="105" spans="1:12" s="1" customFormat="1" x14ac:dyDescent="0.35">
      <c r="A105" s="1" t="s">
        <v>59</v>
      </c>
      <c r="B105" s="4">
        <f t="shared" ref="B105:C105" si="59">B104+B94+B93</f>
        <v>0</v>
      </c>
      <c r="C105" s="4">
        <f t="shared" si="59"/>
        <v>0</v>
      </c>
      <c r="D105" s="4">
        <f>D104+D94+D93</f>
        <v>0</v>
      </c>
      <c r="E105" s="4">
        <f t="shared" ref="E105:L105" si="60">E104+E94+E93</f>
        <v>46267</v>
      </c>
      <c r="F105" s="4">
        <f t="shared" si="60"/>
        <v>0</v>
      </c>
      <c r="G105" s="4">
        <f t="shared" si="60"/>
        <v>43899</v>
      </c>
      <c r="H105" s="4">
        <f t="shared" si="60"/>
        <v>44033</v>
      </c>
      <c r="I105" s="4">
        <f t="shared" si="60"/>
        <v>0</v>
      </c>
      <c r="J105" s="4"/>
      <c r="K105" s="4">
        <f t="shared" si="60"/>
        <v>46267</v>
      </c>
      <c r="L105" s="4">
        <f t="shared" si="60"/>
        <v>87932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3EC4-1B97-4D6C-8D6D-16D6671EAE05}">
  <dimension ref="B2:C9"/>
  <sheetViews>
    <sheetView workbookViewId="0">
      <selection activeCell="D21" sqref="D21"/>
    </sheetView>
  </sheetViews>
  <sheetFormatPr defaultRowHeight="14.5" x14ac:dyDescent="0.35"/>
  <cols>
    <col min="2" max="2" width="14.36328125" bestFit="1" customWidth="1"/>
  </cols>
  <sheetData>
    <row r="2" spans="2:3" x14ac:dyDescent="0.35">
      <c r="B2" t="s">
        <v>138</v>
      </c>
      <c r="C2" t="s">
        <v>139</v>
      </c>
    </row>
    <row r="3" spans="2:3" x14ac:dyDescent="0.35">
      <c r="B3" t="s">
        <v>138</v>
      </c>
      <c r="C3" t="s">
        <v>140</v>
      </c>
    </row>
    <row r="4" spans="2:3" x14ac:dyDescent="0.35">
      <c r="B4" t="s">
        <v>138</v>
      </c>
      <c r="C4" t="s">
        <v>141</v>
      </c>
    </row>
    <row r="6" spans="2:3" x14ac:dyDescent="0.35">
      <c r="B6" t="s">
        <v>65</v>
      </c>
      <c r="C6" t="s">
        <v>135</v>
      </c>
    </row>
    <row r="7" spans="2:3" x14ac:dyDescent="0.35">
      <c r="B7" t="s">
        <v>65</v>
      </c>
      <c r="C7" t="s">
        <v>134</v>
      </c>
    </row>
    <row r="8" spans="2:3" x14ac:dyDescent="0.35">
      <c r="B8" t="s">
        <v>65</v>
      </c>
      <c r="C8" t="s">
        <v>137</v>
      </c>
    </row>
    <row r="9" spans="2:3" x14ac:dyDescent="0.35">
      <c r="B9" t="s">
        <v>65</v>
      </c>
      <c r="C9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0E6B-A220-4F07-99AE-595E7A5EC7D2}">
  <dimension ref="B2"/>
  <sheetViews>
    <sheetView workbookViewId="0">
      <selection activeCell="B5" sqref="B5"/>
    </sheetView>
  </sheetViews>
  <sheetFormatPr defaultRowHeight="14.5" x14ac:dyDescent="0.35"/>
  <sheetData>
    <row r="2" spans="2:2" x14ac:dyDescent="0.35">
      <c r="B2" t="s"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ED89-0403-4F67-9A5F-2AAFDE394116}">
  <dimension ref="B2:C6"/>
  <sheetViews>
    <sheetView workbookViewId="0">
      <selection activeCell="C32" sqref="C32"/>
    </sheetView>
  </sheetViews>
  <sheetFormatPr defaultRowHeight="14.5" x14ac:dyDescent="0.35"/>
  <cols>
    <col min="2" max="2" width="10.453125" bestFit="1" customWidth="1"/>
  </cols>
  <sheetData>
    <row r="2" spans="2:3" x14ac:dyDescent="0.35">
      <c r="B2" t="s">
        <v>64</v>
      </c>
      <c r="C2" t="s">
        <v>142</v>
      </c>
    </row>
    <row r="3" spans="2:3" x14ac:dyDescent="0.35">
      <c r="B3" s="5" t="s">
        <v>4</v>
      </c>
      <c r="C3" t="s">
        <v>91</v>
      </c>
    </row>
    <row r="4" spans="2:3" x14ac:dyDescent="0.35">
      <c r="B4" t="s">
        <v>60</v>
      </c>
      <c r="C4" t="s">
        <v>92</v>
      </c>
    </row>
    <row r="5" spans="2:3" x14ac:dyDescent="0.35">
      <c r="B5" t="s">
        <v>60</v>
      </c>
      <c r="C5" t="s">
        <v>93</v>
      </c>
    </row>
    <row r="6" spans="2:3" x14ac:dyDescent="0.35">
      <c r="B6" t="s">
        <v>133</v>
      </c>
      <c r="C6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notes</vt:lpstr>
      <vt:lpstr>todo</vt:lpstr>
      <vt:lpstr>M&amp;A,Ptshp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2024-12-07T03:45:41Z</dcterms:modified>
</cp:coreProperties>
</file>