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62D63C4F-37C6-4500-BE1A-044AC7AE6C02}" xr6:coauthVersionLast="47" xr6:coauthVersionMax="47" xr10:uidLastSave="{00000000-0000-0000-0000-000000000000}"/>
  <bookViews>
    <workbookView xWindow="22760" yWindow="2430" windowWidth="13490" windowHeight="16700" activeTab="1" xr2:uid="{00000000-000D-0000-FFFF-FFFF00000000}"/>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 i="2" l="1"/>
  <c r="D67" i="2"/>
  <c r="D66" i="2"/>
  <c r="D65" i="2"/>
  <c r="D64" i="2"/>
  <c r="D63" i="2"/>
  <c r="D62" i="2"/>
  <c r="D61" i="2"/>
  <c r="K61" i="2" s="1"/>
  <c r="D60" i="2"/>
  <c r="K60" i="2" s="1"/>
  <c r="H68" i="2"/>
  <c r="H67" i="2"/>
  <c r="H66" i="2"/>
  <c r="H65" i="2"/>
  <c r="H64" i="2"/>
  <c r="H63" i="2"/>
  <c r="H62" i="2"/>
  <c r="L62" i="2" s="1"/>
  <c r="H61" i="2"/>
  <c r="L63" i="2"/>
  <c r="H60" i="2"/>
  <c r="D93" i="2"/>
  <c r="H93" i="2"/>
  <c r="I37" i="2"/>
  <c r="H37" i="2"/>
  <c r="G37" i="2"/>
  <c r="I36" i="2"/>
  <c r="H36" i="2"/>
  <c r="G36" i="2"/>
  <c r="E37" i="2"/>
  <c r="D37" i="2"/>
  <c r="C37" i="2"/>
  <c r="B37" i="2"/>
  <c r="F37" i="2"/>
  <c r="F36" i="2"/>
  <c r="L59" i="2"/>
  <c r="K59" i="2"/>
  <c r="L57" i="2"/>
  <c r="K57" i="2"/>
  <c r="L56" i="2"/>
  <c r="K56" i="2"/>
  <c r="C68" i="2"/>
  <c r="C67" i="2"/>
  <c r="C66" i="2"/>
  <c r="C65" i="2"/>
  <c r="C64" i="2"/>
  <c r="C63" i="2"/>
  <c r="C62" i="2"/>
  <c r="C61" i="2"/>
  <c r="C60" i="2"/>
  <c r="G68" i="2"/>
  <c r="L68" i="2" s="1"/>
  <c r="G67" i="2"/>
  <c r="G66" i="2"/>
  <c r="G65" i="2"/>
  <c r="L65" i="2" s="1"/>
  <c r="G64" i="2"/>
  <c r="G63" i="2"/>
  <c r="G61" i="2"/>
  <c r="I126" i="2"/>
  <c r="I117" i="2"/>
  <c r="I69" i="2"/>
  <c r="I30" i="2"/>
  <c r="I24" i="2"/>
  <c r="I18" i="2"/>
  <c r="I13" i="2"/>
  <c r="I46" i="2"/>
  <c r="H46" i="2"/>
  <c r="I42" i="2"/>
  <c r="H42" i="2"/>
  <c r="H39" i="2" s="1"/>
  <c r="I35" i="2"/>
  <c r="G60" i="2"/>
  <c r="L60" i="2" s="1"/>
  <c r="G98" i="2"/>
  <c r="G117" i="2"/>
  <c r="G46" i="2"/>
  <c r="E42" i="2"/>
  <c r="D42" i="2"/>
  <c r="C42" i="2"/>
  <c r="G42" i="2"/>
  <c r="H35" i="2"/>
  <c r="G35" i="2"/>
  <c r="F35" i="2"/>
  <c r="E35" i="2"/>
  <c r="D35" i="2"/>
  <c r="C35" i="2"/>
  <c r="B35" i="2"/>
  <c r="H24" i="2"/>
  <c r="G24" i="2"/>
  <c r="F24" i="2"/>
  <c r="E24" i="2"/>
  <c r="D24" i="2"/>
  <c r="C24" i="2"/>
  <c r="H30" i="2"/>
  <c r="G30" i="2"/>
  <c r="F30" i="2"/>
  <c r="E30" i="2"/>
  <c r="D30" i="2"/>
  <c r="C30" i="2"/>
  <c r="B30" i="2"/>
  <c r="B24" i="2"/>
  <c r="H18" i="2"/>
  <c r="G18" i="2"/>
  <c r="F18" i="2"/>
  <c r="E18" i="2"/>
  <c r="D18" i="2"/>
  <c r="C18" i="2"/>
  <c r="B18" i="2"/>
  <c r="H13" i="2"/>
  <c r="G13" i="2"/>
  <c r="F13" i="2"/>
  <c r="E13" i="2"/>
  <c r="D13" i="2"/>
  <c r="C13" i="2"/>
  <c r="B13" i="2"/>
  <c r="H6" i="2"/>
  <c r="G6" i="2"/>
  <c r="F6" i="2"/>
  <c r="E6" i="2"/>
  <c r="D6" i="2"/>
  <c r="C6" i="2"/>
  <c r="B6" i="2"/>
  <c r="I6" i="2"/>
  <c r="H126" i="2"/>
  <c r="G126" i="2"/>
  <c r="F126" i="2"/>
  <c r="E126" i="2"/>
  <c r="D126" i="2"/>
  <c r="C126" i="2"/>
  <c r="B126" i="2"/>
  <c r="H117" i="2"/>
  <c r="F117" i="2"/>
  <c r="E117" i="2"/>
  <c r="D117" i="2"/>
  <c r="C117" i="2"/>
  <c r="B117" i="2"/>
  <c r="E69" i="2"/>
  <c r="B69" i="2"/>
  <c r="F69" i="2"/>
  <c r="F106" i="2"/>
  <c r="F108" i="2" s="1"/>
  <c r="L106" i="2"/>
  <c r="L108" i="2" s="1"/>
  <c r="K106" i="2"/>
  <c r="K108" i="2" s="1"/>
  <c r="I106" i="2"/>
  <c r="I108" i="2" s="1"/>
  <c r="H106" i="2"/>
  <c r="H108" i="2" s="1"/>
  <c r="G106" i="2"/>
  <c r="G108" i="2" s="1"/>
  <c r="E106" i="2"/>
  <c r="E108" i="2" s="1"/>
  <c r="D106" i="2"/>
  <c r="D108" i="2" s="1"/>
  <c r="C106" i="2"/>
  <c r="C108" i="2" s="1"/>
  <c r="B106" i="2"/>
  <c r="B108" i="2" s="1"/>
  <c r="L98" i="2"/>
  <c r="K98" i="2"/>
  <c r="I98" i="2"/>
  <c r="H98" i="2"/>
  <c r="F98" i="2"/>
  <c r="E98" i="2"/>
  <c r="D98" i="2"/>
  <c r="C98" i="2"/>
  <c r="B98" i="2"/>
  <c r="L93" i="2"/>
  <c r="K93" i="2"/>
  <c r="I93" i="2"/>
  <c r="G93" i="2"/>
  <c r="F93" i="2"/>
  <c r="E93" i="2"/>
  <c r="C93" i="2"/>
  <c r="B93" i="2"/>
  <c r="L84" i="2"/>
  <c r="K84" i="2"/>
  <c r="I84" i="2"/>
  <c r="H84" i="2"/>
  <c r="G84" i="2"/>
  <c r="F84" i="2"/>
  <c r="E84" i="2"/>
  <c r="D84" i="2"/>
  <c r="C84" i="2"/>
  <c r="L78" i="2"/>
  <c r="K78" i="2"/>
  <c r="I78" i="2"/>
  <c r="H78" i="2"/>
  <c r="G78" i="2"/>
  <c r="F78" i="2"/>
  <c r="E78" i="2"/>
  <c r="D78" i="2"/>
  <c r="C78" i="2"/>
  <c r="B84" i="2"/>
  <c r="B78" i="2"/>
  <c r="L71" i="2"/>
  <c r="L111" i="2" s="1"/>
  <c r="K71" i="2"/>
  <c r="K111" i="2" s="1"/>
  <c r="I71" i="2"/>
  <c r="I111" i="2" s="1"/>
  <c r="H71" i="2"/>
  <c r="H111" i="2" s="1"/>
  <c r="G71" i="2"/>
  <c r="G111" i="2" s="1"/>
  <c r="F71" i="2"/>
  <c r="F111" i="2" s="1"/>
  <c r="E71" i="2"/>
  <c r="E111" i="2" s="1"/>
  <c r="D71" i="2"/>
  <c r="D111" i="2" s="1"/>
  <c r="C71" i="2"/>
  <c r="C111" i="2" s="1"/>
  <c r="B71" i="2"/>
  <c r="B111" i="2" s="1"/>
  <c r="F46" i="2"/>
  <c r="E46" i="2"/>
  <c r="D46" i="2"/>
  <c r="C46" i="2"/>
  <c r="B46" i="2"/>
  <c r="B42" i="2"/>
  <c r="B39" i="2" s="1"/>
  <c r="F42" i="2"/>
  <c r="K65" i="2" l="1"/>
  <c r="K64" i="2"/>
  <c r="K62" i="2"/>
  <c r="K67" i="2"/>
  <c r="K68" i="2"/>
  <c r="K63" i="2"/>
  <c r="K66" i="2"/>
  <c r="D69" i="2"/>
  <c r="L67" i="2"/>
  <c r="L66" i="2"/>
  <c r="L64" i="2"/>
  <c r="H69" i="2"/>
  <c r="I39" i="2"/>
  <c r="G39" i="2"/>
  <c r="C39" i="2"/>
  <c r="D39" i="2"/>
  <c r="E48" i="2"/>
  <c r="E50" i="2" s="1"/>
  <c r="E59" i="2" s="1"/>
  <c r="F39" i="2"/>
  <c r="D48" i="2"/>
  <c r="D50" i="2" s="1"/>
  <c r="D52" i="2" s="1"/>
  <c r="D57" i="2" s="1"/>
  <c r="E39" i="2"/>
  <c r="F38" i="2"/>
  <c r="G38" i="2"/>
  <c r="H38" i="2"/>
  <c r="I38" i="2"/>
  <c r="G48" i="2"/>
  <c r="G50" i="2" s="1"/>
  <c r="G59" i="2" s="1"/>
  <c r="I48" i="2"/>
  <c r="I50" i="2" s="1"/>
  <c r="I59" i="2" s="1"/>
  <c r="C69" i="2"/>
  <c r="G69" i="2"/>
  <c r="L61" i="2"/>
  <c r="H48" i="2"/>
  <c r="H50" i="2" s="1"/>
  <c r="H52" i="2" s="1"/>
  <c r="C48" i="2"/>
  <c r="C50" i="2" s="1"/>
  <c r="C59" i="2" s="1"/>
  <c r="D85" i="2"/>
  <c r="B48" i="2"/>
  <c r="B50" i="2" s="1"/>
  <c r="H99" i="2"/>
  <c r="H109" i="2" s="1"/>
  <c r="F99" i="2"/>
  <c r="F109" i="2" s="1"/>
  <c r="C85" i="2"/>
  <c r="E99" i="2"/>
  <c r="E109" i="2" s="1"/>
  <c r="B85" i="2"/>
  <c r="K99" i="2"/>
  <c r="K109" i="2" s="1"/>
  <c r="G99" i="2"/>
  <c r="G109" i="2" s="1"/>
  <c r="L99" i="2"/>
  <c r="L109" i="2" s="1"/>
  <c r="E85" i="2"/>
  <c r="B99" i="2"/>
  <c r="B109" i="2" s="1"/>
  <c r="F48" i="2"/>
  <c r="F50" i="2" s="1"/>
  <c r="G85" i="2"/>
  <c r="L85" i="2"/>
  <c r="I99" i="2"/>
  <c r="I109" i="2" s="1"/>
  <c r="C99" i="2"/>
  <c r="C109" i="2" s="1"/>
  <c r="D99" i="2"/>
  <c r="D109" i="2" s="1"/>
  <c r="I85" i="2"/>
  <c r="K85" i="2"/>
  <c r="H85" i="2"/>
  <c r="F85" i="2"/>
  <c r="K69" i="2" l="1"/>
  <c r="L69" i="2"/>
  <c r="G52" i="2"/>
  <c r="E52" i="2"/>
  <c r="E57" i="2" s="1"/>
  <c r="D59" i="2"/>
  <c r="D56" i="2"/>
  <c r="I52" i="2"/>
  <c r="I57" i="2" s="1"/>
  <c r="H59" i="2"/>
  <c r="H56" i="2"/>
  <c r="H57" i="2"/>
  <c r="G56" i="2"/>
  <c r="G57" i="2"/>
  <c r="C52" i="2"/>
  <c r="F52" i="2"/>
  <c r="F59" i="2"/>
  <c r="B59" i="2"/>
  <c r="B52" i="2"/>
  <c r="E56" i="2" l="1"/>
  <c r="I56" i="2"/>
  <c r="F56" i="2"/>
  <c r="F57" i="2"/>
  <c r="C56" i="2"/>
  <c r="C57" i="2"/>
  <c r="B56" i="2"/>
  <c r="B5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tc={0F9BE5B8-5796-4E2E-8B9B-522C055C1D3C}</author>
    <author>tc={09C21225-6021-454F-AA5D-3C656067B3B2}</author>
    <author>tc={017C51AF-36A4-4541-A04E-9D3DF33E7D0E}</author>
    <author>tc={BC8717E7-3E42-4B4D-A863-4AB454A2DC5E}</author>
    <author>tc={17477335-2052-4CBD-A3A5-CD206523E3E8}</author>
    <author>tc={08C49C7F-95C3-4BF5-B39A-6CFAAC1A1C12}</author>
  </authors>
  <commentList>
    <comment ref="A27" authorId="0" shapeId="0" xr:uid="{0F9BE5B8-5796-4E2E-8B9B-522C055C1D3C}">
      <text>
        <t xml:space="preserve">[Threaded comment]
Your version of Excel allows you to read this threaded comment; however, any edits to it will get removed if the file is opened in a newer version of Excel. Learn more: https://go.microsoft.com/fwlink/?linkid=870924
Comment:
    Includes corn oil, soybean oil, and other fats, oils, and greases
</t>
      </text>
    </comment>
    <comment ref="A28" authorId="1" shapeId="0" xr:uid="{09C21225-6021-454F-AA5D-3C656067B3B2}">
      <text>
        <t>[Threaded comment]
Your version of Excel allows you to read this threaded comment; however, any edits to it will get removed if the file is opened in a newer version of Excel. Learn more: https://go.microsoft.com/fwlink/?linkid=870924
Comment:
    DDG tons shipped converts wet tons to a dry ton equivalent amount.</t>
      </text>
    </comment>
    <comment ref="A30" authorId="2" shapeId="0" xr:uid="{017C51AF-36A4-4541-A04E-9D3DF33E7D0E}">
      <text>
        <t>[Threaded comment]
Your version of Excel allows you to read this threaded comment; however, any edits to it will get removed if the file is opened in a newer version of Excel. Learn more: https://go.microsoft.com/fwlink/?linkid=870924
Comment:
    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
      </text>
    </comment>
    <comment ref="F87" authorId="3" shapeId="0" xr:uid="{BC8717E7-3E42-4B4D-A863-4AB454A2DC5E}">
      <text>
        <t>[Threaded comment]
Your version of Excel allows you to read this threaded comment; however, any edits to it will get removed if the file is opened in a newer version of Excel. Learn more: https://go.microsoft.com/fwlink/?linkid=870924
Comment:
    The total borrowing capacity of the Company's lines of credit at March 31, 2024, was $1,859.1 million, of which, the Company had a total of $1,845.6 million available for borrowing. The Company's borrowing capacity is reduced by a combination of outstanding borrowings and letters of credit.</t>
      </text>
    </comment>
    <comment ref="B95" authorId="4" shapeId="0" xr:uid="{17477335-2052-4CBD-A3A5-CD206523E3E8}">
      <text>
        <t>[Threaded comment]
Your version of Excel allows you to read this threaded comment; however, any edits to it will get removed if the file is opened in a newer version of Excel. Learn more: https://go.microsoft.com/fwlink/?linkid=870924
Comment:
    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
      </text>
    </comment>
    <comment ref="B123" authorId="5" shapeId="0" xr:uid="{08C49C7F-95C3-4BF5-B39A-6CFAAC1A1C12}">
      <text>
        <t>[Threaded comment]
Your version of Excel allows you to read this threaded comment; however, any edits to it will get removed if the file is opened in a newer version of Excel. Learn more: https://go.microsoft.com/fwlink/?linkid=870924
Comment:
    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
      </text>
    </comment>
  </commentList>
</comments>
</file>

<file path=xl/sharedStrings.xml><?xml version="1.0" encoding="utf-8"?>
<sst xmlns="http://schemas.openxmlformats.org/spreadsheetml/2006/main" count="252" uniqueCount="111">
  <si>
    <t>use for scripting</t>
  </si>
  <si>
    <t>q</t>
  </si>
  <si>
    <t>xxx</t>
  </si>
  <si>
    <t>k</t>
  </si>
  <si>
    <t>Timeframe</t>
  </si>
  <si>
    <t>Q123</t>
  </si>
  <si>
    <t>Q223</t>
  </si>
  <si>
    <t>Q323</t>
  </si>
  <si>
    <t>Q423</t>
  </si>
  <si>
    <t>Q124</t>
  </si>
  <si>
    <t>Q224</t>
  </si>
  <si>
    <t>Q324</t>
  </si>
  <si>
    <t>Q424</t>
  </si>
  <si>
    <t>Sales and merchandising revenue</t>
  </si>
  <si>
    <t>Cost of Sales</t>
  </si>
  <si>
    <t>Gross Profit</t>
  </si>
  <si>
    <t>SGA</t>
  </si>
  <si>
    <t>Asset Impairment</t>
  </si>
  <si>
    <t>Interest</t>
  </si>
  <si>
    <t>Other</t>
  </si>
  <si>
    <t>Total Exp</t>
  </si>
  <si>
    <t>Income before taxes</t>
  </si>
  <si>
    <t>Taxes</t>
  </si>
  <si>
    <t>Income affiliates</t>
  </si>
  <si>
    <t>Net Income</t>
  </si>
  <si>
    <t>Shares outstanding - Basic</t>
  </si>
  <si>
    <t>Shares outstanding - Diluted</t>
  </si>
  <si>
    <t>EPS - Basic</t>
  </si>
  <si>
    <t>EPS - Diluated</t>
  </si>
  <si>
    <t>Cash</t>
  </si>
  <si>
    <t>Assets</t>
  </si>
  <si>
    <t>Current Assets</t>
  </si>
  <si>
    <t>LT Assets</t>
  </si>
  <si>
    <t>Current Liab</t>
  </si>
  <si>
    <t>Liabilities</t>
  </si>
  <si>
    <t>LT Liab</t>
  </si>
  <si>
    <t>Total Liab</t>
  </si>
  <si>
    <t>Total Equity - The Anderson's Inc.</t>
  </si>
  <si>
    <t>Total Equity</t>
  </si>
  <si>
    <t>Liab+Equity</t>
  </si>
  <si>
    <t>AR</t>
  </si>
  <si>
    <t>Inventories</t>
  </si>
  <si>
    <t>Goodwill</t>
  </si>
  <si>
    <t>Other Intangible</t>
  </si>
  <si>
    <t>Right of use</t>
  </si>
  <si>
    <t>PPE</t>
  </si>
  <si>
    <t>Total Assets</t>
  </si>
  <si>
    <t>Short-term debt</t>
  </si>
  <si>
    <t>AP</t>
  </si>
  <si>
    <t>Customer prepay, def revenue</t>
  </si>
  <si>
    <t>Commodity Deriv Liab - Current</t>
  </si>
  <si>
    <t>Commodity Deriv Asset - Current</t>
  </si>
  <si>
    <t>CPTLD</t>
  </si>
  <si>
    <t>Accrued Expenses</t>
  </si>
  <si>
    <t>LT Lease</t>
  </si>
  <si>
    <t>LT Debt less CPLTD</t>
  </si>
  <si>
    <t>Def income taxes</t>
  </si>
  <si>
    <t>Other LT Liab</t>
  </si>
  <si>
    <t>Common shares</t>
  </si>
  <si>
    <t>Additional paid-in capital</t>
  </si>
  <si>
    <t>Treasury shares</t>
  </si>
  <si>
    <t>Retained earnings</t>
  </si>
  <si>
    <t>Non-controlling interests</t>
  </si>
  <si>
    <t>Accum other comprehensive income</t>
  </si>
  <si>
    <t>Reported NI</t>
  </si>
  <si>
    <t>Anderson's NI</t>
  </si>
  <si>
    <t>Model NI (Anderson's)</t>
  </si>
  <si>
    <t>CFFO</t>
  </si>
  <si>
    <t>D&amp;A</t>
  </si>
  <si>
    <t>Delta AR</t>
  </si>
  <si>
    <t>Delta Inventories</t>
  </si>
  <si>
    <t>Delta Commodity Derivatives</t>
  </si>
  <si>
    <t>Delta other assets</t>
  </si>
  <si>
    <t>Delta AP</t>
  </si>
  <si>
    <t>Grain and other ag products</t>
  </si>
  <si>
    <t>Energy inventories</t>
  </si>
  <si>
    <t>Ethanol and co-products</t>
  </si>
  <si>
    <t>Plant nutrients and cob products</t>
  </si>
  <si>
    <t>Total</t>
  </si>
  <si>
    <t>Land</t>
  </si>
  <si>
    <t>Land improvements</t>
  </si>
  <si>
    <t>Buildings and storage facilities</t>
  </si>
  <si>
    <t>Machinery and equipment</t>
  </si>
  <si>
    <t>Construction in progress</t>
  </si>
  <si>
    <t>Less: Accum depreciation</t>
  </si>
  <si>
    <t>Specialy Nutrients</t>
  </si>
  <si>
    <t>Primary Nutrients</t>
  </si>
  <si>
    <t>Products and co-products</t>
  </si>
  <si>
    <t>Propane</t>
  </si>
  <si>
    <t>Revenues (under ASC 606)</t>
  </si>
  <si>
    <t>Revenues (under ASC 815)</t>
  </si>
  <si>
    <t>Revenues from external customers</t>
  </si>
  <si>
    <t>Income (loss) before income taxes</t>
  </si>
  <si>
    <t>Trade</t>
  </si>
  <si>
    <t>Renewables</t>
  </si>
  <si>
    <t>Nutrient &amp; Industrial</t>
  </si>
  <si>
    <t>Renewables - volume</t>
  </si>
  <si>
    <t>Ethanol (gallons shipped)</t>
  </si>
  <si>
    <t>E-85 (gallons shipped)</t>
  </si>
  <si>
    <t>Vegetable oils (pounds shipped)</t>
  </si>
  <si>
    <t>DDG (tons shipped)</t>
  </si>
  <si>
    <t>Ag Supply Chain</t>
  </si>
  <si>
    <t>Nutrient &amp; Industrial (total tons)</t>
  </si>
  <si>
    <t>Specialty Liquids</t>
  </si>
  <si>
    <t>Engineered Granules</t>
  </si>
  <si>
    <t>Other Income</t>
  </si>
  <si>
    <t>Sales YoY</t>
  </si>
  <si>
    <t>Sales MoM</t>
  </si>
  <si>
    <t>Profit YoY</t>
  </si>
  <si>
    <t>Profit MoM</t>
  </si>
  <si>
    <t>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</si>
</sst>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3" fontId="0" fillId="0" borderId="0" xfId="0" applyNumberFormat="1"/>
    <xf numFmtId="3" fontId="1" fillId="0" borderId="0" xfId="0" applyNumberFormat="1" applyFont="1"/>
    <xf numFmtId="2" fontId="1" fillId="0" borderId="0" xfId="0" applyNumberFormat="1" applyFont="1"/>
    <xf numFmtId="14" fontId="1" fillId="0" borderId="0" xfId="0" applyNumberFormat="1" applyFont="1"/>
    <xf numFmtId="0" fontId="2" fillId="0" borderId="0" xfId="1"/>
    <xf numFmtId="3" fontId="0" fillId="2" borderId="0" xfId="0" applyNumberFormat="1" applyFill="1"/>
    <xf numFmtId="3" fontId="1"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orey Christner" id="{EF08FFEE-F12E-4BA0-AB58-D5600A95BFAD}"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7" dT="2025-01-16T03:53:45.75" personId="{EF08FFEE-F12E-4BA0-AB58-D5600A95BFAD}" id="{0F9BE5B8-5796-4E2E-8B9B-522C055C1D3C}">
    <text xml:space="preserve">Includes corn oil, soybean oil, and other fats, oils, and greases
</text>
  </threadedComment>
  <threadedComment ref="A28" dT="2025-01-16T03:54:07.39" personId="{EF08FFEE-F12E-4BA0-AB58-D5600A95BFAD}" id="{09C21225-6021-454F-AA5D-3C656067B3B2}">
    <text>DDG tons shipped converts wet tons to a dry ton equivalent amount.</text>
  </threadedComment>
  <threadedComment ref="A30" dT="2025-01-16T03:54:43.92" personId="{EF08FFEE-F12E-4BA0-AB58-D5600A95BFAD}" id="{017C51AF-36A4-4541-A04E-9D3DF33E7D0E}">
    <text>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ext>
  </threadedComment>
  <threadedComment ref="F87" dT="2025-01-16T03:53:02.93" personId="{EF08FFEE-F12E-4BA0-AB58-D5600A95BFAD}" id="{BC8717E7-3E42-4B4D-A863-4AB454A2DC5E}">
    <text>The total borrowing capacity of the Company's lines of credit at March 31, 2024, was $1,859.1 million, of which, the Company had a total of $1,845.6 million available for borrowing. The Company's borrowing capacity is reduced by a combination of outstanding borrowings and letters of credit.</text>
  </threadedComment>
  <threadedComment ref="B95" dT="2025-01-16T03:55:33.18" personId="{EF08FFEE-F12E-4BA0-AB58-D5600A95BFAD}" id="{17477335-2052-4CBD-A3A5-CD206523E3E8}">
    <text>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ext>
  </threadedComment>
  <threadedComment ref="B123" dT="2025-01-16T03:55:12.46" personId="{EF08FFEE-F12E-4BA0-AB58-D5600A95BFAD}" id="{08C49C7F-95C3-4BF5-B39A-6CFAAC1A1C12}">
    <text>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9" sqref="D3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28C9-468B-45AD-9654-66B0177430FA}">
  <dimension ref="A1:L126"/>
  <sheetViews>
    <sheetView tabSelected="1" workbookViewId="0">
      <pane xSplit="1" topLeftCell="B1" activePane="topRight" state="frozen"/>
      <selection activeCell="A25" sqref="A25"/>
      <selection pane="topRight" activeCell="F20" sqref="F20"/>
    </sheetView>
  </sheetViews>
  <sheetFormatPr defaultRowHeight="14.5" x14ac:dyDescent="0.35"/>
  <cols>
    <col min="1" max="1" width="31.54296875" bestFit="1" customWidth="1"/>
    <col min="2" max="2" width="9" bestFit="1" customWidth="1"/>
    <col min="3" max="3" width="9.54296875" bestFit="1" customWidth="1"/>
    <col min="4" max="4" width="9.453125" bestFit="1" customWidth="1"/>
    <col min="5" max="5" width="8.90625" bestFit="1" customWidth="1"/>
    <col min="6" max="6" width="9.54296875" bestFit="1" customWidth="1"/>
    <col min="7" max="8" width="9.453125" bestFit="1" customWidth="1"/>
    <col min="11" max="11" width="9.36328125" bestFit="1" customWidth="1"/>
  </cols>
  <sheetData>
    <row r="1" spans="1:12" x14ac:dyDescent="0.35">
      <c r="A1" s="6" t="s">
        <v>110</v>
      </c>
    </row>
    <row r="2" spans="1:12" x14ac:dyDescent="0.35">
      <c r="A2" t="s">
        <v>0</v>
      </c>
      <c r="B2" t="s">
        <v>1</v>
      </c>
      <c r="C2" t="s">
        <v>1</v>
      </c>
      <c r="D2" t="s">
        <v>1</v>
      </c>
      <c r="E2" t="s">
        <v>1</v>
      </c>
      <c r="F2" t="s">
        <v>1</v>
      </c>
      <c r="G2" t="s">
        <v>1</v>
      </c>
      <c r="H2" t="s">
        <v>1</v>
      </c>
      <c r="J2" s="1" t="s">
        <v>2</v>
      </c>
      <c r="K2" t="s">
        <v>3</v>
      </c>
    </row>
    <row r="3" spans="1:12" s="1" customFormat="1" x14ac:dyDescent="0.35">
      <c r="A3" s="1" t="s">
        <v>4</v>
      </c>
      <c r="B3" s="1" t="s">
        <v>5</v>
      </c>
      <c r="C3" s="1" t="s">
        <v>6</v>
      </c>
      <c r="D3" s="1" t="s">
        <v>7</v>
      </c>
      <c r="E3" s="1" t="s">
        <v>8</v>
      </c>
      <c r="F3" s="1" t="s">
        <v>9</v>
      </c>
      <c r="G3" s="1" t="s">
        <v>10</v>
      </c>
      <c r="H3" s="1" t="s">
        <v>11</v>
      </c>
      <c r="I3" s="1" t="s">
        <v>12</v>
      </c>
      <c r="J3" s="1" t="s">
        <v>2</v>
      </c>
      <c r="K3" s="1">
        <v>2023</v>
      </c>
      <c r="L3" s="1">
        <v>2024</v>
      </c>
    </row>
    <row r="4" spans="1:12" s="1" customFormat="1" x14ac:dyDescent="0.35">
      <c r="C4" s="5">
        <v>45107</v>
      </c>
      <c r="D4" s="5">
        <v>45199</v>
      </c>
      <c r="G4" s="5">
        <v>45473</v>
      </c>
      <c r="H4" s="5">
        <v>45565</v>
      </c>
      <c r="J4" s="1" t="s">
        <v>2</v>
      </c>
    </row>
    <row r="5" spans="1:12" x14ac:dyDescent="0.35">
      <c r="A5" t="s">
        <v>90</v>
      </c>
      <c r="B5" s="2">
        <v>3142260</v>
      </c>
      <c r="C5" s="2"/>
      <c r="D5" s="2"/>
      <c r="E5" s="2"/>
      <c r="F5" s="2">
        <v>2069374</v>
      </c>
      <c r="G5" s="2"/>
      <c r="H5" s="2"/>
      <c r="I5" s="2"/>
      <c r="J5" s="1" t="s">
        <v>2</v>
      </c>
    </row>
    <row r="6" spans="1:12" s="1" customFormat="1" x14ac:dyDescent="0.35">
      <c r="A6" s="1" t="s">
        <v>89</v>
      </c>
      <c r="B6" s="3">
        <f>SUM(B7:B11)</f>
        <v>738978</v>
      </c>
      <c r="C6" s="3">
        <f t="shared" ref="C6:H6" si="0">SUM(C7:C11)</f>
        <v>0</v>
      </c>
      <c r="D6" s="3">
        <f t="shared" si="0"/>
        <v>0</v>
      </c>
      <c r="E6" s="3">
        <f t="shared" si="0"/>
        <v>0</v>
      </c>
      <c r="F6" s="3">
        <f t="shared" si="0"/>
        <v>648843</v>
      </c>
      <c r="G6" s="3">
        <f t="shared" si="0"/>
        <v>0</v>
      </c>
      <c r="H6" s="3">
        <f t="shared" si="0"/>
        <v>0</v>
      </c>
      <c r="I6" s="3">
        <f t="shared" ref="I6" si="1">SUM(I7:I11)</f>
        <v>0</v>
      </c>
      <c r="J6" s="1" t="s">
        <v>2</v>
      </c>
    </row>
    <row r="7" spans="1:12" x14ac:dyDescent="0.35">
      <c r="A7" t="s">
        <v>85</v>
      </c>
      <c r="B7" s="2">
        <v>69997</v>
      </c>
      <c r="C7" s="2"/>
      <c r="D7" s="2"/>
      <c r="E7" s="2"/>
      <c r="F7" s="2">
        <v>69724</v>
      </c>
      <c r="G7" s="2"/>
      <c r="H7" s="2"/>
      <c r="I7" s="2"/>
      <c r="J7" s="1" t="s">
        <v>2</v>
      </c>
    </row>
    <row r="8" spans="1:12" x14ac:dyDescent="0.35">
      <c r="A8" t="s">
        <v>86</v>
      </c>
      <c r="B8" s="2">
        <v>64750</v>
      </c>
      <c r="C8" s="2"/>
      <c r="D8" s="2"/>
      <c r="E8" s="2"/>
      <c r="F8" s="2">
        <v>67312</v>
      </c>
      <c r="G8" s="2"/>
      <c r="H8" s="2"/>
      <c r="I8" s="2"/>
      <c r="J8" s="1" t="s">
        <v>2</v>
      </c>
    </row>
    <row r="9" spans="1:12" x14ac:dyDescent="0.35">
      <c r="A9" t="s">
        <v>87</v>
      </c>
      <c r="B9" s="2">
        <v>483575</v>
      </c>
      <c r="C9" s="2"/>
      <c r="D9" s="2"/>
      <c r="E9" s="2"/>
      <c r="F9" s="2">
        <v>408509</v>
      </c>
      <c r="G9" s="2"/>
      <c r="H9" s="2"/>
      <c r="I9" s="2"/>
      <c r="J9" s="1" t="s">
        <v>2</v>
      </c>
    </row>
    <row r="10" spans="1:12" x14ac:dyDescent="0.35">
      <c r="A10" t="s">
        <v>88</v>
      </c>
      <c r="B10" s="2">
        <v>76523</v>
      </c>
      <c r="C10" s="2"/>
      <c r="D10" s="2"/>
      <c r="E10" s="2"/>
      <c r="F10" s="2">
        <v>69796</v>
      </c>
      <c r="G10" s="2"/>
      <c r="H10" s="2"/>
      <c r="I10" s="2"/>
      <c r="J10" s="1" t="s">
        <v>2</v>
      </c>
    </row>
    <row r="11" spans="1:12" x14ac:dyDescent="0.35">
      <c r="A11" t="s">
        <v>19</v>
      </c>
      <c r="B11" s="2">
        <v>44133</v>
      </c>
      <c r="C11" s="2"/>
      <c r="D11" s="2"/>
      <c r="E11" s="2"/>
      <c r="F11" s="2">
        <v>33502</v>
      </c>
      <c r="G11" s="2"/>
      <c r="H11" s="2"/>
      <c r="I11" s="2"/>
      <c r="J11" s="1" t="s">
        <v>2</v>
      </c>
    </row>
    <row r="12" spans="1:12" s="1" customFormat="1" x14ac:dyDescent="0.35">
      <c r="J12" s="1" t="s">
        <v>2</v>
      </c>
    </row>
    <row r="13" spans="1:12" s="1" customFormat="1" x14ac:dyDescent="0.35">
      <c r="A13" s="1" t="s">
        <v>91</v>
      </c>
      <c r="B13" s="3">
        <f>+SUM(B14:B16)</f>
        <v>3881238</v>
      </c>
      <c r="C13" s="3">
        <f t="shared" ref="C13:I13" si="2">+SUM(C14:C16)</f>
        <v>4020183</v>
      </c>
      <c r="D13" s="3">
        <f t="shared" si="2"/>
        <v>3635691</v>
      </c>
      <c r="E13" s="3">
        <f t="shared" si="2"/>
        <v>0</v>
      </c>
      <c r="F13" s="3">
        <f t="shared" si="2"/>
        <v>2718217</v>
      </c>
      <c r="G13" s="3">
        <f t="shared" si="2"/>
        <v>2795205</v>
      </c>
      <c r="H13" s="3">
        <f t="shared" si="2"/>
        <v>2620988</v>
      </c>
      <c r="I13" s="3">
        <f t="shared" si="2"/>
        <v>0</v>
      </c>
      <c r="J13" s="1" t="s">
        <v>2</v>
      </c>
    </row>
    <row r="14" spans="1:12" x14ac:dyDescent="0.35">
      <c r="A14" t="s">
        <v>93</v>
      </c>
      <c r="B14" s="2">
        <v>2877780</v>
      </c>
      <c r="C14" s="2">
        <v>2696810</v>
      </c>
      <c r="D14" s="2">
        <v>2639059</v>
      </c>
      <c r="E14" s="2"/>
      <c r="F14" s="2">
        <v>1893859</v>
      </c>
      <c r="G14" s="2">
        <v>1757741</v>
      </c>
      <c r="H14" s="2">
        <v>1747715</v>
      </c>
      <c r="I14" s="2"/>
      <c r="J14" s="1" t="s">
        <v>2</v>
      </c>
    </row>
    <row r="15" spans="1:12" x14ac:dyDescent="0.35">
      <c r="A15" t="s">
        <v>94</v>
      </c>
      <c r="B15" s="2">
        <v>839516</v>
      </c>
      <c r="C15" s="2">
        <v>877781</v>
      </c>
      <c r="D15" s="2">
        <v>868099</v>
      </c>
      <c r="E15" s="2"/>
      <c r="F15" s="2">
        <v>657039</v>
      </c>
      <c r="G15" s="2">
        <v>686127</v>
      </c>
      <c r="H15" s="2">
        <v>745206</v>
      </c>
      <c r="I15" s="2"/>
      <c r="J15" s="1" t="s">
        <v>2</v>
      </c>
    </row>
    <row r="16" spans="1:12" x14ac:dyDescent="0.35">
      <c r="A16" t="s">
        <v>95</v>
      </c>
      <c r="B16" s="2">
        <v>163942</v>
      </c>
      <c r="C16" s="2">
        <v>445592</v>
      </c>
      <c r="D16" s="2">
        <v>128533</v>
      </c>
      <c r="E16" s="2"/>
      <c r="F16" s="2">
        <v>167319</v>
      </c>
      <c r="G16" s="2">
        <v>351337</v>
      </c>
      <c r="H16" s="2">
        <v>128067</v>
      </c>
      <c r="I16" s="2"/>
      <c r="J16" s="1" t="s">
        <v>2</v>
      </c>
    </row>
    <row r="17" spans="1:10" s="1" customFormat="1" x14ac:dyDescent="0.35">
      <c r="J17" s="1" t="s">
        <v>2</v>
      </c>
    </row>
    <row r="18" spans="1:10" s="3" customFormat="1" x14ac:dyDescent="0.35">
      <c r="A18" s="3" t="s">
        <v>92</v>
      </c>
      <c r="B18" s="3">
        <f>+SUM(B19:B22)</f>
        <v>-65001</v>
      </c>
      <c r="C18" s="3">
        <f t="shared" ref="C18:H18" si="3">+SUM(C19:C22)</f>
        <v>0</v>
      </c>
      <c r="D18" s="3">
        <f t="shared" si="3"/>
        <v>38385</v>
      </c>
      <c r="E18" s="3">
        <f t="shared" si="3"/>
        <v>0</v>
      </c>
      <c r="F18" s="3">
        <f t="shared" si="3"/>
        <v>13968</v>
      </c>
      <c r="G18" s="3">
        <f t="shared" si="3"/>
        <v>57346</v>
      </c>
      <c r="H18" s="3">
        <f t="shared" si="3"/>
        <v>62192</v>
      </c>
      <c r="I18" s="3">
        <f t="shared" ref="I18" si="4">+SUM(I19:I22)</f>
        <v>0</v>
      </c>
      <c r="J18" s="1" t="s">
        <v>2</v>
      </c>
    </row>
    <row r="19" spans="1:10" x14ac:dyDescent="0.35">
      <c r="A19" t="s">
        <v>93</v>
      </c>
      <c r="B19" s="2">
        <v>39364</v>
      </c>
      <c r="D19" s="2">
        <v>8073</v>
      </c>
      <c r="F19" s="2">
        <v>5924</v>
      </c>
      <c r="G19" s="2">
        <v>5424</v>
      </c>
      <c r="H19" s="2">
        <v>26266</v>
      </c>
      <c r="J19" s="1" t="s">
        <v>2</v>
      </c>
    </row>
    <row r="20" spans="1:10" x14ac:dyDescent="0.35">
      <c r="A20" t="s">
        <v>94</v>
      </c>
      <c r="B20" s="2">
        <v>-82513</v>
      </c>
      <c r="D20" s="2">
        <v>47096</v>
      </c>
      <c r="F20" s="2">
        <v>22791</v>
      </c>
      <c r="G20" s="2">
        <v>39200</v>
      </c>
      <c r="H20" s="2">
        <v>52583</v>
      </c>
      <c r="J20" s="1" t="s">
        <v>2</v>
      </c>
    </row>
    <row r="21" spans="1:10" x14ac:dyDescent="0.35">
      <c r="A21" t="s">
        <v>95</v>
      </c>
      <c r="B21" s="2">
        <v>-10438</v>
      </c>
      <c r="D21" s="2">
        <v>-8452</v>
      </c>
      <c r="F21" s="2">
        <v>-1850</v>
      </c>
      <c r="G21" s="2">
        <v>23419</v>
      </c>
      <c r="H21" s="2">
        <v>-6132</v>
      </c>
      <c r="J21" s="1" t="s">
        <v>2</v>
      </c>
    </row>
    <row r="22" spans="1:10" x14ac:dyDescent="0.35">
      <c r="A22" t="s">
        <v>19</v>
      </c>
      <c r="B22" s="2">
        <v>-11414</v>
      </c>
      <c r="D22" s="2">
        <v>-8332</v>
      </c>
      <c r="F22" s="2">
        <v>-12897</v>
      </c>
      <c r="G22" s="2">
        <v>-10697</v>
      </c>
      <c r="H22" s="2">
        <v>-10525</v>
      </c>
      <c r="J22" s="1" t="s">
        <v>2</v>
      </c>
    </row>
    <row r="23" spans="1:10" x14ac:dyDescent="0.35">
      <c r="B23" s="2"/>
      <c r="F23" s="2"/>
      <c r="J23" s="1" t="s">
        <v>2</v>
      </c>
    </row>
    <row r="24" spans="1:10" s="1" customFormat="1" x14ac:dyDescent="0.35">
      <c r="A24" s="1" t="s">
        <v>96</v>
      </c>
      <c r="B24" s="3">
        <f>+SUM(B25:B28)</f>
        <v>458269</v>
      </c>
      <c r="C24" s="3">
        <f t="shared" ref="C24:H24" si="5">+SUM(C25:C28)</f>
        <v>512404</v>
      </c>
      <c r="D24" s="3">
        <f t="shared" si="5"/>
        <v>546270</v>
      </c>
      <c r="E24" s="3">
        <f t="shared" si="5"/>
        <v>0</v>
      </c>
      <c r="F24" s="3">
        <f t="shared" si="5"/>
        <v>569648</v>
      </c>
      <c r="G24" s="3">
        <f t="shared" si="5"/>
        <v>605686</v>
      </c>
      <c r="H24" s="3">
        <f t="shared" si="5"/>
        <v>640619</v>
      </c>
      <c r="I24" s="3">
        <f t="shared" ref="I24" si="6">+SUM(I25:I28)</f>
        <v>0</v>
      </c>
      <c r="J24" s="1" t="s">
        <v>2</v>
      </c>
    </row>
    <row r="25" spans="1:10" x14ac:dyDescent="0.35">
      <c r="A25" t="s">
        <v>97</v>
      </c>
      <c r="B25" s="2">
        <v>186566</v>
      </c>
      <c r="C25" s="2">
        <v>198633</v>
      </c>
      <c r="D25" s="2">
        <v>190368</v>
      </c>
      <c r="E25" s="2"/>
      <c r="F25" s="2">
        <v>185826</v>
      </c>
      <c r="G25" s="2">
        <v>187050</v>
      </c>
      <c r="H25" s="2">
        <v>212336</v>
      </c>
      <c r="J25" s="1" t="s">
        <v>2</v>
      </c>
    </row>
    <row r="26" spans="1:10" x14ac:dyDescent="0.35">
      <c r="A26" t="s">
        <v>98</v>
      </c>
      <c r="B26" s="2">
        <v>9519</v>
      </c>
      <c r="C26" s="2">
        <v>9562</v>
      </c>
      <c r="D26" s="2">
        <v>11786</v>
      </c>
      <c r="E26" s="2"/>
      <c r="F26" s="2">
        <v>12291</v>
      </c>
      <c r="G26" s="2">
        <v>13494</v>
      </c>
      <c r="H26" s="2">
        <v>12142</v>
      </c>
      <c r="J26" s="1" t="s">
        <v>2</v>
      </c>
    </row>
    <row r="27" spans="1:10" x14ac:dyDescent="0.35">
      <c r="A27" t="s">
        <v>99</v>
      </c>
      <c r="B27" s="2">
        <v>261655</v>
      </c>
      <c r="C27" s="2">
        <v>303701</v>
      </c>
      <c r="D27" s="2">
        <v>343619</v>
      </c>
      <c r="E27" s="2"/>
      <c r="F27" s="2">
        <v>370983</v>
      </c>
      <c r="G27" s="2">
        <v>404589</v>
      </c>
      <c r="H27" s="2">
        <v>415505</v>
      </c>
      <c r="J27" s="1" t="s">
        <v>2</v>
      </c>
    </row>
    <row r="28" spans="1:10" x14ac:dyDescent="0.35">
      <c r="A28" t="s">
        <v>100</v>
      </c>
      <c r="B28" s="2">
        <v>529</v>
      </c>
      <c r="C28" s="2">
        <v>508</v>
      </c>
      <c r="D28" s="2">
        <v>497</v>
      </c>
      <c r="E28" s="2"/>
      <c r="F28" s="2">
        <v>548</v>
      </c>
      <c r="G28" s="2">
        <v>553</v>
      </c>
      <c r="H28" s="2">
        <v>636</v>
      </c>
      <c r="J28" s="1" t="s">
        <v>2</v>
      </c>
    </row>
    <row r="29" spans="1:10" x14ac:dyDescent="0.35">
      <c r="B29" s="2"/>
      <c r="F29" s="2"/>
      <c r="J29" s="1" t="s">
        <v>2</v>
      </c>
    </row>
    <row r="30" spans="1:10" s="1" customFormat="1" x14ac:dyDescent="0.35">
      <c r="A30" s="1" t="s">
        <v>102</v>
      </c>
      <c r="B30" s="3">
        <f>+SUM(B31:B33)</f>
        <v>315</v>
      </c>
      <c r="C30" s="3">
        <f t="shared" ref="C30:H30" si="7">+SUM(C31:C33)</f>
        <v>861</v>
      </c>
      <c r="D30" s="3">
        <f t="shared" si="7"/>
        <v>293</v>
      </c>
      <c r="E30" s="3">
        <f t="shared" si="7"/>
        <v>0</v>
      </c>
      <c r="F30" s="3">
        <f t="shared" si="7"/>
        <v>354</v>
      </c>
      <c r="G30" s="3">
        <f t="shared" si="7"/>
        <v>752</v>
      </c>
      <c r="H30" s="3">
        <f t="shared" si="7"/>
        <v>306</v>
      </c>
      <c r="I30" s="3">
        <f t="shared" ref="I30" si="8">+SUM(I31:I33)</f>
        <v>0</v>
      </c>
      <c r="J30" s="1" t="s">
        <v>2</v>
      </c>
    </row>
    <row r="31" spans="1:10" x14ac:dyDescent="0.35">
      <c r="A31" t="s">
        <v>101</v>
      </c>
      <c r="B31" s="2">
        <v>170</v>
      </c>
      <c r="C31">
        <v>674</v>
      </c>
      <c r="D31" s="2">
        <v>209</v>
      </c>
      <c r="F31" s="2">
        <v>199</v>
      </c>
      <c r="G31" s="2">
        <v>578</v>
      </c>
      <c r="H31" s="2">
        <v>205</v>
      </c>
      <c r="J31" s="1" t="s">
        <v>2</v>
      </c>
    </row>
    <row r="32" spans="1:10" x14ac:dyDescent="0.35">
      <c r="A32" t="s">
        <v>103</v>
      </c>
      <c r="B32" s="2">
        <v>82</v>
      </c>
      <c r="C32">
        <v>141</v>
      </c>
      <c r="D32" s="2">
        <v>59</v>
      </c>
      <c r="F32" s="2">
        <v>91</v>
      </c>
      <c r="G32" s="2">
        <v>117</v>
      </c>
      <c r="H32" s="2">
        <v>62</v>
      </c>
      <c r="J32" s="1" t="s">
        <v>2</v>
      </c>
    </row>
    <row r="33" spans="1:10" x14ac:dyDescent="0.35">
      <c r="A33" t="s">
        <v>104</v>
      </c>
      <c r="B33" s="2">
        <v>63</v>
      </c>
      <c r="C33">
        <v>46</v>
      </c>
      <c r="D33" s="2">
        <v>25</v>
      </c>
      <c r="F33" s="2">
        <v>64</v>
      </c>
      <c r="G33" s="2">
        <v>57</v>
      </c>
      <c r="H33" s="2">
        <v>39</v>
      </c>
      <c r="J33" s="1" t="s">
        <v>2</v>
      </c>
    </row>
    <row r="34" spans="1:10" x14ac:dyDescent="0.35">
      <c r="B34" s="2"/>
      <c r="F34" s="2"/>
      <c r="J34" s="1" t="s">
        <v>2</v>
      </c>
    </row>
    <row r="35" spans="1:10" s="1" customFormat="1" x14ac:dyDescent="0.35">
      <c r="B35" s="1" t="str">
        <f>B3</f>
        <v>Q123</v>
      </c>
      <c r="C35" s="1" t="str">
        <f t="shared" ref="C35:I35" si="9">C3</f>
        <v>Q223</v>
      </c>
      <c r="D35" s="1" t="str">
        <f t="shared" si="9"/>
        <v>Q323</v>
      </c>
      <c r="E35" s="1" t="str">
        <f t="shared" si="9"/>
        <v>Q423</v>
      </c>
      <c r="F35" s="1" t="str">
        <f t="shared" si="9"/>
        <v>Q124</v>
      </c>
      <c r="G35" s="1" t="str">
        <f t="shared" si="9"/>
        <v>Q224</v>
      </c>
      <c r="H35" s="1" t="str">
        <f t="shared" si="9"/>
        <v>Q324</v>
      </c>
      <c r="I35" s="1" t="str">
        <f t="shared" si="9"/>
        <v>Q424</v>
      </c>
      <c r="J35" s="1" t="s">
        <v>2</v>
      </c>
    </row>
    <row r="36" spans="1:10" s="1" customFormat="1" x14ac:dyDescent="0.35">
      <c r="A36" s="1" t="s">
        <v>106</v>
      </c>
      <c r="B36" s="4"/>
      <c r="C36" s="4"/>
      <c r="D36" s="4"/>
      <c r="E36" s="4"/>
      <c r="F36" s="4">
        <f>(F40-B40)/B40</f>
        <v>-0.29965206977773584</v>
      </c>
      <c r="G36" s="4">
        <f t="shared" ref="G36" si="10">(G40-C40)/C40</f>
        <v>-0.30470702453097287</v>
      </c>
      <c r="H36" s="4">
        <f>(H40-D40)/D40</f>
        <v>-0.2790949505884851</v>
      </c>
      <c r="I36" s="4" t="e">
        <f>(I40-E40)/E40</f>
        <v>#DIV/0!</v>
      </c>
      <c r="J36" s="1" t="s">
        <v>2</v>
      </c>
    </row>
    <row r="37" spans="1:10" s="1" customFormat="1" x14ac:dyDescent="0.35">
      <c r="A37" s="1" t="s">
        <v>107</v>
      </c>
      <c r="B37" s="4" t="e">
        <f t="shared" ref="B37:D37" si="11">(B40-A40)/B40</f>
        <v>#VALUE!</v>
      </c>
      <c r="C37" s="4">
        <f t="shared" si="11"/>
        <v>3.456185949744079E-2</v>
      </c>
      <c r="D37" s="4">
        <f t="shared" si="11"/>
        <v>-0.10575486200559948</v>
      </c>
      <c r="E37" s="4" t="e">
        <f>(E40-D40)/E40</f>
        <v>#DIV/0!</v>
      </c>
      <c r="F37" s="4">
        <f>(F40-E40)/F40</f>
        <v>1</v>
      </c>
      <c r="G37" s="4">
        <f t="shared" ref="G37" si="12">(G40-F40)/G40</f>
        <v>2.754288147023206E-2</v>
      </c>
      <c r="H37" s="4">
        <f>(H40-G40)/H40</f>
        <v>-6.6469972392090307E-2</v>
      </c>
      <c r="I37" s="4" t="e">
        <f>(I40-H40)/I40</f>
        <v>#DIV/0!</v>
      </c>
      <c r="J37" s="1" t="s">
        <v>2</v>
      </c>
    </row>
    <row r="38" spans="1:10" s="1" customFormat="1" x14ac:dyDescent="0.35">
      <c r="A38" s="1" t="s">
        <v>108</v>
      </c>
      <c r="B38" s="4"/>
      <c r="C38" s="4"/>
      <c r="D38" s="4"/>
      <c r="E38" s="4"/>
      <c r="F38" s="4">
        <f>(F42-B42)/B42</f>
        <v>-0.13303740938173514</v>
      </c>
      <c r="G38" s="4">
        <f t="shared" ref="G38:I38" si="13">(G42-C42)/C42</f>
        <v>-0.20981629922004894</v>
      </c>
      <c r="H38" s="4">
        <f t="shared" si="13"/>
        <v>0.12316979600636647</v>
      </c>
      <c r="I38" s="4" t="e">
        <f t="shared" si="13"/>
        <v>#DIV/0!</v>
      </c>
      <c r="J38" s="1" t="s">
        <v>2</v>
      </c>
    </row>
    <row r="39" spans="1:10" s="1" customFormat="1" x14ac:dyDescent="0.35">
      <c r="A39" s="1" t="s">
        <v>109</v>
      </c>
      <c r="B39" s="4" t="e">
        <f t="shared" ref="B39:E39" si="14">(B42-A42)/A42</f>
        <v>#VALUE!</v>
      </c>
      <c r="C39" s="4">
        <f t="shared" si="14"/>
        <v>0.49946287775908549</v>
      </c>
      <c r="D39" s="4">
        <f t="shared" si="14"/>
        <v>-0.28943348788169615</v>
      </c>
      <c r="E39" s="4">
        <f t="shared" si="14"/>
        <v>-1</v>
      </c>
      <c r="F39" s="4" t="e">
        <f>(F42-E42)/E42</f>
        <v>#DIV/0!</v>
      </c>
      <c r="G39" s="4">
        <f t="shared" ref="G39:I39" si="15">(G42-F42)/F42</f>
        <v>0.36666926433915215</v>
      </c>
      <c r="H39" s="4">
        <f t="shared" si="15"/>
        <v>1.0001653637146392E-2</v>
      </c>
      <c r="I39" s="4">
        <f t="shared" si="15"/>
        <v>-1</v>
      </c>
      <c r="J39" s="1" t="s">
        <v>2</v>
      </c>
    </row>
    <row r="40" spans="1:10" x14ac:dyDescent="0.35">
      <c r="A40" t="s">
        <v>13</v>
      </c>
      <c r="B40" s="2">
        <v>3881238</v>
      </c>
      <c r="C40" s="2">
        <v>4020183</v>
      </c>
      <c r="D40" s="2">
        <v>3635691</v>
      </c>
      <c r="E40" s="2"/>
      <c r="F40" s="2">
        <v>2718217</v>
      </c>
      <c r="G40" s="2">
        <v>2795205</v>
      </c>
      <c r="H40" s="2">
        <v>2620988</v>
      </c>
      <c r="I40" s="2"/>
      <c r="J40" s="1" t="s">
        <v>2</v>
      </c>
    </row>
    <row r="41" spans="1:10" x14ac:dyDescent="0.35">
      <c r="A41" t="s">
        <v>14</v>
      </c>
      <c r="B41" s="2">
        <v>3733227</v>
      </c>
      <c r="C41" s="2">
        <v>3798246</v>
      </c>
      <c r="D41" s="2">
        <v>3477990</v>
      </c>
      <c r="E41" s="2"/>
      <c r="F41" s="2">
        <v>2589897</v>
      </c>
      <c r="G41" s="2">
        <v>2619834</v>
      </c>
      <c r="H41" s="2">
        <v>2443863</v>
      </c>
      <c r="I41" s="2"/>
      <c r="J41" s="1" t="s">
        <v>2</v>
      </c>
    </row>
    <row r="42" spans="1:10" s="1" customFormat="1" x14ac:dyDescent="0.35">
      <c r="A42" s="1" t="s">
        <v>15</v>
      </c>
      <c r="B42" s="3">
        <f>B40-B41</f>
        <v>148011</v>
      </c>
      <c r="C42" s="3">
        <f t="shared" ref="C42:D42" si="16">C40-C41</f>
        <v>221937</v>
      </c>
      <c r="D42" s="3">
        <f t="shared" si="16"/>
        <v>157701</v>
      </c>
      <c r="E42" s="3">
        <f>E40-E41</f>
        <v>0</v>
      </c>
      <c r="F42" s="3">
        <f>F40-F41</f>
        <v>128320</v>
      </c>
      <c r="G42" s="3">
        <f>G40-G41</f>
        <v>175371</v>
      </c>
      <c r="H42" s="3">
        <f>H40-H41</f>
        <v>177125</v>
      </c>
      <c r="I42" s="3">
        <f t="shared" ref="I42" si="17">I40-I41</f>
        <v>0</v>
      </c>
      <c r="J42" s="1" t="s">
        <v>2</v>
      </c>
    </row>
    <row r="43" spans="1:10" x14ac:dyDescent="0.35">
      <c r="A43" t="s">
        <v>16</v>
      </c>
      <c r="B43" s="2">
        <v>117235</v>
      </c>
      <c r="C43" s="2">
        <v>116007</v>
      </c>
      <c r="D43" s="2">
        <v>126306</v>
      </c>
      <c r="E43" s="2"/>
      <c r="F43" s="2">
        <v>119358</v>
      </c>
      <c r="G43" s="2">
        <v>116614</v>
      </c>
      <c r="H43" s="2">
        <v>120494</v>
      </c>
      <c r="I43" s="2"/>
      <c r="J43" s="1" t="s">
        <v>2</v>
      </c>
    </row>
    <row r="44" spans="1:10" x14ac:dyDescent="0.35">
      <c r="A44" t="s">
        <v>17</v>
      </c>
      <c r="B44" s="2">
        <v>87156</v>
      </c>
      <c r="C44" s="2">
        <v>0</v>
      </c>
      <c r="D44" s="2">
        <v>0</v>
      </c>
      <c r="E44" s="2"/>
      <c r="F44" s="2">
        <v>0</v>
      </c>
      <c r="G44" s="2">
        <v>0</v>
      </c>
      <c r="H44" s="2">
        <v>0</v>
      </c>
      <c r="I44" s="2"/>
      <c r="J44" s="1" t="s">
        <v>2</v>
      </c>
    </row>
    <row r="45" spans="1:10" x14ac:dyDescent="0.35">
      <c r="A45" t="s">
        <v>18</v>
      </c>
      <c r="B45" s="2">
        <v>16625</v>
      </c>
      <c r="C45" s="2">
        <v>13953</v>
      </c>
      <c r="D45" s="2">
        <v>8188</v>
      </c>
      <c r="E45" s="2"/>
      <c r="F45" s="2">
        <v>6522</v>
      </c>
      <c r="G45" s="2">
        <v>6611</v>
      </c>
      <c r="H45" s="2">
        <v>8361</v>
      </c>
      <c r="I45" s="2"/>
      <c r="J45" s="1" t="s">
        <v>2</v>
      </c>
    </row>
    <row r="46" spans="1:10" s="1" customFormat="1" x14ac:dyDescent="0.35">
      <c r="A46" s="1" t="s">
        <v>20</v>
      </c>
      <c r="B46" s="3">
        <f>SUM(B43:B45)</f>
        <v>221016</v>
      </c>
      <c r="C46" s="3">
        <f t="shared" ref="C46:G46" si="18">SUM(C43:C45)</f>
        <v>129960</v>
      </c>
      <c r="D46" s="3">
        <f t="shared" si="18"/>
        <v>134494</v>
      </c>
      <c r="E46" s="3">
        <f t="shared" si="18"/>
        <v>0</v>
      </c>
      <c r="F46" s="3">
        <f t="shared" si="18"/>
        <v>125880</v>
      </c>
      <c r="G46" s="3">
        <f t="shared" si="18"/>
        <v>123225</v>
      </c>
      <c r="H46" s="3">
        <f t="shared" ref="H46:I46" si="19">SUM(H43:H45)</f>
        <v>128855</v>
      </c>
      <c r="I46" s="3">
        <f t="shared" si="19"/>
        <v>0</v>
      </c>
      <c r="J46" s="1" t="s">
        <v>2</v>
      </c>
    </row>
    <row r="47" spans="1:10" x14ac:dyDescent="0.35">
      <c r="A47" t="s">
        <v>105</v>
      </c>
      <c r="B47" s="2">
        <v>8004</v>
      </c>
      <c r="C47" s="2">
        <v>12441</v>
      </c>
      <c r="D47" s="2">
        <v>15178</v>
      </c>
      <c r="E47" s="2"/>
      <c r="F47" s="2">
        <v>11528</v>
      </c>
      <c r="G47" s="2">
        <v>5200</v>
      </c>
      <c r="H47" s="2">
        <v>13922</v>
      </c>
      <c r="I47" s="2"/>
      <c r="J47" s="1" t="s">
        <v>2</v>
      </c>
    </row>
    <row r="48" spans="1:10" s="1" customFormat="1" x14ac:dyDescent="0.35">
      <c r="A48" s="1" t="s">
        <v>21</v>
      </c>
      <c r="B48" s="3">
        <f>+B42-B46+B47</f>
        <v>-65001</v>
      </c>
      <c r="C48" s="3">
        <f t="shared" ref="C48:G48" si="20">+C42-C46+C47</f>
        <v>104418</v>
      </c>
      <c r="D48" s="3">
        <f t="shared" si="20"/>
        <v>38385</v>
      </c>
      <c r="E48" s="3">
        <f t="shared" si="20"/>
        <v>0</v>
      </c>
      <c r="F48" s="3">
        <f t="shared" si="20"/>
        <v>13968</v>
      </c>
      <c r="G48" s="3">
        <f t="shared" si="20"/>
        <v>57346</v>
      </c>
      <c r="H48" s="3">
        <f t="shared" ref="H48:I48" si="21">+H42-H46+H47</f>
        <v>62192</v>
      </c>
      <c r="I48" s="3">
        <f t="shared" si="21"/>
        <v>0</v>
      </c>
      <c r="J48" s="1" t="s">
        <v>2</v>
      </c>
    </row>
    <row r="49" spans="1:12" x14ac:dyDescent="0.35">
      <c r="A49" t="s">
        <v>22</v>
      </c>
      <c r="B49" s="2">
        <v>-5884</v>
      </c>
      <c r="C49" s="2">
        <v>21732</v>
      </c>
      <c r="D49" s="2">
        <v>7862</v>
      </c>
      <c r="E49" s="2"/>
      <c r="F49" s="2">
        <v>1303</v>
      </c>
      <c r="G49" s="2">
        <v>4876</v>
      </c>
      <c r="H49" s="2">
        <v>10731</v>
      </c>
      <c r="I49" s="2"/>
      <c r="J49" s="1" t="s">
        <v>2</v>
      </c>
    </row>
    <row r="50" spans="1:12" s="1" customFormat="1" x14ac:dyDescent="0.35">
      <c r="A50" s="1" t="s">
        <v>65</v>
      </c>
      <c r="B50" s="3">
        <f>B48-B49</f>
        <v>-59117</v>
      </c>
      <c r="C50" s="3">
        <f t="shared" ref="C50:G50" si="22">C48-C49</f>
        <v>82686</v>
      </c>
      <c r="D50" s="3">
        <f t="shared" si="22"/>
        <v>30523</v>
      </c>
      <c r="E50" s="3">
        <f t="shared" si="22"/>
        <v>0</v>
      </c>
      <c r="F50" s="3">
        <f t="shared" si="22"/>
        <v>12665</v>
      </c>
      <c r="G50" s="3">
        <f t="shared" si="22"/>
        <v>52470</v>
      </c>
      <c r="H50" s="3">
        <f t="shared" ref="H50:I50" si="23">H48-H49</f>
        <v>51461</v>
      </c>
      <c r="I50" s="3">
        <f t="shared" si="23"/>
        <v>0</v>
      </c>
      <c r="J50" s="1" t="s">
        <v>2</v>
      </c>
    </row>
    <row r="51" spans="1:12" x14ac:dyDescent="0.35">
      <c r="A51" t="s">
        <v>23</v>
      </c>
      <c r="B51" s="2">
        <v>-44367</v>
      </c>
      <c r="C51" s="2">
        <v>27640</v>
      </c>
      <c r="D51" s="2">
        <v>20815</v>
      </c>
      <c r="E51" s="2"/>
      <c r="F51" s="2">
        <v>7084</v>
      </c>
      <c r="G51" s="2">
        <v>16494</v>
      </c>
      <c r="H51" s="2">
        <v>24096</v>
      </c>
      <c r="I51" s="2"/>
      <c r="J51" s="1" t="s">
        <v>2</v>
      </c>
    </row>
    <row r="52" spans="1:12" s="1" customFormat="1" x14ac:dyDescent="0.35">
      <c r="A52" s="1" t="s">
        <v>24</v>
      </c>
      <c r="B52" s="3">
        <f>B50-B51</f>
        <v>-14750</v>
      </c>
      <c r="C52" s="3">
        <f t="shared" ref="C52:G52" si="24">C50-C51</f>
        <v>55046</v>
      </c>
      <c r="D52" s="3">
        <f t="shared" si="24"/>
        <v>9708</v>
      </c>
      <c r="E52" s="3">
        <f t="shared" si="24"/>
        <v>0</v>
      </c>
      <c r="F52" s="3">
        <f t="shared" si="24"/>
        <v>5581</v>
      </c>
      <c r="G52" s="3">
        <f t="shared" si="24"/>
        <v>35976</v>
      </c>
      <c r="H52" s="3">
        <f t="shared" ref="H52:I52" si="25">H50-H51</f>
        <v>27365</v>
      </c>
      <c r="I52" s="3">
        <f t="shared" si="25"/>
        <v>0</v>
      </c>
      <c r="J52" s="1" t="s">
        <v>2</v>
      </c>
    </row>
    <row r="53" spans="1:12" x14ac:dyDescent="0.35">
      <c r="J53" s="1" t="s">
        <v>2</v>
      </c>
    </row>
    <row r="54" spans="1:12" x14ac:dyDescent="0.35">
      <c r="A54" t="s">
        <v>25</v>
      </c>
      <c r="B54" s="2">
        <v>33622</v>
      </c>
      <c r="C54" s="2">
        <v>33744</v>
      </c>
      <c r="D54" s="2">
        <v>33752</v>
      </c>
      <c r="E54" s="2"/>
      <c r="F54" s="2">
        <v>33932</v>
      </c>
      <c r="G54" s="2">
        <v>34060</v>
      </c>
      <c r="H54" s="2">
        <v>34069</v>
      </c>
      <c r="J54" s="1" t="s">
        <v>2</v>
      </c>
    </row>
    <row r="55" spans="1:12" x14ac:dyDescent="0.35">
      <c r="A55" t="s">
        <v>26</v>
      </c>
      <c r="B55" s="2">
        <v>33622</v>
      </c>
      <c r="C55" s="2">
        <v>34165</v>
      </c>
      <c r="D55" s="2">
        <v>34270</v>
      </c>
      <c r="E55" s="2"/>
      <c r="F55" s="2">
        <v>34243</v>
      </c>
      <c r="G55" s="2">
        <v>34339</v>
      </c>
      <c r="H55" s="2">
        <v>34358</v>
      </c>
      <c r="J55" s="1" t="s">
        <v>2</v>
      </c>
    </row>
    <row r="56" spans="1:12" s="1" customFormat="1" x14ac:dyDescent="0.35">
      <c r="A56" s="1" t="s">
        <v>27</v>
      </c>
      <c r="B56" s="4">
        <f>B52/B54</f>
        <v>-0.43870085063351377</v>
      </c>
      <c r="C56" s="4">
        <f t="shared" ref="C56:E56" si="26">C52/C54</f>
        <v>1.6312825983878616</v>
      </c>
      <c r="D56" s="4">
        <f t="shared" si="26"/>
        <v>0.28762739985778618</v>
      </c>
      <c r="E56" s="4" t="e">
        <f t="shared" si="26"/>
        <v>#DIV/0!</v>
      </c>
      <c r="F56" s="4">
        <f t="shared" ref="F56:G56" si="27">F52/F54</f>
        <v>0.16447601084521984</v>
      </c>
      <c r="G56" s="4">
        <f t="shared" si="27"/>
        <v>1.0562536699941281</v>
      </c>
      <c r="H56" s="4">
        <f t="shared" ref="H56:I56" si="28">H52/H54</f>
        <v>0.80322287123191172</v>
      </c>
      <c r="I56" s="4" t="e">
        <f t="shared" si="28"/>
        <v>#DIV/0!</v>
      </c>
      <c r="J56" s="1" t="s">
        <v>2</v>
      </c>
      <c r="K56" s="4" t="e">
        <f t="shared" ref="K56:L56" si="29">K52/K54</f>
        <v>#DIV/0!</v>
      </c>
      <c r="L56" s="4" t="e">
        <f t="shared" si="29"/>
        <v>#DIV/0!</v>
      </c>
    </row>
    <row r="57" spans="1:12" s="1" customFormat="1" x14ac:dyDescent="0.35">
      <c r="A57" s="1" t="s">
        <v>28</v>
      </c>
      <c r="B57" s="4">
        <f>B52/B55</f>
        <v>-0.43870085063351377</v>
      </c>
      <c r="C57" s="4">
        <f t="shared" ref="C57:G57" si="30">C52/C55</f>
        <v>1.6111810332211327</v>
      </c>
      <c r="D57" s="4">
        <f t="shared" si="30"/>
        <v>0.28327983659177125</v>
      </c>
      <c r="E57" s="4" t="e">
        <f t="shared" si="30"/>
        <v>#DIV/0!</v>
      </c>
      <c r="F57" s="4">
        <f t="shared" si="30"/>
        <v>0.16298221534328183</v>
      </c>
      <c r="G57" s="4">
        <f t="shared" si="30"/>
        <v>1.0476717434986458</v>
      </c>
      <c r="H57" s="4">
        <f t="shared" ref="H57:I57" si="31">H52/H55</f>
        <v>0.79646661621747483</v>
      </c>
      <c r="I57" s="4" t="e">
        <f t="shared" si="31"/>
        <v>#DIV/0!</v>
      </c>
      <c r="J57" s="1" t="s">
        <v>2</v>
      </c>
      <c r="K57" s="4" t="e">
        <f t="shared" ref="K57:L57" si="32">K52/K55</f>
        <v>#DIV/0!</v>
      </c>
      <c r="L57" s="4" t="e">
        <f t="shared" si="32"/>
        <v>#DIV/0!</v>
      </c>
    </row>
    <row r="58" spans="1:12" x14ac:dyDescent="0.35">
      <c r="J58" s="1" t="s">
        <v>2</v>
      </c>
    </row>
    <row r="59" spans="1:12" s="1" customFormat="1" x14ac:dyDescent="0.35">
      <c r="A59" s="1" t="s">
        <v>66</v>
      </c>
      <c r="B59" s="3">
        <f>B50</f>
        <v>-59117</v>
      </c>
      <c r="C59" s="3">
        <f t="shared" ref="C59:G59" si="33">C50</f>
        <v>82686</v>
      </c>
      <c r="D59" s="3">
        <f t="shared" si="33"/>
        <v>30523</v>
      </c>
      <c r="E59" s="3">
        <f t="shared" si="33"/>
        <v>0</v>
      </c>
      <c r="F59" s="3">
        <f t="shared" si="33"/>
        <v>12665</v>
      </c>
      <c r="G59" s="3">
        <f t="shared" si="33"/>
        <v>52470</v>
      </c>
      <c r="H59" s="3">
        <f t="shared" ref="H59:L59" si="34">H50</f>
        <v>51461</v>
      </c>
      <c r="I59" s="3">
        <f t="shared" si="34"/>
        <v>0</v>
      </c>
      <c r="J59" s="1" t="s">
        <v>2</v>
      </c>
      <c r="K59" s="3">
        <f t="shared" si="34"/>
        <v>0</v>
      </c>
      <c r="L59" s="3">
        <f t="shared" si="34"/>
        <v>0</v>
      </c>
    </row>
    <row r="60" spans="1:12" x14ac:dyDescent="0.35">
      <c r="A60" t="s">
        <v>64</v>
      </c>
      <c r="B60" s="2">
        <v>-59117</v>
      </c>
      <c r="C60" s="2">
        <f>23569-B60</f>
        <v>82686</v>
      </c>
      <c r="D60" s="2">
        <f>54092-C60-B60</f>
        <v>30523</v>
      </c>
      <c r="E60" s="2"/>
      <c r="F60" s="2">
        <v>12665</v>
      </c>
      <c r="G60" s="2">
        <f>65135-F60</f>
        <v>52470</v>
      </c>
      <c r="H60" s="2">
        <f>116596-G60-F60</f>
        <v>51461</v>
      </c>
      <c r="J60" s="1" t="s">
        <v>2</v>
      </c>
      <c r="K60" s="2">
        <f t="shared" ref="K60:K69" si="35">SUM(B60:E60)</f>
        <v>54092</v>
      </c>
      <c r="L60" s="2">
        <f t="shared" ref="L60:L69" si="36">SUM(F60:I60)</f>
        <v>116596</v>
      </c>
    </row>
    <row r="61" spans="1:12" x14ac:dyDescent="0.35">
      <c r="A61" t="s">
        <v>68</v>
      </c>
      <c r="B61" s="2">
        <v>3220</v>
      </c>
      <c r="C61" s="2">
        <f>62585-B61</f>
        <v>59365</v>
      </c>
      <c r="D61" s="2">
        <f>93800-C61-B61</f>
        <v>31215</v>
      </c>
      <c r="E61" s="2"/>
      <c r="F61" s="2">
        <v>30949</v>
      </c>
      <c r="G61" s="2">
        <f>61218-F61</f>
        <v>30269</v>
      </c>
      <c r="H61" s="2">
        <f>91626-G61-F61</f>
        <v>30408</v>
      </c>
      <c r="J61" s="1" t="s">
        <v>2</v>
      </c>
      <c r="K61" s="2">
        <f t="shared" si="35"/>
        <v>93800</v>
      </c>
      <c r="L61" s="2">
        <f t="shared" si="36"/>
        <v>91626</v>
      </c>
    </row>
    <row r="62" spans="1:12" x14ac:dyDescent="0.35">
      <c r="A62" t="s">
        <v>17</v>
      </c>
      <c r="B62" s="2">
        <v>87156</v>
      </c>
      <c r="C62" s="2">
        <f>87156-B62</f>
        <v>0</v>
      </c>
      <c r="D62" s="2">
        <f>87156-C62-B62</f>
        <v>0</v>
      </c>
      <c r="E62" s="2"/>
      <c r="F62" s="2">
        <v>0</v>
      </c>
      <c r="G62" s="2">
        <v>0</v>
      </c>
      <c r="H62" s="2">
        <f>0-G62-F62</f>
        <v>0</v>
      </c>
      <c r="J62" s="1" t="s">
        <v>2</v>
      </c>
      <c r="K62" s="2">
        <f t="shared" si="35"/>
        <v>87156</v>
      </c>
      <c r="L62" s="2">
        <f t="shared" si="36"/>
        <v>0</v>
      </c>
    </row>
    <row r="63" spans="1:12" x14ac:dyDescent="0.35">
      <c r="A63" t="s">
        <v>19</v>
      </c>
      <c r="B63" s="2">
        <v>-2230</v>
      </c>
      <c r="C63" s="2">
        <f>952-B63</f>
        <v>3182</v>
      </c>
      <c r="D63" s="2">
        <f>1347-C63-B63</f>
        <v>395</v>
      </c>
      <c r="E63" s="2"/>
      <c r="F63" s="2">
        <v>4795</v>
      </c>
      <c r="G63" s="2">
        <f>10821-F63</f>
        <v>6026</v>
      </c>
      <c r="H63" s="2">
        <f>15146-G63-F63</f>
        <v>4325</v>
      </c>
      <c r="J63" s="1" t="s">
        <v>2</v>
      </c>
      <c r="K63" s="2">
        <f t="shared" si="35"/>
        <v>1347</v>
      </c>
      <c r="L63" s="2">
        <f t="shared" si="36"/>
        <v>15146</v>
      </c>
    </row>
    <row r="64" spans="1:12" x14ac:dyDescent="0.35">
      <c r="A64" t="s">
        <v>69</v>
      </c>
      <c r="B64" s="2">
        <v>125113</v>
      </c>
      <c r="C64" s="2">
        <f>207867-B64</f>
        <v>82754</v>
      </c>
      <c r="D64" s="2">
        <f>406263-C64-B64</f>
        <v>198396</v>
      </c>
      <c r="E64" s="2"/>
      <c r="F64" s="2">
        <v>57725</v>
      </c>
      <c r="G64" s="2">
        <f>15284-F64</f>
        <v>-42441</v>
      </c>
      <c r="H64" s="2">
        <f>3498-G64-F64</f>
        <v>-11786</v>
      </c>
      <c r="J64" s="1" t="s">
        <v>2</v>
      </c>
      <c r="K64" s="2">
        <f t="shared" si="35"/>
        <v>406263</v>
      </c>
      <c r="L64" s="2">
        <f t="shared" si="36"/>
        <v>3498</v>
      </c>
    </row>
    <row r="65" spans="1:12" x14ac:dyDescent="0.35">
      <c r="A65" t="s">
        <v>70</v>
      </c>
      <c r="B65" s="2">
        <v>178010</v>
      </c>
      <c r="C65" s="2">
        <f>734855-B65</f>
        <v>556845</v>
      </c>
      <c r="D65" s="2">
        <f>748118-C65-B65</f>
        <v>13263</v>
      </c>
      <c r="E65" s="2"/>
      <c r="F65" s="2">
        <v>169083</v>
      </c>
      <c r="G65" s="2">
        <f>477723-F65</f>
        <v>308640</v>
      </c>
      <c r="H65" s="2">
        <f>278947-G65-F65</f>
        <v>-198776</v>
      </c>
      <c r="J65" s="1" t="s">
        <v>2</v>
      </c>
      <c r="K65" s="2">
        <f t="shared" si="35"/>
        <v>748118</v>
      </c>
      <c r="L65" s="2">
        <f t="shared" si="36"/>
        <v>278947</v>
      </c>
    </row>
    <row r="66" spans="1:12" x14ac:dyDescent="0.35">
      <c r="A66" t="s">
        <v>71</v>
      </c>
      <c r="B66" s="2">
        <v>83148</v>
      </c>
      <c r="C66" s="2">
        <f>102753-B66</f>
        <v>19605</v>
      </c>
      <c r="D66" s="2">
        <f>99479-C66-B66</f>
        <v>-3274</v>
      </c>
      <c r="E66" s="2"/>
      <c r="F66" s="2">
        <v>-28498</v>
      </c>
      <c r="G66" s="2">
        <f>36010-F66</f>
        <v>64508</v>
      </c>
      <c r="H66" s="2">
        <f>49327-G66-F66</f>
        <v>13317</v>
      </c>
      <c r="J66" s="1" t="s">
        <v>2</v>
      </c>
      <c r="K66" s="2">
        <f t="shared" si="35"/>
        <v>99479</v>
      </c>
      <c r="L66" s="2">
        <f t="shared" si="36"/>
        <v>49327</v>
      </c>
    </row>
    <row r="67" spans="1:12" x14ac:dyDescent="0.35">
      <c r="A67" t="s">
        <v>72</v>
      </c>
      <c r="B67" s="2">
        <v>-17543</v>
      </c>
      <c r="C67" s="2">
        <f>-1247-B67</f>
        <v>16296</v>
      </c>
      <c r="D67" s="2">
        <f>2048-C67-B67</f>
        <v>3295</v>
      </c>
      <c r="E67" s="2"/>
      <c r="F67" s="2">
        <v>1923</v>
      </c>
      <c r="G67" s="2">
        <f>-50587-F67</f>
        <v>-52510</v>
      </c>
      <c r="H67" s="2">
        <f>-59376-G67-F67</f>
        <v>-8789</v>
      </c>
      <c r="J67" s="1" t="s">
        <v>2</v>
      </c>
      <c r="K67" s="2">
        <f t="shared" si="35"/>
        <v>2048</v>
      </c>
      <c r="L67" s="2">
        <f t="shared" si="36"/>
        <v>-59376</v>
      </c>
    </row>
    <row r="68" spans="1:12" x14ac:dyDescent="0.35">
      <c r="A68" t="s">
        <v>73</v>
      </c>
      <c r="B68" s="2">
        <v>-760292</v>
      </c>
      <c r="C68" s="2">
        <f>-1011086-B68</f>
        <v>-250794</v>
      </c>
      <c r="D68" s="2">
        <f>-796216-C68-B68</f>
        <v>214870</v>
      </c>
      <c r="E68" s="2"/>
      <c r="F68" s="2">
        <v>-488269</v>
      </c>
      <c r="G68" s="2">
        <f>-550797-F68</f>
        <v>-62528</v>
      </c>
      <c r="H68" s="2">
        <f>-433069-G68-F68</f>
        <v>117728</v>
      </c>
      <c r="J68" s="1" t="s">
        <v>2</v>
      </c>
      <c r="K68" s="2">
        <f t="shared" si="35"/>
        <v>-796216</v>
      </c>
      <c r="L68" s="2">
        <f t="shared" si="36"/>
        <v>-433069</v>
      </c>
    </row>
    <row r="69" spans="1:12" s="1" customFormat="1" x14ac:dyDescent="0.35">
      <c r="A69" s="1" t="s">
        <v>67</v>
      </c>
      <c r="B69" s="3">
        <f t="shared" ref="B69:E69" si="37">+SUM(B60:B68)</f>
        <v>-362535</v>
      </c>
      <c r="C69" s="3">
        <f t="shared" si="37"/>
        <v>569939</v>
      </c>
      <c r="D69" s="3">
        <f t="shared" si="37"/>
        <v>488683</v>
      </c>
      <c r="E69" s="3">
        <f t="shared" si="37"/>
        <v>0</v>
      </c>
      <c r="F69" s="3">
        <f>+SUM(F60:F68)</f>
        <v>-239627</v>
      </c>
      <c r="G69" s="3">
        <f t="shared" ref="G69:I69" si="38">+SUM(G60:G68)</f>
        <v>304434</v>
      </c>
      <c r="H69" s="3">
        <f t="shared" si="38"/>
        <v>-2112</v>
      </c>
      <c r="I69" s="3">
        <f t="shared" si="38"/>
        <v>0</v>
      </c>
      <c r="J69" s="1" t="s">
        <v>2</v>
      </c>
      <c r="K69" s="3">
        <f t="shared" si="35"/>
        <v>696087</v>
      </c>
      <c r="L69" s="3">
        <f t="shared" si="36"/>
        <v>62695</v>
      </c>
    </row>
    <row r="70" spans="1:12" x14ac:dyDescent="0.35">
      <c r="J70" s="1" t="s">
        <v>2</v>
      </c>
      <c r="K70" s="2"/>
      <c r="L70" s="2"/>
    </row>
    <row r="71" spans="1:12" s="1" customFormat="1" x14ac:dyDescent="0.35">
      <c r="B71" s="1" t="str">
        <f t="shared" ref="B71:L71" si="39">B3</f>
        <v>Q123</v>
      </c>
      <c r="C71" s="1" t="str">
        <f t="shared" si="39"/>
        <v>Q223</v>
      </c>
      <c r="D71" s="1" t="str">
        <f t="shared" si="39"/>
        <v>Q323</v>
      </c>
      <c r="E71" s="1" t="str">
        <f t="shared" si="39"/>
        <v>Q423</v>
      </c>
      <c r="F71" s="1" t="str">
        <f t="shared" si="39"/>
        <v>Q124</v>
      </c>
      <c r="G71" s="1" t="str">
        <f t="shared" si="39"/>
        <v>Q224</v>
      </c>
      <c r="H71" s="1" t="str">
        <f t="shared" si="39"/>
        <v>Q324</v>
      </c>
      <c r="I71" s="1" t="str">
        <f t="shared" si="39"/>
        <v>Q424</v>
      </c>
      <c r="J71" s="1" t="s">
        <v>2</v>
      </c>
      <c r="K71" s="1">
        <f t="shared" si="39"/>
        <v>2023</v>
      </c>
      <c r="L71" s="1">
        <f t="shared" si="39"/>
        <v>2024</v>
      </c>
    </row>
    <row r="72" spans="1:12" s="1" customFormat="1" x14ac:dyDescent="0.35">
      <c r="A72" s="1" t="s">
        <v>30</v>
      </c>
      <c r="J72" s="1" t="s">
        <v>2</v>
      </c>
    </row>
    <row r="73" spans="1:12" x14ac:dyDescent="0.35">
      <c r="A73" t="s">
        <v>29</v>
      </c>
      <c r="B73" s="2">
        <v>70853</v>
      </c>
      <c r="C73" s="2">
        <v>96293</v>
      </c>
      <c r="D73" s="2">
        <v>418055</v>
      </c>
      <c r="E73" s="2">
        <v>643854</v>
      </c>
      <c r="F73" s="2">
        <v>283902</v>
      </c>
      <c r="G73" s="2">
        <v>530386</v>
      </c>
      <c r="H73" s="2">
        <v>454065</v>
      </c>
      <c r="I73" s="2"/>
      <c r="J73" s="1" t="s">
        <v>2</v>
      </c>
      <c r="K73" s="2"/>
      <c r="L73" s="2"/>
    </row>
    <row r="74" spans="1:12" x14ac:dyDescent="0.35">
      <c r="A74" t="s">
        <v>40</v>
      </c>
      <c r="B74" s="2">
        <v>1125071</v>
      </c>
      <c r="C74" s="2">
        <v>1030271</v>
      </c>
      <c r="D74" s="2">
        <v>816686</v>
      </c>
      <c r="E74" s="2">
        <v>762549</v>
      </c>
      <c r="F74" s="2">
        <v>701706</v>
      </c>
      <c r="G74" s="2">
        <v>743550</v>
      </c>
      <c r="H74" s="2">
        <v>756618</v>
      </c>
      <c r="I74" s="2"/>
      <c r="J74" s="1" t="s">
        <v>2</v>
      </c>
      <c r="K74" s="2"/>
      <c r="L74" s="2"/>
    </row>
    <row r="75" spans="1:12" x14ac:dyDescent="0.35">
      <c r="A75" t="s">
        <v>41</v>
      </c>
      <c r="B75" s="2">
        <v>1551101</v>
      </c>
      <c r="C75" s="2">
        <v>990789</v>
      </c>
      <c r="D75" s="2">
        <v>985292</v>
      </c>
      <c r="E75" s="2">
        <v>1166700</v>
      </c>
      <c r="F75" s="2">
        <v>994543</v>
      </c>
      <c r="G75" s="2">
        <v>686540</v>
      </c>
      <c r="H75" s="2">
        <v>884339</v>
      </c>
      <c r="I75" s="2"/>
      <c r="J75" s="1" t="s">
        <v>2</v>
      </c>
      <c r="K75" s="2"/>
      <c r="L75" s="2"/>
    </row>
    <row r="76" spans="1:12" x14ac:dyDescent="0.35">
      <c r="A76" t="s">
        <v>51</v>
      </c>
      <c r="B76" s="2">
        <v>222036</v>
      </c>
      <c r="C76" s="2">
        <v>347684</v>
      </c>
      <c r="D76" s="2">
        <v>239595</v>
      </c>
      <c r="E76" s="2">
        <v>178083</v>
      </c>
      <c r="F76" s="2">
        <v>178623</v>
      </c>
      <c r="G76" s="2">
        <v>180189</v>
      </c>
      <c r="H76" s="2">
        <v>122326</v>
      </c>
      <c r="I76" s="2"/>
      <c r="J76" s="1" t="s">
        <v>2</v>
      </c>
      <c r="K76" s="2"/>
      <c r="L76" s="2"/>
    </row>
    <row r="77" spans="1:12" x14ac:dyDescent="0.35">
      <c r="A77" t="s">
        <v>19</v>
      </c>
      <c r="B77" s="2">
        <v>81407</v>
      </c>
      <c r="C77" s="2">
        <v>72228</v>
      </c>
      <c r="D77" s="2">
        <v>67471</v>
      </c>
      <c r="E77" s="2">
        <v>55777</v>
      </c>
      <c r="F77" s="2">
        <v>55134</v>
      </c>
      <c r="G77" s="2">
        <v>108634</v>
      </c>
      <c r="H77" s="2">
        <v>113726</v>
      </c>
      <c r="I77" s="2"/>
      <c r="J77" s="1" t="s">
        <v>2</v>
      </c>
      <c r="K77" s="2"/>
      <c r="L77" s="2"/>
    </row>
    <row r="78" spans="1:12" s="1" customFormat="1" x14ac:dyDescent="0.35">
      <c r="A78" s="1" t="s">
        <v>31</v>
      </c>
      <c r="B78" s="3">
        <f>+SUM(B73:B77)</f>
        <v>3050468</v>
      </c>
      <c r="C78" s="3">
        <f t="shared" ref="C78:L78" si="40">+SUM(C73:C77)</f>
        <v>2537265</v>
      </c>
      <c r="D78" s="3">
        <f t="shared" si="40"/>
        <v>2527099</v>
      </c>
      <c r="E78" s="3">
        <f t="shared" si="40"/>
        <v>2806963</v>
      </c>
      <c r="F78" s="3">
        <f t="shared" si="40"/>
        <v>2213908</v>
      </c>
      <c r="G78" s="3">
        <f t="shared" si="40"/>
        <v>2249299</v>
      </c>
      <c r="H78" s="3">
        <f t="shared" si="40"/>
        <v>2331074</v>
      </c>
      <c r="I78" s="3">
        <f t="shared" si="40"/>
        <v>0</v>
      </c>
      <c r="J78" s="1" t="s">
        <v>2</v>
      </c>
      <c r="K78" s="3">
        <f t="shared" si="40"/>
        <v>0</v>
      </c>
      <c r="L78" s="3">
        <f t="shared" si="40"/>
        <v>0</v>
      </c>
    </row>
    <row r="79" spans="1:12" x14ac:dyDescent="0.35">
      <c r="A79" t="s">
        <v>42</v>
      </c>
      <c r="B79" s="2">
        <v>129342</v>
      </c>
      <c r="C79" s="2"/>
      <c r="D79" s="2"/>
      <c r="E79" s="2">
        <v>127856</v>
      </c>
      <c r="F79" s="2">
        <v>127856</v>
      </c>
      <c r="I79" s="2"/>
      <c r="J79" s="1" t="s">
        <v>2</v>
      </c>
      <c r="K79" s="2"/>
      <c r="L79" s="2"/>
    </row>
    <row r="80" spans="1:12" x14ac:dyDescent="0.35">
      <c r="A80" t="s">
        <v>43</v>
      </c>
      <c r="B80" s="2">
        <v>95134</v>
      </c>
      <c r="C80" s="2"/>
      <c r="D80" s="2"/>
      <c r="E80" s="2">
        <v>85579</v>
      </c>
      <c r="F80" s="2">
        <v>80527</v>
      </c>
      <c r="G80" s="2"/>
      <c r="H80" s="2"/>
      <c r="I80" s="2"/>
      <c r="J80" s="1" t="s">
        <v>2</v>
      </c>
      <c r="K80" s="2"/>
      <c r="L80" s="2"/>
    </row>
    <row r="81" spans="1:12" x14ac:dyDescent="0.35">
      <c r="A81" t="s">
        <v>44</v>
      </c>
      <c r="B81" s="2">
        <v>59209</v>
      </c>
      <c r="C81" s="2"/>
      <c r="D81" s="2"/>
      <c r="E81" s="2">
        <v>54234</v>
      </c>
      <c r="F81" s="2">
        <v>52541</v>
      </c>
      <c r="G81" s="2"/>
      <c r="H81" s="2"/>
      <c r="I81" s="2"/>
      <c r="J81" s="1" t="s">
        <v>2</v>
      </c>
      <c r="K81" s="2"/>
      <c r="L81" s="2"/>
    </row>
    <row r="82" spans="1:12" x14ac:dyDescent="0.35">
      <c r="A82" t="s">
        <v>19</v>
      </c>
      <c r="B82" s="2">
        <v>89174</v>
      </c>
      <c r="C82" s="2">
        <v>369340</v>
      </c>
      <c r="D82" s="2">
        <v>380815</v>
      </c>
      <c r="E82" s="2">
        <v>87010</v>
      </c>
      <c r="F82" s="2">
        <v>97128</v>
      </c>
      <c r="G82" s="2">
        <v>356378</v>
      </c>
      <c r="H82" s="2">
        <v>347274</v>
      </c>
      <c r="I82" s="2"/>
      <c r="J82" s="1" t="s">
        <v>2</v>
      </c>
      <c r="K82" s="2"/>
      <c r="L82" s="2"/>
    </row>
    <row r="83" spans="1:12" x14ac:dyDescent="0.35">
      <c r="A83" t="s">
        <v>45</v>
      </c>
      <c r="B83" s="2">
        <v>678717</v>
      </c>
      <c r="C83" s="2">
        <v>663441</v>
      </c>
      <c r="D83" s="2">
        <v>680188</v>
      </c>
      <c r="E83" s="2">
        <v>693365</v>
      </c>
      <c r="F83" s="2">
        <v>689113</v>
      </c>
      <c r="G83" s="2">
        <v>694136</v>
      </c>
      <c r="H83" s="2">
        <v>709951</v>
      </c>
      <c r="I83" s="2"/>
      <c r="J83" s="1" t="s">
        <v>2</v>
      </c>
      <c r="K83" s="2"/>
      <c r="L83" s="2"/>
    </row>
    <row r="84" spans="1:12" s="1" customFormat="1" x14ac:dyDescent="0.35">
      <c r="A84" s="1" t="s">
        <v>32</v>
      </c>
      <c r="B84" s="3">
        <f>+SUM(B79:B83)</f>
        <v>1051576</v>
      </c>
      <c r="C84" s="3">
        <f t="shared" ref="C84:L84" si="41">+SUM(C79:C83)</f>
        <v>1032781</v>
      </c>
      <c r="D84" s="3">
        <f t="shared" si="41"/>
        <v>1061003</v>
      </c>
      <c r="E84" s="3">
        <f t="shared" si="41"/>
        <v>1048044</v>
      </c>
      <c r="F84" s="3">
        <f t="shared" si="41"/>
        <v>1047165</v>
      </c>
      <c r="G84" s="3">
        <f>+SUM(G80:G83)</f>
        <v>1050514</v>
      </c>
      <c r="H84" s="3">
        <f>+SUM(H80:H83)</f>
        <v>1057225</v>
      </c>
      <c r="I84" s="3">
        <f t="shared" si="41"/>
        <v>0</v>
      </c>
      <c r="J84" s="1" t="s">
        <v>2</v>
      </c>
      <c r="K84" s="3">
        <f t="shared" si="41"/>
        <v>0</v>
      </c>
      <c r="L84" s="3">
        <f t="shared" si="41"/>
        <v>0</v>
      </c>
    </row>
    <row r="85" spans="1:12" s="1" customFormat="1" x14ac:dyDescent="0.35">
      <c r="A85" s="1" t="s">
        <v>46</v>
      </c>
      <c r="B85" s="3">
        <f>B84+B78</f>
        <v>4102044</v>
      </c>
      <c r="C85" s="3">
        <f t="shared" ref="C85:L85" si="42">C84+C78</f>
        <v>3570046</v>
      </c>
      <c r="D85" s="3">
        <f t="shared" si="42"/>
        <v>3588102</v>
      </c>
      <c r="E85" s="3">
        <f t="shared" si="42"/>
        <v>3855007</v>
      </c>
      <c r="F85" s="3">
        <f t="shared" si="42"/>
        <v>3261073</v>
      </c>
      <c r="G85" s="3">
        <f t="shared" si="42"/>
        <v>3299813</v>
      </c>
      <c r="H85" s="3">
        <f t="shared" si="42"/>
        <v>3388299</v>
      </c>
      <c r="I85" s="3">
        <f t="shared" si="42"/>
        <v>0</v>
      </c>
      <c r="J85" s="1" t="s">
        <v>2</v>
      </c>
      <c r="K85" s="3">
        <f t="shared" si="42"/>
        <v>0</v>
      </c>
      <c r="L85" s="3">
        <f t="shared" si="42"/>
        <v>0</v>
      </c>
    </row>
    <row r="86" spans="1:12" s="1" customFormat="1" x14ac:dyDescent="0.35">
      <c r="A86" s="1" t="s">
        <v>34</v>
      </c>
      <c r="B86" s="3"/>
      <c r="C86" s="3"/>
      <c r="D86" s="3"/>
      <c r="E86" s="3"/>
      <c r="F86" s="3"/>
      <c r="G86" s="3"/>
      <c r="H86" s="3"/>
      <c r="I86" s="3"/>
      <c r="J86" s="1" t="s">
        <v>2</v>
      </c>
      <c r="K86" s="3"/>
      <c r="L86" s="3"/>
    </row>
    <row r="87" spans="1:12" x14ac:dyDescent="0.35">
      <c r="A87" t="s">
        <v>47</v>
      </c>
      <c r="B87" s="2">
        <v>638210</v>
      </c>
      <c r="C87" s="2">
        <v>102752</v>
      </c>
      <c r="D87" s="2">
        <v>14138</v>
      </c>
      <c r="E87" s="2">
        <v>43106</v>
      </c>
      <c r="F87" s="2">
        <v>10148</v>
      </c>
      <c r="G87" s="2">
        <v>4021</v>
      </c>
      <c r="H87" s="2">
        <v>14716</v>
      </c>
      <c r="J87" s="1" t="s">
        <v>2</v>
      </c>
    </row>
    <row r="88" spans="1:12" x14ac:dyDescent="0.35">
      <c r="A88" t="s">
        <v>48</v>
      </c>
      <c r="B88" s="2">
        <v>768872</v>
      </c>
      <c r="C88" s="2">
        <v>641376</v>
      </c>
      <c r="D88" s="2">
        <v>822153</v>
      </c>
      <c r="E88" s="2">
        <v>1055473</v>
      </c>
      <c r="F88" s="2">
        <v>625836</v>
      </c>
      <c r="G88" s="2">
        <v>607083</v>
      </c>
      <c r="H88" s="2">
        <v>774347</v>
      </c>
      <c r="J88" s="1" t="s">
        <v>2</v>
      </c>
    </row>
    <row r="89" spans="1:12" x14ac:dyDescent="0.35">
      <c r="A89" t="s">
        <v>49</v>
      </c>
      <c r="B89" s="2">
        <v>309546</v>
      </c>
      <c r="C89" s="2">
        <v>189947</v>
      </c>
      <c r="D89" s="2">
        <v>211867</v>
      </c>
      <c r="E89" s="2">
        <v>187054</v>
      </c>
      <c r="F89" s="2">
        <v>174651</v>
      </c>
      <c r="G89" s="2">
        <v>124424</v>
      </c>
      <c r="H89" s="2">
        <v>67899</v>
      </c>
      <c r="J89" s="1" t="s">
        <v>2</v>
      </c>
    </row>
    <row r="90" spans="1:12" x14ac:dyDescent="0.35">
      <c r="A90" t="s">
        <v>50</v>
      </c>
      <c r="B90" s="2">
        <v>107983</v>
      </c>
      <c r="C90" s="2">
        <v>251101</v>
      </c>
      <c r="D90" s="2">
        <v>142511</v>
      </c>
      <c r="E90" s="2">
        <v>90849</v>
      </c>
      <c r="F90" s="2">
        <v>67079</v>
      </c>
      <c r="G90" s="2">
        <v>128847</v>
      </c>
      <c r="H90" s="2">
        <v>85640</v>
      </c>
      <c r="J90" s="1" t="s">
        <v>2</v>
      </c>
    </row>
    <row r="91" spans="1:12" x14ac:dyDescent="0.35">
      <c r="A91" t="s">
        <v>52</v>
      </c>
      <c r="B91" s="2">
        <v>85567</v>
      </c>
      <c r="C91" s="2">
        <v>27511</v>
      </c>
      <c r="D91" s="2">
        <v>27535</v>
      </c>
      <c r="E91" s="2">
        <v>27561</v>
      </c>
      <c r="F91" s="2">
        <v>27617</v>
      </c>
      <c r="G91" s="2">
        <v>27671</v>
      </c>
      <c r="H91" s="2">
        <v>27727</v>
      </c>
      <c r="J91" s="1" t="s">
        <v>2</v>
      </c>
    </row>
    <row r="92" spans="1:12" x14ac:dyDescent="0.35">
      <c r="A92" t="s">
        <v>53</v>
      </c>
      <c r="B92" s="2">
        <v>202133</v>
      </c>
      <c r="C92" s="2">
        <v>180552</v>
      </c>
      <c r="D92" s="2">
        <v>189430</v>
      </c>
      <c r="E92" s="2">
        <v>232288</v>
      </c>
      <c r="F92" s="2">
        <v>177953</v>
      </c>
      <c r="G92" s="2">
        <v>192683</v>
      </c>
      <c r="H92" s="2">
        <v>207543</v>
      </c>
      <c r="J92" s="1" t="s">
        <v>2</v>
      </c>
    </row>
    <row r="93" spans="1:12" s="1" customFormat="1" x14ac:dyDescent="0.35">
      <c r="A93" s="1" t="s">
        <v>33</v>
      </c>
      <c r="B93" s="3">
        <f>+SUM(B87:B92)</f>
        <v>2112311</v>
      </c>
      <c r="C93" s="3">
        <f t="shared" ref="C93:L93" si="43">+SUM(C87:C92)</f>
        <v>1393239</v>
      </c>
      <c r="D93" s="3">
        <f t="shared" si="43"/>
        <v>1407634</v>
      </c>
      <c r="E93" s="3">
        <f t="shared" si="43"/>
        <v>1636331</v>
      </c>
      <c r="F93" s="3">
        <f t="shared" si="43"/>
        <v>1083284</v>
      </c>
      <c r="G93" s="3">
        <f t="shared" si="43"/>
        <v>1084729</v>
      </c>
      <c r="H93" s="3">
        <f t="shared" si="43"/>
        <v>1177872</v>
      </c>
      <c r="I93" s="3">
        <f t="shared" si="43"/>
        <v>0</v>
      </c>
      <c r="J93" s="1" t="s">
        <v>2</v>
      </c>
      <c r="K93" s="3">
        <f t="shared" si="43"/>
        <v>0</v>
      </c>
      <c r="L93" s="3">
        <f t="shared" si="43"/>
        <v>0</v>
      </c>
    </row>
    <row r="94" spans="1:12" x14ac:dyDescent="0.35">
      <c r="A94" t="s">
        <v>54</v>
      </c>
      <c r="B94" s="2">
        <v>35727</v>
      </c>
      <c r="C94" s="2"/>
      <c r="D94" s="2"/>
      <c r="E94" s="2">
        <v>31659</v>
      </c>
      <c r="F94" s="2">
        <v>31223</v>
      </c>
      <c r="G94" s="2"/>
      <c r="J94" s="1" t="s">
        <v>2</v>
      </c>
    </row>
    <row r="95" spans="1:12" x14ac:dyDescent="0.35">
      <c r="A95" t="s">
        <v>55</v>
      </c>
      <c r="B95" s="2">
        <v>486892</v>
      </c>
      <c r="C95" s="2">
        <v>576489</v>
      </c>
      <c r="D95" s="2">
        <v>569730</v>
      </c>
      <c r="E95" s="2">
        <v>562960</v>
      </c>
      <c r="F95" s="2">
        <v>556174</v>
      </c>
      <c r="G95" s="2">
        <v>549378</v>
      </c>
      <c r="H95" s="2">
        <v>542564</v>
      </c>
      <c r="J95" s="1" t="s">
        <v>2</v>
      </c>
    </row>
    <row r="96" spans="1:12" x14ac:dyDescent="0.35">
      <c r="A96" t="s">
        <v>56</v>
      </c>
      <c r="B96" s="2">
        <v>54391</v>
      </c>
      <c r="C96" s="2"/>
      <c r="D96" s="2"/>
      <c r="E96" s="2">
        <v>58581</v>
      </c>
      <c r="F96" s="2">
        <v>59149</v>
      </c>
      <c r="G96" s="2"/>
      <c r="H96" s="2"/>
      <c r="J96" s="1" t="s">
        <v>2</v>
      </c>
    </row>
    <row r="97" spans="1:12" x14ac:dyDescent="0.35">
      <c r="A97" t="s">
        <v>57</v>
      </c>
      <c r="B97" s="2">
        <v>66311</v>
      </c>
      <c r="C97" s="2">
        <v>161836</v>
      </c>
      <c r="D97" s="2">
        <v>161652</v>
      </c>
      <c r="E97" s="2">
        <v>49089</v>
      </c>
      <c r="F97" s="2">
        <v>55593</v>
      </c>
      <c r="G97" s="2">
        <v>145444</v>
      </c>
      <c r="H97" s="2">
        <v>144855</v>
      </c>
      <c r="J97" s="1" t="s">
        <v>2</v>
      </c>
    </row>
    <row r="98" spans="1:12" s="1" customFormat="1" x14ac:dyDescent="0.35">
      <c r="A98" s="1" t="s">
        <v>35</v>
      </c>
      <c r="B98" s="3">
        <f>+SUM(B94:B97)</f>
        <v>643321</v>
      </c>
      <c r="C98" s="3">
        <f t="shared" ref="C98:L98" si="44">+SUM(C94:C97)</f>
        <v>738325</v>
      </c>
      <c r="D98" s="3">
        <f t="shared" si="44"/>
        <v>731382</v>
      </c>
      <c r="E98" s="3">
        <f t="shared" si="44"/>
        <v>702289</v>
      </c>
      <c r="F98" s="3">
        <f t="shared" si="44"/>
        <v>702139</v>
      </c>
      <c r="G98" s="3">
        <f t="shared" si="44"/>
        <v>694822</v>
      </c>
      <c r="H98" s="3">
        <f>+SUM(H94:H97)</f>
        <v>687419</v>
      </c>
      <c r="I98" s="3">
        <f t="shared" si="44"/>
        <v>0</v>
      </c>
      <c r="J98" s="1" t="s">
        <v>2</v>
      </c>
      <c r="K98" s="3">
        <f t="shared" si="44"/>
        <v>0</v>
      </c>
      <c r="L98" s="3">
        <f t="shared" si="44"/>
        <v>0</v>
      </c>
    </row>
    <row r="99" spans="1:12" s="1" customFormat="1" x14ac:dyDescent="0.35">
      <c r="A99" s="1" t="s">
        <v>36</v>
      </c>
      <c r="B99" s="3">
        <f>+B98+B93</f>
        <v>2755632</v>
      </c>
      <c r="C99" s="3">
        <f t="shared" ref="C99:L99" si="45">+C98+C93</f>
        <v>2131564</v>
      </c>
      <c r="D99" s="3">
        <f t="shared" si="45"/>
        <v>2139016</v>
      </c>
      <c r="E99" s="3">
        <f t="shared" si="45"/>
        <v>2338620</v>
      </c>
      <c r="F99" s="3">
        <f t="shared" si="45"/>
        <v>1785423</v>
      </c>
      <c r="G99" s="3">
        <f t="shared" si="45"/>
        <v>1779551</v>
      </c>
      <c r="H99" s="3">
        <f t="shared" si="45"/>
        <v>1865291</v>
      </c>
      <c r="I99" s="3">
        <f t="shared" si="45"/>
        <v>0</v>
      </c>
      <c r="J99" s="1" t="s">
        <v>2</v>
      </c>
      <c r="K99" s="3">
        <f t="shared" si="45"/>
        <v>0</v>
      </c>
      <c r="L99" s="3">
        <f t="shared" si="45"/>
        <v>0</v>
      </c>
    </row>
    <row r="100" spans="1:12" x14ac:dyDescent="0.35">
      <c r="J100" s="1" t="s">
        <v>2</v>
      </c>
    </row>
    <row r="101" spans="1:12" x14ac:dyDescent="0.35">
      <c r="A101" t="s">
        <v>58</v>
      </c>
      <c r="B101" s="2">
        <v>142</v>
      </c>
      <c r="C101" s="2">
        <v>142</v>
      </c>
      <c r="D101" s="2">
        <v>142</v>
      </c>
      <c r="E101" s="2">
        <v>142</v>
      </c>
      <c r="F101">
        <v>142</v>
      </c>
      <c r="G101" s="2">
        <v>143</v>
      </c>
      <c r="H101" s="2">
        <v>143</v>
      </c>
      <c r="I101" s="2"/>
      <c r="J101" s="1" t="s">
        <v>2</v>
      </c>
      <c r="K101" s="2"/>
      <c r="L101" s="2"/>
    </row>
    <row r="102" spans="1:12" x14ac:dyDescent="0.35">
      <c r="A102" t="s">
        <v>59</v>
      </c>
      <c r="B102" s="2">
        <v>377768</v>
      </c>
      <c r="C102" s="2">
        <v>380376</v>
      </c>
      <c r="D102" s="2">
        <v>383724</v>
      </c>
      <c r="E102" s="2">
        <v>387210</v>
      </c>
      <c r="F102" s="2">
        <v>375155</v>
      </c>
      <c r="G102" s="7"/>
      <c r="H102" s="2">
        <v>382009</v>
      </c>
      <c r="I102" s="2"/>
      <c r="J102" s="1" t="s">
        <v>2</v>
      </c>
      <c r="K102" s="2"/>
      <c r="L102" s="2"/>
    </row>
    <row r="103" spans="1:12" x14ac:dyDescent="0.35">
      <c r="A103" t="s">
        <v>60</v>
      </c>
      <c r="B103" s="2">
        <v>-11066</v>
      </c>
      <c r="C103" s="2">
        <v>-10270</v>
      </c>
      <c r="D103" s="2">
        <v>-10266</v>
      </c>
      <c r="E103" s="2">
        <v>-10261</v>
      </c>
      <c r="F103" s="2">
        <v>-631</v>
      </c>
      <c r="G103" s="7"/>
      <c r="H103" s="2">
        <v>-572</v>
      </c>
      <c r="I103" s="2"/>
      <c r="J103" s="1" t="s">
        <v>2</v>
      </c>
      <c r="K103" s="2"/>
      <c r="L103" s="2"/>
    </row>
    <row r="104" spans="1:12" x14ac:dyDescent="0.35">
      <c r="A104" t="s">
        <v>63</v>
      </c>
      <c r="B104" s="2">
        <v>16267</v>
      </c>
      <c r="C104" s="2">
        <v>25482</v>
      </c>
      <c r="D104" s="2">
        <v>28579</v>
      </c>
      <c r="E104" s="2">
        <v>22865</v>
      </c>
      <c r="F104" s="2">
        <v>23411</v>
      </c>
      <c r="G104" s="7"/>
      <c r="H104" s="2">
        <v>15376</v>
      </c>
      <c r="I104" s="2"/>
      <c r="J104" s="1" t="s">
        <v>2</v>
      </c>
      <c r="K104" s="2"/>
      <c r="L104" s="2"/>
    </row>
    <row r="105" spans="1:12" x14ac:dyDescent="0.35">
      <c r="A105" t="s">
        <v>61</v>
      </c>
      <c r="B105" s="2">
        <v>786420</v>
      </c>
      <c r="C105" s="2">
        <v>835256</v>
      </c>
      <c r="D105" s="2">
        <v>838556</v>
      </c>
      <c r="E105" s="2">
        <v>882943</v>
      </c>
      <c r="F105" s="2">
        <v>881911</v>
      </c>
      <c r="G105" s="7"/>
      <c r="H105" s="2">
        <v>932215</v>
      </c>
      <c r="I105" s="2"/>
      <c r="J105" s="1" t="s">
        <v>2</v>
      </c>
      <c r="K105" s="2"/>
      <c r="L105" s="2"/>
    </row>
    <row r="106" spans="1:12" s="1" customFormat="1" x14ac:dyDescent="0.35">
      <c r="A106" s="1" t="s">
        <v>37</v>
      </c>
      <c r="B106" s="3">
        <f>+SUM(B101:B105)</f>
        <v>1169531</v>
      </c>
      <c r="C106" s="3">
        <f t="shared" ref="C106:L106" si="46">+SUM(C101:C105)</f>
        <v>1230986</v>
      </c>
      <c r="D106" s="3">
        <f t="shared" si="46"/>
        <v>1240735</v>
      </c>
      <c r="E106" s="3">
        <f t="shared" si="46"/>
        <v>1282899</v>
      </c>
      <c r="F106" s="3">
        <f>+SUM(F101:F105)</f>
        <v>1279988</v>
      </c>
      <c r="G106" s="8">
        <f t="shared" si="46"/>
        <v>143</v>
      </c>
      <c r="H106" s="3">
        <f t="shared" si="46"/>
        <v>1329171</v>
      </c>
      <c r="I106" s="3">
        <f t="shared" si="46"/>
        <v>0</v>
      </c>
      <c r="J106" s="1" t="s">
        <v>2</v>
      </c>
      <c r="K106" s="3">
        <f t="shared" si="46"/>
        <v>0</v>
      </c>
      <c r="L106" s="3">
        <f t="shared" si="46"/>
        <v>0</v>
      </c>
    </row>
    <row r="107" spans="1:12" x14ac:dyDescent="0.35">
      <c r="A107" t="s">
        <v>62</v>
      </c>
      <c r="B107" s="2">
        <v>176821</v>
      </c>
      <c r="C107" s="2">
        <v>207496</v>
      </c>
      <c r="D107" s="2">
        <v>208351</v>
      </c>
      <c r="E107" s="2">
        <v>233488</v>
      </c>
      <c r="F107" s="2">
        <v>195662</v>
      </c>
      <c r="G107" s="7"/>
      <c r="H107" s="2">
        <v>193837</v>
      </c>
      <c r="I107" s="2"/>
      <c r="J107" s="1" t="s">
        <v>2</v>
      </c>
      <c r="K107" s="2"/>
      <c r="L107" s="2"/>
    </row>
    <row r="108" spans="1:12" s="1" customFormat="1" x14ac:dyDescent="0.35">
      <c r="A108" s="1" t="s">
        <v>38</v>
      </c>
      <c r="B108" s="3">
        <f>+B106+B107</f>
        <v>1346352</v>
      </c>
      <c r="C108" s="3">
        <f>+C106+C107</f>
        <v>1438482</v>
      </c>
      <c r="D108" s="3">
        <f t="shared" ref="D108:L108" si="47">+D106+D107</f>
        <v>1449086</v>
      </c>
      <c r="E108" s="3">
        <f t="shared" si="47"/>
        <v>1516387</v>
      </c>
      <c r="F108" s="3">
        <f t="shared" si="47"/>
        <v>1475650</v>
      </c>
      <c r="G108" s="3">
        <f t="shared" si="47"/>
        <v>143</v>
      </c>
      <c r="H108" s="3">
        <f t="shared" si="47"/>
        <v>1523008</v>
      </c>
      <c r="I108" s="3">
        <f t="shared" si="47"/>
        <v>0</v>
      </c>
      <c r="J108" s="1" t="s">
        <v>2</v>
      </c>
      <c r="K108" s="3">
        <f t="shared" si="47"/>
        <v>0</v>
      </c>
      <c r="L108" s="3">
        <f t="shared" si="47"/>
        <v>0</v>
      </c>
    </row>
    <row r="109" spans="1:12" s="1" customFormat="1" x14ac:dyDescent="0.35">
      <c r="A109" s="1" t="s">
        <v>39</v>
      </c>
      <c r="B109" s="3">
        <f>+B108+B99</f>
        <v>4101984</v>
      </c>
      <c r="C109" s="3">
        <f t="shared" ref="C109:L109" si="48">+C108+C99</f>
        <v>3570046</v>
      </c>
      <c r="D109" s="3">
        <f t="shared" si="48"/>
        <v>3588102</v>
      </c>
      <c r="E109" s="3">
        <f t="shared" si="48"/>
        <v>3855007</v>
      </c>
      <c r="F109" s="3">
        <f t="shared" si="48"/>
        <v>3261073</v>
      </c>
      <c r="G109" s="3">
        <f t="shared" si="48"/>
        <v>1779694</v>
      </c>
      <c r="H109" s="3">
        <f t="shared" si="48"/>
        <v>3388299</v>
      </c>
      <c r="I109" s="3">
        <f t="shared" si="48"/>
        <v>0</v>
      </c>
      <c r="J109" s="1" t="s">
        <v>2</v>
      </c>
      <c r="K109" s="3">
        <f t="shared" si="48"/>
        <v>0</v>
      </c>
      <c r="L109" s="3">
        <f t="shared" si="48"/>
        <v>0</v>
      </c>
    </row>
    <row r="110" spans="1:12" s="1" customFormat="1" x14ac:dyDescent="0.35">
      <c r="B110" s="3"/>
      <c r="C110" s="3"/>
      <c r="D110" s="3"/>
      <c r="E110" s="3"/>
      <c r="F110" s="3"/>
      <c r="G110" s="3"/>
      <c r="H110" s="3"/>
      <c r="I110" s="3"/>
      <c r="J110" s="1" t="s">
        <v>2</v>
      </c>
      <c r="K110" s="3"/>
      <c r="L110" s="3"/>
    </row>
    <row r="111" spans="1:12" s="1" customFormat="1" x14ac:dyDescent="0.35">
      <c r="B111" s="1" t="str">
        <f>B71</f>
        <v>Q123</v>
      </c>
      <c r="C111" s="1" t="str">
        <f t="shared" ref="C111:L111" si="49">C71</f>
        <v>Q223</v>
      </c>
      <c r="D111" s="1" t="str">
        <f t="shared" si="49"/>
        <v>Q323</v>
      </c>
      <c r="E111" s="1" t="str">
        <f t="shared" si="49"/>
        <v>Q423</v>
      </c>
      <c r="F111" s="1" t="str">
        <f t="shared" si="49"/>
        <v>Q124</v>
      </c>
      <c r="G111" s="1" t="str">
        <f t="shared" si="49"/>
        <v>Q224</v>
      </c>
      <c r="H111" s="1" t="str">
        <f t="shared" si="49"/>
        <v>Q324</v>
      </c>
      <c r="I111" s="1" t="str">
        <f t="shared" si="49"/>
        <v>Q424</v>
      </c>
      <c r="J111" s="1" t="s">
        <v>2</v>
      </c>
      <c r="K111" s="1">
        <f t="shared" si="49"/>
        <v>2023</v>
      </c>
      <c r="L111" s="1">
        <f t="shared" si="49"/>
        <v>2024</v>
      </c>
    </row>
    <row r="112" spans="1:12" x14ac:dyDescent="0.35">
      <c r="A112" s="1" t="s">
        <v>41</v>
      </c>
      <c r="J112" s="1" t="s">
        <v>2</v>
      </c>
    </row>
    <row r="113" spans="1:10" x14ac:dyDescent="0.35">
      <c r="A113" t="s">
        <v>74</v>
      </c>
      <c r="B113" s="2">
        <v>1112155</v>
      </c>
      <c r="C113" s="2">
        <v>707980</v>
      </c>
      <c r="D113" s="2">
        <v>718290</v>
      </c>
      <c r="E113" s="2">
        <v>886725</v>
      </c>
      <c r="F113" s="2">
        <v>669373</v>
      </c>
      <c r="G113" s="2">
        <v>452314</v>
      </c>
      <c r="H113" s="2">
        <v>648808</v>
      </c>
      <c r="J113" s="1" t="s">
        <v>2</v>
      </c>
    </row>
    <row r="114" spans="1:10" x14ac:dyDescent="0.35">
      <c r="A114" t="s">
        <v>75</v>
      </c>
      <c r="B114" s="2">
        <v>17641</v>
      </c>
      <c r="C114" s="2">
        <v>19564</v>
      </c>
      <c r="D114" s="2">
        <v>18939</v>
      </c>
      <c r="E114" s="2">
        <v>21705</v>
      </c>
      <c r="F114" s="2">
        <v>14454</v>
      </c>
      <c r="G114" s="2">
        <v>14085</v>
      </c>
      <c r="H114" s="2">
        <v>13688</v>
      </c>
      <c r="J114" s="1" t="s">
        <v>2</v>
      </c>
    </row>
    <row r="115" spans="1:10" x14ac:dyDescent="0.35">
      <c r="A115" t="s">
        <v>76</v>
      </c>
      <c r="B115" s="2">
        <v>147275</v>
      </c>
      <c r="C115" s="2">
        <v>142978</v>
      </c>
      <c r="D115" s="2">
        <v>94375</v>
      </c>
      <c r="E115" s="2">
        <v>104349</v>
      </c>
      <c r="F115" s="2">
        <v>104878</v>
      </c>
      <c r="G115" s="2">
        <v>108407</v>
      </c>
      <c r="H115" s="2">
        <v>80577</v>
      </c>
      <c r="J115" s="1" t="s">
        <v>2</v>
      </c>
    </row>
    <row r="116" spans="1:10" x14ac:dyDescent="0.35">
      <c r="A116" t="s">
        <v>77</v>
      </c>
      <c r="B116" s="2">
        <v>274030</v>
      </c>
      <c r="C116" s="2">
        <v>120267</v>
      </c>
      <c r="D116" s="2">
        <v>153688</v>
      </c>
      <c r="E116" s="2">
        <v>153921</v>
      </c>
      <c r="F116" s="2">
        <v>205838</v>
      </c>
      <c r="G116" s="2">
        <v>111734</v>
      </c>
      <c r="H116" s="2">
        <v>141266</v>
      </c>
      <c r="J116" s="1" t="s">
        <v>2</v>
      </c>
    </row>
    <row r="117" spans="1:10" s="3" customFormat="1" x14ac:dyDescent="0.35">
      <c r="A117" s="3" t="s">
        <v>78</v>
      </c>
      <c r="B117" s="3">
        <f>+SUM(B113:B116)</f>
        <v>1551101</v>
      </c>
      <c r="C117" s="3">
        <f t="shared" ref="C117:H117" si="50">+SUM(C113:C116)</f>
        <v>990789</v>
      </c>
      <c r="D117" s="3">
        <f t="shared" si="50"/>
        <v>985292</v>
      </c>
      <c r="E117" s="3">
        <f t="shared" si="50"/>
        <v>1166700</v>
      </c>
      <c r="F117" s="3">
        <f t="shared" si="50"/>
        <v>994543</v>
      </c>
      <c r="G117" s="3">
        <f t="shared" si="50"/>
        <v>686540</v>
      </c>
      <c r="H117" s="3">
        <f t="shared" si="50"/>
        <v>884339</v>
      </c>
      <c r="I117" s="3">
        <f t="shared" ref="I117" si="51">+SUM(I113:I116)</f>
        <v>0</v>
      </c>
      <c r="J117" s="3" t="s">
        <v>2</v>
      </c>
    </row>
    <row r="118" spans="1:10" x14ac:dyDescent="0.35">
      <c r="J118" s="1" t="s">
        <v>2</v>
      </c>
    </row>
    <row r="119" spans="1:10" s="1" customFormat="1" x14ac:dyDescent="0.35">
      <c r="A119" s="1" t="s">
        <v>45</v>
      </c>
      <c r="J119" s="1" t="s">
        <v>2</v>
      </c>
    </row>
    <row r="120" spans="1:10" x14ac:dyDescent="0.35">
      <c r="A120" t="s">
        <v>79</v>
      </c>
      <c r="B120" s="2">
        <v>38000</v>
      </c>
      <c r="C120" s="2">
        <v>31838</v>
      </c>
      <c r="D120" s="2">
        <v>30872</v>
      </c>
      <c r="E120" s="2">
        <v>30912</v>
      </c>
      <c r="F120" s="2">
        <v>30626</v>
      </c>
      <c r="G120" s="2">
        <v>31008</v>
      </c>
      <c r="H120" s="2">
        <v>30984</v>
      </c>
      <c r="I120" s="2"/>
      <c r="J120" s="1" t="s">
        <v>2</v>
      </c>
    </row>
    <row r="121" spans="1:10" x14ac:dyDescent="0.35">
      <c r="A121" t="s">
        <v>80</v>
      </c>
      <c r="B121" s="2">
        <v>91503</v>
      </c>
      <c r="C121" s="2">
        <v>81470</v>
      </c>
      <c r="D121" s="2">
        <v>79829</v>
      </c>
      <c r="E121" s="2">
        <v>82438</v>
      </c>
      <c r="F121" s="2">
        <v>82541</v>
      </c>
      <c r="G121" s="2">
        <v>84019</v>
      </c>
      <c r="H121" s="2">
        <v>86206</v>
      </c>
      <c r="I121" s="2"/>
      <c r="J121" s="1" t="s">
        <v>2</v>
      </c>
    </row>
    <row r="122" spans="1:10" x14ac:dyDescent="0.35">
      <c r="A122" t="s">
        <v>81</v>
      </c>
      <c r="B122" s="2">
        <v>362451</v>
      </c>
      <c r="C122" s="2">
        <v>349773</v>
      </c>
      <c r="D122" s="2">
        <v>360234</v>
      </c>
      <c r="E122" s="2">
        <v>365744</v>
      </c>
      <c r="F122" s="2">
        <v>366790</v>
      </c>
      <c r="G122" s="2">
        <v>370877</v>
      </c>
      <c r="H122" s="2">
        <v>379681</v>
      </c>
      <c r="I122" s="2"/>
      <c r="J122" s="1" t="s">
        <v>2</v>
      </c>
    </row>
    <row r="123" spans="1:10" x14ac:dyDescent="0.35">
      <c r="A123" t="s">
        <v>82</v>
      </c>
      <c r="B123" s="2">
        <v>917269</v>
      </c>
      <c r="C123" s="2">
        <v>891368</v>
      </c>
      <c r="D123" s="2">
        <v>916552</v>
      </c>
      <c r="E123" s="2">
        <v>951544</v>
      </c>
      <c r="F123" s="2">
        <v>959920</v>
      </c>
      <c r="G123" s="2">
        <v>977948</v>
      </c>
      <c r="H123" s="2">
        <v>1004315</v>
      </c>
      <c r="I123" s="2"/>
      <c r="J123" s="1" t="s">
        <v>2</v>
      </c>
    </row>
    <row r="124" spans="1:10" x14ac:dyDescent="0.35">
      <c r="A124" t="s">
        <v>83</v>
      </c>
      <c r="B124" s="2">
        <v>48158</v>
      </c>
      <c r="C124" s="2">
        <v>56578</v>
      </c>
      <c r="D124" s="2">
        <v>44420</v>
      </c>
      <c r="E124" s="2">
        <v>36541</v>
      </c>
      <c r="F124" s="2">
        <v>45327</v>
      </c>
      <c r="G124" s="2">
        <v>48771</v>
      </c>
      <c r="H124" s="2">
        <v>47656</v>
      </c>
      <c r="I124" s="2"/>
      <c r="J124" s="1" t="s">
        <v>2</v>
      </c>
    </row>
    <row r="125" spans="1:10" x14ac:dyDescent="0.35">
      <c r="A125" t="s">
        <v>84</v>
      </c>
      <c r="B125" s="2">
        <v>778664</v>
      </c>
      <c r="C125" s="2">
        <v>747586</v>
      </c>
      <c r="D125" s="2">
        <v>751719</v>
      </c>
      <c r="E125" s="2">
        <v>773814</v>
      </c>
      <c r="F125" s="2">
        <v>796091</v>
      </c>
      <c r="G125" s="2">
        <v>818487</v>
      </c>
      <c r="H125" s="2">
        <v>838891</v>
      </c>
      <c r="I125" s="2"/>
      <c r="J125" s="1" t="s">
        <v>2</v>
      </c>
    </row>
    <row r="126" spans="1:10" s="1" customFormat="1" x14ac:dyDescent="0.35">
      <c r="A126" s="1" t="s">
        <v>78</v>
      </c>
      <c r="B126" s="3">
        <f>+SUM(B120:B124)-B125</f>
        <v>678717</v>
      </c>
      <c r="C126" s="3">
        <f t="shared" ref="C126:H126" si="52">+SUM(C120:C124)-C125</f>
        <v>663441</v>
      </c>
      <c r="D126" s="3">
        <f t="shared" si="52"/>
        <v>680188</v>
      </c>
      <c r="E126" s="3">
        <f t="shared" si="52"/>
        <v>693365</v>
      </c>
      <c r="F126" s="3">
        <f t="shared" si="52"/>
        <v>689113</v>
      </c>
      <c r="G126" s="3">
        <f t="shared" si="52"/>
        <v>694136</v>
      </c>
      <c r="H126" s="3">
        <f t="shared" si="52"/>
        <v>709951</v>
      </c>
      <c r="I126" s="3">
        <f t="shared" ref="I126" si="53">+SUM(I120:I124)-I125</f>
        <v>0</v>
      </c>
      <c r="J126" s="1" t="s">
        <v>2</v>
      </c>
    </row>
  </sheetData>
  <hyperlinks>
    <hyperlink ref="A1" location="main!A1" display="main" xr:uid="{8764A514-1095-4EA3-9FCA-304DB6D5B28D}"/>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2025-01-19T19:16:44Z</dcterms:modified>
</cp:coreProperties>
</file>